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charts/chart3.xml" ContentType="application/vnd.openxmlformats-officedocument.drawingml.chart+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15570" windowHeight="9435" firstSheet="1" activeTab="4"/>
  </bookViews>
  <sheets>
    <sheet name="Oversigt_Retention" sheetId="1" r:id="rId1"/>
    <sheet name="Data" sheetId="2" r:id="rId2"/>
    <sheet name="Markniveau" sheetId="3" r:id="rId3"/>
    <sheet name="GHI2011" sheetId="4" r:id="rId4"/>
    <sheet name="Tabeller" sheetId="5" r:id="rId5"/>
    <sheet name="Udvaskning nøgletal" sheetId="6" r:id="rId6"/>
  </sheets>
  <definedNames>
    <definedName name="GHI">'GHI2011'!$A$1:$V$93</definedName>
    <definedName name="_xlnm.Criteria" localSheetId="4">Tabeller!$M$10:$N$11</definedName>
    <definedName name="Mark">Markniveau!$A$1:$AM$1733</definedName>
    <definedName name="Retention">Oversigt_Retention!$F$1:$I$177</definedName>
    <definedName name="_xlnm.Extract" localSheetId="4">Tabeller!$M$18:$N$25</definedName>
  </definedNames>
  <calcPr calcId="145621"/>
</workbook>
</file>

<file path=xl/calcChain.xml><?xml version="1.0" encoding="utf-8"?>
<calcChain xmlns="http://schemas.openxmlformats.org/spreadsheetml/2006/main">
  <c r="E112" i="5" l="1"/>
  <c r="D112" i="5"/>
  <c r="E111" i="5"/>
  <c r="D111" i="5"/>
  <c r="C111" i="5"/>
  <c r="E108" i="5"/>
  <c r="F108" i="5"/>
  <c r="G108" i="5"/>
  <c r="D108" i="5"/>
  <c r="G107" i="5"/>
  <c r="G106" i="5"/>
  <c r="F107" i="5"/>
  <c r="F106" i="5"/>
  <c r="E107" i="5"/>
  <c r="E106" i="5"/>
  <c r="D107" i="5"/>
  <c r="D106" i="5"/>
  <c r="G105" i="5"/>
  <c r="F105" i="5"/>
  <c r="E105" i="5"/>
  <c r="D105" i="5"/>
  <c r="C107" i="5"/>
  <c r="C106" i="5"/>
  <c r="C105" i="5"/>
  <c r="AJ10" i="3"/>
  <c r="AK10" i="3" s="1"/>
  <c r="AL10" i="3"/>
  <c r="AJ11" i="3"/>
  <c r="AK11" i="3" s="1"/>
  <c r="AL11" i="3"/>
  <c r="AJ12" i="3"/>
  <c r="AK12" i="3" s="1"/>
  <c r="AL12" i="3"/>
  <c r="AM12" i="3"/>
  <c r="AJ13" i="3"/>
  <c r="AK13" i="3" s="1"/>
  <c r="AL13" i="3"/>
  <c r="AM13" i="3"/>
  <c r="AJ14" i="3"/>
  <c r="AK14" i="3" s="1"/>
  <c r="AL14" i="3"/>
  <c r="AM14" i="3"/>
  <c r="AJ15" i="3"/>
  <c r="AK15" i="3" s="1"/>
  <c r="AL15" i="3"/>
  <c r="AJ16" i="3"/>
  <c r="AK16" i="3" s="1"/>
  <c r="AL16" i="3"/>
  <c r="AM16" i="3"/>
  <c r="AJ17" i="3"/>
  <c r="AK17" i="3" s="1"/>
  <c r="AL17" i="3"/>
  <c r="AM17" i="3"/>
  <c r="AJ18" i="3"/>
  <c r="AK18" i="3" s="1"/>
  <c r="AL18" i="3"/>
  <c r="AM18" i="3"/>
  <c r="AJ19" i="3"/>
  <c r="AK19" i="3" s="1"/>
  <c r="AL19" i="3"/>
  <c r="AM19" i="3"/>
  <c r="AJ20" i="3"/>
  <c r="AK20" i="3" s="1"/>
  <c r="AL20" i="3"/>
  <c r="AM20" i="3"/>
  <c r="AJ21" i="3"/>
  <c r="AK21" i="3" s="1"/>
  <c r="AL21" i="3"/>
  <c r="AM21" i="3"/>
  <c r="AJ22" i="3"/>
  <c r="AK22" i="3" s="1"/>
  <c r="AL22" i="3"/>
  <c r="AM22" i="3"/>
  <c r="AJ23" i="3"/>
  <c r="AK23" i="3" s="1"/>
  <c r="AL23" i="3"/>
  <c r="AM23" i="3"/>
  <c r="AJ24" i="3"/>
  <c r="AK24" i="3" s="1"/>
  <c r="AL24" i="3"/>
  <c r="AM24" i="3"/>
  <c r="AJ25" i="3"/>
  <c r="AK25" i="3" s="1"/>
  <c r="AL25" i="3"/>
  <c r="AM25" i="3"/>
  <c r="AJ26" i="3"/>
  <c r="AK26" i="3" s="1"/>
  <c r="AL26" i="3"/>
  <c r="AM26" i="3"/>
  <c r="AJ27" i="3"/>
  <c r="AK27" i="3" s="1"/>
  <c r="AL27" i="3"/>
  <c r="AM27" i="3"/>
  <c r="AJ28" i="3"/>
  <c r="AK28" i="3" s="1"/>
  <c r="AL28" i="3"/>
  <c r="AM28" i="3"/>
  <c r="AJ29" i="3"/>
  <c r="AK29" i="3" s="1"/>
  <c r="AL29" i="3"/>
  <c r="AM29" i="3"/>
  <c r="AJ30" i="3"/>
  <c r="AK30" i="3" s="1"/>
  <c r="AL30" i="3"/>
  <c r="AM30" i="3"/>
  <c r="AJ31" i="3"/>
  <c r="AK31" i="3" s="1"/>
  <c r="AL31" i="3"/>
  <c r="AM31" i="3"/>
  <c r="AJ32" i="3"/>
  <c r="AK32" i="3" s="1"/>
  <c r="AL32" i="3"/>
  <c r="AM32" i="3"/>
  <c r="AJ33" i="3"/>
  <c r="AK33" i="3" s="1"/>
  <c r="AL33" i="3"/>
  <c r="AM33" i="3"/>
  <c r="AJ34" i="3"/>
  <c r="AK34" i="3" s="1"/>
  <c r="AL34" i="3"/>
  <c r="AM34" i="3"/>
  <c r="AJ35" i="3"/>
  <c r="AK35" i="3" s="1"/>
  <c r="AL35" i="3"/>
  <c r="AM35" i="3"/>
  <c r="AJ36" i="3"/>
  <c r="AK36" i="3" s="1"/>
  <c r="AL36" i="3"/>
  <c r="AM36" i="3"/>
  <c r="AJ37" i="3"/>
  <c r="AK37" i="3" s="1"/>
  <c r="AL37" i="3"/>
  <c r="AM37" i="3"/>
  <c r="AJ38" i="3"/>
  <c r="AK38" i="3" s="1"/>
  <c r="AL38" i="3"/>
  <c r="AM38" i="3"/>
  <c r="AJ39" i="3"/>
  <c r="AK39" i="3" s="1"/>
  <c r="AL39" i="3"/>
  <c r="AM39" i="3"/>
  <c r="AJ40" i="3"/>
  <c r="AK40" i="3" s="1"/>
  <c r="AL40" i="3"/>
  <c r="AM40" i="3"/>
  <c r="AJ41" i="3"/>
  <c r="AK41" i="3" s="1"/>
  <c r="AL41" i="3"/>
  <c r="AM41" i="3"/>
  <c r="AJ42" i="3"/>
  <c r="AK42" i="3" s="1"/>
  <c r="AL42" i="3"/>
  <c r="AM42" i="3"/>
  <c r="AJ43" i="3"/>
  <c r="AK43" i="3" s="1"/>
  <c r="AL43" i="3"/>
  <c r="AM43" i="3"/>
  <c r="AJ44" i="3"/>
  <c r="AK44" i="3" s="1"/>
  <c r="AL44" i="3"/>
  <c r="AM44" i="3"/>
  <c r="AJ45" i="3"/>
  <c r="AK45" i="3" s="1"/>
  <c r="AL45" i="3"/>
  <c r="AM45" i="3"/>
  <c r="AJ46" i="3"/>
  <c r="AK46" i="3" s="1"/>
  <c r="AL46" i="3"/>
  <c r="AM46" i="3"/>
  <c r="AJ47" i="3"/>
  <c r="AK47" i="3" s="1"/>
  <c r="AL47" i="3"/>
  <c r="AM47" i="3"/>
  <c r="AJ48" i="3"/>
  <c r="AK48" i="3" s="1"/>
  <c r="AL48" i="3"/>
  <c r="AM48" i="3"/>
  <c r="AJ49" i="3"/>
  <c r="AK49" i="3" s="1"/>
  <c r="AL49" i="3"/>
  <c r="AM49" i="3"/>
  <c r="AJ50" i="3"/>
  <c r="AK50" i="3" s="1"/>
  <c r="AL50" i="3"/>
  <c r="AM50" i="3"/>
  <c r="AJ51" i="3"/>
  <c r="AK51" i="3" s="1"/>
  <c r="AL51" i="3"/>
  <c r="AM51" i="3"/>
  <c r="AJ52" i="3"/>
  <c r="AJ53" i="3"/>
  <c r="AK53" i="3" s="1"/>
  <c r="AL53" i="3"/>
  <c r="AM53" i="3"/>
  <c r="AJ54" i="3"/>
  <c r="AK54" i="3" s="1"/>
  <c r="AL54" i="3"/>
  <c r="AM54" i="3"/>
  <c r="AJ55" i="3"/>
  <c r="AK55" i="3" s="1"/>
  <c r="AL55" i="3"/>
  <c r="AM55" i="3"/>
  <c r="AJ56" i="3"/>
  <c r="AL56" i="3"/>
  <c r="AJ57" i="3"/>
  <c r="AL57" i="3" s="1"/>
  <c r="AJ58" i="3"/>
  <c r="AL58" i="3" s="1"/>
  <c r="AJ59" i="3"/>
  <c r="AL59" i="3" s="1"/>
  <c r="AJ60" i="3"/>
  <c r="AL60" i="3" s="1"/>
  <c r="AJ61" i="3"/>
  <c r="AL61" i="3" s="1"/>
  <c r="AJ62" i="3"/>
  <c r="AL62" i="3" s="1"/>
  <c r="AJ63" i="3"/>
  <c r="AL63" i="3" s="1"/>
  <c r="AJ64" i="3"/>
  <c r="AL64" i="3" s="1"/>
  <c r="AJ65" i="3"/>
  <c r="AL65" i="3" s="1"/>
  <c r="AJ66" i="3"/>
  <c r="AL66" i="3" s="1"/>
  <c r="AJ67" i="3"/>
  <c r="AL67" i="3" s="1"/>
  <c r="AJ68" i="3"/>
  <c r="AL68" i="3" s="1"/>
  <c r="AJ69" i="3"/>
  <c r="AL69" i="3" s="1"/>
  <c r="AJ70" i="3"/>
  <c r="AL70" i="3" s="1"/>
  <c r="AJ71" i="3"/>
  <c r="AL71" i="3" s="1"/>
  <c r="AJ72" i="3"/>
  <c r="AL72" i="3" s="1"/>
  <c r="AJ73" i="3"/>
  <c r="AK73" i="3" s="1"/>
  <c r="AL73" i="3"/>
  <c r="AM73" i="3"/>
  <c r="AJ74" i="3"/>
  <c r="AK74" i="3"/>
  <c r="AL74" i="3"/>
  <c r="AM74" i="3"/>
  <c r="AJ75" i="3"/>
  <c r="AK75" i="3"/>
  <c r="AL75" i="3"/>
  <c r="AM75" i="3"/>
  <c r="AJ76" i="3"/>
  <c r="AK76" i="3"/>
  <c r="AL76" i="3"/>
  <c r="AM76" i="3"/>
  <c r="AJ77" i="3"/>
  <c r="AK77" i="3"/>
  <c r="AL77" i="3"/>
  <c r="AM77" i="3"/>
  <c r="AJ78" i="3"/>
  <c r="AK78" i="3"/>
  <c r="AL78" i="3"/>
  <c r="AM78" i="3"/>
  <c r="AJ79" i="3"/>
  <c r="AK79" i="3"/>
  <c r="AL79" i="3"/>
  <c r="AM79" i="3"/>
  <c r="AJ80" i="3"/>
  <c r="AK80" i="3"/>
  <c r="AL80" i="3"/>
  <c r="AM80" i="3"/>
  <c r="AJ81" i="3"/>
  <c r="AK81" i="3"/>
  <c r="AL81" i="3"/>
  <c r="AM81" i="3"/>
  <c r="AJ82" i="3"/>
  <c r="AK82" i="3"/>
  <c r="AL82" i="3"/>
  <c r="AM82" i="3"/>
  <c r="AJ83" i="3"/>
  <c r="AK83" i="3"/>
  <c r="AL83" i="3"/>
  <c r="AM83" i="3"/>
  <c r="AJ84" i="3"/>
  <c r="AK84" i="3"/>
  <c r="AL84" i="3"/>
  <c r="AM84" i="3"/>
  <c r="AJ85" i="3"/>
  <c r="AK85" i="3"/>
  <c r="AL85" i="3"/>
  <c r="AM85" i="3"/>
  <c r="AJ86" i="3"/>
  <c r="AK86" i="3"/>
  <c r="AL86" i="3"/>
  <c r="AM86" i="3"/>
  <c r="AJ87" i="3"/>
  <c r="AK87" i="3" s="1"/>
  <c r="AL87" i="3"/>
  <c r="AM87" i="3"/>
  <c r="AJ88" i="3"/>
  <c r="AK88" i="3" s="1"/>
  <c r="AL88" i="3"/>
  <c r="AM88" i="3"/>
  <c r="AJ89" i="3"/>
  <c r="AK89" i="3" s="1"/>
  <c r="AL89" i="3"/>
  <c r="AM89" i="3"/>
  <c r="AJ90" i="3"/>
  <c r="AK90" i="3" s="1"/>
  <c r="AL90" i="3"/>
  <c r="AM90" i="3"/>
  <c r="AJ91" i="3"/>
  <c r="AK91" i="3" s="1"/>
  <c r="AL91" i="3"/>
  <c r="AM91" i="3"/>
  <c r="AJ92" i="3"/>
  <c r="AK92" i="3" s="1"/>
  <c r="AL92" i="3"/>
  <c r="AM92" i="3"/>
  <c r="AJ93" i="3"/>
  <c r="AK93" i="3" s="1"/>
  <c r="AL93" i="3"/>
  <c r="AM93" i="3"/>
  <c r="AJ94" i="3"/>
  <c r="AK94" i="3" s="1"/>
  <c r="AL94" i="3"/>
  <c r="AM94" i="3"/>
  <c r="AJ95" i="3"/>
  <c r="AK95" i="3" s="1"/>
  <c r="AL95" i="3"/>
  <c r="AM95" i="3"/>
  <c r="AJ96" i="3"/>
  <c r="AK96" i="3" s="1"/>
  <c r="AL96" i="3"/>
  <c r="AM96" i="3"/>
  <c r="AJ97" i="3"/>
  <c r="AK97" i="3" s="1"/>
  <c r="AL97" i="3"/>
  <c r="AM97" i="3"/>
  <c r="AJ98" i="3"/>
  <c r="AK98" i="3" s="1"/>
  <c r="AL98" i="3"/>
  <c r="AM98" i="3"/>
  <c r="AJ99" i="3"/>
  <c r="AK99" i="3" s="1"/>
  <c r="AL99" i="3"/>
  <c r="AM99" i="3"/>
  <c r="AJ100" i="3"/>
  <c r="AK100" i="3" s="1"/>
  <c r="AL100" i="3"/>
  <c r="AM100" i="3"/>
  <c r="AJ101" i="3"/>
  <c r="AK101" i="3" s="1"/>
  <c r="AL101" i="3"/>
  <c r="AM101" i="3"/>
  <c r="AJ102" i="3"/>
  <c r="AK102" i="3" s="1"/>
  <c r="AL102" i="3"/>
  <c r="AM102" i="3"/>
  <c r="AJ103" i="3"/>
  <c r="AK103" i="3" s="1"/>
  <c r="AL103" i="3"/>
  <c r="AM103" i="3"/>
  <c r="AJ104" i="3"/>
  <c r="AK104" i="3" s="1"/>
  <c r="AL104" i="3"/>
  <c r="AM104" i="3"/>
  <c r="AJ105" i="3"/>
  <c r="AK105" i="3" s="1"/>
  <c r="AL105" i="3"/>
  <c r="AM105" i="3"/>
  <c r="AJ106" i="3"/>
  <c r="AK106" i="3" s="1"/>
  <c r="AL106" i="3"/>
  <c r="AM106" i="3"/>
  <c r="AJ107" i="3"/>
  <c r="AK107" i="3" s="1"/>
  <c r="AL107" i="3"/>
  <c r="AM107" i="3"/>
  <c r="AJ108" i="3"/>
  <c r="AK108" i="3" s="1"/>
  <c r="AL108" i="3"/>
  <c r="AM108" i="3"/>
  <c r="AJ109" i="3"/>
  <c r="AK109" i="3" s="1"/>
  <c r="AL109" i="3"/>
  <c r="AJ110" i="3"/>
  <c r="AK110" i="3" s="1"/>
  <c r="AL110" i="3"/>
  <c r="AJ111" i="3"/>
  <c r="AK111" i="3" s="1"/>
  <c r="AL111" i="3"/>
  <c r="AJ112" i="3"/>
  <c r="AL112" i="3" s="1"/>
  <c r="AJ113" i="3"/>
  <c r="AL113" i="3" s="1"/>
  <c r="AJ114" i="3"/>
  <c r="AL114" i="3" s="1"/>
  <c r="AJ115" i="3"/>
  <c r="AK115" i="3" s="1"/>
  <c r="AL115" i="3"/>
  <c r="AM115" i="3"/>
  <c r="AJ116" i="3"/>
  <c r="AK116" i="3" s="1"/>
  <c r="AL116" i="3"/>
  <c r="AM116" i="3"/>
  <c r="AJ117" i="3"/>
  <c r="AK117" i="3" s="1"/>
  <c r="AL117" i="3"/>
  <c r="AM117" i="3"/>
  <c r="AJ118" i="3"/>
  <c r="AK118" i="3" s="1"/>
  <c r="AL118" i="3"/>
  <c r="AM118" i="3"/>
  <c r="AJ119" i="3"/>
  <c r="AL119" i="3" s="1"/>
  <c r="AJ120" i="3"/>
  <c r="AL120" i="3" s="1"/>
  <c r="AJ121" i="3"/>
  <c r="AL121" i="3" s="1"/>
  <c r="AJ122" i="3"/>
  <c r="AL122" i="3" s="1"/>
  <c r="AJ123" i="3"/>
  <c r="AL123" i="3" s="1"/>
  <c r="AJ124" i="3"/>
  <c r="AK124" i="3" s="1"/>
  <c r="AL124" i="3"/>
  <c r="AM124" i="3"/>
  <c r="AJ125" i="3"/>
  <c r="AK125" i="3" s="1"/>
  <c r="AL125" i="3"/>
  <c r="AM125" i="3"/>
  <c r="AJ126" i="3"/>
  <c r="AK126" i="3" s="1"/>
  <c r="AL126" i="3"/>
  <c r="AM126" i="3"/>
  <c r="AJ127" i="3"/>
  <c r="AK127" i="3" s="1"/>
  <c r="AL127" i="3"/>
  <c r="AM127" i="3"/>
  <c r="AJ128" i="3"/>
  <c r="AK128" i="3" s="1"/>
  <c r="AL128" i="3"/>
  <c r="AM128" i="3"/>
  <c r="AJ129" i="3"/>
  <c r="AK129" i="3" s="1"/>
  <c r="AL129" i="3"/>
  <c r="AM129" i="3"/>
  <c r="AJ130" i="3"/>
  <c r="AK130" i="3" s="1"/>
  <c r="AL130" i="3"/>
  <c r="AM130" i="3"/>
  <c r="AJ131" i="3"/>
  <c r="AK131" i="3" s="1"/>
  <c r="AL131" i="3"/>
  <c r="AM131" i="3"/>
  <c r="AJ132" i="3"/>
  <c r="AK132" i="3" s="1"/>
  <c r="AL132" i="3"/>
  <c r="AM132" i="3"/>
  <c r="AJ133" i="3"/>
  <c r="AK133" i="3" s="1"/>
  <c r="AL133" i="3"/>
  <c r="AM133" i="3"/>
  <c r="AJ134" i="3"/>
  <c r="AK134" i="3" s="1"/>
  <c r="AL134" i="3"/>
  <c r="AM134" i="3"/>
  <c r="AJ135" i="3"/>
  <c r="AK135" i="3" s="1"/>
  <c r="AL135" i="3"/>
  <c r="AM135" i="3"/>
  <c r="AJ136" i="3"/>
  <c r="AK136" i="3" s="1"/>
  <c r="AL136" i="3"/>
  <c r="AM136" i="3"/>
  <c r="AJ137" i="3"/>
  <c r="AK137" i="3" s="1"/>
  <c r="AL137" i="3"/>
  <c r="AM137" i="3"/>
  <c r="AJ138" i="3"/>
  <c r="AK138" i="3" s="1"/>
  <c r="AL138" i="3"/>
  <c r="AM138" i="3"/>
  <c r="AJ139" i="3"/>
  <c r="AK139" i="3" s="1"/>
  <c r="AL139" i="3"/>
  <c r="AM139" i="3"/>
  <c r="AJ140" i="3"/>
  <c r="AK140" i="3" s="1"/>
  <c r="AL140" i="3"/>
  <c r="AM140" i="3"/>
  <c r="AJ141" i="3"/>
  <c r="AK141" i="3" s="1"/>
  <c r="AL141" i="3"/>
  <c r="AM141" i="3"/>
  <c r="AJ142" i="3"/>
  <c r="AK142" i="3" s="1"/>
  <c r="AL142" i="3"/>
  <c r="AM142" i="3"/>
  <c r="AJ143" i="3"/>
  <c r="AK143" i="3" s="1"/>
  <c r="AL143" i="3"/>
  <c r="AM143" i="3"/>
  <c r="AJ144" i="3"/>
  <c r="AL144" i="3" s="1"/>
  <c r="AJ145" i="3"/>
  <c r="AK145" i="3" s="1"/>
  <c r="AL145" i="3"/>
  <c r="AM145" i="3"/>
  <c r="AJ146" i="3"/>
  <c r="AK146" i="3" s="1"/>
  <c r="AL146" i="3"/>
  <c r="AM146" i="3"/>
  <c r="AJ147" i="3"/>
  <c r="AK147" i="3" s="1"/>
  <c r="AL147" i="3"/>
  <c r="AM147" i="3"/>
  <c r="AJ148" i="3"/>
  <c r="AK148" i="3" s="1"/>
  <c r="AL148" i="3"/>
  <c r="AM148" i="3"/>
  <c r="AJ149" i="3"/>
  <c r="AK149" i="3" s="1"/>
  <c r="AL149" i="3"/>
  <c r="AM149" i="3"/>
  <c r="AJ150" i="3"/>
  <c r="AK150" i="3" s="1"/>
  <c r="AL150" i="3"/>
  <c r="AM150" i="3"/>
  <c r="AJ151" i="3"/>
  <c r="AK151" i="3" s="1"/>
  <c r="AL151" i="3"/>
  <c r="AM151" i="3"/>
  <c r="AJ152" i="3"/>
  <c r="AK152" i="3" s="1"/>
  <c r="AL152" i="3"/>
  <c r="AM152" i="3"/>
  <c r="AJ153" i="3"/>
  <c r="AK153" i="3" s="1"/>
  <c r="AL153" i="3"/>
  <c r="AM153" i="3"/>
  <c r="AJ154" i="3"/>
  <c r="AK154" i="3" s="1"/>
  <c r="AL154" i="3"/>
  <c r="AM154" i="3"/>
  <c r="AJ155" i="3"/>
  <c r="AK155" i="3" s="1"/>
  <c r="AL155" i="3"/>
  <c r="AM155" i="3"/>
  <c r="AJ156" i="3"/>
  <c r="AK156" i="3" s="1"/>
  <c r="AL156" i="3"/>
  <c r="AM156" i="3"/>
  <c r="AJ157" i="3"/>
  <c r="AK157" i="3" s="1"/>
  <c r="AL157" i="3"/>
  <c r="AM157" i="3"/>
  <c r="AJ158" i="3"/>
  <c r="AK158" i="3" s="1"/>
  <c r="AL158" i="3"/>
  <c r="AM158" i="3"/>
  <c r="AJ159" i="3"/>
  <c r="AK159" i="3" s="1"/>
  <c r="AL159" i="3"/>
  <c r="AM159" i="3"/>
  <c r="AJ160" i="3"/>
  <c r="AK160" i="3" s="1"/>
  <c r="AL160" i="3"/>
  <c r="AM160" i="3"/>
  <c r="AJ161" i="3"/>
  <c r="AK161" i="3" s="1"/>
  <c r="AL161" i="3"/>
  <c r="AM161" i="3"/>
  <c r="AJ162" i="3"/>
  <c r="AK162" i="3" s="1"/>
  <c r="AL162" i="3"/>
  <c r="AM162" i="3"/>
  <c r="AJ163" i="3"/>
  <c r="AK163" i="3" s="1"/>
  <c r="AL163" i="3"/>
  <c r="AM163" i="3"/>
  <c r="AJ164" i="3"/>
  <c r="AK164" i="3" s="1"/>
  <c r="AL164" i="3"/>
  <c r="AJ165" i="3"/>
  <c r="AK165" i="3" s="1"/>
  <c r="AL165" i="3"/>
  <c r="AJ166" i="3"/>
  <c r="AK166" i="3" s="1"/>
  <c r="AL166" i="3"/>
  <c r="AJ167" i="3"/>
  <c r="AK167" i="3" s="1"/>
  <c r="AL167" i="3"/>
  <c r="AM167" i="3"/>
  <c r="AJ168" i="3"/>
  <c r="AK168" i="3" s="1"/>
  <c r="AL168" i="3"/>
  <c r="AM168" i="3"/>
  <c r="AJ169" i="3"/>
  <c r="AK169" i="3" s="1"/>
  <c r="AL169" i="3"/>
  <c r="AM169" i="3"/>
  <c r="AJ170" i="3"/>
  <c r="AK170" i="3" s="1"/>
  <c r="AL170" i="3"/>
  <c r="AJ171" i="3"/>
  <c r="AK171" i="3" s="1"/>
  <c r="AL171" i="3"/>
  <c r="AJ172" i="3"/>
  <c r="AK172" i="3" s="1"/>
  <c r="AL172" i="3"/>
  <c r="AJ173" i="3"/>
  <c r="AK173" i="3" s="1"/>
  <c r="AL173" i="3"/>
  <c r="AJ174" i="3"/>
  <c r="AK174" i="3" s="1"/>
  <c r="AL174" i="3"/>
  <c r="AJ175" i="3"/>
  <c r="AK175" i="3" s="1"/>
  <c r="AL175" i="3"/>
  <c r="AM175" i="3"/>
  <c r="AJ176" i="3"/>
  <c r="AK176" i="3" s="1"/>
  <c r="AL176" i="3"/>
  <c r="AM176" i="3"/>
  <c r="AJ177" i="3"/>
  <c r="AK177" i="3" s="1"/>
  <c r="AL177" i="3"/>
  <c r="AM177" i="3"/>
  <c r="AJ178" i="3"/>
  <c r="AK178" i="3" s="1"/>
  <c r="AL178" i="3"/>
  <c r="AM178" i="3"/>
  <c r="AJ179" i="3"/>
  <c r="AK179" i="3" s="1"/>
  <c r="AL179" i="3"/>
  <c r="AM179" i="3"/>
  <c r="AJ180" i="3"/>
  <c r="AK180" i="3" s="1"/>
  <c r="AL180" i="3"/>
  <c r="AM180" i="3"/>
  <c r="AJ181" i="3"/>
  <c r="AK181" i="3" s="1"/>
  <c r="AL181" i="3"/>
  <c r="AM181" i="3"/>
  <c r="AJ182" i="3"/>
  <c r="AK182" i="3" s="1"/>
  <c r="AL182" i="3"/>
  <c r="AM182" i="3"/>
  <c r="AJ183" i="3"/>
  <c r="AK183" i="3" s="1"/>
  <c r="AL183" i="3"/>
  <c r="AM183" i="3"/>
  <c r="AJ184" i="3"/>
  <c r="AK184" i="3" s="1"/>
  <c r="AL184" i="3"/>
  <c r="AM184" i="3"/>
  <c r="AJ185" i="3"/>
  <c r="AK185" i="3" s="1"/>
  <c r="AL185" i="3"/>
  <c r="AM185" i="3"/>
  <c r="AJ186" i="3"/>
  <c r="AK186" i="3" s="1"/>
  <c r="AL186" i="3"/>
  <c r="AM186" i="3"/>
  <c r="AJ187" i="3"/>
  <c r="AK187" i="3" s="1"/>
  <c r="AL187" i="3"/>
  <c r="AM187" i="3"/>
  <c r="AJ188" i="3"/>
  <c r="AK188" i="3" s="1"/>
  <c r="AL188" i="3"/>
  <c r="AM188" i="3"/>
  <c r="AJ189" i="3"/>
  <c r="AK189" i="3" s="1"/>
  <c r="AL189" i="3"/>
  <c r="AM189" i="3"/>
  <c r="AJ190" i="3"/>
  <c r="AK190" i="3" s="1"/>
  <c r="AL190" i="3"/>
  <c r="AM190" i="3"/>
  <c r="AJ191" i="3"/>
  <c r="AK191" i="3" s="1"/>
  <c r="AL191" i="3"/>
  <c r="AM191" i="3"/>
  <c r="AJ192" i="3"/>
  <c r="AK192" i="3" s="1"/>
  <c r="AL192" i="3"/>
  <c r="AM192" i="3"/>
  <c r="AJ193" i="3"/>
  <c r="AK193" i="3" s="1"/>
  <c r="AL193" i="3"/>
  <c r="AM193" i="3"/>
  <c r="AJ194" i="3"/>
  <c r="AK194" i="3" s="1"/>
  <c r="AL194" i="3"/>
  <c r="AM194" i="3"/>
  <c r="AJ195" i="3"/>
  <c r="AK195" i="3" s="1"/>
  <c r="AL195" i="3"/>
  <c r="AM195" i="3"/>
  <c r="AJ196" i="3"/>
  <c r="AK196" i="3" s="1"/>
  <c r="AL196" i="3"/>
  <c r="AM196" i="3"/>
  <c r="AJ197" i="3"/>
  <c r="AK197" i="3" s="1"/>
  <c r="AL197" i="3"/>
  <c r="AM197" i="3"/>
  <c r="AJ198" i="3"/>
  <c r="AK198" i="3" s="1"/>
  <c r="AL198" i="3"/>
  <c r="AM198" i="3"/>
  <c r="AJ199" i="3"/>
  <c r="AK199" i="3" s="1"/>
  <c r="AL199" i="3"/>
  <c r="AM199" i="3"/>
  <c r="AJ200" i="3"/>
  <c r="AL200" i="3" s="1"/>
  <c r="AJ201" i="3"/>
  <c r="AK201" i="3" s="1"/>
  <c r="AL201" i="3"/>
  <c r="AM201" i="3"/>
  <c r="AJ202" i="3"/>
  <c r="AK202" i="3" s="1"/>
  <c r="AL202" i="3"/>
  <c r="AM202" i="3"/>
  <c r="AJ203" i="3"/>
  <c r="AK203" i="3" s="1"/>
  <c r="AL203" i="3"/>
  <c r="AM203" i="3"/>
  <c r="AJ204" i="3"/>
  <c r="AK204" i="3" s="1"/>
  <c r="AL204" i="3"/>
  <c r="AM204" i="3"/>
  <c r="AJ205" i="3"/>
  <c r="AK205" i="3" s="1"/>
  <c r="AL205" i="3"/>
  <c r="AM205" i="3"/>
  <c r="AJ206" i="3"/>
  <c r="AK206" i="3" s="1"/>
  <c r="AL206" i="3"/>
  <c r="AM206" i="3"/>
  <c r="AJ207" i="3"/>
  <c r="AK207" i="3" s="1"/>
  <c r="AL207" i="3"/>
  <c r="AM207" i="3"/>
  <c r="AJ208" i="3"/>
  <c r="AK208" i="3" s="1"/>
  <c r="AL208" i="3"/>
  <c r="AM208" i="3"/>
  <c r="AJ209" i="3"/>
  <c r="AK209" i="3" s="1"/>
  <c r="AL209" i="3"/>
  <c r="AM209" i="3"/>
  <c r="AJ210" i="3"/>
  <c r="AK210" i="3" s="1"/>
  <c r="AL210" i="3"/>
  <c r="AM210" i="3"/>
  <c r="AJ211" i="3"/>
  <c r="AK211" i="3" s="1"/>
  <c r="AL211" i="3"/>
  <c r="AM211" i="3"/>
  <c r="AJ212" i="3"/>
  <c r="AK212" i="3" s="1"/>
  <c r="AL212" i="3"/>
  <c r="AM212" i="3"/>
  <c r="AJ213" i="3"/>
  <c r="AK213" i="3" s="1"/>
  <c r="AL213" i="3"/>
  <c r="AM213" i="3"/>
  <c r="AJ214" i="3"/>
  <c r="AK214" i="3" s="1"/>
  <c r="AL214" i="3"/>
  <c r="AM214" i="3"/>
  <c r="AJ215" i="3"/>
  <c r="AK215" i="3" s="1"/>
  <c r="AL215" i="3"/>
  <c r="AM215" i="3"/>
  <c r="AJ216" i="3"/>
  <c r="AK216" i="3" s="1"/>
  <c r="AL216" i="3"/>
  <c r="AM216" i="3"/>
  <c r="AJ217" i="3"/>
  <c r="AK217" i="3" s="1"/>
  <c r="AL217" i="3"/>
  <c r="AM217" i="3"/>
  <c r="AJ218" i="3"/>
  <c r="AK218" i="3" s="1"/>
  <c r="AL218" i="3"/>
  <c r="AM218" i="3"/>
  <c r="AJ219" i="3"/>
  <c r="AK219" i="3" s="1"/>
  <c r="AL219" i="3"/>
  <c r="AM219" i="3"/>
  <c r="AJ220" i="3"/>
  <c r="AK220" i="3" s="1"/>
  <c r="AL220" i="3"/>
  <c r="AM220" i="3"/>
  <c r="AJ221" i="3"/>
  <c r="AK221" i="3" s="1"/>
  <c r="AL221" i="3"/>
  <c r="AM221" i="3"/>
  <c r="AJ222" i="3"/>
  <c r="AK222" i="3" s="1"/>
  <c r="AL222" i="3"/>
  <c r="AM222" i="3"/>
  <c r="AJ223" i="3"/>
  <c r="AK223" i="3" s="1"/>
  <c r="AL223" i="3"/>
  <c r="AM223" i="3"/>
  <c r="AJ224" i="3"/>
  <c r="AK224" i="3" s="1"/>
  <c r="AL224" i="3"/>
  <c r="AM224" i="3"/>
  <c r="AJ225" i="3"/>
  <c r="AK225" i="3" s="1"/>
  <c r="AL225" i="3"/>
  <c r="AM225" i="3"/>
  <c r="AJ226" i="3"/>
  <c r="AK226" i="3" s="1"/>
  <c r="AL226" i="3"/>
  <c r="AM226" i="3"/>
  <c r="AJ227" i="3"/>
  <c r="AK227" i="3" s="1"/>
  <c r="AL227" i="3"/>
  <c r="AM227" i="3"/>
  <c r="AJ228" i="3"/>
  <c r="AK228" i="3" s="1"/>
  <c r="AL228" i="3"/>
  <c r="AM228" i="3"/>
  <c r="AJ229" i="3"/>
  <c r="AK229" i="3" s="1"/>
  <c r="AL229" i="3"/>
  <c r="AM229" i="3"/>
  <c r="AJ230" i="3"/>
  <c r="AK230" i="3" s="1"/>
  <c r="AL230" i="3"/>
  <c r="AM230" i="3"/>
  <c r="AJ231" i="3"/>
  <c r="AK231" i="3" s="1"/>
  <c r="AL231" i="3"/>
  <c r="AM231" i="3"/>
  <c r="AJ232" i="3"/>
  <c r="AK232" i="3" s="1"/>
  <c r="AL232" i="3"/>
  <c r="AM232" i="3"/>
  <c r="AJ233" i="3"/>
  <c r="AK233" i="3" s="1"/>
  <c r="AL233" i="3"/>
  <c r="AM233" i="3"/>
  <c r="AJ234" i="3"/>
  <c r="AK234" i="3" s="1"/>
  <c r="AL234" i="3"/>
  <c r="AM234" i="3"/>
  <c r="AJ235" i="3"/>
  <c r="AK235" i="3" s="1"/>
  <c r="AL235" i="3"/>
  <c r="AM235" i="3"/>
  <c r="AJ236" i="3"/>
  <c r="AK236" i="3" s="1"/>
  <c r="AL236" i="3"/>
  <c r="AM236" i="3"/>
  <c r="AJ237" i="3"/>
  <c r="AK237" i="3" s="1"/>
  <c r="AL237" i="3"/>
  <c r="AM237" i="3"/>
  <c r="AJ238" i="3"/>
  <c r="AK238" i="3" s="1"/>
  <c r="AL238" i="3"/>
  <c r="AM238" i="3"/>
  <c r="AJ239" i="3"/>
  <c r="AK239" i="3" s="1"/>
  <c r="AL239" i="3"/>
  <c r="AM239" i="3"/>
  <c r="AJ240" i="3"/>
  <c r="AK240" i="3" s="1"/>
  <c r="AL240" i="3"/>
  <c r="AM240" i="3"/>
  <c r="AJ241" i="3"/>
  <c r="AK241" i="3" s="1"/>
  <c r="AL241" i="3"/>
  <c r="AM241" i="3"/>
  <c r="AJ242" i="3"/>
  <c r="AK242" i="3" s="1"/>
  <c r="AL242" i="3"/>
  <c r="AM242" i="3"/>
  <c r="AJ243" i="3"/>
  <c r="AK243" i="3" s="1"/>
  <c r="AL243" i="3"/>
  <c r="AM243" i="3"/>
  <c r="AJ244" i="3"/>
  <c r="AK244" i="3" s="1"/>
  <c r="AL244" i="3"/>
  <c r="AM244" i="3"/>
  <c r="AJ245" i="3"/>
  <c r="AK245" i="3" s="1"/>
  <c r="AL245" i="3"/>
  <c r="AM245" i="3"/>
  <c r="AJ246" i="3"/>
  <c r="AK246" i="3" s="1"/>
  <c r="AL246" i="3"/>
  <c r="AM246" i="3"/>
  <c r="AJ247" i="3"/>
  <c r="AK247" i="3" s="1"/>
  <c r="AL247" i="3"/>
  <c r="AM247" i="3"/>
  <c r="AJ248" i="3"/>
  <c r="AK248" i="3" s="1"/>
  <c r="AL248" i="3"/>
  <c r="AM248" i="3"/>
  <c r="AJ249" i="3"/>
  <c r="AK249" i="3" s="1"/>
  <c r="AL249" i="3"/>
  <c r="AM249" i="3"/>
  <c r="AJ250" i="3"/>
  <c r="AL250" i="3"/>
  <c r="AJ251" i="3"/>
  <c r="AL251" i="3"/>
  <c r="AJ252" i="3"/>
  <c r="AK252" i="3" s="1"/>
  <c r="AL252" i="3"/>
  <c r="AM252" i="3"/>
  <c r="AJ253" i="3"/>
  <c r="AL253" i="3" s="1"/>
  <c r="AJ254" i="3"/>
  <c r="AK254" i="3" s="1"/>
  <c r="AL254" i="3"/>
  <c r="AM254" i="3"/>
  <c r="AJ255" i="3"/>
  <c r="AL255" i="3"/>
  <c r="AJ256" i="3"/>
  <c r="AL256" i="3"/>
  <c r="AJ257" i="3"/>
  <c r="AL257" i="3"/>
  <c r="AJ258" i="3"/>
  <c r="AL258" i="3"/>
  <c r="AJ259" i="3"/>
  <c r="AL259" i="3"/>
  <c r="AJ260" i="3"/>
  <c r="AL260" i="3"/>
  <c r="AJ261" i="3"/>
  <c r="AL261" i="3"/>
  <c r="AJ262" i="3"/>
  <c r="AJ263" i="3"/>
  <c r="AJ264" i="3"/>
  <c r="AJ265" i="3"/>
  <c r="AJ266" i="3"/>
  <c r="AJ267" i="3"/>
  <c r="AJ268" i="3"/>
  <c r="AJ269" i="3"/>
  <c r="AJ270" i="3"/>
  <c r="AJ271" i="3"/>
  <c r="AJ272" i="3"/>
  <c r="AJ273" i="3"/>
  <c r="AJ274" i="3"/>
  <c r="AJ275" i="3"/>
  <c r="AJ276" i="3"/>
  <c r="AJ277" i="3"/>
  <c r="AJ278" i="3"/>
  <c r="AK278" i="3" s="1"/>
  <c r="AM278" i="3"/>
  <c r="AJ279" i="3"/>
  <c r="AK279" i="3"/>
  <c r="AL279" i="3"/>
  <c r="AM279" i="3"/>
  <c r="AJ280" i="3"/>
  <c r="AK280" i="3"/>
  <c r="AL280" i="3"/>
  <c r="AM280" i="3"/>
  <c r="AJ281" i="3"/>
  <c r="AK281" i="3"/>
  <c r="AL281" i="3"/>
  <c r="AM281" i="3"/>
  <c r="AJ282" i="3"/>
  <c r="AK282" i="3"/>
  <c r="AL282" i="3"/>
  <c r="AM282" i="3"/>
  <c r="AJ283" i="3"/>
  <c r="AK283" i="3"/>
  <c r="AL283" i="3"/>
  <c r="AM283" i="3"/>
  <c r="AJ284" i="3"/>
  <c r="AK284" i="3"/>
  <c r="AL284" i="3"/>
  <c r="AM284" i="3"/>
  <c r="AJ285" i="3"/>
  <c r="AK285" i="3"/>
  <c r="AL285" i="3"/>
  <c r="AM285" i="3"/>
  <c r="AJ286" i="3"/>
  <c r="AK286" i="3"/>
  <c r="AL286" i="3"/>
  <c r="AM286" i="3"/>
  <c r="AJ287" i="3"/>
  <c r="AK287" i="3"/>
  <c r="AL287" i="3"/>
  <c r="AM287" i="3"/>
  <c r="AJ288" i="3"/>
  <c r="AK288" i="3"/>
  <c r="AL288" i="3"/>
  <c r="AM288" i="3"/>
  <c r="AJ289" i="3"/>
  <c r="AK289" i="3"/>
  <c r="AL289" i="3"/>
  <c r="AM289" i="3"/>
  <c r="AJ290" i="3"/>
  <c r="AK290" i="3"/>
  <c r="AL290" i="3"/>
  <c r="AM290" i="3"/>
  <c r="AJ291" i="3"/>
  <c r="AK291" i="3" s="1"/>
  <c r="AL291" i="3"/>
  <c r="AJ292" i="3"/>
  <c r="AK292" i="3" s="1"/>
  <c r="AL292" i="3"/>
  <c r="AJ293" i="3"/>
  <c r="AK293" i="3" s="1"/>
  <c r="AL293" i="3"/>
  <c r="AJ294" i="3"/>
  <c r="AK294" i="3" s="1"/>
  <c r="AL294" i="3"/>
  <c r="AM294" i="3"/>
  <c r="AJ295" i="3"/>
  <c r="AK295" i="3" s="1"/>
  <c r="AL295" i="3"/>
  <c r="AJ296" i="3"/>
  <c r="AK296" i="3" s="1"/>
  <c r="AL296" i="3"/>
  <c r="AJ297" i="3"/>
  <c r="AK297" i="3" s="1"/>
  <c r="AL297" i="3"/>
  <c r="AJ298" i="3"/>
  <c r="AK298" i="3" s="1"/>
  <c r="AL298" i="3"/>
  <c r="AJ299" i="3"/>
  <c r="AK299" i="3" s="1"/>
  <c r="AL299" i="3"/>
  <c r="AM299" i="3"/>
  <c r="AJ300" i="3"/>
  <c r="AK300" i="3" s="1"/>
  <c r="AL300" i="3"/>
  <c r="AM300" i="3"/>
  <c r="AJ301" i="3"/>
  <c r="AK301" i="3" s="1"/>
  <c r="AL301" i="3"/>
  <c r="AJ302" i="3"/>
  <c r="AK302" i="3" s="1"/>
  <c r="AL302" i="3"/>
  <c r="AJ303" i="3"/>
  <c r="AK303" i="3" s="1"/>
  <c r="AL303" i="3"/>
  <c r="AM303" i="3"/>
  <c r="AJ304" i="3"/>
  <c r="AK304" i="3" s="1"/>
  <c r="AL304" i="3"/>
  <c r="AJ305" i="3"/>
  <c r="AK305" i="3" s="1"/>
  <c r="AL305" i="3"/>
  <c r="AM305" i="3"/>
  <c r="AJ306" i="3"/>
  <c r="AK306" i="3" s="1"/>
  <c r="AL306" i="3"/>
  <c r="AJ307" i="3"/>
  <c r="AK307" i="3" s="1"/>
  <c r="AL307" i="3"/>
  <c r="AM307" i="3"/>
  <c r="AJ308" i="3"/>
  <c r="AK308" i="3" s="1"/>
  <c r="AL308" i="3"/>
  <c r="AM308" i="3"/>
  <c r="AJ309" i="3"/>
  <c r="AK309" i="3" s="1"/>
  <c r="AL309" i="3"/>
  <c r="AJ310" i="3"/>
  <c r="AK310" i="3" s="1"/>
  <c r="AL310" i="3"/>
  <c r="AJ311" i="3"/>
  <c r="AK311" i="3" s="1"/>
  <c r="AL311" i="3"/>
  <c r="AJ312" i="3"/>
  <c r="AK312" i="3" s="1"/>
  <c r="AL312" i="3"/>
  <c r="AJ313" i="3"/>
  <c r="AK313" i="3" s="1"/>
  <c r="AL313" i="3"/>
  <c r="AM313" i="3"/>
  <c r="AJ314" i="3"/>
  <c r="AK314" i="3" s="1"/>
  <c r="AL314" i="3"/>
  <c r="AJ315" i="3"/>
  <c r="AK315" i="3" s="1"/>
  <c r="AL315" i="3"/>
  <c r="AM315" i="3"/>
  <c r="AJ316" i="3"/>
  <c r="AK316" i="3" s="1"/>
  <c r="AL316" i="3"/>
  <c r="AJ317" i="3"/>
  <c r="AK317" i="3" s="1"/>
  <c r="AL317" i="3"/>
  <c r="AJ318" i="3"/>
  <c r="AK318" i="3" s="1"/>
  <c r="AL318" i="3"/>
  <c r="AM318" i="3"/>
  <c r="AJ319" i="3"/>
  <c r="AK319" i="3" s="1"/>
  <c r="AL319" i="3"/>
  <c r="AM319" i="3"/>
  <c r="AJ320" i="3"/>
  <c r="AK320" i="3" s="1"/>
  <c r="AL320" i="3"/>
  <c r="AJ321" i="3"/>
  <c r="AK321" i="3" s="1"/>
  <c r="AL321" i="3"/>
  <c r="AJ322" i="3"/>
  <c r="AK322" i="3" s="1"/>
  <c r="AL322" i="3"/>
  <c r="AJ323" i="3"/>
  <c r="AK323" i="3" s="1"/>
  <c r="AL323" i="3"/>
  <c r="AJ324" i="3"/>
  <c r="AK324" i="3" s="1"/>
  <c r="AL324" i="3"/>
  <c r="AJ325" i="3"/>
  <c r="AK325" i="3" s="1"/>
  <c r="AL325" i="3"/>
  <c r="AJ326" i="3"/>
  <c r="AK326" i="3" s="1"/>
  <c r="AL326" i="3"/>
  <c r="AJ327" i="3"/>
  <c r="AK327" i="3" s="1"/>
  <c r="AL327" i="3"/>
  <c r="AM327" i="3"/>
  <c r="AJ328" i="3"/>
  <c r="AK328" i="3" s="1"/>
  <c r="AL328" i="3"/>
  <c r="AM328" i="3"/>
  <c r="AJ329" i="3"/>
  <c r="AK329" i="3" s="1"/>
  <c r="AL329" i="3"/>
  <c r="AM329" i="3"/>
  <c r="AJ330" i="3"/>
  <c r="AK330" i="3" s="1"/>
  <c r="AL330" i="3"/>
  <c r="AJ331" i="3"/>
  <c r="AK331" i="3" s="1"/>
  <c r="AL331" i="3"/>
  <c r="AJ332" i="3"/>
  <c r="AK332" i="3" s="1"/>
  <c r="AL332" i="3"/>
  <c r="AM332" i="3"/>
  <c r="AJ333" i="3"/>
  <c r="AK333" i="3" s="1"/>
  <c r="AL333" i="3"/>
  <c r="AJ334" i="3"/>
  <c r="AK334" i="3" s="1"/>
  <c r="AL334" i="3"/>
  <c r="AM334" i="3"/>
  <c r="AJ335" i="3"/>
  <c r="AK335" i="3" s="1"/>
  <c r="AL335" i="3"/>
  <c r="AJ336" i="3"/>
  <c r="AK336" i="3" s="1"/>
  <c r="AL336" i="3"/>
  <c r="AJ337" i="3"/>
  <c r="AK337" i="3" s="1"/>
  <c r="AL337" i="3"/>
  <c r="AJ338" i="3"/>
  <c r="AK338" i="3" s="1"/>
  <c r="AL338" i="3"/>
  <c r="AJ339" i="3"/>
  <c r="AK339" i="3" s="1"/>
  <c r="AL339" i="3"/>
  <c r="AJ340" i="3"/>
  <c r="AK340" i="3" s="1"/>
  <c r="AL340" i="3"/>
  <c r="AJ341" i="3"/>
  <c r="AK341" i="3" s="1"/>
  <c r="AL341" i="3"/>
  <c r="AJ342" i="3"/>
  <c r="AK342" i="3" s="1"/>
  <c r="AL342" i="3"/>
  <c r="AJ343" i="3"/>
  <c r="AK343" i="3" s="1"/>
  <c r="AL343" i="3"/>
  <c r="AM343" i="3"/>
  <c r="AJ344" i="3"/>
  <c r="AK344" i="3" s="1"/>
  <c r="AL344" i="3"/>
  <c r="AJ345" i="3"/>
  <c r="AK345" i="3" s="1"/>
  <c r="AL345" i="3"/>
  <c r="AJ346" i="3"/>
  <c r="AK346" i="3" s="1"/>
  <c r="AL346" i="3"/>
  <c r="AJ347" i="3"/>
  <c r="AK347" i="3" s="1"/>
  <c r="AL347" i="3"/>
  <c r="AJ348" i="3"/>
  <c r="AK348" i="3" s="1"/>
  <c r="AL348" i="3"/>
  <c r="AJ349" i="3"/>
  <c r="AK349" i="3" s="1"/>
  <c r="AL349" i="3"/>
  <c r="AJ350" i="3"/>
  <c r="AK350" i="3" s="1"/>
  <c r="AL350" i="3"/>
  <c r="AJ351" i="3"/>
  <c r="AK351" i="3" s="1"/>
  <c r="AL351" i="3"/>
  <c r="AJ352" i="3"/>
  <c r="AK352" i="3" s="1"/>
  <c r="AL352" i="3"/>
  <c r="AJ353" i="3"/>
  <c r="AK353" i="3" s="1"/>
  <c r="AL353" i="3"/>
  <c r="AJ354" i="3"/>
  <c r="AK354" i="3" s="1"/>
  <c r="AL354" i="3"/>
  <c r="AJ355" i="3"/>
  <c r="AK355" i="3" s="1"/>
  <c r="AL355" i="3"/>
  <c r="AM355" i="3"/>
  <c r="AJ356" i="3"/>
  <c r="AK356" i="3" s="1"/>
  <c r="AL356" i="3"/>
  <c r="AJ357" i="3"/>
  <c r="AK357" i="3" s="1"/>
  <c r="AL357" i="3"/>
  <c r="AJ358" i="3"/>
  <c r="AK358" i="3" s="1"/>
  <c r="AL358" i="3"/>
  <c r="AJ359" i="3"/>
  <c r="AK359" i="3" s="1"/>
  <c r="AL359" i="3"/>
  <c r="AM359" i="3"/>
  <c r="AJ360" i="3"/>
  <c r="AK360" i="3" s="1"/>
  <c r="AL360" i="3"/>
  <c r="AJ361" i="3"/>
  <c r="AK361" i="3" s="1"/>
  <c r="AL361" i="3"/>
  <c r="AJ362" i="3"/>
  <c r="AK362" i="3" s="1"/>
  <c r="AL362" i="3"/>
  <c r="AM362" i="3"/>
  <c r="AJ363" i="3"/>
  <c r="AK363" i="3" s="1"/>
  <c r="AL363" i="3"/>
  <c r="AM363" i="3"/>
  <c r="AJ364" i="3"/>
  <c r="AK364" i="3" s="1"/>
  <c r="AL364" i="3"/>
  <c r="AM364" i="3"/>
  <c r="AJ365" i="3"/>
  <c r="AK365" i="3" s="1"/>
  <c r="AL365" i="3"/>
  <c r="AM365" i="3"/>
  <c r="AJ366" i="3"/>
  <c r="AL366" i="3" s="1"/>
  <c r="AJ367" i="3"/>
  <c r="AL367" i="3" s="1"/>
  <c r="AJ368" i="3"/>
  <c r="AL368" i="3" s="1"/>
  <c r="AJ369" i="3"/>
  <c r="AL369" i="3" s="1"/>
  <c r="AJ370" i="3"/>
  <c r="AL370" i="3" s="1"/>
  <c r="AJ371" i="3"/>
  <c r="AL371" i="3" s="1"/>
  <c r="AJ372" i="3"/>
  <c r="AK372" i="3" s="1"/>
  <c r="AL372" i="3"/>
  <c r="AM372" i="3"/>
  <c r="AJ373" i="3"/>
  <c r="AL373" i="3"/>
  <c r="AJ374" i="3"/>
  <c r="AL374" i="3"/>
  <c r="AJ375" i="3"/>
  <c r="AL375" i="3"/>
  <c r="AJ376" i="3"/>
  <c r="AL376" i="3"/>
  <c r="AJ377" i="3"/>
  <c r="AL377" i="3"/>
  <c r="AJ378" i="3"/>
  <c r="AL378" i="3"/>
  <c r="AJ379" i="3"/>
  <c r="AK379" i="3" s="1"/>
  <c r="AL379" i="3"/>
  <c r="AM379" i="3"/>
  <c r="AJ380" i="3"/>
  <c r="AK380" i="3" s="1"/>
  <c r="AL380" i="3"/>
  <c r="AM380" i="3"/>
  <c r="AJ381" i="3"/>
  <c r="AK381" i="3" s="1"/>
  <c r="AL381" i="3"/>
  <c r="AM381" i="3"/>
  <c r="AJ382" i="3"/>
  <c r="AK382" i="3" s="1"/>
  <c r="AL382" i="3"/>
  <c r="AM382" i="3"/>
  <c r="AJ383" i="3"/>
  <c r="AK383" i="3" s="1"/>
  <c r="AL383" i="3"/>
  <c r="AM383" i="3"/>
  <c r="AJ384" i="3"/>
  <c r="AL384" i="3" s="1"/>
  <c r="AJ385" i="3"/>
  <c r="AK385" i="3" s="1"/>
  <c r="AL385" i="3"/>
  <c r="AM385" i="3"/>
  <c r="AJ386" i="3"/>
  <c r="AK386" i="3" s="1"/>
  <c r="AL386" i="3"/>
  <c r="AM386" i="3"/>
  <c r="AJ387" i="3"/>
  <c r="AK387" i="3" s="1"/>
  <c r="AL387" i="3"/>
  <c r="AM387" i="3"/>
  <c r="AJ388" i="3"/>
  <c r="AK388" i="3" s="1"/>
  <c r="AL388" i="3"/>
  <c r="AM388" i="3"/>
  <c r="AJ389" i="3"/>
  <c r="AK389" i="3" s="1"/>
  <c r="AL389" i="3"/>
  <c r="AM389" i="3"/>
  <c r="AJ390" i="3"/>
  <c r="AK390" i="3" s="1"/>
  <c r="AL390" i="3"/>
  <c r="AM390" i="3"/>
  <c r="AJ391" i="3"/>
  <c r="AK391" i="3" s="1"/>
  <c r="AL391" i="3"/>
  <c r="AM391" i="3"/>
  <c r="AJ392" i="3"/>
  <c r="AK392" i="3" s="1"/>
  <c r="AL392" i="3"/>
  <c r="AM392" i="3"/>
  <c r="AJ393" i="3"/>
  <c r="AK393" i="3" s="1"/>
  <c r="AL393" i="3"/>
  <c r="AM393" i="3"/>
  <c r="AJ394" i="3"/>
  <c r="AK394" i="3" s="1"/>
  <c r="AL394" i="3"/>
  <c r="AM394" i="3"/>
  <c r="AJ395" i="3"/>
  <c r="AL395" i="3" s="1"/>
  <c r="AJ396" i="3"/>
  <c r="AK396" i="3" s="1"/>
  <c r="AL396" i="3"/>
  <c r="AM396" i="3"/>
  <c r="AJ397" i="3"/>
  <c r="AL397" i="3"/>
  <c r="AJ398" i="3"/>
  <c r="AL398" i="3"/>
  <c r="AJ399" i="3"/>
  <c r="AL399" i="3"/>
  <c r="AJ400" i="3"/>
  <c r="AL400" i="3"/>
  <c r="AJ401" i="3"/>
  <c r="AL401" i="3"/>
  <c r="AJ402" i="3"/>
  <c r="AL402" i="3"/>
  <c r="AJ403" i="3"/>
  <c r="AK403" i="3" s="1"/>
  <c r="AL403" i="3"/>
  <c r="AM403" i="3"/>
  <c r="AJ404" i="3"/>
  <c r="AK404" i="3" s="1"/>
  <c r="AL404" i="3"/>
  <c r="AM404" i="3"/>
  <c r="AJ405" i="3"/>
  <c r="AK405" i="3" s="1"/>
  <c r="AL405" i="3"/>
  <c r="AM405" i="3"/>
  <c r="AJ406" i="3"/>
  <c r="AK406" i="3" s="1"/>
  <c r="AL406" i="3"/>
  <c r="AM406" i="3"/>
  <c r="AJ407" i="3"/>
  <c r="AL407" i="3"/>
  <c r="AJ408" i="3"/>
  <c r="AL408" i="3"/>
  <c r="AJ409" i="3"/>
  <c r="AL409" i="3"/>
  <c r="AJ410" i="3"/>
  <c r="AL410" i="3"/>
  <c r="AJ411" i="3"/>
  <c r="AL411" i="3"/>
  <c r="AJ412" i="3"/>
  <c r="AL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K436" i="3" s="1"/>
  <c r="AL436" i="3"/>
  <c r="AM436" i="3"/>
  <c r="AJ437" i="3"/>
  <c r="AK437" i="3" s="1"/>
  <c r="AL437" i="3"/>
  <c r="AM437" i="3"/>
  <c r="AJ438" i="3"/>
  <c r="AK438" i="3" s="1"/>
  <c r="AL438" i="3"/>
  <c r="AM438" i="3"/>
  <c r="AJ439" i="3"/>
  <c r="AL439" i="3"/>
  <c r="AJ440" i="3"/>
  <c r="AL440" i="3"/>
  <c r="AJ441" i="3"/>
  <c r="AL441" i="3"/>
  <c r="AJ442" i="3"/>
  <c r="AL442" i="3"/>
  <c r="AJ443" i="3"/>
  <c r="AL443" i="3"/>
  <c r="AJ444" i="3"/>
  <c r="AL444" i="3"/>
  <c r="AJ445" i="3"/>
  <c r="AL445" i="3"/>
  <c r="AJ446" i="3"/>
  <c r="AL446" i="3"/>
  <c r="AJ447" i="3"/>
  <c r="AL447" i="3"/>
  <c r="AJ448" i="3"/>
  <c r="AL448" i="3"/>
  <c r="AJ449" i="3"/>
  <c r="AL449" i="3"/>
  <c r="AJ450" i="3"/>
  <c r="AK450" i="3" s="1"/>
  <c r="AL450" i="3"/>
  <c r="AM450" i="3"/>
  <c r="AJ451" i="3"/>
  <c r="AK451" i="3" s="1"/>
  <c r="AL451" i="3"/>
  <c r="AM451" i="3"/>
  <c r="AJ452" i="3"/>
  <c r="AK452" i="3" s="1"/>
  <c r="AL452" i="3"/>
  <c r="AM452" i="3"/>
  <c r="AJ453" i="3"/>
  <c r="AK453" i="3" s="1"/>
  <c r="AL453" i="3"/>
  <c r="AM453" i="3"/>
  <c r="AJ454" i="3"/>
  <c r="AK454" i="3" s="1"/>
  <c r="AL454" i="3"/>
  <c r="AM454" i="3"/>
  <c r="AJ455" i="3"/>
  <c r="AK455" i="3" s="1"/>
  <c r="AL455" i="3"/>
  <c r="AM455" i="3"/>
  <c r="AJ456" i="3"/>
  <c r="AK456" i="3" s="1"/>
  <c r="AL456" i="3"/>
  <c r="AM456" i="3"/>
  <c r="AJ457" i="3"/>
  <c r="AK457" i="3" s="1"/>
  <c r="AL457" i="3"/>
  <c r="AM457" i="3"/>
  <c r="AJ458" i="3"/>
  <c r="AL458" i="3"/>
  <c r="AJ459" i="3"/>
  <c r="AK459" i="3" s="1"/>
  <c r="AL459" i="3"/>
  <c r="AM459" i="3"/>
  <c r="AJ460" i="3"/>
  <c r="AK460" i="3" s="1"/>
  <c r="AL460" i="3"/>
  <c r="AM460" i="3"/>
  <c r="AJ461" i="3"/>
  <c r="AK461" i="3" s="1"/>
  <c r="AL461" i="3"/>
  <c r="AM461" i="3"/>
  <c r="AJ462" i="3"/>
  <c r="AK462" i="3" s="1"/>
  <c r="AL462" i="3"/>
  <c r="AM462" i="3"/>
  <c r="AJ463" i="3"/>
  <c r="AK463" i="3" s="1"/>
  <c r="AL463" i="3"/>
  <c r="AM463" i="3"/>
  <c r="AJ464" i="3"/>
  <c r="AK464" i="3" s="1"/>
  <c r="AL464" i="3"/>
  <c r="AM464" i="3"/>
  <c r="AJ465" i="3"/>
  <c r="AK465" i="3" s="1"/>
  <c r="AL465" i="3"/>
  <c r="AM465" i="3"/>
  <c r="AJ466" i="3"/>
  <c r="AK466" i="3" s="1"/>
  <c r="AL466" i="3"/>
  <c r="AM466" i="3"/>
  <c r="AJ467" i="3"/>
  <c r="AK467" i="3" s="1"/>
  <c r="AL467" i="3"/>
  <c r="AM467" i="3"/>
  <c r="AJ468" i="3"/>
  <c r="AK468" i="3" s="1"/>
  <c r="AL468" i="3"/>
  <c r="AM468" i="3"/>
  <c r="AJ469" i="3"/>
  <c r="AK469" i="3" s="1"/>
  <c r="AL469" i="3"/>
  <c r="AM469" i="3"/>
  <c r="AJ470" i="3"/>
  <c r="AJ471" i="3"/>
  <c r="AK471" i="3" s="1"/>
  <c r="AL471" i="3"/>
  <c r="AM471" i="3"/>
  <c r="AJ472" i="3"/>
  <c r="AK472" i="3" s="1"/>
  <c r="AL472" i="3"/>
  <c r="AM472" i="3"/>
  <c r="AJ473" i="3"/>
  <c r="AK473" i="3" s="1"/>
  <c r="AL473" i="3"/>
  <c r="AM473" i="3"/>
  <c r="AJ474" i="3"/>
  <c r="AK474" i="3" s="1"/>
  <c r="AL474" i="3"/>
  <c r="AM474" i="3"/>
  <c r="AJ475" i="3"/>
  <c r="AK475" i="3" s="1"/>
  <c r="AL475" i="3"/>
  <c r="AM475" i="3"/>
  <c r="AJ476" i="3"/>
  <c r="AL476" i="3"/>
  <c r="AJ477" i="3"/>
  <c r="AK477" i="3" s="1"/>
  <c r="AL477" i="3"/>
  <c r="AM477" i="3"/>
  <c r="AJ478" i="3"/>
  <c r="AK478" i="3" s="1"/>
  <c r="AL478" i="3"/>
  <c r="AM478" i="3"/>
  <c r="AJ479" i="3"/>
  <c r="AK479" i="3" s="1"/>
  <c r="AL479" i="3"/>
  <c r="AM479" i="3"/>
  <c r="AJ480" i="3"/>
  <c r="AK480" i="3" s="1"/>
  <c r="AL480" i="3"/>
  <c r="AM480" i="3"/>
  <c r="AJ481" i="3"/>
  <c r="AK481" i="3" s="1"/>
  <c r="AL481" i="3"/>
  <c r="AM481" i="3"/>
  <c r="AJ482" i="3"/>
  <c r="AK482" i="3" s="1"/>
  <c r="AL482" i="3"/>
  <c r="AM482" i="3"/>
  <c r="AJ483" i="3"/>
  <c r="AK483" i="3" s="1"/>
  <c r="AL483" i="3"/>
  <c r="AM483" i="3"/>
  <c r="AJ484" i="3"/>
  <c r="AK484" i="3" s="1"/>
  <c r="AL484" i="3"/>
  <c r="AM484" i="3"/>
  <c r="AJ485" i="3"/>
  <c r="AK485" i="3" s="1"/>
  <c r="AL485" i="3"/>
  <c r="AM485" i="3"/>
  <c r="AJ486" i="3"/>
  <c r="AK486" i="3" s="1"/>
  <c r="AL486" i="3"/>
  <c r="AM486" i="3"/>
  <c r="AJ487" i="3"/>
  <c r="AK487" i="3" s="1"/>
  <c r="AL487" i="3"/>
  <c r="AM487" i="3"/>
  <c r="AJ488" i="3"/>
  <c r="AK488" i="3" s="1"/>
  <c r="AL488" i="3"/>
  <c r="AM488" i="3"/>
  <c r="AJ489" i="3"/>
  <c r="AK489" i="3" s="1"/>
  <c r="AL489" i="3"/>
  <c r="AM489" i="3"/>
  <c r="AJ490" i="3"/>
  <c r="AK490" i="3" s="1"/>
  <c r="AL490" i="3"/>
  <c r="AM490" i="3"/>
  <c r="AJ491" i="3"/>
  <c r="AK491" i="3" s="1"/>
  <c r="AL491" i="3"/>
  <c r="AM491" i="3"/>
  <c r="AJ492" i="3"/>
  <c r="AK492" i="3" s="1"/>
  <c r="AL492" i="3"/>
  <c r="AM492" i="3"/>
  <c r="AJ493" i="3"/>
  <c r="AK493" i="3" s="1"/>
  <c r="AL493" i="3"/>
  <c r="AM493" i="3"/>
  <c r="AJ494" i="3"/>
  <c r="AK494" i="3" s="1"/>
  <c r="AL494" i="3"/>
  <c r="AM494" i="3"/>
  <c r="AJ495" i="3"/>
  <c r="AK495" i="3" s="1"/>
  <c r="AL495" i="3"/>
  <c r="AM495" i="3"/>
  <c r="AJ496" i="3"/>
  <c r="AK496" i="3" s="1"/>
  <c r="AL496" i="3"/>
  <c r="AM496" i="3"/>
  <c r="AJ497" i="3"/>
  <c r="AK497" i="3" s="1"/>
  <c r="AL497" i="3"/>
  <c r="AM497" i="3"/>
  <c r="AJ498" i="3"/>
  <c r="AJ499" i="3"/>
  <c r="AJ500" i="3"/>
  <c r="AJ501" i="3"/>
  <c r="AK501" i="3" s="1"/>
  <c r="AL501" i="3"/>
  <c r="AM501" i="3"/>
  <c r="AJ502" i="3"/>
  <c r="AK502" i="3" s="1"/>
  <c r="AL502" i="3"/>
  <c r="AM502" i="3"/>
  <c r="AJ503" i="3"/>
  <c r="AK503" i="3" s="1"/>
  <c r="AL503" i="3"/>
  <c r="AM503" i="3"/>
  <c r="AJ504" i="3"/>
  <c r="AK504" i="3"/>
  <c r="AL504" i="3"/>
  <c r="AM504" i="3"/>
  <c r="AJ505" i="3"/>
  <c r="AK505" i="3"/>
  <c r="AL505" i="3"/>
  <c r="AM505" i="3"/>
  <c r="AJ506" i="3"/>
  <c r="AK506" i="3"/>
  <c r="AL506" i="3"/>
  <c r="AM506" i="3"/>
  <c r="AJ507" i="3"/>
  <c r="AK507" i="3"/>
  <c r="AL507" i="3"/>
  <c r="AM507" i="3"/>
  <c r="AJ508" i="3"/>
  <c r="AK508" i="3"/>
  <c r="AL508" i="3"/>
  <c r="AM508" i="3"/>
  <c r="AJ509" i="3"/>
  <c r="AK509" i="3" s="1"/>
  <c r="AL509" i="3"/>
  <c r="AM509" i="3"/>
  <c r="AJ510" i="3"/>
  <c r="AK510" i="3" s="1"/>
  <c r="AL510" i="3"/>
  <c r="AM510" i="3"/>
  <c r="AJ511" i="3"/>
  <c r="AK511" i="3" s="1"/>
  <c r="AL511" i="3"/>
  <c r="AM511" i="3"/>
  <c r="AJ512" i="3"/>
  <c r="AK512" i="3" s="1"/>
  <c r="AL512" i="3"/>
  <c r="AM512" i="3"/>
  <c r="AJ513" i="3"/>
  <c r="AK513" i="3" s="1"/>
  <c r="AL513" i="3"/>
  <c r="AM513" i="3"/>
  <c r="AJ514" i="3"/>
  <c r="AK514" i="3" s="1"/>
  <c r="AL514" i="3"/>
  <c r="AM514" i="3"/>
  <c r="AJ515" i="3"/>
  <c r="AK515" i="3" s="1"/>
  <c r="AL515" i="3"/>
  <c r="AM515" i="3"/>
  <c r="AJ516" i="3"/>
  <c r="AK516" i="3" s="1"/>
  <c r="AL516" i="3"/>
  <c r="AM516" i="3"/>
  <c r="AJ517" i="3"/>
  <c r="AK517" i="3" s="1"/>
  <c r="AL517" i="3"/>
  <c r="AM517" i="3"/>
  <c r="AJ518" i="3"/>
  <c r="AK518" i="3" s="1"/>
  <c r="AL518" i="3"/>
  <c r="AM518" i="3"/>
  <c r="AJ519" i="3"/>
  <c r="AK519" i="3" s="1"/>
  <c r="AL519" i="3"/>
  <c r="AM519" i="3"/>
  <c r="AJ520" i="3"/>
  <c r="AK520" i="3" s="1"/>
  <c r="AL520" i="3"/>
  <c r="AM520" i="3"/>
  <c r="AJ521" i="3"/>
  <c r="AK521" i="3" s="1"/>
  <c r="AL521" i="3"/>
  <c r="AM521" i="3"/>
  <c r="AJ522" i="3"/>
  <c r="AK522" i="3" s="1"/>
  <c r="AL522" i="3"/>
  <c r="AM522" i="3"/>
  <c r="AJ523" i="3"/>
  <c r="AK523" i="3" s="1"/>
  <c r="AL523" i="3"/>
  <c r="AM523" i="3"/>
  <c r="AJ524" i="3"/>
  <c r="AK524" i="3" s="1"/>
  <c r="AL524" i="3"/>
  <c r="AM524" i="3"/>
  <c r="AJ525" i="3"/>
  <c r="AK525" i="3" s="1"/>
  <c r="AL525" i="3"/>
  <c r="AM525" i="3"/>
  <c r="AJ526" i="3"/>
  <c r="AK526" i="3" s="1"/>
  <c r="AL526" i="3"/>
  <c r="AM526" i="3"/>
  <c r="AJ527" i="3"/>
  <c r="AK527" i="3" s="1"/>
  <c r="AL527" i="3"/>
  <c r="AM527" i="3"/>
  <c r="AJ528" i="3"/>
  <c r="AK528" i="3" s="1"/>
  <c r="AL528" i="3"/>
  <c r="AM528" i="3"/>
  <c r="AJ529" i="3"/>
  <c r="AK529" i="3" s="1"/>
  <c r="AL529" i="3"/>
  <c r="AJ530" i="3"/>
  <c r="AK530" i="3" s="1"/>
  <c r="AL530" i="3"/>
  <c r="AJ531" i="3"/>
  <c r="AK531" i="3" s="1"/>
  <c r="AL531" i="3"/>
  <c r="AJ532" i="3"/>
  <c r="AK532" i="3" s="1"/>
  <c r="AL532" i="3"/>
  <c r="AJ533" i="3"/>
  <c r="AK533" i="3" s="1"/>
  <c r="AL533" i="3"/>
  <c r="AJ534" i="3"/>
  <c r="AK534" i="3" s="1"/>
  <c r="AL534" i="3"/>
  <c r="AJ535" i="3"/>
  <c r="AK535" i="3" s="1"/>
  <c r="AL535" i="3"/>
  <c r="AJ536" i="3"/>
  <c r="AK536" i="3" s="1"/>
  <c r="AL536" i="3"/>
  <c r="AJ537" i="3"/>
  <c r="AK537" i="3" s="1"/>
  <c r="AL537" i="3"/>
  <c r="AJ538" i="3"/>
  <c r="AK538" i="3" s="1"/>
  <c r="AL538" i="3"/>
  <c r="AJ539" i="3"/>
  <c r="AK539" i="3" s="1"/>
  <c r="AL539" i="3"/>
  <c r="AJ540" i="3"/>
  <c r="AK540" i="3" s="1"/>
  <c r="AL540" i="3"/>
  <c r="AJ541" i="3"/>
  <c r="AK541" i="3" s="1"/>
  <c r="AL541" i="3"/>
  <c r="AJ542" i="3"/>
  <c r="AK542" i="3" s="1"/>
  <c r="AL542" i="3"/>
  <c r="AJ543" i="3"/>
  <c r="AK543" i="3" s="1"/>
  <c r="AL543" i="3"/>
  <c r="AJ544" i="3"/>
  <c r="AK544" i="3" s="1"/>
  <c r="AL544" i="3"/>
  <c r="AJ545" i="3"/>
  <c r="AK545" i="3" s="1"/>
  <c r="AL545" i="3"/>
  <c r="AJ546" i="3"/>
  <c r="AK546" i="3" s="1"/>
  <c r="AL546" i="3"/>
  <c r="AJ547" i="3"/>
  <c r="AK547" i="3" s="1"/>
  <c r="AL547" i="3"/>
  <c r="AJ548" i="3"/>
  <c r="AK548" i="3" s="1"/>
  <c r="AL548" i="3"/>
  <c r="AM548" i="3"/>
  <c r="AJ549" i="3"/>
  <c r="AK549" i="3" s="1"/>
  <c r="AL549" i="3"/>
  <c r="AJ550" i="3"/>
  <c r="AK550" i="3" s="1"/>
  <c r="AL550" i="3"/>
  <c r="AM550" i="3"/>
  <c r="AJ551" i="3"/>
  <c r="AK551" i="3" s="1"/>
  <c r="AL551" i="3"/>
  <c r="AJ552" i="3"/>
  <c r="AK552" i="3" s="1"/>
  <c r="AL552" i="3"/>
  <c r="AJ553" i="3"/>
  <c r="AK553" i="3" s="1"/>
  <c r="AL553" i="3"/>
  <c r="AJ554" i="3"/>
  <c r="AK554" i="3" s="1"/>
  <c r="AL554" i="3"/>
  <c r="AJ555" i="3"/>
  <c r="AK555" i="3" s="1"/>
  <c r="AL555" i="3"/>
  <c r="AJ556" i="3"/>
  <c r="AK556" i="3" s="1"/>
  <c r="AL556" i="3"/>
  <c r="AJ557" i="3"/>
  <c r="AK557" i="3" s="1"/>
  <c r="AL557" i="3"/>
  <c r="AJ558" i="3"/>
  <c r="AK558" i="3" s="1"/>
  <c r="AL558" i="3"/>
  <c r="AM558" i="3"/>
  <c r="AJ559" i="3"/>
  <c r="AK559" i="3" s="1"/>
  <c r="AL559" i="3"/>
  <c r="AJ560" i="3"/>
  <c r="AK560" i="3" s="1"/>
  <c r="AL560" i="3"/>
  <c r="AJ561" i="3"/>
  <c r="AK561" i="3" s="1"/>
  <c r="AL561" i="3"/>
  <c r="AJ562" i="3"/>
  <c r="AK562" i="3" s="1"/>
  <c r="AL562" i="3"/>
  <c r="AJ563" i="3"/>
  <c r="AK563" i="3" s="1"/>
  <c r="AL563" i="3"/>
  <c r="AJ564" i="3"/>
  <c r="AK564" i="3" s="1"/>
  <c r="AL564" i="3"/>
  <c r="AJ565" i="3"/>
  <c r="AK565" i="3" s="1"/>
  <c r="AL565" i="3"/>
  <c r="AJ566" i="3"/>
  <c r="AK566" i="3" s="1"/>
  <c r="AL566" i="3"/>
  <c r="AJ567" i="3"/>
  <c r="AK567" i="3" s="1"/>
  <c r="AL567" i="3"/>
  <c r="AJ568" i="3"/>
  <c r="AK568" i="3" s="1"/>
  <c r="AL568" i="3"/>
  <c r="AM568" i="3"/>
  <c r="AJ569" i="3"/>
  <c r="AK569" i="3" s="1"/>
  <c r="AL569" i="3"/>
  <c r="AM569" i="3"/>
  <c r="AJ570" i="3"/>
  <c r="AK570" i="3" s="1"/>
  <c r="AL570" i="3"/>
  <c r="AM570" i="3"/>
  <c r="AJ571" i="3"/>
  <c r="AK571" i="3" s="1"/>
  <c r="AL571" i="3"/>
  <c r="AM571" i="3"/>
  <c r="AJ572" i="3"/>
  <c r="AK572" i="3" s="1"/>
  <c r="AL572" i="3"/>
  <c r="AJ573" i="3"/>
  <c r="AK573" i="3" s="1"/>
  <c r="AL573" i="3"/>
  <c r="AM573" i="3"/>
  <c r="AJ574" i="3"/>
  <c r="AK574" i="3" s="1"/>
  <c r="AL574" i="3"/>
  <c r="AM574" i="3"/>
  <c r="AJ575" i="3"/>
  <c r="AK575" i="3" s="1"/>
  <c r="AL575" i="3"/>
  <c r="AM575" i="3"/>
  <c r="AJ576" i="3"/>
  <c r="AK576" i="3" s="1"/>
  <c r="AL576" i="3"/>
  <c r="AM576" i="3"/>
  <c r="AJ577" i="3"/>
  <c r="AK577" i="3" s="1"/>
  <c r="AL577" i="3"/>
  <c r="AM577" i="3"/>
  <c r="AJ578" i="3"/>
  <c r="AK578" i="3" s="1"/>
  <c r="AL578" i="3"/>
  <c r="AM578" i="3"/>
  <c r="AJ579" i="3"/>
  <c r="AK579" i="3" s="1"/>
  <c r="AL579" i="3"/>
  <c r="AM579" i="3"/>
  <c r="AJ580" i="3"/>
  <c r="AK580" i="3" s="1"/>
  <c r="AL580" i="3"/>
  <c r="AM580" i="3"/>
  <c r="AJ581" i="3"/>
  <c r="AK581" i="3" s="1"/>
  <c r="AL581" i="3"/>
  <c r="AM581" i="3"/>
  <c r="AJ582" i="3"/>
  <c r="AK582" i="3" s="1"/>
  <c r="AL582" i="3"/>
  <c r="AM582" i="3"/>
  <c r="AJ583" i="3"/>
  <c r="AK583" i="3" s="1"/>
  <c r="AL583" i="3"/>
  <c r="AM583" i="3"/>
  <c r="AJ584" i="3"/>
  <c r="AK584" i="3" s="1"/>
  <c r="AL584" i="3"/>
  <c r="AM584" i="3"/>
  <c r="AJ585" i="3"/>
  <c r="AK585" i="3" s="1"/>
  <c r="AL585" i="3"/>
  <c r="AJ586" i="3"/>
  <c r="AK586" i="3" s="1"/>
  <c r="AL586" i="3"/>
  <c r="AJ587" i="3"/>
  <c r="AK587" i="3" s="1"/>
  <c r="AL587" i="3"/>
  <c r="AJ588" i="3"/>
  <c r="AK588" i="3" s="1"/>
  <c r="AL588" i="3"/>
  <c r="AM588" i="3"/>
  <c r="AJ589" i="3"/>
  <c r="AK589" i="3" s="1"/>
  <c r="AL589" i="3"/>
  <c r="AM589" i="3"/>
  <c r="AJ590" i="3"/>
  <c r="AK590" i="3" s="1"/>
  <c r="AL590" i="3"/>
  <c r="AM590" i="3"/>
  <c r="AJ591" i="3"/>
  <c r="AK591" i="3" s="1"/>
  <c r="AL591" i="3"/>
  <c r="AM591" i="3"/>
  <c r="AJ592" i="3"/>
  <c r="AK592" i="3" s="1"/>
  <c r="AL592" i="3"/>
  <c r="AM592" i="3"/>
  <c r="AJ593" i="3"/>
  <c r="AK593" i="3" s="1"/>
  <c r="AL593" i="3"/>
  <c r="AM593" i="3"/>
  <c r="AJ594" i="3"/>
  <c r="AK594" i="3" s="1"/>
  <c r="AL594" i="3"/>
  <c r="AM594" i="3"/>
  <c r="AJ595" i="3"/>
  <c r="AK595" i="3" s="1"/>
  <c r="AL595" i="3"/>
  <c r="AM595" i="3"/>
  <c r="AJ596" i="3"/>
  <c r="AK596" i="3" s="1"/>
  <c r="AL596" i="3"/>
  <c r="AM596" i="3"/>
  <c r="AJ597" i="3"/>
  <c r="AK597" i="3" s="1"/>
  <c r="AL597" i="3"/>
  <c r="AM597" i="3"/>
  <c r="AJ598" i="3"/>
  <c r="AK598" i="3" s="1"/>
  <c r="AL598" i="3"/>
  <c r="AM598" i="3"/>
  <c r="AJ599" i="3"/>
  <c r="AK599" i="3" s="1"/>
  <c r="AL599" i="3"/>
  <c r="AJ600" i="3"/>
  <c r="AK600" i="3" s="1"/>
  <c r="AL600" i="3"/>
  <c r="AJ601" i="3"/>
  <c r="AK601" i="3" s="1"/>
  <c r="AL601" i="3"/>
  <c r="AJ602" i="3"/>
  <c r="AK602" i="3" s="1"/>
  <c r="AL602" i="3"/>
  <c r="AJ603" i="3"/>
  <c r="AK603" i="3" s="1"/>
  <c r="AL603" i="3"/>
  <c r="AJ604" i="3"/>
  <c r="AK604" i="3" s="1"/>
  <c r="AL604" i="3"/>
  <c r="AJ605" i="3"/>
  <c r="AK605" i="3" s="1"/>
  <c r="AL605" i="3"/>
  <c r="AJ606" i="3"/>
  <c r="AK606" i="3" s="1"/>
  <c r="AL606" i="3"/>
  <c r="AJ607" i="3"/>
  <c r="AK607" i="3" s="1"/>
  <c r="AL607" i="3"/>
  <c r="AJ608" i="3"/>
  <c r="AK608" i="3" s="1"/>
  <c r="AL608" i="3"/>
  <c r="AJ609" i="3"/>
  <c r="AK609" i="3" s="1"/>
  <c r="AL609" i="3"/>
  <c r="AJ610" i="3"/>
  <c r="AK610" i="3" s="1"/>
  <c r="AL610" i="3"/>
  <c r="AJ611" i="3"/>
  <c r="AK611" i="3" s="1"/>
  <c r="AL611" i="3"/>
  <c r="AM611" i="3"/>
  <c r="AJ612" i="3"/>
  <c r="AK612" i="3" s="1"/>
  <c r="AL612" i="3"/>
  <c r="AM612" i="3"/>
  <c r="AJ613" i="3"/>
  <c r="AK613" i="3" s="1"/>
  <c r="AL613" i="3"/>
  <c r="AM613" i="3"/>
  <c r="AJ614" i="3"/>
  <c r="AK614" i="3" s="1"/>
  <c r="AL614" i="3"/>
  <c r="AM614" i="3"/>
  <c r="AJ615" i="3"/>
  <c r="AK615" i="3" s="1"/>
  <c r="AL615" i="3"/>
  <c r="AM615" i="3"/>
  <c r="AJ616" i="3"/>
  <c r="AK616" i="3" s="1"/>
  <c r="AL616" i="3"/>
  <c r="AM616" i="3"/>
  <c r="AJ617" i="3"/>
  <c r="AK617" i="3" s="1"/>
  <c r="AL617" i="3"/>
  <c r="AJ618" i="3"/>
  <c r="AK618" i="3" s="1"/>
  <c r="AL618" i="3"/>
  <c r="AM618" i="3"/>
  <c r="AJ619" i="3"/>
  <c r="AK619" i="3" s="1"/>
  <c r="AL619" i="3"/>
  <c r="AM619" i="3"/>
  <c r="AJ620" i="3"/>
  <c r="AK620" i="3" s="1"/>
  <c r="AL620" i="3"/>
  <c r="AM620" i="3"/>
  <c r="AJ621" i="3"/>
  <c r="AK621" i="3" s="1"/>
  <c r="AL621" i="3"/>
  <c r="AM621" i="3"/>
  <c r="AJ622" i="3"/>
  <c r="AK622" i="3" s="1"/>
  <c r="AL622" i="3"/>
  <c r="AM622" i="3"/>
  <c r="AJ623" i="3"/>
  <c r="AK623" i="3" s="1"/>
  <c r="AL623" i="3"/>
  <c r="AM623" i="3"/>
  <c r="AJ624" i="3"/>
  <c r="AK624" i="3" s="1"/>
  <c r="AL624" i="3"/>
  <c r="AM624" i="3"/>
  <c r="AJ625" i="3"/>
  <c r="AK625" i="3" s="1"/>
  <c r="AL625" i="3"/>
  <c r="AM625" i="3"/>
  <c r="AJ626" i="3"/>
  <c r="AK626" i="3" s="1"/>
  <c r="AL626" i="3"/>
  <c r="AM626" i="3"/>
  <c r="AJ627" i="3"/>
  <c r="AK627" i="3" s="1"/>
  <c r="AL627" i="3"/>
  <c r="AM627" i="3"/>
  <c r="AJ628" i="3"/>
  <c r="AK628" i="3" s="1"/>
  <c r="AL628" i="3"/>
  <c r="AM628" i="3"/>
  <c r="AJ629" i="3"/>
  <c r="AK629" i="3" s="1"/>
  <c r="AL629" i="3"/>
  <c r="AM629" i="3"/>
  <c r="AJ630" i="3"/>
  <c r="AK630" i="3" s="1"/>
  <c r="AL630" i="3"/>
  <c r="AM630" i="3"/>
  <c r="AJ631" i="3"/>
  <c r="AK631" i="3" s="1"/>
  <c r="AL631" i="3"/>
  <c r="AM631" i="3"/>
  <c r="AJ632" i="3"/>
  <c r="AK632" i="3" s="1"/>
  <c r="AL632" i="3"/>
  <c r="AM632" i="3"/>
  <c r="AJ633" i="3"/>
  <c r="AK633" i="3" s="1"/>
  <c r="AL633" i="3"/>
  <c r="AM633" i="3"/>
  <c r="AJ634" i="3"/>
  <c r="AK634" i="3" s="1"/>
  <c r="AL634" i="3"/>
  <c r="AM634" i="3"/>
  <c r="AJ635" i="3"/>
  <c r="AK635" i="3" s="1"/>
  <c r="AL635" i="3"/>
  <c r="AM635" i="3"/>
  <c r="AJ636" i="3"/>
  <c r="AK636" i="3" s="1"/>
  <c r="AL636" i="3"/>
  <c r="AM636" i="3"/>
  <c r="AJ637" i="3"/>
  <c r="AK637" i="3" s="1"/>
  <c r="AL637" i="3"/>
  <c r="AM637" i="3"/>
  <c r="AJ638" i="3"/>
  <c r="AK638" i="3" s="1"/>
  <c r="AL638" i="3"/>
  <c r="AM638" i="3"/>
  <c r="AJ639" i="3"/>
  <c r="AK639" i="3" s="1"/>
  <c r="AL639" i="3"/>
  <c r="AM639" i="3"/>
  <c r="AJ640" i="3"/>
  <c r="AK640" i="3" s="1"/>
  <c r="AL640" i="3"/>
  <c r="AM640" i="3"/>
  <c r="AJ641" i="3"/>
  <c r="AK641" i="3" s="1"/>
  <c r="AL641" i="3"/>
  <c r="AM641" i="3"/>
  <c r="AJ642" i="3"/>
  <c r="AK642" i="3" s="1"/>
  <c r="AL642" i="3"/>
  <c r="AM642" i="3"/>
  <c r="AJ643" i="3"/>
  <c r="AK643" i="3" s="1"/>
  <c r="AL643" i="3"/>
  <c r="AM643" i="3"/>
  <c r="AJ644" i="3"/>
  <c r="AK644" i="3" s="1"/>
  <c r="AL644" i="3"/>
  <c r="AM644" i="3"/>
  <c r="AJ645" i="3"/>
  <c r="AK645" i="3" s="1"/>
  <c r="AL645" i="3"/>
  <c r="AJ646" i="3"/>
  <c r="AK646" i="3" s="1"/>
  <c r="AL646" i="3"/>
  <c r="AJ647" i="3"/>
  <c r="AK647" i="3" s="1"/>
  <c r="AL647" i="3"/>
  <c r="AJ648" i="3"/>
  <c r="AK648" i="3" s="1"/>
  <c r="AL648" i="3"/>
  <c r="AJ649" i="3"/>
  <c r="AK649" i="3" s="1"/>
  <c r="AL649" i="3"/>
  <c r="AJ650" i="3"/>
  <c r="AK650" i="3" s="1"/>
  <c r="AL650" i="3"/>
  <c r="AJ651" i="3"/>
  <c r="AK651" i="3" s="1"/>
  <c r="AL651" i="3"/>
  <c r="AJ652" i="3"/>
  <c r="AK652" i="3" s="1"/>
  <c r="AL652" i="3"/>
  <c r="AM652" i="3"/>
  <c r="AJ653" i="3"/>
  <c r="AK653" i="3" s="1"/>
  <c r="AL653" i="3"/>
  <c r="AJ654" i="3"/>
  <c r="AK654" i="3" s="1"/>
  <c r="AL654" i="3"/>
  <c r="AJ655" i="3"/>
  <c r="AK655" i="3" s="1"/>
  <c r="AL655" i="3"/>
  <c r="AM655" i="3"/>
  <c r="AJ656" i="3"/>
  <c r="AK656" i="3" s="1"/>
  <c r="AL656" i="3"/>
  <c r="AM656" i="3"/>
  <c r="AJ657" i="3"/>
  <c r="AK657" i="3" s="1"/>
  <c r="AL657" i="3"/>
  <c r="AM657" i="3"/>
  <c r="AJ658" i="3"/>
  <c r="AK658" i="3" s="1"/>
  <c r="AL658" i="3"/>
  <c r="AM658" i="3"/>
  <c r="AJ659" i="3"/>
  <c r="AK659" i="3" s="1"/>
  <c r="AL659" i="3"/>
  <c r="AM659" i="3"/>
  <c r="AJ660" i="3"/>
  <c r="AK660" i="3" s="1"/>
  <c r="AL660" i="3"/>
  <c r="AM660" i="3"/>
  <c r="AJ661" i="3"/>
  <c r="AK661" i="3" s="1"/>
  <c r="AL661" i="3"/>
  <c r="AM661" i="3"/>
  <c r="AJ662" i="3"/>
  <c r="AK662" i="3" s="1"/>
  <c r="AL662" i="3"/>
  <c r="AM662" i="3"/>
  <c r="AJ663" i="3"/>
  <c r="AK663" i="3" s="1"/>
  <c r="AL663" i="3"/>
  <c r="AM663" i="3"/>
  <c r="AJ664" i="3"/>
  <c r="AK664" i="3" s="1"/>
  <c r="AL664" i="3"/>
  <c r="AM664" i="3"/>
  <c r="AJ665" i="3"/>
  <c r="AK665" i="3" s="1"/>
  <c r="AL665" i="3"/>
  <c r="AM665" i="3"/>
  <c r="AJ666" i="3"/>
  <c r="AK666" i="3" s="1"/>
  <c r="AL666" i="3"/>
  <c r="AM666" i="3"/>
  <c r="AJ667" i="3"/>
  <c r="AK667" i="3" s="1"/>
  <c r="AL667" i="3"/>
  <c r="AM667" i="3"/>
  <c r="AJ668" i="3"/>
  <c r="AK668" i="3" s="1"/>
  <c r="AL668" i="3"/>
  <c r="AM668" i="3"/>
  <c r="AJ669" i="3"/>
  <c r="AK669" i="3" s="1"/>
  <c r="AL669" i="3"/>
  <c r="AM669" i="3"/>
  <c r="AJ670" i="3"/>
  <c r="AK670" i="3" s="1"/>
  <c r="AL670" i="3"/>
  <c r="AM670" i="3"/>
  <c r="AJ671" i="3"/>
  <c r="AK671" i="3" s="1"/>
  <c r="AL671" i="3"/>
  <c r="AM671" i="3"/>
  <c r="AJ672" i="3"/>
  <c r="AK672" i="3" s="1"/>
  <c r="AL672" i="3"/>
  <c r="AM672" i="3"/>
  <c r="AJ673" i="3"/>
  <c r="AK673" i="3" s="1"/>
  <c r="AL673" i="3"/>
  <c r="AM673" i="3"/>
  <c r="AJ674" i="3"/>
  <c r="AK674" i="3" s="1"/>
  <c r="AL674" i="3"/>
  <c r="AM674" i="3"/>
  <c r="AJ675" i="3"/>
  <c r="AJ676" i="3"/>
  <c r="AJ677" i="3"/>
  <c r="AK677" i="3" s="1"/>
  <c r="AL677" i="3"/>
  <c r="AM677" i="3"/>
  <c r="AJ678" i="3"/>
  <c r="AL678" i="3"/>
  <c r="AJ679" i="3"/>
  <c r="AK679" i="3" s="1"/>
  <c r="AL679" i="3"/>
  <c r="AM679" i="3"/>
  <c r="AJ680" i="3"/>
  <c r="AK680" i="3" s="1"/>
  <c r="AL680" i="3"/>
  <c r="AM680" i="3"/>
  <c r="AJ681" i="3"/>
  <c r="AK681" i="3" s="1"/>
  <c r="AL681" i="3"/>
  <c r="AM681" i="3"/>
  <c r="AJ682" i="3"/>
  <c r="AK682" i="3" s="1"/>
  <c r="AL682" i="3"/>
  <c r="AM682" i="3"/>
  <c r="AJ683" i="3"/>
  <c r="AL683" i="3"/>
  <c r="AJ684" i="3"/>
  <c r="AK684" i="3" s="1"/>
  <c r="AL684" i="3"/>
  <c r="AM684" i="3"/>
  <c r="AJ685" i="3"/>
  <c r="AK685" i="3" s="1"/>
  <c r="AL685" i="3"/>
  <c r="AM685" i="3"/>
  <c r="AJ686" i="3"/>
  <c r="AK686" i="3" s="1"/>
  <c r="AL686" i="3"/>
  <c r="AM686" i="3"/>
  <c r="AJ687" i="3"/>
  <c r="AK687" i="3" s="1"/>
  <c r="AL687" i="3"/>
  <c r="AM687" i="3"/>
  <c r="AJ688" i="3"/>
  <c r="AK688" i="3" s="1"/>
  <c r="AL688" i="3"/>
  <c r="AM688" i="3"/>
  <c r="AJ689" i="3"/>
  <c r="AK689" i="3" s="1"/>
  <c r="AL689" i="3"/>
  <c r="AM689" i="3"/>
  <c r="AJ690" i="3"/>
  <c r="AK690" i="3" s="1"/>
  <c r="AL690" i="3"/>
  <c r="AM690" i="3"/>
  <c r="AJ691" i="3"/>
  <c r="AJ692" i="3"/>
  <c r="AJ693" i="3"/>
  <c r="AK693" i="3" s="1"/>
  <c r="AL693" i="3"/>
  <c r="AM693" i="3"/>
  <c r="AJ694" i="3"/>
  <c r="AK694" i="3" s="1"/>
  <c r="AL694" i="3"/>
  <c r="AM694" i="3"/>
  <c r="AJ695" i="3"/>
  <c r="AJ696" i="3"/>
  <c r="AJ697" i="3"/>
  <c r="AK697" i="3" s="1"/>
  <c r="AL697" i="3"/>
  <c r="AM697" i="3"/>
  <c r="AJ698" i="3"/>
  <c r="AL698" i="3"/>
  <c r="AJ699" i="3"/>
  <c r="AL699" i="3"/>
  <c r="AJ700" i="3"/>
  <c r="AK700" i="3" s="1"/>
  <c r="AL700" i="3"/>
  <c r="AM700" i="3"/>
  <c r="AJ701" i="3"/>
  <c r="AK701" i="3" s="1"/>
  <c r="AL701" i="3"/>
  <c r="AM701" i="3"/>
  <c r="AJ702" i="3"/>
  <c r="AL702" i="3"/>
  <c r="AJ703" i="3"/>
  <c r="AL703" i="3"/>
  <c r="AJ704" i="3"/>
  <c r="AK704" i="3" s="1"/>
  <c r="AL704" i="3"/>
  <c r="AM704" i="3"/>
  <c r="AJ705" i="3"/>
  <c r="AK705" i="3" s="1"/>
  <c r="AL705" i="3"/>
  <c r="AM705" i="3"/>
  <c r="AJ706" i="3"/>
  <c r="AL706" i="3" s="1"/>
  <c r="AJ707" i="3"/>
  <c r="AK707" i="3" s="1"/>
  <c r="AL707" i="3"/>
  <c r="AM707" i="3"/>
  <c r="AJ708" i="3"/>
  <c r="AL708" i="3"/>
  <c r="AJ709" i="3"/>
  <c r="AK709" i="3" s="1"/>
  <c r="AL709" i="3"/>
  <c r="AM709" i="3"/>
  <c r="AJ710" i="3"/>
  <c r="AK710" i="3" s="1"/>
  <c r="AL710" i="3"/>
  <c r="AM710" i="3"/>
  <c r="AJ711" i="3"/>
  <c r="AK711" i="3" s="1"/>
  <c r="AL711" i="3"/>
  <c r="AM711" i="3"/>
  <c r="AJ712" i="3"/>
  <c r="AK712" i="3" s="1"/>
  <c r="AL712" i="3"/>
  <c r="AM712" i="3"/>
  <c r="AJ713" i="3"/>
  <c r="AK713" i="3" s="1"/>
  <c r="AL713" i="3"/>
  <c r="AM713" i="3"/>
  <c r="AJ714" i="3"/>
  <c r="AK714" i="3" s="1"/>
  <c r="AL714" i="3"/>
  <c r="AM714" i="3"/>
  <c r="AJ715" i="3"/>
  <c r="AJ716" i="3"/>
  <c r="AK716" i="3" s="1"/>
  <c r="AL716" i="3"/>
  <c r="AM716" i="3"/>
  <c r="AJ717" i="3"/>
  <c r="AK717" i="3" s="1"/>
  <c r="AL717" i="3"/>
  <c r="AM717" i="3"/>
  <c r="AJ718" i="3"/>
  <c r="AK718" i="3" s="1"/>
  <c r="AL718" i="3"/>
  <c r="AM718" i="3"/>
  <c r="AJ719" i="3"/>
  <c r="AL719" i="3"/>
  <c r="AJ720" i="3"/>
  <c r="AK720" i="3" s="1"/>
  <c r="AL720" i="3"/>
  <c r="AM720" i="3"/>
  <c r="AJ721" i="3"/>
  <c r="AK721" i="3" s="1"/>
  <c r="AL721" i="3"/>
  <c r="AM721" i="3"/>
  <c r="AJ722" i="3"/>
  <c r="AK722" i="3" s="1"/>
  <c r="AL722" i="3"/>
  <c r="AM722" i="3"/>
  <c r="AJ723" i="3"/>
  <c r="AJ724" i="3"/>
  <c r="AJ725" i="3"/>
  <c r="AK725" i="3" s="1"/>
  <c r="AL725" i="3"/>
  <c r="AM725" i="3"/>
  <c r="AJ726" i="3"/>
  <c r="AL726" i="3"/>
  <c r="AJ727" i="3"/>
  <c r="AK727" i="3" s="1"/>
  <c r="AL727" i="3"/>
  <c r="AM727" i="3"/>
  <c r="AJ728" i="3"/>
  <c r="AK728" i="3" s="1"/>
  <c r="AL728" i="3"/>
  <c r="AM728" i="3"/>
  <c r="AJ729" i="3"/>
  <c r="AL729" i="3"/>
  <c r="AJ730" i="3"/>
  <c r="AL730" i="3" s="1"/>
  <c r="AJ731" i="3"/>
  <c r="AK731" i="3" s="1"/>
  <c r="AL731" i="3"/>
  <c r="AM731" i="3"/>
  <c r="AJ732" i="3"/>
  <c r="AK732" i="3" s="1"/>
  <c r="AL732" i="3"/>
  <c r="AM732" i="3"/>
  <c r="AJ733" i="3"/>
  <c r="AL733" i="3" s="1"/>
  <c r="AJ734" i="3"/>
  <c r="AL734" i="3" s="1"/>
  <c r="AJ735" i="3"/>
  <c r="AK735" i="3" s="1"/>
  <c r="AL735" i="3"/>
  <c r="AM735" i="3"/>
  <c r="AJ736" i="3"/>
  <c r="AK736" i="3" s="1"/>
  <c r="AL736" i="3"/>
  <c r="AM736" i="3"/>
  <c r="AJ737" i="3"/>
  <c r="AK737" i="3" s="1"/>
  <c r="AL737" i="3"/>
  <c r="AM737" i="3"/>
  <c r="AJ738" i="3"/>
  <c r="AL738" i="3"/>
  <c r="AJ739" i="3"/>
  <c r="AL739" i="3"/>
  <c r="AJ740" i="3"/>
  <c r="AL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K786" i="3" s="1"/>
  <c r="AL786" i="3"/>
  <c r="AM786" i="3"/>
  <c r="AJ787" i="3"/>
  <c r="AK787" i="3" s="1"/>
  <c r="AL787" i="3"/>
  <c r="AM787" i="3"/>
  <c r="AJ788" i="3"/>
  <c r="AK788" i="3" s="1"/>
  <c r="AL788" i="3"/>
  <c r="AM788" i="3"/>
  <c r="AJ789" i="3"/>
  <c r="AK789" i="3" s="1"/>
  <c r="AL789" i="3"/>
  <c r="AM789" i="3"/>
  <c r="AJ790" i="3"/>
  <c r="AK790" i="3" s="1"/>
  <c r="AL790" i="3"/>
  <c r="AM790" i="3"/>
  <c r="AJ791" i="3"/>
  <c r="AK791" i="3" s="1"/>
  <c r="AL791" i="3"/>
  <c r="AM791" i="3"/>
  <c r="AJ792" i="3"/>
  <c r="AK792" i="3" s="1"/>
  <c r="AL792" i="3"/>
  <c r="AM792" i="3"/>
  <c r="AJ793" i="3"/>
  <c r="AL793" i="3"/>
  <c r="AJ794" i="3"/>
  <c r="AL794" i="3"/>
  <c r="AJ795" i="3"/>
  <c r="AL795" i="3"/>
  <c r="AJ796" i="3"/>
  <c r="AK796" i="3" s="1"/>
  <c r="AL796" i="3"/>
  <c r="AM796" i="3"/>
  <c r="AJ797" i="3"/>
  <c r="AK797" i="3" s="1"/>
  <c r="AL797" i="3"/>
  <c r="AM797" i="3"/>
  <c r="AJ798" i="3"/>
  <c r="AK798" i="3" s="1"/>
  <c r="AL798" i="3"/>
  <c r="AM798" i="3"/>
  <c r="AJ799" i="3"/>
  <c r="AK799" i="3" s="1"/>
  <c r="AL799" i="3"/>
  <c r="AM799" i="3"/>
  <c r="AJ800" i="3"/>
  <c r="AK800" i="3" s="1"/>
  <c r="AL800" i="3"/>
  <c r="AM800" i="3"/>
  <c r="AJ801" i="3"/>
  <c r="AK801" i="3" s="1"/>
  <c r="AL801" i="3"/>
  <c r="AM801" i="3"/>
  <c r="AJ802" i="3"/>
  <c r="AK802" i="3" s="1"/>
  <c r="AL802" i="3"/>
  <c r="AM802" i="3"/>
  <c r="AJ803" i="3"/>
  <c r="AK803" i="3" s="1"/>
  <c r="AL803" i="3"/>
  <c r="AM803" i="3"/>
  <c r="AJ804" i="3"/>
  <c r="AL804" i="3"/>
  <c r="AJ805" i="3"/>
  <c r="AL805" i="3"/>
  <c r="AJ806" i="3"/>
  <c r="AL806" i="3"/>
  <c r="AJ807" i="3"/>
  <c r="AK807" i="3" s="1"/>
  <c r="AL807" i="3"/>
  <c r="AM807" i="3"/>
  <c r="AJ808" i="3"/>
  <c r="AK808" i="3" s="1"/>
  <c r="AL808" i="3"/>
  <c r="AM808" i="3"/>
  <c r="AJ809" i="3"/>
  <c r="AK809" i="3" s="1"/>
  <c r="AL809" i="3"/>
  <c r="AM809" i="3"/>
  <c r="AJ810" i="3"/>
  <c r="AK810" i="3" s="1"/>
  <c r="AL810" i="3"/>
  <c r="AM810" i="3"/>
  <c r="AJ811" i="3"/>
  <c r="AK811" i="3" s="1"/>
  <c r="AL811" i="3"/>
  <c r="AM811" i="3"/>
  <c r="AJ812" i="3"/>
  <c r="AK812" i="3" s="1"/>
  <c r="AL812" i="3"/>
  <c r="AM812" i="3"/>
  <c r="AJ813" i="3"/>
  <c r="AK813" i="3" s="1"/>
  <c r="AL813" i="3"/>
  <c r="AM813" i="3"/>
  <c r="AJ814" i="3"/>
  <c r="AK814" i="3" s="1"/>
  <c r="AL814" i="3"/>
  <c r="AM814" i="3"/>
  <c r="AJ815" i="3"/>
  <c r="AK815" i="3" s="1"/>
  <c r="AL815" i="3"/>
  <c r="AM815" i="3"/>
  <c r="AJ816" i="3"/>
  <c r="AK816" i="3" s="1"/>
  <c r="AL816" i="3"/>
  <c r="AM816" i="3"/>
  <c r="AJ817" i="3"/>
  <c r="AL817" i="3"/>
  <c r="AJ818" i="3"/>
  <c r="AL818" i="3"/>
  <c r="AJ819" i="3"/>
  <c r="AL819" i="3"/>
  <c r="AJ820" i="3"/>
  <c r="AL820" i="3"/>
  <c r="AJ821" i="3"/>
  <c r="AL821" i="3"/>
  <c r="AJ822" i="3"/>
  <c r="AL822" i="3"/>
  <c r="AJ823" i="3"/>
  <c r="AL823" i="3"/>
  <c r="AJ824" i="3"/>
  <c r="AL824" i="3"/>
  <c r="AJ825" i="3"/>
  <c r="AL825" i="3"/>
  <c r="AJ826" i="3"/>
  <c r="AL826" i="3"/>
  <c r="AJ827" i="3"/>
  <c r="AL827" i="3"/>
  <c r="AJ828" i="3"/>
  <c r="AL828" i="3"/>
  <c r="AJ829" i="3"/>
  <c r="AL829" i="3"/>
  <c r="AJ830" i="3"/>
  <c r="AL830" i="3"/>
  <c r="AJ831" i="3"/>
  <c r="AL831" i="3"/>
  <c r="AJ832" i="3"/>
  <c r="AL832" i="3"/>
  <c r="AJ833" i="3"/>
  <c r="AL833" i="3"/>
  <c r="AJ834" i="3"/>
  <c r="AL834" i="3"/>
  <c r="AJ835" i="3"/>
  <c r="AK835" i="3" s="1"/>
  <c r="AL835" i="3"/>
  <c r="AM835" i="3"/>
  <c r="AJ836" i="3"/>
  <c r="AK836" i="3" s="1"/>
  <c r="AL836" i="3"/>
  <c r="AM836" i="3"/>
  <c r="AJ837" i="3"/>
  <c r="AK837" i="3" s="1"/>
  <c r="AL837" i="3"/>
  <c r="AM837" i="3"/>
  <c r="AJ838" i="3"/>
  <c r="AK838" i="3" s="1"/>
  <c r="AL838" i="3"/>
  <c r="AM838" i="3"/>
  <c r="AJ839" i="3"/>
  <c r="AK839" i="3" s="1"/>
  <c r="AL839" i="3"/>
  <c r="AM839" i="3"/>
  <c r="AJ840" i="3"/>
  <c r="AK840" i="3" s="1"/>
  <c r="AL840" i="3"/>
  <c r="AM840" i="3"/>
  <c r="AJ841" i="3"/>
  <c r="AK841" i="3" s="1"/>
  <c r="AL841" i="3"/>
  <c r="AM841" i="3"/>
  <c r="AJ842" i="3"/>
  <c r="AJ843" i="3"/>
  <c r="AJ844" i="3"/>
  <c r="AJ845" i="3"/>
  <c r="AJ846" i="3"/>
  <c r="AJ847" i="3"/>
  <c r="AK847" i="3" s="1"/>
  <c r="AL847" i="3"/>
  <c r="AM847" i="3"/>
  <c r="AJ848" i="3"/>
  <c r="AL848" i="3"/>
  <c r="AJ849" i="3"/>
  <c r="AK849" i="3" s="1"/>
  <c r="AL849" i="3"/>
  <c r="AM849" i="3"/>
  <c r="AJ850" i="3"/>
  <c r="AK850" i="3" s="1"/>
  <c r="AL850" i="3"/>
  <c r="AM850" i="3"/>
  <c r="AJ851" i="3"/>
  <c r="AK851" i="3" s="1"/>
  <c r="AL851" i="3"/>
  <c r="AM851" i="3"/>
  <c r="AJ852" i="3"/>
  <c r="AJ853" i="3"/>
  <c r="AK853" i="3" s="1"/>
  <c r="AL853" i="3"/>
  <c r="AM853" i="3"/>
  <c r="AJ854" i="3"/>
  <c r="AK854" i="3" s="1"/>
  <c r="AL854" i="3"/>
  <c r="AM854" i="3"/>
  <c r="AJ855" i="3"/>
  <c r="AK855" i="3" s="1"/>
  <c r="AL855" i="3"/>
  <c r="AM855" i="3"/>
  <c r="AJ856" i="3"/>
  <c r="AK856" i="3" s="1"/>
  <c r="AL856" i="3"/>
  <c r="AM856" i="3"/>
  <c r="AJ857" i="3"/>
  <c r="AK857" i="3" s="1"/>
  <c r="AL857" i="3"/>
  <c r="AM857" i="3"/>
  <c r="AJ858" i="3"/>
  <c r="AK858" i="3" s="1"/>
  <c r="AL858" i="3"/>
  <c r="AM858" i="3"/>
  <c r="AJ859" i="3"/>
  <c r="AK859" i="3" s="1"/>
  <c r="AL859" i="3"/>
  <c r="AM859" i="3"/>
  <c r="AJ860" i="3"/>
  <c r="AK860" i="3" s="1"/>
  <c r="AL860" i="3"/>
  <c r="AM860" i="3"/>
  <c r="AJ861" i="3"/>
  <c r="AK861" i="3" s="1"/>
  <c r="AL861" i="3"/>
  <c r="AM861" i="3"/>
  <c r="AJ862" i="3"/>
  <c r="AK862" i="3" s="1"/>
  <c r="AL862" i="3"/>
  <c r="AM862" i="3"/>
  <c r="AJ863" i="3"/>
  <c r="AK863" i="3" s="1"/>
  <c r="AL863" i="3"/>
  <c r="AM863" i="3"/>
  <c r="AJ864" i="3"/>
  <c r="AK864" i="3" s="1"/>
  <c r="AL864" i="3"/>
  <c r="AM864" i="3"/>
  <c r="AJ865" i="3"/>
  <c r="AK865" i="3" s="1"/>
  <c r="AL865" i="3"/>
  <c r="AM865" i="3"/>
  <c r="AJ866" i="3"/>
  <c r="AK866" i="3" s="1"/>
  <c r="AL866" i="3"/>
  <c r="AM866" i="3"/>
  <c r="AJ867" i="3"/>
  <c r="AK867" i="3" s="1"/>
  <c r="AL867" i="3"/>
  <c r="AM867" i="3"/>
  <c r="AJ868" i="3"/>
  <c r="AK868" i="3" s="1"/>
  <c r="AL868" i="3"/>
  <c r="AM868" i="3"/>
  <c r="AJ869" i="3"/>
  <c r="AK869" i="3" s="1"/>
  <c r="AL869" i="3"/>
  <c r="AM869" i="3"/>
  <c r="AJ870" i="3"/>
  <c r="AK870" i="3" s="1"/>
  <c r="AL870" i="3"/>
  <c r="AM870" i="3"/>
  <c r="AJ871" i="3"/>
  <c r="AJ872" i="3"/>
  <c r="AJ873" i="3"/>
  <c r="AK873" i="3" s="1"/>
  <c r="AL873" i="3"/>
  <c r="AM873" i="3"/>
  <c r="AJ874" i="3"/>
  <c r="AK874" i="3" s="1"/>
  <c r="AL874" i="3"/>
  <c r="AM874" i="3"/>
  <c r="AJ875" i="3"/>
  <c r="AK875" i="3" s="1"/>
  <c r="AL875" i="3"/>
  <c r="AM875" i="3"/>
  <c r="AJ876" i="3"/>
  <c r="AK876" i="3" s="1"/>
  <c r="AL876" i="3"/>
  <c r="AM876" i="3"/>
  <c r="AJ877" i="3"/>
  <c r="AK877" i="3" s="1"/>
  <c r="AL877" i="3"/>
  <c r="AM877" i="3"/>
  <c r="AJ878" i="3"/>
  <c r="AK878" i="3" s="1"/>
  <c r="AL878" i="3"/>
  <c r="AM878" i="3"/>
  <c r="AJ879" i="3"/>
  <c r="AK879" i="3" s="1"/>
  <c r="AL879" i="3"/>
  <c r="AM879" i="3"/>
  <c r="AJ880" i="3"/>
  <c r="AK880" i="3" s="1"/>
  <c r="AL880" i="3"/>
  <c r="AM880" i="3"/>
  <c r="AJ881" i="3"/>
  <c r="AK881" i="3" s="1"/>
  <c r="AL881" i="3"/>
  <c r="AM881" i="3"/>
  <c r="AJ882" i="3"/>
  <c r="AK882" i="3" s="1"/>
  <c r="AL882" i="3"/>
  <c r="AM882" i="3"/>
  <c r="AJ883" i="3"/>
  <c r="AK883" i="3" s="1"/>
  <c r="AL883" i="3"/>
  <c r="AM883" i="3"/>
  <c r="AJ884" i="3"/>
  <c r="AK884" i="3" s="1"/>
  <c r="AL884" i="3"/>
  <c r="AM884" i="3"/>
  <c r="AJ885" i="3"/>
  <c r="AK885" i="3" s="1"/>
  <c r="AL885" i="3"/>
  <c r="AM885" i="3"/>
  <c r="AJ886" i="3"/>
  <c r="AK886" i="3" s="1"/>
  <c r="AL886" i="3"/>
  <c r="AM886" i="3"/>
  <c r="AJ887" i="3"/>
  <c r="AJ888" i="3"/>
  <c r="AJ889" i="3"/>
  <c r="AJ890" i="3"/>
  <c r="AK890" i="3" s="1"/>
  <c r="AL890" i="3"/>
  <c r="AM890" i="3"/>
  <c r="AJ891" i="3"/>
  <c r="AL891" i="3"/>
  <c r="AJ892" i="3"/>
  <c r="AL892" i="3"/>
  <c r="AJ893" i="3"/>
  <c r="AL893" i="3"/>
  <c r="AJ894" i="3"/>
  <c r="AL894" i="3"/>
  <c r="AJ895" i="3"/>
  <c r="AL895" i="3"/>
  <c r="AJ896" i="3"/>
  <c r="AL896" i="3"/>
  <c r="AJ897" i="3"/>
  <c r="AL897" i="3"/>
  <c r="AJ898" i="3"/>
  <c r="AL898" i="3"/>
  <c r="AJ899" i="3"/>
  <c r="AK899" i="3" s="1"/>
  <c r="AL899" i="3"/>
  <c r="AM899" i="3"/>
  <c r="AJ900" i="3"/>
  <c r="AK900" i="3" s="1"/>
  <c r="AL900" i="3"/>
  <c r="AM900" i="3"/>
  <c r="AJ901" i="3"/>
  <c r="AK901" i="3" s="1"/>
  <c r="AL901" i="3"/>
  <c r="AM901" i="3"/>
  <c r="AJ902" i="3"/>
  <c r="AK902" i="3" s="1"/>
  <c r="AL902" i="3"/>
  <c r="AM902" i="3"/>
  <c r="AJ903" i="3"/>
  <c r="AK903" i="3" s="1"/>
  <c r="AL903" i="3"/>
  <c r="AM903" i="3"/>
  <c r="AJ904" i="3"/>
  <c r="AK904" i="3" s="1"/>
  <c r="AL904" i="3"/>
  <c r="AM904" i="3"/>
  <c r="AJ905" i="3"/>
  <c r="AK905" i="3" s="1"/>
  <c r="AL905" i="3"/>
  <c r="AM905" i="3"/>
  <c r="AJ906" i="3"/>
  <c r="AK906" i="3" s="1"/>
  <c r="AL906" i="3"/>
  <c r="AM906" i="3"/>
  <c r="AJ907" i="3"/>
  <c r="AK907" i="3" s="1"/>
  <c r="AL907" i="3"/>
  <c r="AM907" i="3"/>
  <c r="AJ908" i="3"/>
  <c r="AK908" i="3" s="1"/>
  <c r="AL908" i="3"/>
  <c r="AM908" i="3"/>
  <c r="AJ909" i="3"/>
  <c r="AL909" i="3"/>
  <c r="AJ910" i="3"/>
  <c r="AL910" i="3"/>
  <c r="AJ911" i="3"/>
  <c r="AL911" i="3"/>
  <c r="AJ912" i="3"/>
  <c r="AL912" i="3"/>
  <c r="AJ913" i="3"/>
  <c r="AL913" i="3"/>
  <c r="AJ914" i="3"/>
  <c r="AL914" i="3"/>
  <c r="AJ915" i="3"/>
  <c r="AL915" i="3"/>
  <c r="AJ916" i="3"/>
  <c r="AL916" i="3"/>
  <c r="AJ917" i="3"/>
  <c r="AK917" i="3" s="1"/>
  <c r="AL917" i="3"/>
  <c r="AM917" i="3"/>
  <c r="AJ918" i="3"/>
  <c r="AK918" i="3" s="1"/>
  <c r="AL918" i="3"/>
  <c r="AM918" i="3"/>
  <c r="AJ919" i="3"/>
  <c r="AK919" i="3" s="1"/>
  <c r="AL919" i="3"/>
  <c r="AM919" i="3"/>
  <c r="AJ920" i="3"/>
  <c r="AK920" i="3" s="1"/>
  <c r="AL920" i="3"/>
  <c r="AM920" i="3"/>
  <c r="AJ921" i="3"/>
  <c r="AK921" i="3" s="1"/>
  <c r="AL921" i="3"/>
  <c r="AM921" i="3"/>
  <c r="AJ922" i="3"/>
  <c r="AK922" i="3" s="1"/>
  <c r="AL922" i="3"/>
  <c r="AM922" i="3"/>
  <c r="AJ923" i="3"/>
  <c r="AK923" i="3" s="1"/>
  <c r="AL923" i="3"/>
  <c r="AM923" i="3"/>
  <c r="AJ924" i="3"/>
  <c r="AK924" i="3" s="1"/>
  <c r="AL924" i="3"/>
  <c r="AM924" i="3"/>
  <c r="AJ925" i="3"/>
  <c r="AK925" i="3" s="1"/>
  <c r="AL925" i="3"/>
  <c r="AM925" i="3"/>
  <c r="AJ926" i="3"/>
  <c r="AK926" i="3" s="1"/>
  <c r="AL926" i="3"/>
  <c r="AM926" i="3"/>
  <c r="AJ927" i="3"/>
  <c r="AK927" i="3" s="1"/>
  <c r="AL927" i="3"/>
  <c r="AM927" i="3"/>
  <c r="AJ928" i="3"/>
  <c r="AK928" i="3" s="1"/>
  <c r="AL928" i="3"/>
  <c r="AM928" i="3"/>
  <c r="AJ929" i="3"/>
  <c r="AK929" i="3" s="1"/>
  <c r="AL929" i="3"/>
  <c r="AM929" i="3"/>
  <c r="AJ930" i="3"/>
  <c r="AK930" i="3" s="1"/>
  <c r="AL930" i="3"/>
  <c r="AM930" i="3"/>
  <c r="AJ931" i="3"/>
  <c r="AK931" i="3" s="1"/>
  <c r="AL931" i="3"/>
  <c r="AM931" i="3"/>
  <c r="AJ932" i="3"/>
  <c r="AK932" i="3" s="1"/>
  <c r="AL932" i="3"/>
  <c r="AM932" i="3"/>
  <c r="AJ933" i="3"/>
  <c r="AK933" i="3" s="1"/>
  <c r="AL933" i="3"/>
  <c r="AM933" i="3"/>
  <c r="AJ934" i="3"/>
  <c r="AK934" i="3" s="1"/>
  <c r="AL934" i="3"/>
  <c r="AM934" i="3"/>
  <c r="AJ935" i="3"/>
  <c r="AK935" i="3" s="1"/>
  <c r="AL935" i="3"/>
  <c r="AM935" i="3"/>
  <c r="AJ936" i="3"/>
  <c r="AK936" i="3" s="1"/>
  <c r="AL936" i="3"/>
  <c r="AM936" i="3"/>
  <c r="AJ937" i="3"/>
  <c r="AK937" i="3" s="1"/>
  <c r="AL937" i="3"/>
  <c r="AM937" i="3"/>
  <c r="AJ938" i="3"/>
  <c r="AK938" i="3" s="1"/>
  <c r="AL938" i="3"/>
  <c r="AM938" i="3"/>
  <c r="AJ939" i="3"/>
  <c r="AK939" i="3" s="1"/>
  <c r="AL939" i="3"/>
  <c r="AM939" i="3"/>
  <c r="AJ940" i="3"/>
  <c r="AK940" i="3" s="1"/>
  <c r="AL940" i="3"/>
  <c r="AM940" i="3"/>
  <c r="AJ941" i="3"/>
  <c r="AK941" i="3" s="1"/>
  <c r="AL941" i="3"/>
  <c r="AM941" i="3"/>
  <c r="AJ942" i="3"/>
  <c r="AK942" i="3" s="1"/>
  <c r="AL942" i="3"/>
  <c r="AM942" i="3"/>
  <c r="AJ943" i="3"/>
  <c r="AK943" i="3" s="1"/>
  <c r="AL943" i="3"/>
  <c r="AM943" i="3"/>
  <c r="AJ944" i="3"/>
  <c r="AK944" i="3" s="1"/>
  <c r="AL944" i="3"/>
  <c r="AM944" i="3"/>
  <c r="AJ945" i="3"/>
  <c r="AK945" i="3" s="1"/>
  <c r="AL945" i="3"/>
  <c r="AM945" i="3"/>
  <c r="AJ946" i="3"/>
  <c r="AK946" i="3" s="1"/>
  <c r="AL946" i="3"/>
  <c r="AM946" i="3"/>
  <c r="AJ947" i="3"/>
  <c r="AK947" i="3" s="1"/>
  <c r="AL947" i="3"/>
  <c r="AM947" i="3"/>
  <c r="AJ948" i="3"/>
  <c r="AK948" i="3" s="1"/>
  <c r="AL948" i="3"/>
  <c r="AM948" i="3"/>
  <c r="AJ949" i="3"/>
  <c r="AK949" i="3" s="1"/>
  <c r="AL949" i="3"/>
  <c r="AM949" i="3"/>
  <c r="AJ950" i="3"/>
  <c r="AK950" i="3" s="1"/>
  <c r="AL950" i="3"/>
  <c r="AM950" i="3"/>
  <c r="AJ951" i="3"/>
  <c r="AK951" i="3" s="1"/>
  <c r="AL951" i="3"/>
  <c r="AM951" i="3"/>
  <c r="AJ952" i="3"/>
  <c r="AK952" i="3" s="1"/>
  <c r="AL952" i="3"/>
  <c r="AM952" i="3"/>
  <c r="AJ953" i="3"/>
  <c r="AK953" i="3" s="1"/>
  <c r="AL953" i="3"/>
  <c r="AM953" i="3"/>
  <c r="AJ954" i="3"/>
  <c r="AK954" i="3" s="1"/>
  <c r="AL954" i="3"/>
  <c r="AM954" i="3"/>
  <c r="AJ955" i="3"/>
  <c r="AK955" i="3" s="1"/>
  <c r="AL955" i="3"/>
  <c r="AM955" i="3"/>
  <c r="AJ956" i="3"/>
  <c r="AK956" i="3" s="1"/>
  <c r="AL956" i="3"/>
  <c r="AM956" i="3"/>
  <c r="AJ957" i="3"/>
  <c r="AK957" i="3" s="1"/>
  <c r="AL957" i="3"/>
  <c r="AM957" i="3"/>
  <c r="AJ958" i="3"/>
  <c r="AK958" i="3" s="1"/>
  <c r="AL958" i="3"/>
  <c r="AM958" i="3"/>
  <c r="AJ959" i="3"/>
  <c r="AK959" i="3" s="1"/>
  <c r="AL959" i="3"/>
  <c r="AM959" i="3"/>
  <c r="AJ960" i="3"/>
  <c r="AK960" i="3" s="1"/>
  <c r="AL960" i="3"/>
  <c r="AM960" i="3"/>
  <c r="AJ961" i="3"/>
  <c r="AK961" i="3" s="1"/>
  <c r="AL961" i="3"/>
  <c r="AM961" i="3"/>
  <c r="AJ962" i="3"/>
  <c r="AJ963" i="3"/>
  <c r="AJ964" i="3"/>
  <c r="AJ965" i="3"/>
  <c r="AJ966" i="3"/>
  <c r="AJ967" i="3"/>
  <c r="AK967" i="3" s="1"/>
  <c r="AL967" i="3"/>
  <c r="AM967" i="3"/>
  <c r="AJ968" i="3"/>
  <c r="AK968" i="3" s="1"/>
  <c r="AL968" i="3"/>
  <c r="AM968" i="3"/>
  <c r="AJ969" i="3"/>
  <c r="AK969" i="3" s="1"/>
  <c r="AL969" i="3"/>
  <c r="AM969" i="3"/>
  <c r="AJ970" i="3"/>
  <c r="AK970" i="3" s="1"/>
  <c r="AL970" i="3"/>
  <c r="AM970" i="3"/>
  <c r="AJ971" i="3"/>
  <c r="AK971" i="3" s="1"/>
  <c r="AL971" i="3"/>
  <c r="AM971" i="3"/>
  <c r="AJ972" i="3"/>
  <c r="AK972" i="3" s="1"/>
  <c r="AL972" i="3"/>
  <c r="AM972" i="3"/>
  <c r="AJ973" i="3"/>
  <c r="AK973" i="3" s="1"/>
  <c r="AL973" i="3"/>
  <c r="AM973" i="3"/>
  <c r="AJ974" i="3"/>
  <c r="AK974" i="3" s="1"/>
  <c r="AL974" i="3"/>
  <c r="AM974" i="3"/>
  <c r="AJ975" i="3"/>
  <c r="AK975" i="3" s="1"/>
  <c r="AL975" i="3"/>
  <c r="AM975" i="3"/>
  <c r="AJ976" i="3"/>
  <c r="AK976" i="3" s="1"/>
  <c r="AL976" i="3"/>
  <c r="AM976" i="3"/>
  <c r="AJ977" i="3"/>
  <c r="AK977" i="3" s="1"/>
  <c r="AL977" i="3"/>
  <c r="AM977" i="3"/>
  <c r="AJ978" i="3"/>
  <c r="AK978" i="3"/>
  <c r="AL978" i="3"/>
  <c r="AM978" i="3"/>
  <c r="AJ979" i="3"/>
  <c r="AK979" i="3"/>
  <c r="AL979" i="3"/>
  <c r="AM979" i="3"/>
  <c r="AJ980" i="3"/>
  <c r="AK980" i="3"/>
  <c r="AL980" i="3"/>
  <c r="AM980" i="3"/>
  <c r="AJ981" i="3"/>
  <c r="AK981" i="3"/>
  <c r="AL981" i="3"/>
  <c r="AM981" i="3"/>
  <c r="AJ982" i="3"/>
  <c r="AK982" i="3"/>
  <c r="AL982" i="3"/>
  <c r="AM982" i="3"/>
  <c r="AJ983" i="3"/>
  <c r="AK983" i="3"/>
  <c r="AL983" i="3"/>
  <c r="AM983" i="3"/>
  <c r="AJ984" i="3"/>
  <c r="AK984" i="3"/>
  <c r="AL984" i="3"/>
  <c r="AM984" i="3"/>
  <c r="AJ985" i="3"/>
  <c r="AK985" i="3"/>
  <c r="AL985" i="3"/>
  <c r="AM985" i="3"/>
  <c r="AJ986" i="3"/>
  <c r="AK986" i="3"/>
  <c r="AL986" i="3"/>
  <c r="AM986" i="3"/>
  <c r="AJ987" i="3"/>
  <c r="AK987" i="3" s="1"/>
  <c r="AL987" i="3"/>
  <c r="AM987" i="3"/>
  <c r="AJ988" i="3"/>
  <c r="AK988" i="3" s="1"/>
  <c r="AL988" i="3"/>
  <c r="AM988" i="3"/>
  <c r="AJ989" i="3"/>
  <c r="AK989" i="3" s="1"/>
  <c r="AL989" i="3"/>
  <c r="AM989" i="3"/>
  <c r="AJ990" i="3"/>
  <c r="AK990" i="3" s="1"/>
  <c r="AL990" i="3"/>
  <c r="AM990" i="3"/>
  <c r="AJ991" i="3"/>
  <c r="AK991" i="3" s="1"/>
  <c r="AL991" i="3"/>
  <c r="AM991" i="3"/>
  <c r="AJ992" i="3"/>
  <c r="AK992" i="3" s="1"/>
  <c r="AL992" i="3"/>
  <c r="AM992" i="3"/>
  <c r="AJ993" i="3"/>
  <c r="AK993" i="3" s="1"/>
  <c r="AL993" i="3"/>
  <c r="AM993" i="3"/>
  <c r="AJ994" i="3"/>
  <c r="AK994" i="3" s="1"/>
  <c r="AL994" i="3"/>
  <c r="AM994" i="3"/>
  <c r="AJ995" i="3"/>
  <c r="AK995" i="3" s="1"/>
  <c r="AL995" i="3"/>
  <c r="AJ996" i="3"/>
  <c r="AK996" i="3" s="1"/>
  <c r="AL996" i="3"/>
  <c r="AM996" i="3"/>
  <c r="AJ997" i="3"/>
  <c r="AK997" i="3" s="1"/>
  <c r="AL997" i="3"/>
  <c r="AJ998" i="3"/>
  <c r="AK998" i="3" s="1"/>
  <c r="AL998" i="3"/>
  <c r="AJ999" i="3"/>
  <c r="AK999" i="3" s="1"/>
  <c r="AL999" i="3"/>
  <c r="AJ1000" i="3"/>
  <c r="AK1000" i="3" s="1"/>
  <c r="AL1000" i="3"/>
  <c r="AJ1001" i="3"/>
  <c r="AK1001" i="3" s="1"/>
  <c r="AL1001" i="3"/>
  <c r="AJ1002" i="3"/>
  <c r="AK1002" i="3" s="1"/>
  <c r="AL1002" i="3"/>
  <c r="AJ1003" i="3"/>
  <c r="AK1003" i="3" s="1"/>
  <c r="AL1003" i="3"/>
  <c r="AJ1004" i="3"/>
  <c r="AK1004" i="3" s="1"/>
  <c r="AL1004" i="3"/>
  <c r="AJ1005" i="3"/>
  <c r="AK1005" i="3" s="1"/>
  <c r="AL1005" i="3"/>
  <c r="AJ1006" i="3"/>
  <c r="AK1006" i="3" s="1"/>
  <c r="AL1006" i="3"/>
  <c r="AJ1007" i="3"/>
  <c r="AK1007" i="3" s="1"/>
  <c r="AL1007" i="3"/>
  <c r="AJ1008" i="3"/>
  <c r="AK1008" i="3" s="1"/>
  <c r="AL1008" i="3"/>
  <c r="AJ1009" i="3"/>
  <c r="AK1009" i="3" s="1"/>
  <c r="AL1009" i="3"/>
  <c r="AJ1010" i="3"/>
  <c r="AK1010" i="3" s="1"/>
  <c r="AL1010" i="3"/>
  <c r="AJ1011" i="3"/>
  <c r="AK1011" i="3" s="1"/>
  <c r="AL1011" i="3"/>
  <c r="AJ1012" i="3"/>
  <c r="AK1012" i="3" s="1"/>
  <c r="AL1012" i="3"/>
  <c r="AJ1013" i="3"/>
  <c r="AK1013" i="3" s="1"/>
  <c r="AL1013" i="3"/>
  <c r="AJ1014" i="3"/>
  <c r="AK1014" i="3" s="1"/>
  <c r="AL1014" i="3"/>
  <c r="AJ1015" i="3"/>
  <c r="AK1015" i="3" s="1"/>
  <c r="AL1015" i="3"/>
  <c r="AJ1016" i="3"/>
  <c r="AK1016" i="3" s="1"/>
  <c r="AL1016" i="3"/>
  <c r="AM1016" i="3"/>
  <c r="AJ1017" i="3"/>
  <c r="AK1017" i="3" s="1"/>
  <c r="AL1017" i="3"/>
  <c r="AM1017" i="3"/>
  <c r="AJ1018" i="3"/>
  <c r="AK1018" i="3" s="1"/>
  <c r="AL1018" i="3"/>
  <c r="AJ1019" i="3"/>
  <c r="AK1019" i="3" s="1"/>
  <c r="AL1019" i="3"/>
  <c r="AJ1020" i="3"/>
  <c r="AK1020" i="3" s="1"/>
  <c r="AL1020" i="3"/>
  <c r="AJ1021" i="3"/>
  <c r="AK1021" i="3" s="1"/>
  <c r="AL1021" i="3"/>
  <c r="AJ1022" i="3"/>
  <c r="AK1022" i="3" s="1"/>
  <c r="AL1022" i="3"/>
  <c r="AJ1023" i="3"/>
  <c r="AK1023" i="3" s="1"/>
  <c r="AL1023" i="3"/>
  <c r="AJ1024" i="3"/>
  <c r="AK1024" i="3" s="1"/>
  <c r="AL1024" i="3"/>
  <c r="AJ1025" i="3"/>
  <c r="AK1025" i="3" s="1"/>
  <c r="AL1025" i="3"/>
  <c r="AJ1026" i="3"/>
  <c r="AK1026" i="3" s="1"/>
  <c r="AL1026" i="3"/>
  <c r="AJ1027" i="3"/>
  <c r="AK1027" i="3" s="1"/>
  <c r="AL1027" i="3"/>
  <c r="AM1027" i="3"/>
  <c r="AJ1028" i="3"/>
  <c r="AK1028" i="3" s="1"/>
  <c r="AL1028" i="3"/>
  <c r="AM1028" i="3"/>
  <c r="AJ1029" i="3"/>
  <c r="AK1029" i="3" s="1"/>
  <c r="AL1029" i="3"/>
  <c r="AJ1030" i="3"/>
  <c r="AK1030" i="3" s="1"/>
  <c r="AL1030" i="3"/>
  <c r="AJ1031" i="3"/>
  <c r="AK1031" i="3" s="1"/>
  <c r="AL1031" i="3"/>
  <c r="AJ1032" i="3"/>
  <c r="AK1032" i="3" s="1"/>
  <c r="AL1032" i="3"/>
  <c r="AJ1033" i="3"/>
  <c r="AK1033" i="3" s="1"/>
  <c r="AL1033" i="3"/>
  <c r="AJ1034" i="3"/>
  <c r="AK1034" i="3" s="1"/>
  <c r="AL1034" i="3"/>
  <c r="AM1034" i="3"/>
  <c r="AJ1035" i="3"/>
  <c r="AK1035" i="3" s="1"/>
  <c r="AL1035" i="3"/>
  <c r="AM1035" i="3"/>
  <c r="AJ1036" i="3"/>
  <c r="AK1036" i="3" s="1"/>
  <c r="AL1036" i="3"/>
  <c r="AM1036" i="3"/>
  <c r="AJ1037" i="3"/>
  <c r="AK1037" i="3" s="1"/>
  <c r="AL1037" i="3"/>
  <c r="AM1037" i="3"/>
  <c r="AJ1038" i="3"/>
  <c r="AK1038" i="3" s="1"/>
  <c r="AL1038" i="3"/>
  <c r="AM1038" i="3"/>
  <c r="AJ1039" i="3"/>
  <c r="AK1039" i="3" s="1"/>
  <c r="AL1039" i="3"/>
  <c r="AM1039" i="3"/>
  <c r="AJ1040" i="3"/>
  <c r="AK1040" i="3" s="1"/>
  <c r="AL1040" i="3"/>
  <c r="AJ1041" i="3"/>
  <c r="AK1041" i="3" s="1"/>
  <c r="AL1041" i="3"/>
  <c r="AJ1042" i="3"/>
  <c r="AK1042" i="3" s="1"/>
  <c r="AL1042" i="3"/>
  <c r="AM1042" i="3"/>
  <c r="AJ1043" i="3"/>
  <c r="AK1043" i="3" s="1"/>
  <c r="AL1043" i="3"/>
  <c r="AM1043" i="3"/>
  <c r="AJ1044" i="3"/>
  <c r="AK1044" i="3" s="1"/>
  <c r="AL1044" i="3"/>
  <c r="AM1044" i="3"/>
  <c r="AJ1045" i="3"/>
  <c r="AK1045" i="3" s="1"/>
  <c r="AL1045" i="3"/>
  <c r="AM1045" i="3"/>
  <c r="AJ1046" i="3"/>
  <c r="AK1046" i="3" s="1"/>
  <c r="AL1046" i="3"/>
  <c r="AM1046" i="3"/>
  <c r="AJ1047" i="3"/>
  <c r="AK1047" i="3" s="1"/>
  <c r="AL1047" i="3"/>
  <c r="AM1047" i="3"/>
  <c r="AJ1048" i="3"/>
  <c r="AK1048" i="3" s="1"/>
  <c r="AL1048" i="3"/>
  <c r="AM1048" i="3"/>
  <c r="AJ1049" i="3"/>
  <c r="AK1049" i="3" s="1"/>
  <c r="AL1049" i="3"/>
  <c r="AM1049" i="3"/>
  <c r="AJ1050" i="3"/>
  <c r="AK1050" i="3" s="1"/>
  <c r="AL1050" i="3"/>
  <c r="AM1050" i="3"/>
  <c r="AJ1051" i="3"/>
  <c r="AK1051" i="3" s="1"/>
  <c r="AL1051" i="3"/>
  <c r="AM1051" i="3"/>
  <c r="AJ1052" i="3"/>
  <c r="AK1052" i="3" s="1"/>
  <c r="AL1052" i="3"/>
  <c r="AM1052" i="3"/>
  <c r="AJ1053" i="3"/>
  <c r="AK1053" i="3" s="1"/>
  <c r="AL1053" i="3"/>
  <c r="AM1053" i="3"/>
  <c r="AJ1054" i="3"/>
  <c r="AK1054" i="3" s="1"/>
  <c r="AL1054" i="3"/>
  <c r="AM1054" i="3"/>
  <c r="AJ1055" i="3"/>
  <c r="AK1055" i="3" s="1"/>
  <c r="AL1055" i="3"/>
  <c r="AJ1056" i="3"/>
  <c r="AK1056" i="3" s="1"/>
  <c r="AL1056" i="3"/>
  <c r="AM1056" i="3"/>
  <c r="AJ1057" i="3"/>
  <c r="AK1057" i="3" s="1"/>
  <c r="AL1057" i="3"/>
  <c r="AM1057" i="3"/>
  <c r="AJ1058" i="3"/>
  <c r="AK1058" i="3" s="1"/>
  <c r="AL1058" i="3"/>
  <c r="AM1058" i="3"/>
  <c r="AJ1059" i="3"/>
  <c r="AK1059" i="3" s="1"/>
  <c r="AL1059" i="3"/>
  <c r="AM1059" i="3"/>
  <c r="AJ1060" i="3"/>
  <c r="AK1060" i="3" s="1"/>
  <c r="AL1060" i="3"/>
  <c r="AJ1061" i="3"/>
  <c r="AK1061" i="3" s="1"/>
  <c r="AL1061" i="3"/>
  <c r="AM1061" i="3"/>
  <c r="AJ1062" i="3"/>
  <c r="AK1062" i="3" s="1"/>
  <c r="AL1062" i="3"/>
  <c r="AM1062" i="3"/>
  <c r="AJ1063" i="3"/>
  <c r="AK1063" i="3" s="1"/>
  <c r="AL1063" i="3"/>
  <c r="AM1063" i="3"/>
  <c r="AJ1064" i="3"/>
  <c r="AK1064" i="3" s="1"/>
  <c r="AL1064" i="3"/>
  <c r="AM1064" i="3"/>
  <c r="AJ1065" i="3"/>
  <c r="AK1065" i="3" s="1"/>
  <c r="AL1065" i="3"/>
  <c r="AM1065" i="3"/>
  <c r="AJ1066" i="3"/>
  <c r="AK1066" i="3" s="1"/>
  <c r="AL1066" i="3"/>
  <c r="AJ1067" i="3"/>
  <c r="AK1067" i="3" s="1"/>
  <c r="AL1067" i="3"/>
  <c r="AM1067" i="3"/>
  <c r="AJ1068" i="3"/>
  <c r="AK1068" i="3" s="1"/>
  <c r="AL1068" i="3"/>
  <c r="AM1068" i="3"/>
  <c r="AJ1069" i="3"/>
  <c r="AK1069" i="3" s="1"/>
  <c r="AL1069" i="3"/>
  <c r="AM1069" i="3"/>
  <c r="AJ1070" i="3"/>
  <c r="AK1070" i="3" s="1"/>
  <c r="AL1070" i="3"/>
  <c r="AM1070" i="3"/>
  <c r="AJ1071" i="3"/>
  <c r="AK1071" i="3" s="1"/>
  <c r="AL1071" i="3"/>
  <c r="AM1071" i="3"/>
  <c r="AJ1072" i="3"/>
  <c r="AK1072" i="3" s="1"/>
  <c r="AL1072" i="3"/>
  <c r="AM1072" i="3"/>
  <c r="AJ1073" i="3"/>
  <c r="AK1073" i="3" s="1"/>
  <c r="AL1073" i="3"/>
  <c r="AM1073" i="3"/>
  <c r="AJ1074" i="3"/>
  <c r="AK1074" i="3" s="1"/>
  <c r="AL1074" i="3"/>
  <c r="AM1074" i="3"/>
  <c r="AJ1075" i="3"/>
  <c r="AK1075" i="3" s="1"/>
  <c r="AL1075" i="3"/>
  <c r="AM1075" i="3"/>
  <c r="AJ1076" i="3"/>
  <c r="AK1076" i="3" s="1"/>
  <c r="AL1076" i="3"/>
  <c r="AM1076" i="3"/>
  <c r="AJ1077" i="3"/>
  <c r="AK1077" i="3" s="1"/>
  <c r="AL1077" i="3"/>
  <c r="AM1077" i="3"/>
  <c r="AJ1078" i="3"/>
  <c r="AK1078" i="3" s="1"/>
  <c r="AL1078" i="3"/>
  <c r="AM1078" i="3"/>
  <c r="AJ1079" i="3"/>
  <c r="AK1079" i="3" s="1"/>
  <c r="AL1079" i="3"/>
  <c r="AM1079" i="3"/>
  <c r="AJ1080" i="3"/>
  <c r="AK1080" i="3" s="1"/>
  <c r="AL1080" i="3"/>
  <c r="AM1080" i="3"/>
  <c r="AJ1081" i="3"/>
  <c r="AK1081" i="3" s="1"/>
  <c r="AL1081" i="3"/>
  <c r="AM1081" i="3"/>
  <c r="AJ1082" i="3"/>
  <c r="AK1082" i="3" s="1"/>
  <c r="AL1082" i="3"/>
  <c r="AM1082" i="3"/>
  <c r="AJ1083" i="3"/>
  <c r="AK1083" i="3" s="1"/>
  <c r="AL1083" i="3"/>
  <c r="AM1083" i="3"/>
  <c r="AJ1084" i="3"/>
  <c r="AK1084" i="3" s="1"/>
  <c r="AL1084" i="3"/>
  <c r="AM1084" i="3"/>
  <c r="AJ1085" i="3"/>
  <c r="AK1085" i="3" s="1"/>
  <c r="AL1085" i="3"/>
  <c r="AM1085" i="3"/>
  <c r="AJ1086" i="3"/>
  <c r="AK1086" i="3" s="1"/>
  <c r="AL1086" i="3"/>
  <c r="AM1086" i="3"/>
  <c r="AJ1087" i="3"/>
  <c r="AK1087" i="3" s="1"/>
  <c r="AL1087" i="3"/>
  <c r="AM1087" i="3"/>
  <c r="AJ1088" i="3"/>
  <c r="AK1088" i="3" s="1"/>
  <c r="AL1088" i="3"/>
  <c r="AM1088" i="3"/>
  <c r="AJ1089" i="3"/>
  <c r="AK1089" i="3" s="1"/>
  <c r="AL1089" i="3"/>
  <c r="AM1089" i="3"/>
  <c r="AJ1090" i="3"/>
  <c r="AK1090" i="3" s="1"/>
  <c r="AL1090" i="3"/>
  <c r="AM1090" i="3"/>
  <c r="AJ1091" i="3"/>
  <c r="AK1091" i="3" s="1"/>
  <c r="AL1091" i="3"/>
  <c r="AM1091" i="3"/>
  <c r="AJ1092" i="3"/>
  <c r="AK1092" i="3" s="1"/>
  <c r="AL1092" i="3"/>
  <c r="AM1092" i="3"/>
  <c r="AJ1093" i="3"/>
  <c r="AK1093" i="3" s="1"/>
  <c r="AL1093" i="3"/>
  <c r="AM1093" i="3"/>
  <c r="AJ1094" i="3"/>
  <c r="AK1094" i="3" s="1"/>
  <c r="AL1094" i="3"/>
  <c r="AM1094" i="3"/>
  <c r="AJ1095" i="3"/>
  <c r="AK1095" i="3" s="1"/>
  <c r="AL1095" i="3"/>
  <c r="AM1095" i="3"/>
  <c r="AJ1096" i="3"/>
  <c r="AK1096" i="3" s="1"/>
  <c r="AL1096" i="3"/>
  <c r="AM1096" i="3"/>
  <c r="AJ1097" i="3"/>
  <c r="AK1097" i="3" s="1"/>
  <c r="AL1097" i="3"/>
  <c r="AM1097" i="3"/>
  <c r="AJ1098" i="3"/>
  <c r="AK1098" i="3" s="1"/>
  <c r="AL1098" i="3"/>
  <c r="AM1098" i="3"/>
  <c r="AJ1099" i="3"/>
  <c r="AK1099" i="3" s="1"/>
  <c r="AL1099" i="3"/>
  <c r="AM1099" i="3"/>
  <c r="AJ1100" i="3"/>
  <c r="AK1100" i="3" s="1"/>
  <c r="AL1100" i="3"/>
  <c r="AM1100" i="3"/>
  <c r="AJ1101" i="3"/>
  <c r="AK1101" i="3" s="1"/>
  <c r="AL1101" i="3"/>
  <c r="AM1101" i="3"/>
  <c r="AJ1102" i="3"/>
  <c r="AK1102" i="3" s="1"/>
  <c r="AL1102" i="3"/>
  <c r="AM1102" i="3"/>
  <c r="AJ1103" i="3"/>
  <c r="AK1103" i="3" s="1"/>
  <c r="AL1103" i="3"/>
  <c r="AM1103" i="3"/>
  <c r="AJ1104" i="3"/>
  <c r="AK1104" i="3" s="1"/>
  <c r="AL1104" i="3"/>
  <c r="AM1104" i="3"/>
  <c r="AJ1105" i="3"/>
  <c r="AK1105" i="3" s="1"/>
  <c r="AL1105" i="3"/>
  <c r="AM1105" i="3"/>
  <c r="AJ1106" i="3"/>
  <c r="AK1106" i="3" s="1"/>
  <c r="AL1106" i="3"/>
  <c r="AM1106" i="3"/>
  <c r="AJ1107" i="3"/>
  <c r="AK1107" i="3" s="1"/>
  <c r="AL1107" i="3"/>
  <c r="AM1107" i="3"/>
  <c r="AJ1108" i="3"/>
  <c r="AK1108" i="3" s="1"/>
  <c r="AL1108" i="3"/>
  <c r="AM1108" i="3"/>
  <c r="AJ1109" i="3"/>
  <c r="AK1109" i="3" s="1"/>
  <c r="AL1109" i="3"/>
  <c r="AM1109" i="3"/>
  <c r="AJ1110" i="3"/>
  <c r="AK1110" i="3" s="1"/>
  <c r="AL1110" i="3"/>
  <c r="AM1110" i="3"/>
  <c r="AJ1111" i="3"/>
  <c r="AK1111" i="3" s="1"/>
  <c r="AL1111" i="3"/>
  <c r="AM1111" i="3"/>
  <c r="AJ1112" i="3"/>
  <c r="AK1112" i="3" s="1"/>
  <c r="AL1112" i="3"/>
  <c r="AM1112" i="3"/>
  <c r="AJ1113" i="3"/>
  <c r="AK1113" i="3" s="1"/>
  <c r="AL1113" i="3"/>
  <c r="AM1113" i="3"/>
  <c r="AJ1114" i="3"/>
  <c r="AK1114" i="3" s="1"/>
  <c r="AL1114" i="3"/>
  <c r="AM1114" i="3"/>
  <c r="AJ1115" i="3"/>
  <c r="AK1115" i="3" s="1"/>
  <c r="AL1115" i="3"/>
  <c r="AM1115" i="3"/>
  <c r="AJ1116" i="3"/>
  <c r="AK1116" i="3" s="1"/>
  <c r="AL1116" i="3"/>
  <c r="AM1116" i="3"/>
  <c r="AJ1117" i="3"/>
  <c r="AK1117" i="3" s="1"/>
  <c r="AL1117" i="3"/>
  <c r="AM1117" i="3"/>
  <c r="AJ1118" i="3"/>
  <c r="AK1118" i="3" s="1"/>
  <c r="AL1118" i="3"/>
  <c r="AM1118" i="3"/>
  <c r="AJ1119" i="3"/>
  <c r="AK1119" i="3" s="1"/>
  <c r="AL1119" i="3"/>
  <c r="AM1119" i="3"/>
  <c r="AJ1120" i="3"/>
  <c r="AK1120" i="3" s="1"/>
  <c r="AL1120" i="3"/>
  <c r="AM1120" i="3"/>
  <c r="AJ1121" i="3"/>
  <c r="AK1121" i="3" s="1"/>
  <c r="AL1121" i="3"/>
  <c r="AJ1122" i="3"/>
  <c r="AK1122" i="3" s="1"/>
  <c r="AL1122" i="3"/>
  <c r="AM1122" i="3"/>
  <c r="AJ1123" i="3"/>
  <c r="AK1123" i="3" s="1"/>
  <c r="AL1123" i="3"/>
  <c r="AM1123" i="3"/>
  <c r="AJ1124" i="3"/>
  <c r="AK1124" i="3" s="1"/>
  <c r="AL1124" i="3"/>
  <c r="AM1124" i="3"/>
  <c r="AJ1125" i="3"/>
  <c r="AK1125" i="3" s="1"/>
  <c r="AL1125" i="3"/>
  <c r="AM1125" i="3"/>
  <c r="AJ1126" i="3"/>
  <c r="AK1126" i="3" s="1"/>
  <c r="AL1126" i="3"/>
  <c r="AM1126" i="3"/>
  <c r="AJ1127" i="3"/>
  <c r="AK1127" i="3" s="1"/>
  <c r="AL1127" i="3"/>
  <c r="AM1127" i="3"/>
  <c r="AJ1128" i="3"/>
  <c r="AK1128" i="3" s="1"/>
  <c r="AL1128" i="3"/>
  <c r="AM1128" i="3"/>
  <c r="AJ1129" i="3"/>
  <c r="AK1129" i="3" s="1"/>
  <c r="AL1129" i="3"/>
  <c r="AM1129" i="3"/>
  <c r="AJ1130" i="3"/>
  <c r="AK1130" i="3" s="1"/>
  <c r="AL1130" i="3"/>
  <c r="AM1130" i="3"/>
  <c r="AJ1131" i="3"/>
  <c r="AK1131" i="3" s="1"/>
  <c r="AL1131" i="3"/>
  <c r="AM1131" i="3"/>
  <c r="AJ1132" i="3"/>
  <c r="AK1132" i="3" s="1"/>
  <c r="AL1132" i="3"/>
  <c r="AM1132" i="3"/>
  <c r="AJ1133" i="3"/>
  <c r="AK1133" i="3" s="1"/>
  <c r="AL1133" i="3"/>
  <c r="AM1133" i="3"/>
  <c r="AJ1134" i="3"/>
  <c r="AK1134" i="3" s="1"/>
  <c r="AL1134" i="3"/>
  <c r="AM1134" i="3"/>
  <c r="AJ1135" i="3"/>
  <c r="AK1135" i="3" s="1"/>
  <c r="AL1135" i="3"/>
  <c r="AM1135" i="3"/>
  <c r="AJ1136" i="3"/>
  <c r="AK1136" i="3" s="1"/>
  <c r="AL1136" i="3"/>
  <c r="AM1136" i="3"/>
  <c r="AJ1137" i="3"/>
  <c r="AK1137" i="3" s="1"/>
  <c r="AL1137" i="3"/>
  <c r="AM1137" i="3"/>
  <c r="AJ1138" i="3"/>
  <c r="AK1138" i="3" s="1"/>
  <c r="AL1138" i="3"/>
  <c r="AM1138" i="3"/>
  <c r="AJ1139" i="3"/>
  <c r="AK1139" i="3" s="1"/>
  <c r="AL1139" i="3"/>
  <c r="AM1139" i="3"/>
  <c r="AJ1140" i="3"/>
  <c r="AK1140" i="3" s="1"/>
  <c r="AL1140" i="3"/>
  <c r="AM1140" i="3"/>
  <c r="AJ1141" i="3"/>
  <c r="AK1141" i="3" s="1"/>
  <c r="AL1141" i="3"/>
  <c r="AM1141" i="3"/>
  <c r="AJ1142" i="3"/>
  <c r="AK1142" i="3" s="1"/>
  <c r="AL1142" i="3"/>
  <c r="AM1142" i="3"/>
  <c r="AJ1143" i="3"/>
  <c r="AK1143" i="3" s="1"/>
  <c r="AL1143" i="3"/>
  <c r="AM1143" i="3"/>
  <c r="AJ1144" i="3"/>
  <c r="AK1144" i="3" s="1"/>
  <c r="AL1144" i="3"/>
  <c r="AM1144" i="3"/>
  <c r="AJ1145" i="3"/>
  <c r="AK1145" i="3" s="1"/>
  <c r="AL1145" i="3"/>
  <c r="AM1145" i="3"/>
  <c r="AJ1146" i="3"/>
  <c r="AK1146" i="3" s="1"/>
  <c r="AL1146" i="3"/>
  <c r="AM1146" i="3"/>
  <c r="AJ1147" i="3"/>
  <c r="AK1147" i="3" s="1"/>
  <c r="AL1147" i="3"/>
  <c r="AM1147" i="3"/>
  <c r="AJ1148" i="3"/>
  <c r="AK1148" i="3" s="1"/>
  <c r="AL1148" i="3"/>
  <c r="AM1148" i="3"/>
  <c r="AJ1149" i="3"/>
  <c r="AK1149" i="3" s="1"/>
  <c r="AL1149" i="3"/>
  <c r="AM1149" i="3"/>
  <c r="AJ1150" i="3"/>
  <c r="AK1150" i="3" s="1"/>
  <c r="AL1150" i="3"/>
  <c r="AM1150" i="3"/>
  <c r="AJ1151" i="3"/>
  <c r="AK1151" i="3" s="1"/>
  <c r="AL1151" i="3"/>
  <c r="AM1151" i="3"/>
  <c r="AJ1152" i="3"/>
  <c r="AK1152" i="3" s="1"/>
  <c r="AL1152" i="3"/>
  <c r="AM1152" i="3"/>
  <c r="AJ1153" i="3"/>
  <c r="AK1153" i="3" s="1"/>
  <c r="AL1153" i="3"/>
  <c r="AM1153" i="3"/>
  <c r="AJ1154" i="3"/>
  <c r="AK1154" i="3" s="1"/>
  <c r="AL1154" i="3"/>
  <c r="AM1154" i="3"/>
  <c r="AJ1155" i="3"/>
  <c r="AK1155" i="3" s="1"/>
  <c r="AL1155" i="3"/>
  <c r="AM1155" i="3"/>
  <c r="AJ1156" i="3"/>
  <c r="AK1156" i="3" s="1"/>
  <c r="AL1156" i="3"/>
  <c r="AM1156" i="3"/>
  <c r="AJ1157" i="3"/>
  <c r="AK1157" i="3" s="1"/>
  <c r="AL1157" i="3"/>
  <c r="AM1157" i="3"/>
  <c r="AJ1158" i="3"/>
  <c r="AK1158" i="3" s="1"/>
  <c r="AL1158" i="3"/>
  <c r="AM1158" i="3"/>
  <c r="AJ1159" i="3"/>
  <c r="AK1159" i="3" s="1"/>
  <c r="AL1159" i="3"/>
  <c r="AM1159" i="3"/>
  <c r="AJ1160" i="3"/>
  <c r="AK1160" i="3" s="1"/>
  <c r="AL1160" i="3"/>
  <c r="AM1160" i="3"/>
  <c r="AJ1161" i="3"/>
  <c r="AK1161" i="3" s="1"/>
  <c r="AL1161" i="3"/>
  <c r="AM1161" i="3"/>
  <c r="AJ1162" i="3"/>
  <c r="AK1162" i="3" s="1"/>
  <c r="AL1162" i="3"/>
  <c r="AM1162" i="3"/>
  <c r="AJ1163" i="3"/>
  <c r="AK1163" i="3" s="1"/>
  <c r="AL1163" i="3"/>
  <c r="AM1163" i="3"/>
  <c r="AJ1164" i="3"/>
  <c r="AK1164" i="3" s="1"/>
  <c r="AL1164" i="3"/>
  <c r="AM1164" i="3"/>
  <c r="AJ1165" i="3"/>
  <c r="AK1165" i="3" s="1"/>
  <c r="AL1165" i="3"/>
  <c r="AM1165" i="3"/>
  <c r="AJ1166" i="3"/>
  <c r="AK1166" i="3" s="1"/>
  <c r="AL1166" i="3"/>
  <c r="AM1166" i="3"/>
  <c r="AJ1167" i="3"/>
  <c r="AK1167" i="3" s="1"/>
  <c r="AL1167" i="3"/>
  <c r="AM1167" i="3"/>
  <c r="AJ1168" i="3"/>
  <c r="AK1168" i="3" s="1"/>
  <c r="AL1168" i="3"/>
  <c r="AM1168" i="3"/>
  <c r="AJ1169" i="3"/>
  <c r="AK1169" i="3" s="1"/>
  <c r="AL1169" i="3"/>
  <c r="AM1169" i="3"/>
  <c r="AJ1170" i="3"/>
  <c r="AK1170" i="3" s="1"/>
  <c r="AL1170" i="3"/>
  <c r="AM1170" i="3"/>
  <c r="AJ1171" i="3"/>
  <c r="AK1171" i="3" s="1"/>
  <c r="AL1171" i="3"/>
  <c r="AM1171" i="3"/>
  <c r="AJ1172" i="3"/>
  <c r="AK1172" i="3" s="1"/>
  <c r="AL1172" i="3"/>
  <c r="AM1172" i="3"/>
  <c r="AJ1173" i="3"/>
  <c r="AK1173" i="3" s="1"/>
  <c r="AL1173" i="3"/>
  <c r="AM1173" i="3"/>
  <c r="AJ1174" i="3"/>
  <c r="AK1174" i="3" s="1"/>
  <c r="AL1174" i="3"/>
  <c r="AM1174" i="3"/>
  <c r="AJ1175" i="3"/>
  <c r="AK1175" i="3" s="1"/>
  <c r="AL1175" i="3"/>
  <c r="AM1175" i="3"/>
  <c r="AJ1176" i="3"/>
  <c r="AK1176" i="3" s="1"/>
  <c r="AL1176" i="3"/>
  <c r="AM1176" i="3"/>
  <c r="AJ1177" i="3"/>
  <c r="AK1177" i="3" s="1"/>
  <c r="AL1177" i="3"/>
  <c r="AM1177" i="3"/>
  <c r="AJ1178" i="3"/>
  <c r="AK1178" i="3" s="1"/>
  <c r="AL1178" i="3"/>
  <c r="AM1178" i="3"/>
  <c r="AJ1179" i="3"/>
  <c r="AK1179" i="3" s="1"/>
  <c r="AL1179" i="3"/>
  <c r="AM1179" i="3"/>
  <c r="AJ1180" i="3"/>
  <c r="AK1180" i="3" s="1"/>
  <c r="AL1180" i="3"/>
  <c r="AM1180" i="3"/>
  <c r="AJ1181" i="3"/>
  <c r="AK1181" i="3" s="1"/>
  <c r="AL1181" i="3"/>
  <c r="AM1181" i="3"/>
  <c r="AJ1182" i="3"/>
  <c r="AK1182" i="3" s="1"/>
  <c r="AL1182" i="3"/>
  <c r="AM1182" i="3"/>
  <c r="AJ1183" i="3"/>
  <c r="AK1183" i="3" s="1"/>
  <c r="AL1183" i="3"/>
  <c r="AM1183" i="3"/>
  <c r="AJ1184" i="3"/>
  <c r="AK1184" i="3" s="1"/>
  <c r="AL1184" i="3"/>
  <c r="AM1184" i="3"/>
  <c r="AJ1185" i="3"/>
  <c r="AK1185" i="3" s="1"/>
  <c r="AL1185" i="3"/>
  <c r="AM1185" i="3"/>
  <c r="AJ1186" i="3"/>
  <c r="AK1186" i="3" s="1"/>
  <c r="AL1186" i="3"/>
  <c r="AM1186" i="3"/>
  <c r="AJ1187" i="3"/>
  <c r="AK1187" i="3" s="1"/>
  <c r="AL1187" i="3"/>
  <c r="AM1187" i="3"/>
  <c r="AJ1188" i="3"/>
  <c r="AK1188" i="3" s="1"/>
  <c r="AL1188" i="3"/>
  <c r="AM1188" i="3"/>
  <c r="AJ1189" i="3"/>
  <c r="AK1189" i="3" s="1"/>
  <c r="AL1189" i="3"/>
  <c r="AM1189" i="3"/>
  <c r="AJ1190" i="3"/>
  <c r="AK1190" i="3" s="1"/>
  <c r="AL1190" i="3"/>
  <c r="AM1190" i="3"/>
  <c r="AJ1191" i="3"/>
  <c r="AK1191" i="3" s="1"/>
  <c r="AL1191" i="3"/>
  <c r="AM1191" i="3"/>
  <c r="AJ1192" i="3"/>
  <c r="AK1192" i="3" s="1"/>
  <c r="AL1192" i="3"/>
  <c r="AM1192" i="3"/>
  <c r="AJ1193" i="3"/>
  <c r="AK1193" i="3" s="1"/>
  <c r="AL1193" i="3"/>
  <c r="AM1193" i="3"/>
  <c r="AJ1194" i="3"/>
  <c r="AK1194" i="3" s="1"/>
  <c r="AL1194" i="3"/>
  <c r="AM1194" i="3"/>
  <c r="AJ1195" i="3"/>
  <c r="AK1195" i="3" s="1"/>
  <c r="AL1195" i="3"/>
  <c r="AM1195" i="3"/>
  <c r="AJ1196" i="3"/>
  <c r="AK1196" i="3" s="1"/>
  <c r="AL1196" i="3"/>
  <c r="AM1196" i="3"/>
  <c r="AJ1197" i="3"/>
  <c r="AK1197" i="3" s="1"/>
  <c r="AL1197" i="3"/>
  <c r="AM1197" i="3"/>
  <c r="AJ1198" i="3"/>
  <c r="AK1198" i="3" s="1"/>
  <c r="AL1198" i="3"/>
  <c r="AM1198" i="3"/>
  <c r="AJ1199" i="3"/>
  <c r="AK1199" i="3" s="1"/>
  <c r="AL1199" i="3"/>
  <c r="AM1199" i="3"/>
  <c r="AJ1200" i="3"/>
  <c r="AK1200" i="3" s="1"/>
  <c r="AL1200" i="3"/>
  <c r="AM1200" i="3"/>
  <c r="AJ1201" i="3"/>
  <c r="AK1201" i="3" s="1"/>
  <c r="AL1201" i="3"/>
  <c r="AM1201" i="3"/>
  <c r="AJ1202" i="3"/>
  <c r="AK1202" i="3" s="1"/>
  <c r="AL1202" i="3"/>
  <c r="AM1202" i="3"/>
  <c r="AJ1203" i="3"/>
  <c r="AK1203" i="3" s="1"/>
  <c r="AL1203" i="3"/>
  <c r="AM1203" i="3"/>
  <c r="AJ1204" i="3"/>
  <c r="AK1204" i="3" s="1"/>
  <c r="AL1204" i="3"/>
  <c r="AM1204" i="3"/>
  <c r="AJ1205" i="3"/>
  <c r="AK1205" i="3" s="1"/>
  <c r="AL1205" i="3"/>
  <c r="AM1205" i="3"/>
  <c r="AJ1206" i="3"/>
  <c r="AK1206" i="3" s="1"/>
  <c r="AL1206" i="3"/>
  <c r="AM1206" i="3"/>
  <c r="AJ1207" i="3"/>
  <c r="AK1207" i="3" s="1"/>
  <c r="AL1207" i="3"/>
  <c r="AM1207" i="3"/>
  <c r="AJ1208" i="3"/>
  <c r="AK1208" i="3" s="1"/>
  <c r="AL1208" i="3"/>
  <c r="AM1208" i="3"/>
  <c r="AJ1209" i="3"/>
  <c r="AK1209" i="3" s="1"/>
  <c r="AL1209" i="3"/>
  <c r="AM1209" i="3"/>
  <c r="AJ1210" i="3"/>
  <c r="AK1210" i="3" s="1"/>
  <c r="AL1210" i="3"/>
  <c r="AM1210" i="3"/>
  <c r="AJ1211" i="3"/>
  <c r="AK1211" i="3" s="1"/>
  <c r="AL1211" i="3"/>
  <c r="AM1211" i="3"/>
  <c r="AJ1212" i="3"/>
  <c r="AK1212" i="3" s="1"/>
  <c r="AL1212" i="3"/>
  <c r="AM1212" i="3"/>
  <c r="AJ1213" i="3"/>
  <c r="AK1213" i="3" s="1"/>
  <c r="AL1213" i="3"/>
  <c r="AM1213" i="3"/>
  <c r="AJ1214" i="3"/>
  <c r="AK1214" i="3" s="1"/>
  <c r="AL1214" i="3"/>
  <c r="AM1214" i="3"/>
  <c r="AJ1215" i="3"/>
  <c r="AK1215" i="3" s="1"/>
  <c r="AL1215" i="3"/>
  <c r="AM1215" i="3"/>
  <c r="AJ1216" i="3"/>
  <c r="AK1216" i="3" s="1"/>
  <c r="AL1216" i="3"/>
  <c r="AM1216" i="3"/>
  <c r="AJ1217" i="3"/>
  <c r="AK1217" i="3" s="1"/>
  <c r="AL1217" i="3"/>
  <c r="AM1217" i="3"/>
  <c r="AJ1218" i="3"/>
  <c r="AK1218" i="3" s="1"/>
  <c r="AL1218" i="3"/>
  <c r="AM1218" i="3"/>
  <c r="AJ1219" i="3"/>
  <c r="AK1219" i="3" s="1"/>
  <c r="AL1219" i="3"/>
  <c r="AM1219" i="3"/>
  <c r="AJ1220" i="3"/>
  <c r="AK1220" i="3" s="1"/>
  <c r="AL1220" i="3"/>
  <c r="AM1220" i="3"/>
  <c r="AJ1221" i="3"/>
  <c r="AK1221" i="3" s="1"/>
  <c r="AL1221" i="3"/>
  <c r="AM1221" i="3"/>
  <c r="AJ1222" i="3"/>
  <c r="AK1222" i="3" s="1"/>
  <c r="AL1222" i="3"/>
  <c r="AM1222" i="3"/>
  <c r="AJ1223" i="3"/>
  <c r="AK1223" i="3" s="1"/>
  <c r="AL1223" i="3"/>
  <c r="AM1223" i="3"/>
  <c r="AJ1224" i="3"/>
  <c r="AK1224" i="3" s="1"/>
  <c r="AL1224" i="3"/>
  <c r="AM1224" i="3"/>
  <c r="AJ1225" i="3"/>
  <c r="AK1225" i="3" s="1"/>
  <c r="AL1225" i="3"/>
  <c r="AM1225" i="3"/>
  <c r="AJ1226" i="3"/>
  <c r="AK1226" i="3" s="1"/>
  <c r="AL1226" i="3"/>
  <c r="AM1226" i="3"/>
  <c r="AJ1227" i="3"/>
  <c r="AK1227" i="3" s="1"/>
  <c r="AL1227" i="3"/>
  <c r="AM1227" i="3"/>
  <c r="AJ1228" i="3"/>
  <c r="AK1228" i="3" s="1"/>
  <c r="AL1228" i="3"/>
  <c r="AM1228" i="3"/>
  <c r="AJ1229" i="3"/>
  <c r="AK1229" i="3" s="1"/>
  <c r="AL1229" i="3"/>
  <c r="AM1229" i="3"/>
  <c r="AJ1230" i="3"/>
  <c r="AK1230" i="3" s="1"/>
  <c r="AL1230" i="3"/>
  <c r="AM1230" i="3"/>
  <c r="AJ1231" i="3"/>
  <c r="AK1231" i="3" s="1"/>
  <c r="AL1231" i="3"/>
  <c r="AM1231" i="3"/>
  <c r="AJ1232" i="3"/>
  <c r="AK1232" i="3" s="1"/>
  <c r="AL1232" i="3"/>
  <c r="AM1232" i="3"/>
  <c r="AJ1233" i="3"/>
  <c r="AK1233" i="3" s="1"/>
  <c r="AL1233" i="3"/>
  <c r="AM1233" i="3"/>
  <c r="AJ1234" i="3"/>
  <c r="AK1234" i="3" s="1"/>
  <c r="AL1234" i="3"/>
  <c r="AM1234" i="3"/>
  <c r="AJ1235" i="3"/>
  <c r="AK1235" i="3" s="1"/>
  <c r="AL1235" i="3"/>
  <c r="AM1235" i="3"/>
  <c r="AJ1236" i="3"/>
  <c r="AK1236" i="3" s="1"/>
  <c r="AL1236" i="3"/>
  <c r="AM1236" i="3"/>
  <c r="AJ1237" i="3"/>
  <c r="AK1237" i="3" s="1"/>
  <c r="AL1237" i="3"/>
  <c r="AM1237" i="3"/>
  <c r="AJ1238" i="3"/>
  <c r="AK1238" i="3" s="1"/>
  <c r="AL1238" i="3"/>
  <c r="AM1238" i="3"/>
  <c r="AJ1239" i="3"/>
  <c r="AK1239" i="3" s="1"/>
  <c r="AL1239" i="3"/>
  <c r="AM1239" i="3"/>
  <c r="AJ1240" i="3"/>
  <c r="AK1240" i="3" s="1"/>
  <c r="AL1240" i="3"/>
  <c r="AM1240" i="3"/>
  <c r="AJ1241" i="3"/>
  <c r="AK1241" i="3" s="1"/>
  <c r="AL1241" i="3"/>
  <c r="AM1241" i="3"/>
  <c r="AJ1242" i="3"/>
  <c r="AK1242" i="3" s="1"/>
  <c r="AL1242" i="3"/>
  <c r="AM1242" i="3"/>
  <c r="AJ1243" i="3"/>
  <c r="AK1243" i="3" s="1"/>
  <c r="AL1243" i="3"/>
  <c r="AM1243" i="3"/>
  <c r="AJ1244" i="3"/>
  <c r="AK1244" i="3" s="1"/>
  <c r="AL1244" i="3"/>
  <c r="AM1244" i="3"/>
  <c r="AJ1245" i="3"/>
  <c r="AK1245" i="3" s="1"/>
  <c r="AL1245" i="3"/>
  <c r="AM1245" i="3"/>
  <c r="AJ1246" i="3"/>
  <c r="AK1246" i="3" s="1"/>
  <c r="AL1246" i="3"/>
  <c r="AM1246" i="3"/>
  <c r="AJ1247" i="3"/>
  <c r="AK1247" i="3" s="1"/>
  <c r="AL1247" i="3"/>
  <c r="AM1247" i="3"/>
  <c r="AJ1248" i="3"/>
  <c r="AK1248" i="3" s="1"/>
  <c r="AL1248" i="3"/>
  <c r="AM1248" i="3"/>
  <c r="AJ1249" i="3"/>
  <c r="AK1249" i="3" s="1"/>
  <c r="AL1249" i="3"/>
  <c r="AM1249" i="3"/>
  <c r="AJ1250" i="3"/>
  <c r="AK1250" i="3" s="1"/>
  <c r="AL1250" i="3"/>
  <c r="AM1250" i="3"/>
  <c r="AJ1251" i="3"/>
  <c r="AK1251" i="3" s="1"/>
  <c r="AL1251" i="3"/>
  <c r="AM1251" i="3"/>
  <c r="AJ1252" i="3"/>
  <c r="AK1252" i="3" s="1"/>
  <c r="AL1252" i="3"/>
  <c r="AM1252" i="3"/>
  <c r="AJ1253" i="3"/>
  <c r="AK1253" i="3" s="1"/>
  <c r="AL1253" i="3"/>
  <c r="AM1253" i="3"/>
  <c r="AJ1254" i="3"/>
  <c r="AK1254" i="3" s="1"/>
  <c r="AL1254" i="3"/>
  <c r="AM1254" i="3"/>
  <c r="AJ1255" i="3"/>
  <c r="AK1255" i="3" s="1"/>
  <c r="AL1255" i="3"/>
  <c r="AM1255" i="3"/>
  <c r="AJ1256" i="3"/>
  <c r="AK1256" i="3" s="1"/>
  <c r="AL1256" i="3"/>
  <c r="AM1256" i="3"/>
  <c r="AJ1257" i="3"/>
  <c r="AK1257" i="3" s="1"/>
  <c r="AL1257" i="3"/>
  <c r="AM1257" i="3"/>
  <c r="AJ1258" i="3"/>
  <c r="AK1258" i="3" s="1"/>
  <c r="AL1258" i="3"/>
  <c r="AM1258" i="3"/>
  <c r="AJ1259" i="3"/>
  <c r="AK1259" i="3" s="1"/>
  <c r="AL1259" i="3"/>
  <c r="AJ1260" i="3"/>
  <c r="AK1260" i="3" s="1"/>
  <c r="AL1260" i="3"/>
  <c r="AJ1261" i="3"/>
  <c r="AK1261" i="3" s="1"/>
  <c r="AL1261" i="3"/>
  <c r="AJ1262" i="3"/>
  <c r="AK1262" i="3" s="1"/>
  <c r="AL1262" i="3"/>
  <c r="AJ1263" i="3"/>
  <c r="AK1263" i="3" s="1"/>
  <c r="AL1263" i="3"/>
  <c r="AJ1264" i="3"/>
  <c r="AK1264" i="3" s="1"/>
  <c r="AL1264" i="3"/>
  <c r="AJ1265" i="3"/>
  <c r="AK1265" i="3" s="1"/>
  <c r="AL1265" i="3"/>
  <c r="AM1265" i="3"/>
  <c r="AJ1266" i="3"/>
  <c r="AK1266" i="3" s="1"/>
  <c r="AL1266" i="3"/>
  <c r="AM1266" i="3"/>
  <c r="AJ1267" i="3"/>
  <c r="AK1267" i="3" s="1"/>
  <c r="AL1267" i="3"/>
  <c r="AM1267" i="3"/>
  <c r="AJ1268" i="3"/>
  <c r="AK1268" i="3" s="1"/>
  <c r="AL1268" i="3"/>
  <c r="AM1268" i="3"/>
  <c r="AJ1269" i="3"/>
  <c r="AK1269" i="3" s="1"/>
  <c r="AL1269" i="3"/>
  <c r="AM1269" i="3"/>
  <c r="AJ1270" i="3"/>
  <c r="AK1270" i="3" s="1"/>
  <c r="AL1270" i="3"/>
  <c r="AM1270" i="3"/>
  <c r="AJ1271" i="3"/>
  <c r="AK1271" i="3" s="1"/>
  <c r="AL1271" i="3"/>
  <c r="AM1271" i="3"/>
  <c r="AJ1272" i="3"/>
  <c r="AK1272" i="3" s="1"/>
  <c r="AL1272" i="3"/>
  <c r="AM1272" i="3"/>
  <c r="AJ1273" i="3"/>
  <c r="AK1273" i="3" s="1"/>
  <c r="AL1273" i="3"/>
  <c r="AM1273" i="3"/>
  <c r="AJ1274" i="3"/>
  <c r="AK1274" i="3" s="1"/>
  <c r="AL1274" i="3"/>
  <c r="AM1274" i="3"/>
  <c r="AJ1275" i="3"/>
  <c r="AK1275" i="3" s="1"/>
  <c r="AL1275" i="3"/>
  <c r="AM1275" i="3"/>
  <c r="AJ1276" i="3"/>
  <c r="AK1276" i="3" s="1"/>
  <c r="AL1276" i="3"/>
  <c r="AM1276" i="3"/>
  <c r="AJ1277" i="3"/>
  <c r="AK1277" i="3" s="1"/>
  <c r="AL1277" i="3"/>
  <c r="AJ1278" i="3"/>
  <c r="AK1278" i="3" s="1"/>
  <c r="AL1278" i="3"/>
  <c r="AJ1279" i="3"/>
  <c r="AK1279" i="3" s="1"/>
  <c r="AL1279" i="3"/>
  <c r="AJ1280" i="3"/>
  <c r="AK1280" i="3" s="1"/>
  <c r="AL1280" i="3"/>
  <c r="AJ1281" i="3"/>
  <c r="AK1281" i="3" s="1"/>
  <c r="AL1281" i="3"/>
  <c r="AJ1282" i="3"/>
  <c r="AK1282" i="3" s="1"/>
  <c r="AL1282" i="3"/>
  <c r="AJ1283" i="3"/>
  <c r="AK1283" i="3" s="1"/>
  <c r="AL1283" i="3"/>
  <c r="AJ1284" i="3"/>
  <c r="AK1284" i="3" s="1"/>
  <c r="AL1284" i="3"/>
  <c r="AJ1285" i="3"/>
  <c r="AK1285" i="3" s="1"/>
  <c r="AL1285" i="3"/>
  <c r="AJ1286" i="3"/>
  <c r="AK1286" i="3" s="1"/>
  <c r="AJ1287" i="3"/>
  <c r="AL1287" i="3" s="1"/>
  <c r="AJ1288" i="3"/>
  <c r="AK1288" i="3" s="1"/>
  <c r="AL1288" i="3"/>
  <c r="AJ1289" i="3"/>
  <c r="AK1289" i="3" s="1"/>
  <c r="AJ1290" i="3"/>
  <c r="AL1290" i="3" s="1"/>
  <c r="AJ1291" i="3"/>
  <c r="AK1291" i="3" s="1"/>
  <c r="AJ1292" i="3"/>
  <c r="AK1292" i="3" s="1"/>
  <c r="AL1292" i="3"/>
  <c r="AM1292" i="3"/>
  <c r="AJ1293" i="3"/>
  <c r="AK1293" i="3" s="1"/>
  <c r="AJ1294" i="3"/>
  <c r="AL1294" i="3" s="1"/>
  <c r="AJ1295" i="3"/>
  <c r="AK1295" i="3" s="1"/>
  <c r="AJ1296" i="3"/>
  <c r="AL1296" i="3" s="1"/>
  <c r="AJ1297" i="3"/>
  <c r="AK1297" i="3" s="1"/>
  <c r="AJ1298" i="3"/>
  <c r="AL1298" i="3" s="1"/>
  <c r="AJ1299" i="3"/>
  <c r="AK1299" i="3" s="1"/>
  <c r="AJ1300" i="3"/>
  <c r="AL1300" i="3" s="1"/>
  <c r="AJ1301" i="3"/>
  <c r="AK1301" i="3" s="1"/>
  <c r="AJ1302" i="3"/>
  <c r="AK1302" i="3" s="1"/>
  <c r="AL1302" i="3"/>
  <c r="AM1302" i="3"/>
  <c r="AJ1303" i="3"/>
  <c r="AK1303" i="3" s="1"/>
  <c r="AJ1304" i="3"/>
  <c r="AL1304" i="3" s="1"/>
  <c r="AJ1305" i="3"/>
  <c r="AL1305" i="3" s="1"/>
  <c r="AJ1306" i="3"/>
  <c r="AK1306" i="3" s="1"/>
  <c r="AJ1307" i="3"/>
  <c r="AL1307" i="3" s="1"/>
  <c r="AJ1308" i="3"/>
  <c r="AK1308" i="3" s="1"/>
  <c r="AL1308" i="3"/>
  <c r="AJ1309" i="3"/>
  <c r="AK1309" i="3" s="1"/>
  <c r="AJ1310" i="3"/>
  <c r="AL1310" i="3" s="1"/>
  <c r="AJ1311" i="3"/>
  <c r="AK1311" i="3" s="1"/>
  <c r="AJ1312" i="3"/>
  <c r="AK1312" i="3" s="1"/>
  <c r="AL1312" i="3"/>
  <c r="AJ1313" i="3"/>
  <c r="AL1313" i="3" s="1"/>
  <c r="AJ1314" i="3"/>
  <c r="AK1314" i="3" s="1"/>
  <c r="AJ1315" i="3"/>
  <c r="AL1315" i="3" s="1"/>
  <c r="AJ1316" i="3"/>
  <c r="AK1316" i="3" s="1"/>
  <c r="AJ1317" i="3"/>
  <c r="AL1317" i="3" s="1"/>
  <c r="AJ1318" i="3"/>
  <c r="AK1318" i="3" s="1"/>
  <c r="AL1318" i="3"/>
  <c r="AJ1319" i="3"/>
  <c r="AK1319" i="3" s="1"/>
  <c r="AJ1320" i="3"/>
  <c r="AL1320" i="3" s="1"/>
  <c r="AJ1321" i="3"/>
  <c r="AK1321" i="3" s="1"/>
  <c r="AJ1322" i="3"/>
  <c r="AL1322" i="3" s="1"/>
  <c r="AJ1323" i="3"/>
  <c r="AK1323" i="3" s="1"/>
  <c r="AJ1324" i="3"/>
  <c r="AL1324" i="3" s="1"/>
  <c r="AJ1325" i="3"/>
  <c r="AK1325" i="3" s="1"/>
  <c r="AJ1326" i="3"/>
  <c r="AL1326" i="3" s="1"/>
  <c r="AJ1327" i="3"/>
  <c r="AK1327" i="3" s="1"/>
  <c r="AJ1328" i="3"/>
  <c r="AL1328" i="3" s="1"/>
  <c r="AJ1329" i="3"/>
  <c r="AK1329" i="3" s="1"/>
  <c r="AJ1330" i="3"/>
  <c r="AL1330" i="3" s="1"/>
  <c r="AJ1331" i="3"/>
  <c r="AK1331" i="3" s="1"/>
  <c r="AJ1332" i="3"/>
  <c r="AL1332" i="3" s="1"/>
  <c r="AJ1333" i="3"/>
  <c r="AK1333" i="3" s="1"/>
  <c r="AJ1334" i="3"/>
  <c r="AL1334" i="3" s="1"/>
  <c r="AJ1335" i="3"/>
  <c r="AK1335" i="3" s="1"/>
  <c r="AJ1336" i="3"/>
  <c r="AL1336" i="3" s="1"/>
  <c r="AJ1337" i="3"/>
  <c r="AK1337" i="3" s="1"/>
  <c r="AJ1338" i="3"/>
  <c r="AL1338" i="3" s="1"/>
  <c r="AJ1339" i="3"/>
  <c r="AK1339" i="3" s="1"/>
  <c r="AJ1340" i="3"/>
  <c r="AL1340" i="3" s="1"/>
  <c r="AJ1341" i="3"/>
  <c r="AK1341" i="3" s="1"/>
  <c r="AL1341" i="3"/>
  <c r="AM1341" i="3"/>
  <c r="AJ1342" i="3"/>
  <c r="AL1342" i="3" s="1"/>
  <c r="AJ1343" i="3"/>
  <c r="AK1343" i="3" s="1"/>
  <c r="AJ1344" i="3"/>
  <c r="AK1344" i="3" s="1"/>
  <c r="AJ1345" i="3"/>
  <c r="AL1345" i="3" s="1"/>
  <c r="AJ1346" i="3"/>
  <c r="AK1346" i="3" s="1"/>
  <c r="AJ1347" i="3"/>
  <c r="AL1347" i="3" s="1"/>
  <c r="AJ1348" i="3"/>
  <c r="AK1348" i="3" s="1"/>
  <c r="AJ1349" i="3"/>
  <c r="AL1349" i="3" s="1"/>
  <c r="AJ1350" i="3"/>
  <c r="AK1350" i="3" s="1"/>
  <c r="AJ1351" i="3"/>
  <c r="AL1351" i="3" s="1"/>
  <c r="AJ1352" i="3"/>
  <c r="AK1352" i="3" s="1"/>
  <c r="AL1352" i="3"/>
  <c r="AM1352" i="3"/>
  <c r="AJ1353" i="3"/>
  <c r="AL1353" i="3" s="1"/>
  <c r="AJ1354" i="3"/>
  <c r="AK1354" i="3" s="1"/>
  <c r="AJ1355" i="3"/>
  <c r="AL1355" i="3" s="1"/>
  <c r="AJ1356" i="3"/>
  <c r="AK1356" i="3" s="1"/>
  <c r="AL1356" i="3"/>
  <c r="AM1356" i="3"/>
  <c r="AJ1357" i="3"/>
  <c r="AL1357" i="3" s="1"/>
  <c r="AJ1358" i="3"/>
  <c r="AK1358" i="3" s="1"/>
  <c r="AJ1359" i="3"/>
  <c r="AL1359" i="3" s="1"/>
  <c r="AJ1360" i="3"/>
  <c r="AK1360" i="3" s="1"/>
  <c r="AL1360" i="3"/>
  <c r="AM1360" i="3"/>
  <c r="AJ1361" i="3"/>
  <c r="AK1361" i="3" s="1"/>
  <c r="AL1361" i="3"/>
  <c r="AM1361" i="3"/>
  <c r="AJ1362" i="3"/>
  <c r="AK1362" i="3" s="1"/>
  <c r="AL1362" i="3"/>
  <c r="AM1362" i="3"/>
  <c r="AJ1363" i="3"/>
  <c r="AK1363" i="3" s="1"/>
  <c r="AL1363" i="3"/>
  <c r="AM1363" i="3"/>
  <c r="AJ1364" i="3"/>
  <c r="AK1364" i="3" s="1"/>
  <c r="AL1364" i="3"/>
  <c r="AM1364" i="3"/>
  <c r="AJ1365" i="3"/>
  <c r="AK1365" i="3" s="1"/>
  <c r="AL1365" i="3"/>
  <c r="AM1365" i="3"/>
  <c r="AJ1366" i="3"/>
  <c r="AK1366" i="3" s="1"/>
  <c r="AL1366" i="3"/>
  <c r="AM1366" i="3"/>
  <c r="AJ1367" i="3"/>
  <c r="AK1367" i="3" s="1"/>
  <c r="AL1367" i="3"/>
  <c r="AM1367" i="3"/>
  <c r="AJ1368" i="3"/>
  <c r="AK1368" i="3" s="1"/>
  <c r="AL1368" i="3"/>
  <c r="AM1368" i="3"/>
  <c r="AJ1369" i="3"/>
  <c r="AK1369" i="3" s="1"/>
  <c r="AL1369" i="3"/>
  <c r="AM1369" i="3"/>
  <c r="AJ1370" i="3"/>
  <c r="AK1370" i="3" s="1"/>
  <c r="AL1370" i="3"/>
  <c r="AM1370" i="3"/>
  <c r="AJ1371" i="3"/>
  <c r="AK1371" i="3" s="1"/>
  <c r="AL1371" i="3"/>
  <c r="AM1371" i="3"/>
  <c r="AJ1372" i="3"/>
  <c r="AK1372" i="3" s="1"/>
  <c r="AL1372" i="3"/>
  <c r="AM1372" i="3"/>
  <c r="AJ1373" i="3"/>
  <c r="AK1373" i="3" s="1"/>
  <c r="AL1373" i="3"/>
  <c r="AM1373" i="3"/>
  <c r="AJ1374" i="3"/>
  <c r="AK1374" i="3" s="1"/>
  <c r="AL1374" i="3"/>
  <c r="AM1374" i="3"/>
  <c r="AJ1375" i="3"/>
  <c r="AK1375" i="3" s="1"/>
  <c r="AL1375" i="3"/>
  <c r="AM1375" i="3"/>
  <c r="AJ1376" i="3"/>
  <c r="AK1376" i="3" s="1"/>
  <c r="AL1376" i="3"/>
  <c r="AM1376" i="3"/>
  <c r="AJ1377" i="3"/>
  <c r="AK1377" i="3" s="1"/>
  <c r="AL1377" i="3"/>
  <c r="AM1377" i="3"/>
  <c r="AJ1378" i="3"/>
  <c r="AK1378" i="3" s="1"/>
  <c r="AL1378" i="3"/>
  <c r="AM1378" i="3"/>
  <c r="AJ1379" i="3"/>
  <c r="AK1379" i="3" s="1"/>
  <c r="AL1379" i="3"/>
  <c r="AM1379" i="3"/>
  <c r="AJ1380" i="3"/>
  <c r="AK1380" i="3" s="1"/>
  <c r="AL1380" i="3"/>
  <c r="AM1380" i="3"/>
  <c r="AJ1381" i="3"/>
  <c r="AK1381" i="3" s="1"/>
  <c r="AL1381" i="3"/>
  <c r="AM1381" i="3"/>
  <c r="AJ1382" i="3"/>
  <c r="AK1382" i="3" s="1"/>
  <c r="AL1382" i="3"/>
  <c r="AM1382" i="3"/>
  <c r="AJ1383" i="3"/>
  <c r="AK1383" i="3" s="1"/>
  <c r="AL1383" i="3"/>
  <c r="AM1383" i="3"/>
  <c r="AJ1384" i="3"/>
  <c r="AK1384" i="3" s="1"/>
  <c r="AL1384" i="3"/>
  <c r="AM1384" i="3"/>
  <c r="AJ1385" i="3"/>
  <c r="AK1385" i="3" s="1"/>
  <c r="AL1385" i="3"/>
  <c r="AM1385" i="3"/>
  <c r="AJ1386" i="3"/>
  <c r="AK1386" i="3" s="1"/>
  <c r="AL1386" i="3"/>
  <c r="AM1386" i="3"/>
  <c r="AJ1387" i="3"/>
  <c r="AK1387" i="3" s="1"/>
  <c r="AL1387" i="3"/>
  <c r="AM1387" i="3"/>
  <c r="AJ1388" i="3"/>
  <c r="AK1388" i="3" s="1"/>
  <c r="AL1388" i="3"/>
  <c r="AM1388" i="3"/>
  <c r="AJ1389" i="3"/>
  <c r="AK1389" i="3" s="1"/>
  <c r="AL1389" i="3"/>
  <c r="AM1389" i="3"/>
  <c r="AJ1390" i="3"/>
  <c r="AK1390" i="3" s="1"/>
  <c r="AL1390" i="3"/>
  <c r="AM1390" i="3"/>
  <c r="AJ1391" i="3"/>
  <c r="AK1391" i="3" s="1"/>
  <c r="AL1391" i="3"/>
  <c r="AM1391" i="3"/>
  <c r="AJ1392" i="3"/>
  <c r="AK1392" i="3" s="1"/>
  <c r="AL1392" i="3"/>
  <c r="AM1392" i="3"/>
  <c r="AJ1393" i="3"/>
  <c r="AK1393" i="3" s="1"/>
  <c r="AL1393" i="3"/>
  <c r="AM1393" i="3"/>
  <c r="AJ1394" i="3"/>
  <c r="AK1394" i="3" s="1"/>
  <c r="AL1394" i="3"/>
  <c r="AM1394" i="3"/>
  <c r="AJ1395" i="3"/>
  <c r="AK1395" i="3" s="1"/>
  <c r="AL1395" i="3"/>
  <c r="AM1395" i="3"/>
  <c r="AJ1396" i="3"/>
  <c r="AK1396" i="3" s="1"/>
  <c r="AL1396" i="3"/>
  <c r="AM1396" i="3"/>
  <c r="AJ1397" i="3"/>
  <c r="AK1397" i="3" s="1"/>
  <c r="AL1397" i="3"/>
  <c r="AM1397" i="3"/>
  <c r="AJ1398" i="3"/>
  <c r="AK1398" i="3" s="1"/>
  <c r="AL1398" i="3"/>
  <c r="AM1398" i="3"/>
  <c r="AJ1399" i="3"/>
  <c r="AK1399" i="3" s="1"/>
  <c r="AL1399" i="3"/>
  <c r="AM1399" i="3"/>
  <c r="AJ1400" i="3"/>
  <c r="AK1400" i="3" s="1"/>
  <c r="AL1400" i="3"/>
  <c r="AM1400" i="3"/>
  <c r="AJ1401" i="3"/>
  <c r="AK1401" i="3" s="1"/>
  <c r="AL1401" i="3"/>
  <c r="AM1401" i="3"/>
  <c r="AJ1402" i="3"/>
  <c r="AK1402" i="3" s="1"/>
  <c r="AL1402" i="3"/>
  <c r="AM1402" i="3"/>
  <c r="AJ1403" i="3"/>
  <c r="AK1403" i="3" s="1"/>
  <c r="AJ1404" i="3"/>
  <c r="AL1404" i="3" s="1"/>
  <c r="AJ1405" i="3"/>
  <c r="AK1405" i="3" s="1"/>
  <c r="AJ1406" i="3"/>
  <c r="AL1406" i="3" s="1"/>
  <c r="AJ1407" i="3"/>
  <c r="AK1407" i="3" s="1"/>
  <c r="AJ1408" i="3"/>
  <c r="AL1408" i="3" s="1"/>
  <c r="AJ1409" i="3"/>
  <c r="AK1409" i="3" s="1"/>
  <c r="AL1409" i="3"/>
  <c r="AM1409" i="3"/>
  <c r="AJ1410" i="3"/>
  <c r="AK1410" i="3" s="1"/>
  <c r="AL1410" i="3"/>
  <c r="AM1410" i="3"/>
  <c r="AJ1411" i="3"/>
  <c r="AK1411" i="3" s="1"/>
  <c r="AL1411" i="3"/>
  <c r="AM1411" i="3"/>
  <c r="AJ1412" i="3"/>
  <c r="AK1412" i="3" s="1"/>
  <c r="AL1412" i="3"/>
  <c r="AM1412" i="3"/>
  <c r="AJ1413" i="3"/>
  <c r="AL1413" i="3" s="1"/>
  <c r="AJ1414" i="3"/>
  <c r="AK1414" i="3" s="1"/>
  <c r="AL1414" i="3"/>
  <c r="AM1414" i="3"/>
  <c r="AJ1415" i="3"/>
  <c r="AL1415" i="3" s="1"/>
  <c r="AJ1416" i="3"/>
  <c r="AK1416" i="3" s="1"/>
  <c r="AL1416" i="3"/>
  <c r="AM1416" i="3"/>
  <c r="AJ1417" i="3"/>
  <c r="AK1417" i="3" s="1"/>
  <c r="AL1417" i="3"/>
  <c r="AM1417" i="3"/>
  <c r="AJ1418" i="3"/>
  <c r="AK1418" i="3" s="1"/>
  <c r="AL1418" i="3"/>
  <c r="AM1418" i="3"/>
  <c r="AJ1419" i="3"/>
  <c r="AK1419" i="3" s="1"/>
  <c r="AL1419" i="3"/>
  <c r="AM1419" i="3"/>
  <c r="AJ1420" i="3"/>
  <c r="AK1420" i="3" s="1"/>
  <c r="AL1420" i="3"/>
  <c r="AM1420" i="3"/>
  <c r="AJ1421" i="3"/>
  <c r="AK1421" i="3" s="1"/>
  <c r="AL1421" i="3"/>
  <c r="AM1421" i="3"/>
  <c r="AJ1422" i="3"/>
  <c r="AL1422" i="3" s="1"/>
  <c r="AJ1423" i="3"/>
  <c r="AK1423" i="3" s="1"/>
  <c r="AJ1424" i="3"/>
  <c r="AL1424" i="3" s="1"/>
  <c r="AJ1425" i="3"/>
  <c r="AK1425" i="3" s="1"/>
  <c r="AJ1426" i="3"/>
  <c r="AL1426" i="3" s="1"/>
  <c r="AJ1427" i="3"/>
  <c r="AK1427" i="3" s="1"/>
  <c r="AJ1428" i="3"/>
  <c r="AL1428" i="3" s="1"/>
  <c r="AJ1429" i="3"/>
  <c r="AK1429" i="3" s="1"/>
  <c r="AJ1430" i="3"/>
  <c r="AL1430" i="3" s="1"/>
  <c r="AJ1431" i="3"/>
  <c r="AK1431" i="3" s="1"/>
  <c r="AJ1432" i="3"/>
  <c r="AL1432" i="3" s="1"/>
  <c r="AJ1433" i="3"/>
  <c r="AK1433" i="3" s="1"/>
  <c r="AJ1434" i="3"/>
  <c r="AK1434" i="3" s="1"/>
  <c r="AL1434" i="3"/>
  <c r="AJ1435" i="3"/>
  <c r="AL1435" i="3" s="1"/>
  <c r="AJ1436" i="3"/>
  <c r="AK1436" i="3" s="1"/>
  <c r="AJ1437" i="3"/>
  <c r="AL1437" i="3" s="1"/>
  <c r="AJ1438" i="3"/>
  <c r="AK1438" i="3" s="1"/>
  <c r="AJ1439" i="3"/>
  <c r="AK1439" i="3" s="1"/>
  <c r="AL1439" i="3"/>
  <c r="AM1439" i="3"/>
  <c r="AJ1440" i="3"/>
  <c r="AK1440" i="3" s="1"/>
  <c r="AJ1441" i="3"/>
  <c r="AL1441" i="3" s="1"/>
  <c r="AJ1442" i="3"/>
  <c r="AK1442" i="3" s="1"/>
  <c r="AJ1443" i="3"/>
  <c r="AL1443" i="3" s="1"/>
  <c r="AJ1444" i="3"/>
  <c r="AK1444" i="3" s="1"/>
  <c r="AL1444" i="3"/>
  <c r="AJ1445" i="3"/>
  <c r="AK1445" i="3" s="1"/>
  <c r="AJ1446" i="3"/>
  <c r="AL1446" i="3" s="1"/>
  <c r="AJ1447" i="3"/>
  <c r="AL1447" i="3" s="1"/>
  <c r="AJ1448" i="3"/>
  <c r="AK1448" i="3" s="1"/>
  <c r="AJ1449" i="3"/>
  <c r="AL1449" i="3" s="1"/>
  <c r="AJ1450" i="3"/>
  <c r="AK1450" i="3" s="1"/>
  <c r="AJ1451" i="3"/>
  <c r="AL1451" i="3" s="1"/>
  <c r="AJ1452" i="3"/>
  <c r="AK1452" i="3" s="1"/>
  <c r="AJ1453" i="3"/>
  <c r="AL1453" i="3" s="1"/>
  <c r="AJ1454" i="3"/>
  <c r="AK1454" i="3" s="1"/>
  <c r="AJ1455" i="3"/>
  <c r="AK1455" i="3" s="1"/>
  <c r="AL1455" i="3"/>
  <c r="AM1455" i="3"/>
  <c r="AJ1456" i="3"/>
  <c r="AK1456" i="3" s="1"/>
  <c r="AJ1457" i="3"/>
  <c r="AL1457" i="3" s="1"/>
  <c r="AJ1458" i="3"/>
  <c r="AK1458" i="3" s="1"/>
  <c r="AJ1459" i="3"/>
  <c r="AL1459" i="3" s="1"/>
  <c r="AJ1460" i="3"/>
  <c r="AK1460" i="3" s="1"/>
  <c r="AL1460" i="3"/>
  <c r="AM1460" i="3"/>
  <c r="AJ1461" i="3"/>
  <c r="AL1461" i="3" s="1"/>
  <c r="AJ1462" i="3"/>
  <c r="AK1462" i="3" s="1"/>
  <c r="AJ1463" i="3"/>
  <c r="AK1463" i="3" s="1"/>
  <c r="AL1463" i="3"/>
  <c r="AJ1464" i="3"/>
  <c r="AL1464" i="3" s="1"/>
  <c r="AJ1465" i="3"/>
  <c r="AK1465" i="3" s="1"/>
  <c r="AL1465" i="3"/>
  <c r="AM1465" i="3"/>
  <c r="AJ1466" i="3"/>
  <c r="AL1466" i="3" s="1"/>
  <c r="AJ1467" i="3"/>
  <c r="AK1467" i="3" s="1"/>
  <c r="AJ1468" i="3"/>
  <c r="AL1468" i="3" s="1"/>
  <c r="AJ1469" i="3"/>
  <c r="AK1469" i="3" s="1"/>
  <c r="AJ1470" i="3"/>
  <c r="AL1470" i="3" s="1"/>
  <c r="AJ1471" i="3"/>
  <c r="AK1471" i="3" s="1"/>
  <c r="AJ1472" i="3"/>
  <c r="AL1472" i="3" s="1"/>
  <c r="AJ1473" i="3"/>
  <c r="AK1473" i="3" s="1"/>
  <c r="AL1473" i="3"/>
  <c r="AM1473" i="3"/>
  <c r="AJ1474" i="3"/>
  <c r="AK1474" i="3" s="1"/>
  <c r="AL1474" i="3"/>
  <c r="AM1474" i="3"/>
  <c r="AJ1475" i="3"/>
  <c r="AK1475" i="3" s="1"/>
  <c r="AJ1476" i="3"/>
  <c r="AL1476" i="3" s="1"/>
  <c r="AJ1477" i="3"/>
  <c r="AK1477" i="3" s="1"/>
  <c r="AJ1478" i="3"/>
  <c r="AL1478" i="3" s="1"/>
  <c r="AJ1479" i="3"/>
  <c r="AK1479" i="3" s="1"/>
  <c r="AJ1480" i="3"/>
  <c r="AK1480" i="3" s="1"/>
  <c r="AL1480" i="3"/>
  <c r="AM1480" i="3"/>
  <c r="AJ1481" i="3"/>
  <c r="AL1481" i="3" s="1"/>
  <c r="AJ1482" i="3"/>
  <c r="AK1482" i="3" s="1"/>
  <c r="AL1482" i="3"/>
  <c r="AJ1483" i="3"/>
  <c r="AK1483" i="3" s="1"/>
  <c r="AJ1484" i="3"/>
  <c r="AL1484" i="3" s="1"/>
  <c r="AJ1485" i="3"/>
  <c r="AK1485" i="3" s="1"/>
  <c r="AL1485" i="3"/>
  <c r="AM1485" i="3"/>
  <c r="AJ1486" i="3"/>
  <c r="AK1486" i="3" s="1"/>
  <c r="AL1486" i="3"/>
  <c r="AM1486" i="3"/>
  <c r="AJ1487" i="3"/>
  <c r="AK1487" i="3" s="1"/>
  <c r="AJ1488" i="3"/>
  <c r="AL1488" i="3" s="1"/>
  <c r="AJ1489" i="3"/>
  <c r="AK1489" i="3" s="1"/>
  <c r="AJ1490" i="3"/>
  <c r="AL1490" i="3" s="1"/>
  <c r="AJ1491" i="3"/>
  <c r="AK1491" i="3" s="1"/>
  <c r="AL1491" i="3"/>
  <c r="AM1491" i="3"/>
  <c r="AJ1492" i="3"/>
  <c r="AL1492" i="3" s="1"/>
  <c r="AJ1493" i="3"/>
  <c r="AK1493" i="3" s="1"/>
  <c r="AJ1494" i="3"/>
  <c r="AL1494" i="3" s="1"/>
  <c r="AJ1495" i="3"/>
  <c r="AK1495" i="3" s="1"/>
  <c r="AJ1496" i="3"/>
  <c r="AL1496" i="3" s="1"/>
  <c r="AJ1497" i="3"/>
  <c r="AK1497" i="3" s="1"/>
  <c r="AJ1498" i="3"/>
  <c r="AL1498" i="3" s="1"/>
  <c r="AJ1499" i="3"/>
  <c r="AK1499" i="3" s="1"/>
  <c r="AJ1500" i="3"/>
  <c r="AL1500" i="3" s="1"/>
  <c r="AJ1501" i="3"/>
  <c r="AK1501" i="3" s="1"/>
  <c r="AJ1502" i="3"/>
  <c r="AL1502" i="3" s="1"/>
  <c r="AJ1503" i="3"/>
  <c r="AK1503" i="3" s="1"/>
  <c r="AJ1504" i="3"/>
  <c r="AL1504" i="3" s="1"/>
  <c r="AJ1505" i="3"/>
  <c r="AK1505" i="3" s="1"/>
  <c r="AJ1506" i="3"/>
  <c r="AL1506" i="3" s="1"/>
  <c r="AJ1507" i="3"/>
  <c r="AK1507" i="3" s="1"/>
  <c r="AJ1508" i="3"/>
  <c r="AL1508" i="3" s="1"/>
  <c r="AJ1509" i="3"/>
  <c r="AK1509" i="3" s="1"/>
  <c r="AJ1510" i="3"/>
  <c r="AL1510" i="3" s="1"/>
  <c r="AJ1511" i="3"/>
  <c r="AK1511" i="3" s="1"/>
  <c r="AJ1512" i="3"/>
  <c r="AL1512" i="3" s="1"/>
  <c r="AJ1513" i="3"/>
  <c r="AK1513" i="3" s="1"/>
  <c r="AJ1514" i="3"/>
  <c r="AL1514" i="3" s="1"/>
  <c r="AJ1515" i="3"/>
  <c r="AK1515" i="3" s="1"/>
  <c r="AJ1516" i="3"/>
  <c r="AL1516" i="3" s="1"/>
  <c r="AJ1517" i="3"/>
  <c r="AK1517" i="3" s="1"/>
  <c r="AJ1518" i="3"/>
  <c r="AL1518" i="3" s="1"/>
  <c r="AJ1519" i="3"/>
  <c r="AK1519" i="3" s="1"/>
  <c r="AJ1520" i="3"/>
  <c r="AL1520" i="3" s="1"/>
  <c r="AJ1521" i="3"/>
  <c r="AJ1522" i="3"/>
  <c r="AJ1523" i="3"/>
  <c r="AJ1524" i="3"/>
  <c r="AJ1525" i="3"/>
  <c r="AJ1526" i="3"/>
  <c r="AJ1527" i="3"/>
  <c r="AJ1528" i="3"/>
  <c r="AJ1529" i="3"/>
  <c r="AJ1530" i="3"/>
  <c r="AJ1531" i="3"/>
  <c r="AJ1532" i="3"/>
  <c r="AJ1533" i="3"/>
  <c r="AJ1534" i="3"/>
  <c r="AJ1535" i="3"/>
  <c r="AK1535" i="3" s="1"/>
  <c r="AL1535" i="3"/>
  <c r="AM1535" i="3"/>
  <c r="AJ1536" i="3"/>
  <c r="AK1536" i="3" s="1"/>
  <c r="AL1536" i="3"/>
  <c r="AM1536" i="3"/>
  <c r="AJ1537" i="3"/>
  <c r="AK1537" i="3" s="1"/>
  <c r="AL1537" i="3"/>
  <c r="AM1537" i="3"/>
  <c r="AJ1538" i="3"/>
  <c r="AK1538" i="3" s="1"/>
  <c r="AL1538" i="3"/>
  <c r="AM1538" i="3"/>
  <c r="AJ1539" i="3"/>
  <c r="AK1539" i="3" s="1"/>
  <c r="AL1539" i="3"/>
  <c r="AM1539" i="3"/>
  <c r="AJ1540" i="3"/>
  <c r="AK1540" i="3" s="1"/>
  <c r="AL1540" i="3"/>
  <c r="AM1540" i="3"/>
  <c r="AJ1541" i="3"/>
  <c r="AJ1542" i="3"/>
  <c r="AJ1543" i="3"/>
  <c r="AJ1544" i="3"/>
  <c r="AK1544" i="3" s="1"/>
  <c r="AL1544" i="3"/>
  <c r="AM1544" i="3"/>
  <c r="AJ1545" i="3"/>
  <c r="AK1545" i="3" s="1"/>
  <c r="AL1545" i="3"/>
  <c r="AM1545" i="3"/>
  <c r="AJ1546" i="3"/>
  <c r="AK1546" i="3" s="1"/>
  <c r="AL1546" i="3"/>
  <c r="AM1546" i="3"/>
  <c r="AJ1547" i="3"/>
  <c r="AL1547" i="3"/>
  <c r="AJ1548" i="3"/>
  <c r="AL1548" i="3"/>
  <c r="AJ1549" i="3"/>
  <c r="AL1549" i="3"/>
  <c r="AJ1550" i="3"/>
  <c r="AL1550" i="3"/>
  <c r="AJ1551" i="3"/>
  <c r="AL1551" i="3"/>
  <c r="AJ1552" i="3"/>
  <c r="AL1552" i="3"/>
  <c r="AJ1553" i="3"/>
  <c r="AL1553" i="3"/>
  <c r="AJ1554" i="3"/>
  <c r="AL1554" i="3"/>
  <c r="AJ1555" i="3"/>
  <c r="AL1555" i="3"/>
  <c r="AJ1556" i="3"/>
  <c r="AL1556" i="3"/>
  <c r="AJ1557" i="3"/>
  <c r="AL1557" i="3"/>
  <c r="AJ1558" i="3"/>
  <c r="AK1558" i="3" s="1"/>
  <c r="AL1558" i="3"/>
  <c r="AM1558" i="3"/>
  <c r="AJ1559" i="3"/>
  <c r="AK1559" i="3" s="1"/>
  <c r="AL1559" i="3"/>
  <c r="AM1559" i="3"/>
  <c r="AJ1560" i="3"/>
  <c r="AL1560" i="3"/>
  <c r="AJ1561" i="3"/>
  <c r="AL1561" i="3"/>
  <c r="AJ1562" i="3"/>
  <c r="AL1562" i="3"/>
  <c r="AJ1563" i="3"/>
  <c r="AL1563" i="3"/>
  <c r="AJ1564" i="3"/>
  <c r="AL1564" i="3"/>
  <c r="AJ1565" i="3"/>
  <c r="AL1565" i="3"/>
  <c r="AJ1566" i="3"/>
  <c r="AL1566" i="3"/>
  <c r="AJ1567" i="3"/>
  <c r="AL1567" i="3"/>
  <c r="AJ1568" i="3"/>
  <c r="AK1568" i="3" s="1"/>
  <c r="AL1568" i="3"/>
  <c r="AM1568" i="3"/>
  <c r="AJ1569" i="3"/>
  <c r="AJ1570" i="3"/>
  <c r="AJ1571" i="3"/>
  <c r="AJ1572" i="3"/>
  <c r="AK1572" i="3" s="1"/>
  <c r="AL1572" i="3"/>
  <c r="AM1572" i="3"/>
  <c r="AJ1573" i="3"/>
  <c r="AK1573" i="3" s="1"/>
  <c r="AL1573" i="3"/>
  <c r="AM1573" i="3"/>
  <c r="AJ1574" i="3"/>
  <c r="AK1574" i="3" s="1"/>
  <c r="AL1574" i="3"/>
  <c r="AM1574" i="3"/>
  <c r="AJ1575" i="3"/>
  <c r="AK1575" i="3" s="1"/>
  <c r="AL1575" i="3"/>
  <c r="AM1575" i="3"/>
  <c r="AJ1576" i="3"/>
  <c r="AK1576" i="3" s="1"/>
  <c r="AL1576" i="3"/>
  <c r="AM1576" i="3"/>
  <c r="AJ1577" i="3"/>
  <c r="AL1577" i="3"/>
  <c r="AJ1578" i="3"/>
  <c r="AL1578" i="3"/>
  <c r="AJ1579" i="3"/>
  <c r="AL1579" i="3"/>
  <c r="AJ1580" i="3"/>
  <c r="AL1580" i="3"/>
  <c r="AJ1581" i="3"/>
  <c r="AL1581" i="3"/>
  <c r="AJ1582" i="3"/>
  <c r="AL1582" i="3"/>
  <c r="AJ1583" i="3"/>
  <c r="AK1583" i="3" s="1"/>
  <c r="AL1583" i="3"/>
  <c r="AM1583" i="3"/>
  <c r="AJ1584" i="3"/>
  <c r="AK1584" i="3" s="1"/>
  <c r="AL1584" i="3"/>
  <c r="AM1584" i="3"/>
  <c r="AJ1585" i="3"/>
  <c r="AL1585" i="3"/>
  <c r="AJ1586" i="3"/>
  <c r="AL1586" i="3"/>
  <c r="AJ1587" i="3"/>
  <c r="AK1587" i="3" s="1"/>
  <c r="AL1587" i="3"/>
  <c r="AM1587" i="3"/>
  <c r="AJ1588" i="3"/>
  <c r="AJ1589" i="3"/>
  <c r="AJ1590" i="3"/>
  <c r="AK1590" i="3" s="1"/>
  <c r="AL1590" i="3"/>
  <c r="AM1590" i="3"/>
  <c r="AJ1591" i="3"/>
  <c r="AK1591" i="3" s="1"/>
  <c r="AL1591" i="3"/>
  <c r="AM1591" i="3"/>
  <c r="AJ1592" i="3"/>
  <c r="AK1592" i="3" s="1"/>
  <c r="AL1592" i="3"/>
  <c r="AM1592" i="3"/>
  <c r="AJ1593" i="3"/>
  <c r="AK1593" i="3" s="1"/>
  <c r="AL1593" i="3"/>
  <c r="AM1593" i="3"/>
  <c r="AJ1594" i="3"/>
  <c r="AJ1595" i="3"/>
  <c r="AK1595" i="3" s="1"/>
  <c r="AL1595" i="3"/>
  <c r="AM1595" i="3"/>
  <c r="AJ1596" i="3"/>
  <c r="AK1596" i="3" s="1"/>
  <c r="AL1596" i="3"/>
  <c r="AM1596" i="3"/>
  <c r="AJ1597" i="3"/>
  <c r="AK1597" i="3" s="1"/>
  <c r="AL1597" i="3"/>
  <c r="AM1597" i="3"/>
  <c r="AJ1598" i="3"/>
  <c r="AK1598" i="3" s="1"/>
  <c r="AL1598" i="3"/>
  <c r="AM1598" i="3"/>
  <c r="AJ1599" i="3"/>
  <c r="AJ1600" i="3"/>
  <c r="AK1600" i="3" s="1"/>
  <c r="AL1600" i="3"/>
  <c r="AM1600" i="3"/>
  <c r="AJ1601" i="3"/>
  <c r="AK1601" i="3" s="1"/>
  <c r="AL1601" i="3"/>
  <c r="AM1601" i="3"/>
  <c r="AJ1602" i="3"/>
  <c r="AK1602" i="3" s="1"/>
  <c r="AL1602" i="3"/>
  <c r="AM1602" i="3"/>
  <c r="AJ1603" i="3"/>
  <c r="AL1603" i="3"/>
  <c r="AJ1604" i="3"/>
  <c r="AL1604" i="3"/>
  <c r="AJ1605" i="3"/>
  <c r="AK1605" i="3" s="1"/>
  <c r="AL1605" i="3"/>
  <c r="AM1605" i="3"/>
  <c r="AJ1606" i="3"/>
  <c r="AK1606" i="3" s="1"/>
  <c r="AL1606" i="3"/>
  <c r="AM1606" i="3"/>
  <c r="AJ1607" i="3"/>
  <c r="AL1607" i="3"/>
  <c r="AJ1608" i="3"/>
  <c r="AL1608" i="3"/>
  <c r="AJ1609" i="3"/>
  <c r="AL1609" i="3"/>
  <c r="AJ1610" i="3"/>
  <c r="AL1610" i="3"/>
  <c r="AJ1611" i="3"/>
  <c r="AL1611" i="3"/>
  <c r="AJ1612" i="3"/>
  <c r="AL1612" i="3"/>
  <c r="AJ1613" i="3"/>
  <c r="AL1613" i="3"/>
  <c r="AJ1614" i="3"/>
  <c r="AL1614" i="3" s="1"/>
  <c r="AJ1615" i="3"/>
  <c r="AL1615" i="3" s="1"/>
  <c r="AJ1616" i="3"/>
  <c r="AL1616" i="3" s="1"/>
  <c r="AJ1617" i="3"/>
  <c r="AL1617" i="3" s="1"/>
  <c r="AJ1618" i="3"/>
  <c r="AK1618" i="3" s="1"/>
  <c r="AL1618" i="3"/>
  <c r="AM1618" i="3"/>
  <c r="AJ1619" i="3"/>
  <c r="AL1619" i="3"/>
  <c r="AJ1620" i="3"/>
  <c r="AL1620" i="3"/>
  <c r="AJ1621" i="3"/>
  <c r="AL1621" i="3"/>
  <c r="AJ1622" i="3"/>
  <c r="AK1622" i="3" s="1"/>
  <c r="AL1622" i="3"/>
  <c r="AM1622" i="3"/>
  <c r="AJ1623" i="3"/>
  <c r="AL1623" i="3" s="1"/>
  <c r="AJ1624" i="3"/>
  <c r="AL1624" i="3" s="1"/>
  <c r="AJ1625" i="3"/>
  <c r="AL1625" i="3" s="1"/>
  <c r="AJ1626" i="3"/>
  <c r="AL1626" i="3" s="1"/>
  <c r="AJ1627" i="3"/>
  <c r="AL1627" i="3" s="1"/>
  <c r="AJ1628" i="3"/>
  <c r="AL1628" i="3" s="1"/>
  <c r="AJ1629" i="3"/>
  <c r="AL1629" i="3" s="1"/>
  <c r="AJ1630" i="3"/>
  <c r="AL1630" i="3" s="1"/>
  <c r="AJ1631" i="3"/>
  <c r="AL1631" i="3" s="1"/>
  <c r="AJ1632" i="3"/>
  <c r="AL1632" i="3" s="1"/>
  <c r="AJ1633" i="3"/>
  <c r="AL1633" i="3" s="1"/>
  <c r="AJ1634" i="3"/>
  <c r="AL1634" i="3" s="1"/>
  <c r="AJ1635" i="3"/>
  <c r="AL1635" i="3" s="1"/>
  <c r="AJ1636" i="3"/>
  <c r="AL1636" i="3" s="1"/>
  <c r="AJ1637" i="3"/>
  <c r="AL1637" i="3" s="1"/>
  <c r="AJ1638" i="3"/>
  <c r="AK1638" i="3" s="1"/>
  <c r="AL1638" i="3"/>
  <c r="AM1638" i="3"/>
  <c r="AJ1639" i="3"/>
  <c r="AK1639" i="3" s="1"/>
  <c r="AL1639" i="3"/>
  <c r="AM1639" i="3"/>
  <c r="AJ1640" i="3"/>
  <c r="AL1640" i="3" s="1"/>
  <c r="AJ1641" i="3"/>
  <c r="AL1641" i="3" s="1"/>
  <c r="AJ1642" i="3"/>
  <c r="AL1642" i="3" s="1"/>
  <c r="AJ1643" i="3"/>
  <c r="AL1643" i="3" s="1"/>
  <c r="AJ1644" i="3"/>
  <c r="AL1644" i="3" s="1"/>
  <c r="AJ1645" i="3"/>
  <c r="AL1645" i="3" s="1"/>
  <c r="AJ1646" i="3"/>
  <c r="AL1646" i="3" s="1"/>
  <c r="AJ1647" i="3"/>
  <c r="AL1647" i="3" s="1"/>
  <c r="AJ1648" i="3"/>
  <c r="AL1648" i="3" s="1"/>
  <c r="AJ1649" i="3"/>
  <c r="AL1649" i="3" s="1"/>
  <c r="AJ1650" i="3"/>
  <c r="AL1650" i="3" s="1"/>
  <c r="AJ1651" i="3"/>
  <c r="AL1651" i="3" s="1"/>
  <c r="AJ1652" i="3"/>
  <c r="AL1652" i="3" s="1"/>
  <c r="AJ1653" i="3"/>
  <c r="AL1653" i="3" s="1"/>
  <c r="AJ1654" i="3"/>
  <c r="AL1654" i="3" s="1"/>
  <c r="AJ1655" i="3"/>
  <c r="AL1655" i="3" s="1"/>
  <c r="AJ1656" i="3"/>
  <c r="AL1656" i="3" s="1"/>
  <c r="AJ1657" i="3"/>
  <c r="AL1657" i="3" s="1"/>
  <c r="AJ1658" i="3"/>
  <c r="AL1658" i="3" s="1"/>
  <c r="AJ1659" i="3"/>
  <c r="AL1659" i="3" s="1"/>
  <c r="AJ1660" i="3"/>
  <c r="AL1660" i="3" s="1"/>
  <c r="AJ1661" i="3"/>
  <c r="AL1661" i="3" s="1"/>
  <c r="AJ1662" i="3"/>
  <c r="AL1662" i="3" s="1"/>
  <c r="AJ1663" i="3"/>
  <c r="AL1663" i="3" s="1"/>
  <c r="AJ1664" i="3"/>
  <c r="AL1664" i="3" s="1"/>
  <c r="AJ1665" i="3"/>
  <c r="AL1665" i="3" s="1"/>
  <c r="AJ1666" i="3"/>
  <c r="AL1666" i="3" s="1"/>
  <c r="AJ1667" i="3"/>
  <c r="AL1667" i="3" s="1"/>
  <c r="AJ1668" i="3"/>
  <c r="AL1668" i="3" s="1"/>
  <c r="AJ1669" i="3"/>
  <c r="AL1669" i="3" s="1"/>
  <c r="AJ1670" i="3"/>
  <c r="AL1670" i="3" s="1"/>
  <c r="AJ1671" i="3"/>
  <c r="AL1671" i="3" s="1"/>
  <c r="AJ1672" i="3"/>
  <c r="AL1672" i="3" s="1"/>
  <c r="AJ1673" i="3"/>
  <c r="AL1673" i="3" s="1"/>
  <c r="AJ1674" i="3"/>
  <c r="AL1674" i="3" s="1"/>
  <c r="AJ1675" i="3"/>
  <c r="AL1675" i="3" s="1"/>
  <c r="AJ1676" i="3"/>
  <c r="AL1676" i="3" s="1"/>
  <c r="AJ1677" i="3"/>
  <c r="AL1677" i="3" s="1"/>
  <c r="AJ1678" i="3"/>
  <c r="AL1678" i="3" s="1"/>
  <c r="AJ1679" i="3"/>
  <c r="AL1679" i="3" s="1"/>
  <c r="AJ1680" i="3"/>
  <c r="AL1680" i="3" s="1"/>
  <c r="AJ1681" i="3"/>
  <c r="AL1681" i="3" s="1"/>
  <c r="AJ1682" i="3"/>
  <c r="AL1682" i="3" s="1"/>
  <c r="AJ1683" i="3"/>
  <c r="AL1683" i="3" s="1"/>
  <c r="AJ1684" i="3"/>
  <c r="AL1684" i="3" s="1"/>
  <c r="AJ1685" i="3"/>
  <c r="AL1685" i="3" s="1"/>
  <c r="AJ1686" i="3"/>
  <c r="AL1686" i="3" s="1"/>
  <c r="AJ1687" i="3"/>
  <c r="AL1687" i="3" s="1"/>
  <c r="AJ1688" i="3"/>
  <c r="AL1688" i="3" s="1"/>
  <c r="AJ1689" i="3"/>
  <c r="AL1689" i="3" s="1"/>
  <c r="AJ1690" i="3"/>
  <c r="AL1690" i="3" s="1"/>
  <c r="AJ1691" i="3"/>
  <c r="AL1691" i="3" s="1"/>
  <c r="AJ1692" i="3"/>
  <c r="AL1692" i="3" s="1"/>
  <c r="AJ1693" i="3"/>
  <c r="AL1693" i="3" s="1"/>
  <c r="AJ1694" i="3"/>
  <c r="AL1694" i="3" s="1"/>
  <c r="AJ1695" i="3"/>
  <c r="AL1695" i="3" s="1"/>
  <c r="AJ1696" i="3"/>
  <c r="AK1696" i="3" s="1"/>
  <c r="AL1696" i="3"/>
  <c r="AM1696" i="3"/>
  <c r="AJ1697" i="3"/>
  <c r="AL1697" i="3"/>
  <c r="AJ1698" i="3"/>
  <c r="AL1698" i="3"/>
  <c r="AJ1699" i="3"/>
  <c r="AL1699" i="3"/>
  <c r="AJ1700" i="3"/>
  <c r="AL1700" i="3"/>
  <c r="AJ1701" i="3"/>
  <c r="AL1701" i="3"/>
  <c r="AJ1702" i="3"/>
  <c r="AL1702" i="3"/>
  <c r="AJ1703" i="3"/>
  <c r="AL1703" i="3"/>
  <c r="AJ1704" i="3"/>
  <c r="AL1704" i="3"/>
  <c r="AJ1705" i="3"/>
  <c r="AL1705" i="3"/>
  <c r="AJ1706" i="3"/>
  <c r="AK1706" i="3" s="1"/>
  <c r="AL1706" i="3"/>
  <c r="AM1706" i="3"/>
  <c r="AJ1707" i="3"/>
  <c r="AK1707" i="3" s="1"/>
  <c r="AL1707" i="3"/>
  <c r="AM1707" i="3"/>
  <c r="AJ1708" i="3"/>
  <c r="AK1708" i="3" s="1"/>
  <c r="AL1708" i="3"/>
  <c r="AM1708" i="3"/>
  <c r="AJ1709" i="3"/>
  <c r="AK1709" i="3" s="1"/>
  <c r="AL1709" i="3"/>
  <c r="AM1709" i="3"/>
  <c r="AJ1710" i="3"/>
  <c r="AK1710" i="3" s="1"/>
  <c r="AL1710" i="3"/>
  <c r="AM1710" i="3"/>
  <c r="AJ1711" i="3"/>
  <c r="AL1711" i="3" s="1"/>
  <c r="AJ1712" i="3"/>
  <c r="AL1712" i="3" s="1"/>
  <c r="AJ1713" i="3"/>
  <c r="AL1713" i="3" s="1"/>
  <c r="AJ1714" i="3"/>
  <c r="AL1714" i="3" s="1"/>
  <c r="AJ1715" i="3"/>
  <c r="AK1715" i="3" s="1"/>
  <c r="AL1715" i="3"/>
  <c r="AM1715" i="3"/>
  <c r="AJ1716" i="3"/>
  <c r="AL1716" i="3"/>
  <c r="AJ1717" i="3"/>
  <c r="AL1717" i="3"/>
  <c r="AJ1718" i="3"/>
  <c r="AL1718" i="3"/>
  <c r="AJ1719" i="3"/>
  <c r="AL1719" i="3"/>
  <c r="AJ1720" i="3"/>
  <c r="AL1720" i="3"/>
  <c r="AJ1721" i="3"/>
  <c r="AL1721" i="3"/>
  <c r="AJ1722" i="3"/>
  <c r="AL1722" i="3"/>
  <c r="AJ1723" i="3"/>
  <c r="AL1723" i="3"/>
  <c r="AJ1724" i="3"/>
  <c r="AL1724" i="3"/>
  <c r="AJ1725" i="3"/>
  <c r="AL1725" i="3"/>
  <c r="AJ1726" i="3"/>
  <c r="AL1726" i="3"/>
  <c r="AJ1727" i="3"/>
  <c r="AL1727" i="3"/>
  <c r="AJ1728" i="3"/>
  <c r="AL1728" i="3"/>
  <c r="AJ1729" i="3"/>
  <c r="AL1729" i="3"/>
  <c r="AJ1730" i="3"/>
  <c r="AL1730" i="3"/>
  <c r="AJ1731" i="3"/>
  <c r="AL1731" i="3"/>
  <c r="AJ1732" i="3"/>
  <c r="AL1732" i="3"/>
  <c r="AJ3" i="3"/>
  <c r="AK3" i="3" s="1"/>
  <c r="AL3" i="3"/>
  <c r="AJ4" i="3"/>
  <c r="AK4" i="3" s="1"/>
  <c r="AL4" i="3"/>
  <c r="AJ5" i="3"/>
  <c r="AK5" i="3" s="1"/>
  <c r="AL5" i="3"/>
  <c r="AJ6" i="3"/>
  <c r="AK6" i="3" s="1"/>
  <c r="AL6" i="3"/>
  <c r="AJ7" i="3"/>
  <c r="AK7" i="3" s="1"/>
  <c r="AL7" i="3"/>
  <c r="AM7" i="3"/>
  <c r="AJ8" i="3"/>
  <c r="AK8" i="3" s="1"/>
  <c r="AL8" i="3"/>
  <c r="AJ9" i="3"/>
  <c r="AK9" i="3" s="1"/>
  <c r="AL9" i="3"/>
  <c r="AM2" i="3"/>
  <c r="AL2" i="3"/>
  <c r="AK2" i="3"/>
  <c r="AE2" i="3"/>
  <c r="AG2" i="3"/>
  <c r="AJ2" i="3"/>
  <c r="Z2" i="3"/>
  <c r="AH7" i="3"/>
  <c r="AI7" i="3" s="1"/>
  <c r="AH8" i="3"/>
  <c r="AI8" i="3" s="1"/>
  <c r="AH9" i="3"/>
  <c r="AI9" i="3" s="1"/>
  <c r="AH10" i="3"/>
  <c r="AI10" i="3" s="1"/>
  <c r="AH11" i="3"/>
  <c r="AI11" i="3" s="1"/>
  <c r="AH12" i="3"/>
  <c r="AI12" i="3" s="1"/>
  <c r="AH13" i="3"/>
  <c r="AI13" i="3" s="1"/>
  <c r="AH14" i="3"/>
  <c r="AI14" i="3" s="1"/>
  <c r="AH15" i="3"/>
  <c r="AI15" i="3" s="1"/>
  <c r="AH16" i="3"/>
  <c r="AI16" i="3" s="1"/>
  <c r="AH17" i="3"/>
  <c r="AI17" i="3" s="1"/>
  <c r="AH18" i="3"/>
  <c r="AI18" i="3" s="1"/>
  <c r="AH19" i="3"/>
  <c r="AI19" i="3" s="1"/>
  <c r="AH20" i="3"/>
  <c r="AI20" i="3" s="1"/>
  <c r="AH21" i="3"/>
  <c r="AI21" i="3" s="1"/>
  <c r="AH22" i="3"/>
  <c r="AI22" i="3" s="1"/>
  <c r="AH23" i="3"/>
  <c r="AI23" i="3" s="1"/>
  <c r="AH24" i="3"/>
  <c r="AI24" i="3" s="1"/>
  <c r="AH25" i="3"/>
  <c r="AI25" i="3" s="1"/>
  <c r="AH26" i="3"/>
  <c r="AI26" i="3" s="1"/>
  <c r="AH27" i="3"/>
  <c r="AI27" i="3" s="1"/>
  <c r="AH28" i="3"/>
  <c r="AI28" i="3" s="1"/>
  <c r="AH29" i="3"/>
  <c r="AI29" i="3" s="1"/>
  <c r="AH30" i="3"/>
  <c r="AI30" i="3" s="1"/>
  <c r="AH31" i="3"/>
  <c r="AI31" i="3" s="1"/>
  <c r="AH32" i="3"/>
  <c r="AI32" i="3" s="1"/>
  <c r="AH33" i="3"/>
  <c r="AI33" i="3" s="1"/>
  <c r="AH34" i="3"/>
  <c r="AI34" i="3" s="1"/>
  <c r="AH35" i="3"/>
  <c r="AI35" i="3" s="1"/>
  <c r="AH36" i="3"/>
  <c r="AI36" i="3" s="1"/>
  <c r="AH37" i="3"/>
  <c r="AI37" i="3" s="1"/>
  <c r="AH38" i="3"/>
  <c r="AI38" i="3" s="1"/>
  <c r="AH39" i="3"/>
  <c r="AI39" i="3" s="1"/>
  <c r="AH40" i="3"/>
  <c r="AI40" i="3" s="1"/>
  <c r="AH41" i="3"/>
  <c r="AI41" i="3" s="1"/>
  <c r="AH42" i="3"/>
  <c r="AI42" i="3" s="1"/>
  <c r="AH43" i="3"/>
  <c r="AI43" i="3" s="1"/>
  <c r="AH44" i="3"/>
  <c r="AI44" i="3" s="1"/>
  <c r="AH45" i="3"/>
  <c r="AI45" i="3" s="1"/>
  <c r="AH46" i="3"/>
  <c r="AI46" i="3" s="1"/>
  <c r="AH47" i="3"/>
  <c r="AI47" i="3" s="1"/>
  <c r="AH48" i="3"/>
  <c r="AI48" i="3" s="1"/>
  <c r="AH49" i="3"/>
  <c r="AI49" i="3" s="1"/>
  <c r="AH50" i="3"/>
  <c r="AI50" i="3" s="1"/>
  <c r="AH51" i="3"/>
  <c r="AI51" i="3" s="1"/>
  <c r="AH52" i="3"/>
  <c r="AI52" i="3" s="1"/>
  <c r="AH53" i="3"/>
  <c r="AI53" i="3" s="1"/>
  <c r="AH54" i="3"/>
  <c r="AI54" i="3" s="1"/>
  <c r="AH55" i="3"/>
  <c r="AI55" i="3" s="1"/>
  <c r="AH56" i="3"/>
  <c r="AI56" i="3" s="1"/>
  <c r="AH57" i="3"/>
  <c r="AI57" i="3" s="1"/>
  <c r="AH58" i="3"/>
  <c r="AI58" i="3" s="1"/>
  <c r="AH59" i="3"/>
  <c r="AI59" i="3" s="1"/>
  <c r="AH60" i="3"/>
  <c r="AI60" i="3" s="1"/>
  <c r="AH61" i="3"/>
  <c r="AI61" i="3" s="1"/>
  <c r="AH62" i="3"/>
  <c r="AI62" i="3" s="1"/>
  <c r="AH63" i="3"/>
  <c r="AI63" i="3" s="1"/>
  <c r="AH64" i="3"/>
  <c r="AI64" i="3" s="1"/>
  <c r="AH65" i="3"/>
  <c r="AI65" i="3" s="1"/>
  <c r="AH66" i="3"/>
  <c r="AI66" i="3" s="1"/>
  <c r="AH67" i="3"/>
  <c r="AI67" i="3" s="1"/>
  <c r="AH68" i="3"/>
  <c r="AI68" i="3" s="1"/>
  <c r="AH69" i="3"/>
  <c r="AI69" i="3" s="1"/>
  <c r="AH70" i="3"/>
  <c r="AI70" i="3" s="1"/>
  <c r="AH71" i="3"/>
  <c r="AI71" i="3" s="1"/>
  <c r="AH72" i="3"/>
  <c r="AI72" i="3" s="1"/>
  <c r="AH73" i="3"/>
  <c r="AI73" i="3" s="1"/>
  <c r="AH74" i="3"/>
  <c r="AI74" i="3" s="1"/>
  <c r="AH75" i="3"/>
  <c r="AI75" i="3" s="1"/>
  <c r="AH76" i="3"/>
  <c r="AI76" i="3" s="1"/>
  <c r="AH77" i="3"/>
  <c r="AI77" i="3" s="1"/>
  <c r="AH78" i="3"/>
  <c r="AI78" i="3" s="1"/>
  <c r="AH79" i="3"/>
  <c r="AI79" i="3" s="1"/>
  <c r="AH80" i="3"/>
  <c r="AI80" i="3" s="1"/>
  <c r="AH81" i="3"/>
  <c r="AI81" i="3" s="1"/>
  <c r="AH82" i="3"/>
  <c r="AI82" i="3" s="1"/>
  <c r="AH83" i="3"/>
  <c r="AI83" i="3" s="1"/>
  <c r="AH84" i="3"/>
  <c r="AI84" i="3" s="1"/>
  <c r="AH85" i="3"/>
  <c r="AI85" i="3" s="1"/>
  <c r="AH86" i="3"/>
  <c r="AI86" i="3" s="1"/>
  <c r="AH87" i="3"/>
  <c r="AI87" i="3" s="1"/>
  <c r="AH88" i="3"/>
  <c r="AI88" i="3" s="1"/>
  <c r="AH89" i="3"/>
  <c r="AI89" i="3" s="1"/>
  <c r="AH90" i="3"/>
  <c r="AI90" i="3" s="1"/>
  <c r="AH91" i="3"/>
  <c r="AI91" i="3" s="1"/>
  <c r="AH92" i="3"/>
  <c r="AI92" i="3"/>
  <c r="AH93" i="3"/>
  <c r="AI93" i="3"/>
  <c r="AH94" i="3"/>
  <c r="AI94" i="3"/>
  <c r="AH95" i="3"/>
  <c r="AI95" i="3"/>
  <c r="AH96" i="3"/>
  <c r="AI96" i="3"/>
  <c r="AH97" i="3"/>
  <c r="AI97" i="3"/>
  <c r="AH98" i="3"/>
  <c r="AI98" i="3"/>
  <c r="AH99" i="3"/>
  <c r="AI99" i="3"/>
  <c r="AH100" i="3"/>
  <c r="AI100" i="3"/>
  <c r="AH101" i="3"/>
  <c r="AI101" i="3"/>
  <c r="AH102" i="3"/>
  <c r="AI102" i="3" s="1"/>
  <c r="AH103" i="3"/>
  <c r="AI103" i="3" s="1"/>
  <c r="AH104" i="3"/>
  <c r="AI104" i="3" s="1"/>
  <c r="AH105" i="3"/>
  <c r="AI105" i="3" s="1"/>
  <c r="AH106" i="3"/>
  <c r="AI106" i="3" s="1"/>
  <c r="AH107" i="3"/>
  <c r="AI107" i="3" s="1"/>
  <c r="AH108" i="3"/>
  <c r="AI108" i="3" s="1"/>
  <c r="AH109" i="3"/>
  <c r="AI109" i="3" s="1"/>
  <c r="AH110" i="3"/>
  <c r="AI110" i="3" s="1"/>
  <c r="AH111" i="3"/>
  <c r="AI111" i="3" s="1"/>
  <c r="AH112" i="3"/>
  <c r="AI112" i="3" s="1"/>
  <c r="AH113" i="3"/>
  <c r="AI113" i="3" s="1"/>
  <c r="AH114" i="3"/>
  <c r="AI114" i="3" s="1"/>
  <c r="AH115" i="3"/>
  <c r="AI115" i="3" s="1"/>
  <c r="AH116" i="3"/>
  <c r="AI116" i="3" s="1"/>
  <c r="AH117" i="3"/>
  <c r="AI117" i="3" s="1"/>
  <c r="AH118" i="3"/>
  <c r="AI118" i="3" s="1"/>
  <c r="AH119" i="3"/>
  <c r="AI119" i="3" s="1"/>
  <c r="AH120" i="3"/>
  <c r="AI120" i="3" s="1"/>
  <c r="AH121" i="3"/>
  <c r="AI121" i="3" s="1"/>
  <c r="AH122" i="3"/>
  <c r="AI122" i="3" s="1"/>
  <c r="AH123" i="3"/>
  <c r="AI123" i="3" s="1"/>
  <c r="AH124" i="3"/>
  <c r="AI124" i="3" s="1"/>
  <c r="AH125" i="3"/>
  <c r="AI125" i="3" s="1"/>
  <c r="AH126" i="3"/>
  <c r="AI126" i="3" s="1"/>
  <c r="AH127" i="3"/>
  <c r="AI127" i="3" s="1"/>
  <c r="AH128" i="3"/>
  <c r="AI128" i="3" s="1"/>
  <c r="AH129" i="3"/>
  <c r="AI129" i="3" s="1"/>
  <c r="AH130" i="3"/>
  <c r="AI130" i="3" s="1"/>
  <c r="AH131" i="3"/>
  <c r="AI131" i="3" s="1"/>
  <c r="AH132" i="3"/>
  <c r="AI132" i="3" s="1"/>
  <c r="AH133" i="3"/>
  <c r="AI133" i="3" s="1"/>
  <c r="AH134" i="3"/>
  <c r="AI134" i="3" s="1"/>
  <c r="AH135" i="3"/>
  <c r="AI135" i="3" s="1"/>
  <c r="AH136" i="3"/>
  <c r="AI136" i="3" s="1"/>
  <c r="AH137" i="3"/>
  <c r="AI137" i="3" s="1"/>
  <c r="AH138" i="3"/>
  <c r="AI138" i="3" s="1"/>
  <c r="AH139" i="3"/>
  <c r="AI139" i="3" s="1"/>
  <c r="AH140" i="3"/>
  <c r="AI140" i="3" s="1"/>
  <c r="AH141" i="3"/>
  <c r="AI141" i="3" s="1"/>
  <c r="AH142" i="3"/>
  <c r="AI142" i="3" s="1"/>
  <c r="AH143" i="3"/>
  <c r="AI143" i="3" s="1"/>
  <c r="AH144" i="3"/>
  <c r="AI144" i="3" s="1"/>
  <c r="AH145" i="3"/>
  <c r="AI145" i="3" s="1"/>
  <c r="AH146" i="3"/>
  <c r="AI146" i="3" s="1"/>
  <c r="AH147" i="3"/>
  <c r="AI147" i="3" s="1"/>
  <c r="AH148" i="3"/>
  <c r="AI148" i="3" s="1"/>
  <c r="AH149" i="3"/>
  <c r="AI149" i="3" s="1"/>
  <c r="AH150" i="3"/>
  <c r="AI150" i="3" s="1"/>
  <c r="AH151" i="3"/>
  <c r="AI151" i="3" s="1"/>
  <c r="AH152" i="3"/>
  <c r="AI152" i="3" s="1"/>
  <c r="AH153" i="3"/>
  <c r="AI153" i="3" s="1"/>
  <c r="AH154" i="3"/>
  <c r="AI154" i="3" s="1"/>
  <c r="AH155" i="3"/>
  <c r="AI155" i="3" s="1"/>
  <c r="AH156" i="3"/>
  <c r="AI156" i="3" s="1"/>
  <c r="AH157" i="3"/>
  <c r="AI157" i="3" s="1"/>
  <c r="AH158" i="3"/>
  <c r="AI158" i="3" s="1"/>
  <c r="AH159" i="3"/>
  <c r="AI159" i="3" s="1"/>
  <c r="AH160" i="3"/>
  <c r="AI160" i="3" s="1"/>
  <c r="AH161" i="3"/>
  <c r="AI161" i="3" s="1"/>
  <c r="AH162" i="3"/>
  <c r="AI162" i="3" s="1"/>
  <c r="AH163" i="3"/>
  <c r="AI163" i="3" s="1"/>
  <c r="AH164" i="3"/>
  <c r="AI164" i="3" s="1"/>
  <c r="AH165" i="3"/>
  <c r="AI165" i="3" s="1"/>
  <c r="AH166" i="3"/>
  <c r="AI166" i="3" s="1"/>
  <c r="AH167" i="3"/>
  <c r="AI167" i="3" s="1"/>
  <c r="AH168" i="3"/>
  <c r="AI168" i="3" s="1"/>
  <c r="AH169" i="3"/>
  <c r="AI169" i="3" s="1"/>
  <c r="AH170" i="3"/>
  <c r="AI170" i="3" s="1"/>
  <c r="AH171" i="3"/>
  <c r="AI171" i="3" s="1"/>
  <c r="AH172" i="3"/>
  <c r="AI172" i="3" s="1"/>
  <c r="AH173" i="3"/>
  <c r="AI173" i="3" s="1"/>
  <c r="AH174" i="3"/>
  <c r="AI174" i="3" s="1"/>
  <c r="AH175" i="3"/>
  <c r="AI175" i="3" s="1"/>
  <c r="AH176" i="3"/>
  <c r="AI176" i="3" s="1"/>
  <c r="AH177" i="3"/>
  <c r="AI177" i="3" s="1"/>
  <c r="AH178" i="3"/>
  <c r="AI178" i="3" s="1"/>
  <c r="AH179" i="3"/>
  <c r="AI179" i="3" s="1"/>
  <c r="AH180" i="3"/>
  <c r="AI180" i="3" s="1"/>
  <c r="AH181" i="3"/>
  <c r="AI181" i="3" s="1"/>
  <c r="AH182" i="3"/>
  <c r="AI182" i="3" s="1"/>
  <c r="AH183" i="3"/>
  <c r="AI183" i="3" s="1"/>
  <c r="AH184" i="3"/>
  <c r="AI184" i="3" s="1"/>
  <c r="AH185" i="3"/>
  <c r="AI185" i="3" s="1"/>
  <c r="AH186" i="3"/>
  <c r="AI186" i="3" s="1"/>
  <c r="AH187" i="3"/>
  <c r="AI187" i="3" s="1"/>
  <c r="AH188" i="3"/>
  <c r="AI188" i="3" s="1"/>
  <c r="AH189" i="3"/>
  <c r="AI189" i="3" s="1"/>
  <c r="AH190" i="3"/>
  <c r="AI190" i="3" s="1"/>
  <c r="AH191" i="3"/>
  <c r="AI191" i="3" s="1"/>
  <c r="AH192" i="3"/>
  <c r="AI192" i="3" s="1"/>
  <c r="AH193" i="3"/>
  <c r="AI193" i="3" s="1"/>
  <c r="AH194" i="3"/>
  <c r="AI194" i="3" s="1"/>
  <c r="AH195" i="3"/>
  <c r="AI195" i="3" s="1"/>
  <c r="AH196" i="3"/>
  <c r="AI196" i="3" s="1"/>
  <c r="AH197" i="3"/>
  <c r="AI197" i="3" s="1"/>
  <c r="AH198" i="3"/>
  <c r="AI198" i="3" s="1"/>
  <c r="AH199" i="3"/>
  <c r="AI199" i="3" s="1"/>
  <c r="AH200" i="3"/>
  <c r="AI200" i="3" s="1"/>
  <c r="AH201" i="3"/>
  <c r="AI201" i="3" s="1"/>
  <c r="AH202" i="3"/>
  <c r="AI202" i="3" s="1"/>
  <c r="AH203" i="3"/>
  <c r="AI203" i="3" s="1"/>
  <c r="AH204" i="3"/>
  <c r="AI204" i="3" s="1"/>
  <c r="AH205" i="3"/>
  <c r="AI205" i="3" s="1"/>
  <c r="AH206" i="3"/>
  <c r="AI206" i="3" s="1"/>
  <c r="AH207" i="3"/>
  <c r="AI207" i="3" s="1"/>
  <c r="AH208" i="3"/>
  <c r="AI208" i="3" s="1"/>
  <c r="AH209" i="3"/>
  <c r="AI209" i="3" s="1"/>
  <c r="AH210" i="3"/>
  <c r="AI210" i="3" s="1"/>
  <c r="AH211" i="3"/>
  <c r="AI211" i="3" s="1"/>
  <c r="AH212" i="3"/>
  <c r="AI212" i="3" s="1"/>
  <c r="AH213" i="3"/>
  <c r="AI213" i="3" s="1"/>
  <c r="AH214" i="3"/>
  <c r="AI214" i="3" s="1"/>
  <c r="AH215" i="3"/>
  <c r="AI215" i="3" s="1"/>
  <c r="AH216" i="3"/>
  <c r="AI216" i="3" s="1"/>
  <c r="AH217" i="3"/>
  <c r="AI217" i="3" s="1"/>
  <c r="AH218" i="3"/>
  <c r="AI218" i="3" s="1"/>
  <c r="AH219" i="3"/>
  <c r="AI219" i="3" s="1"/>
  <c r="AH220" i="3"/>
  <c r="AI220" i="3" s="1"/>
  <c r="AH221" i="3"/>
  <c r="AI221" i="3" s="1"/>
  <c r="AH222" i="3"/>
  <c r="AI222" i="3" s="1"/>
  <c r="AH223" i="3"/>
  <c r="AI223" i="3" s="1"/>
  <c r="AH224" i="3"/>
  <c r="AI224" i="3" s="1"/>
  <c r="AH225" i="3"/>
  <c r="AI225" i="3" s="1"/>
  <c r="AH226" i="3"/>
  <c r="AI226" i="3" s="1"/>
  <c r="AH227" i="3"/>
  <c r="AI227" i="3" s="1"/>
  <c r="AH228" i="3"/>
  <c r="AI228" i="3" s="1"/>
  <c r="AH229" i="3"/>
  <c r="AI229" i="3" s="1"/>
  <c r="AH230" i="3"/>
  <c r="AI230" i="3" s="1"/>
  <c r="AH231" i="3"/>
  <c r="AI231" i="3" s="1"/>
  <c r="AH232" i="3"/>
  <c r="AI232" i="3" s="1"/>
  <c r="AH233" i="3"/>
  <c r="AI233" i="3" s="1"/>
  <c r="AH234" i="3"/>
  <c r="AI234" i="3" s="1"/>
  <c r="AH235" i="3"/>
  <c r="AI235" i="3" s="1"/>
  <c r="AH236" i="3"/>
  <c r="AI236" i="3" s="1"/>
  <c r="AH237" i="3"/>
  <c r="AI237" i="3" s="1"/>
  <c r="AH238" i="3"/>
  <c r="AI238" i="3" s="1"/>
  <c r="AH239" i="3"/>
  <c r="AI239" i="3" s="1"/>
  <c r="AH240" i="3"/>
  <c r="AI240" i="3" s="1"/>
  <c r="AH241" i="3"/>
  <c r="AI241" i="3" s="1"/>
  <c r="AH242" i="3"/>
  <c r="AI242" i="3" s="1"/>
  <c r="AH243" i="3"/>
  <c r="AI243" i="3" s="1"/>
  <c r="AH244" i="3"/>
  <c r="AI244" i="3" s="1"/>
  <c r="AH245" i="3"/>
  <c r="AI245" i="3" s="1"/>
  <c r="AH246" i="3"/>
  <c r="AI246" i="3" s="1"/>
  <c r="AH247" i="3"/>
  <c r="AI247" i="3" s="1"/>
  <c r="AH248" i="3"/>
  <c r="AI248" i="3" s="1"/>
  <c r="AH249" i="3"/>
  <c r="AI249" i="3" s="1"/>
  <c r="AH250" i="3"/>
  <c r="AI250" i="3" s="1"/>
  <c r="AH251" i="3"/>
  <c r="AI251" i="3" s="1"/>
  <c r="AH252" i="3"/>
  <c r="AI252" i="3" s="1"/>
  <c r="AH253" i="3"/>
  <c r="AI253" i="3" s="1"/>
  <c r="AH254" i="3"/>
  <c r="AI254" i="3" s="1"/>
  <c r="AH255" i="3"/>
  <c r="AI255" i="3" s="1"/>
  <c r="AH256" i="3"/>
  <c r="AI256" i="3" s="1"/>
  <c r="AH257" i="3"/>
  <c r="AI257" i="3" s="1"/>
  <c r="AH258" i="3"/>
  <c r="AI258" i="3" s="1"/>
  <c r="AH259" i="3"/>
  <c r="AI259" i="3" s="1"/>
  <c r="AH260" i="3"/>
  <c r="AI260" i="3" s="1"/>
  <c r="AH261" i="3"/>
  <c r="AI261" i="3" s="1"/>
  <c r="AH262" i="3"/>
  <c r="AI262" i="3" s="1"/>
  <c r="AH263" i="3"/>
  <c r="AI263" i="3" s="1"/>
  <c r="AH264" i="3"/>
  <c r="AI264" i="3" s="1"/>
  <c r="AH265" i="3"/>
  <c r="AI265" i="3" s="1"/>
  <c r="AH266" i="3"/>
  <c r="AI266" i="3" s="1"/>
  <c r="AH267" i="3"/>
  <c r="AI267" i="3" s="1"/>
  <c r="AH268" i="3"/>
  <c r="AI268" i="3" s="1"/>
  <c r="AH269" i="3"/>
  <c r="AI269" i="3" s="1"/>
  <c r="AH270" i="3"/>
  <c r="AI270" i="3" s="1"/>
  <c r="AH271" i="3"/>
  <c r="AI271" i="3" s="1"/>
  <c r="AH272" i="3"/>
  <c r="AI272" i="3" s="1"/>
  <c r="AH273" i="3"/>
  <c r="AI273" i="3" s="1"/>
  <c r="AH274" i="3"/>
  <c r="AI274" i="3" s="1"/>
  <c r="AH275" i="3"/>
  <c r="AI275" i="3" s="1"/>
  <c r="AH276" i="3"/>
  <c r="AI276" i="3" s="1"/>
  <c r="AH277" i="3"/>
  <c r="AI277" i="3" s="1"/>
  <c r="AH278" i="3"/>
  <c r="AI278" i="3" s="1"/>
  <c r="AH279" i="3"/>
  <c r="AI279" i="3" s="1"/>
  <c r="AH280" i="3"/>
  <c r="AI280" i="3" s="1"/>
  <c r="AH281" i="3"/>
  <c r="AI281" i="3" s="1"/>
  <c r="AH282" i="3"/>
  <c r="AI282" i="3" s="1"/>
  <c r="AH283" i="3"/>
  <c r="AI283" i="3" s="1"/>
  <c r="AH284" i="3"/>
  <c r="AI284" i="3" s="1"/>
  <c r="AH285" i="3"/>
  <c r="AI285" i="3" s="1"/>
  <c r="AH286" i="3"/>
  <c r="AI286" i="3" s="1"/>
  <c r="AH287" i="3"/>
  <c r="AI287" i="3" s="1"/>
  <c r="AH288" i="3"/>
  <c r="AI288" i="3" s="1"/>
  <c r="AH289" i="3"/>
  <c r="AI289" i="3" s="1"/>
  <c r="AH290" i="3"/>
  <c r="AI290" i="3" s="1"/>
  <c r="AH291" i="3"/>
  <c r="AI291" i="3" s="1"/>
  <c r="AH292" i="3"/>
  <c r="AI292" i="3" s="1"/>
  <c r="AH293" i="3"/>
  <c r="AI293" i="3" s="1"/>
  <c r="AH294" i="3"/>
  <c r="AI294" i="3" s="1"/>
  <c r="AH295" i="3"/>
  <c r="AI295" i="3" s="1"/>
  <c r="AH296" i="3"/>
  <c r="AI296" i="3" s="1"/>
  <c r="AH297" i="3"/>
  <c r="AI297" i="3" s="1"/>
  <c r="AH298" i="3"/>
  <c r="AI298" i="3" s="1"/>
  <c r="AH299" i="3"/>
  <c r="AI299" i="3" s="1"/>
  <c r="AH300" i="3"/>
  <c r="AI300" i="3" s="1"/>
  <c r="AH301" i="3"/>
  <c r="AI301" i="3" s="1"/>
  <c r="AH302" i="3"/>
  <c r="AI302" i="3" s="1"/>
  <c r="AH303" i="3"/>
  <c r="AI303" i="3" s="1"/>
  <c r="AH304" i="3"/>
  <c r="AI304" i="3" s="1"/>
  <c r="AH305" i="3"/>
  <c r="AI305" i="3" s="1"/>
  <c r="AH306" i="3"/>
  <c r="AI306" i="3" s="1"/>
  <c r="AH307" i="3"/>
  <c r="AI307" i="3" s="1"/>
  <c r="AH308" i="3"/>
  <c r="AI308" i="3" s="1"/>
  <c r="AH309" i="3"/>
  <c r="AI309" i="3" s="1"/>
  <c r="AH310" i="3"/>
  <c r="AI310" i="3" s="1"/>
  <c r="AH311" i="3"/>
  <c r="AI311" i="3" s="1"/>
  <c r="AH312" i="3"/>
  <c r="AI312" i="3" s="1"/>
  <c r="AH313" i="3"/>
  <c r="AI313" i="3" s="1"/>
  <c r="AH314" i="3"/>
  <c r="AI314" i="3" s="1"/>
  <c r="AH315" i="3"/>
  <c r="AI315" i="3" s="1"/>
  <c r="AH316" i="3"/>
  <c r="AI316" i="3" s="1"/>
  <c r="AH317" i="3"/>
  <c r="AI317" i="3" s="1"/>
  <c r="AH318" i="3"/>
  <c r="AI318" i="3" s="1"/>
  <c r="AH319" i="3"/>
  <c r="AI319" i="3" s="1"/>
  <c r="AH320" i="3"/>
  <c r="AI320" i="3" s="1"/>
  <c r="AH321" i="3"/>
  <c r="AI321" i="3" s="1"/>
  <c r="AH322" i="3"/>
  <c r="AI322" i="3" s="1"/>
  <c r="AH323" i="3"/>
  <c r="AI323" i="3" s="1"/>
  <c r="AH324" i="3"/>
  <c r="AI324" i="3" s="1"/>
  <c r="AH325" i="3"/>
  <c r="AI325" i="3" s="1"/>
  <c r="AH326" i="3"/>
  <c r="AI326" i="3" s="1"/>
  <c r="AH327" i="3"/>
  <c r="AI327" i="3" s="1"/>
  <c r="AH328" i="3"/>
  <c r="AI328" i="3" s="1"/>
  <c r="AH329" i="3"/>
  <c r="AI329" i="3" s="1"/>
  <c r="AH330" i="3"/>
  <c r="AI330" i="3" s="1"/>
  <c r="AH331" i="3"/>
  <c r="AI331" i="3" s="1"/>
  <c r="AH332" i="3"/>
  <c r="AI332" i="3" s="1"/>
  <c r="AH333" i="3"/>
  <c r="AI333" i="3" s="1"/>
  <c r="AH334" i="3"/>
  <c r="AI334" i="3" s="1"/>
  <c r="AH335" i="3"/>
  <c r="AI335" i="3" s="1"/>
  <c r="AH336" i="3"/>
  <c r="AI336" i="3" s="1"/>
  <c r="AH337" i="3"/>
  <c r="AI337" i="3" s="1"/>
  <c r="AH338" i="3"/>
  <c r="AI338" i="3" s="1"/>
  <c r="AH339" i="3"/>
  <c r="AI339" i="3" s="1"/>
  <c r="AH340" i="3"/>
  <c r="AI340" i="3" s="1"/>
  <c r="AH341" i="3"/>
  <c r="AI341" i="3" s="1"/>
  <c r="AH342" i="3"/>
  <c r="AI342" i="3" s="1"/>
  <c r="AH343" i="3"/>
  <c r="AI343" i="3" s="1"/>
  <c r="AH344" i="3"/>
  <c r="AI344" i="3" s="1"/>
  <c r="AH345" i="3"/>
  <c r="AI345" i="3" s="1"/>
  <c r="AH346" i="3"/>
  <c r="AI346" i="3" s="1"/>
  <c r="AH347" i="3"/>
  <c r="AI347" i="3" s="1"/>
  <c r="AH348" i="3"/>
  <c r="AI348" i="3" s="1"/>
  <c r="AH349" i="3"/>
  <c r="AI349" i="3" s="1"/>
  <c r="AH350" i="3"/>
  <c r="AI350" i="3" s="1"/>
  <c r="AH351" i="3"/>
  <c r="AI351" i="3" s="1"/>
  <c r="AH352" i="3"/>
  <c r="AI352" i="3" s="1"/>
  <c r="AH353" i="3"/>
  <c r="AI353" i="3" s="1"/>
  <c r="AH354" i="3"/>
  <c r="AI354" i="3" s="1"/>
  <c r="AH355" i="3"/>
  <c r="AI355" i="3" s="1"/>
  <c r="AH356" i="3"/>
  <c r="AI356" i="3" s="1"/>
  <c r="AH357" i="3"/>
  <c r="AI357" i="3"/>
  <c r="AH358" i="3"/>
  <c r="AI358" i="3" s="1"/>
  <c r="AH359" i="3"/>
  <c r="AI359" i="3" s="1"/>
  <c r="AH360" i="3"/>
  <c r="AI360" i="3" s="1"/>
  <c r="AH361" i="3"/>
  <c r="AI361" i="3" s="1"/>
  <c r="AH362" i="3"/>
  <c r="AI362" i="3" s="1"/>
  <c r="AH363" i="3"/>
  <c r="AI363" i="3" s="1"/>
  <c r="AH364" i="3"/>
  <c r="AI364" i="3" s="1"/>
  <c r="AH365" i="3"/>
  <c r="AI365" i="3" s="1"/>
  <c r="AH366" i="3"/>
  <c r="AI366" i="3" s="1"/>
  <c r="AH367" i="3"/>
  <c r="AI367" i="3" s="1"/>
  <c r="AH368" i="3"/>
  <c r="AI368" i="3" s="1"/>
  <c r="AH369" i="3"/>
  <c r="AI369" i="3" s="1"/>
  <c r="AH370" i="3"/>
  <c r="AI370" i="3" s="1"/>
  <c r="AH371" i="3"/>
  <c r="AI371" i="3" s="1"/>
  <c r="AH372" i="3"/>
  <c r="AI372" i="3" s="1"/>
  <c r="AH373" i="3"/>
  <c r="AI373" i="3" s="1"/>
  <c r="AH374" i="3"/>
  <c r="AI374" i="3" s="1"/>
  <c r="AH375" i="3"/>
  <c r="AI375" i="3" s="1"/>
  <c r="AH376" i="3"/>
  <c r="AI376" i="3" s="1"/>
  <c r="AH377" i="3"/>
  <c r="AI377" i="3" s="1"/>
  <c r="AH378" i="3"/>
  <c r="AI378" i="3" s="1"/>
  <c r="AH379" i="3"/>
  <c r="AI379" i="3" s="1"/>
  <c r="AH380" i="3"/>
  <c r="AI380" i="3" s="1"/>
  <c r="AH381" i="3"/>
  <c r="AI381" i="3" s="1"/>
  <c r="AH382" i="3"/>
  <c r="AI382" i="3" s="1"/>
  <c r="AH383" i="3"/>
  <c r="AI383" i="3" s="1"/>
  <c r="AH384" i="3"/>
  <c r="AI384" i="3" s="1"/>
  <c r="AH385" i="3"/>
  <c r="AI385" i="3" s="1"/>
  <c r="AH386" i="3"/>
  <c r="AI386" i="3" s="1"/>
  <c r="AH387" i="3"/>
  <c r="AI387" i="3" s="1"/>
  <c r="AH388" i="3"/>
  <c r="AI388" i="3" s="1"/>
  <c r="AH389" i="3"/>
  <c r="AI389" i="3" s="1"/>
  <c r="AH390" i="3"/>
  <c r="AI390" i="3" s="1"/>
  <c r="AH391" i="3"/>
  <c r="AI391" i="3" s="1"/>
  <c r="AH392" i="3"/>
  <c r="AI392" i="3" s="1"/>
  <c r="AH393" i="3"/>
  <c r="AI393" i="3" s="1"/>
  <c r="AH394" i="3"/>
  <c r="AI394" i="3" s="1"/>
  <c r="AH395" i="3"/>
  <c r="AI395" i="3" s="1"/>
  <c r="AH396" i="3"/>
  <c r="AI396" i="3" s="1"/>
  <c r="AH397" i="3"/>
  <c r="AI397" i="3" s="1"/>
  <c r="AH398" i="3"/>
  <c r="AI398" i="3" s="1"/>
  <c r="AH399" i="3"/>
  <c r="AI399" i="3" s="1"/>
  <c r="AH400" i="3"/>
  <c r="AI400" i="3" s="1"/>
  <c r="AH401" i="3"/>
  <c r="AI401" i="3" s="1"/>
  <c r="AH402" i="3"/>
  <c r="AI402" i="3" s="1"/>
  <c r="AH403" i="3"/>
  <c r="AI403" i="3" s="1"/>
  <c r="AH404" i="3"/>
  <c r="AI404" i="3" s="1"/>
  <c r="AH405" i="3"/>
  <c r="AI405" i="3" s="1"/>
  <c r="AH406" i="3"/>
  <c r="AI406" i="3" s="1"/>
  <c r="AH407" i="3"/>
  <c r="AI407" i="3" s="1"/>
  <c r="AH408" i="3"/>
  <c r="AI408" i="3" s="1"/>
  <c r="AH409" i="3"/>
  <c r="AI409" i="3" s="1"/>
  <c r="AH410" i="3"/>
  <c r="AI410" i="3" s="1"/>
  <c r="AH411" i="3"/>
  <c r="AI411" i="3" s="1"/>
  <c r="AH412" i="3"/>
  <c r="AI412" i="3" s="1"/>
  <c r="AH413" i="3"/>
  <c r="AI413" i="3" s="1"/>
  <c r="AH414" i="3"/>
  <c r="AI414" i="3" s="1"/>
  <c r="AH415" i="3"/>
  <c r="AI415" i="3" s="1"/>
  <c r="AH416" i="3"/>
  <c r="AI416" i="3" s="1"/>
  <c r="AH417" i="3"/>
  <c r="AI417" i="3" s="1"/>
  <c r="AH418" i="3"/>
  <c r="AI418" i="3" s="1"/>
  <c r="AH419" i="3"/>
  <c r="AI419" i="3" s="1"/>
  <c r="AH420" i="3"/>
  <c r="AI420" i="3" s="1"/>
  <c r="AH421" i="3"/>
  <c r="AI421" i="3" s="1"/>
  <c r="AH422" i="3"/>
  <c r="AI422" i="3" s="1"/>
  <c r="AH423" i="3"/>
  <c r="AI423" i="3" s="1"/>
  <c r="AH424" i="3"/>
  <c r="AI424" i="3" s="1"/>
  <c r="AH425" i="3"/>
  <c r="AI425" i="3" s="1"/>
  <c r="AH426" i="3"/>
  <c r="AI426" i="3" s="1"/>
  <c r="AH427" i="3"/>
  <c r="AI427" i="3" s="1"/>
  <c r="AH428" i="3"/>
  <c r="AI428" i="3" s="1"/>
  <c r="AH429" i="3"/>
  <c r="AI429" i="3" s="1"/>
  <c r="AH430" i="3"/>
  <c r="AI430" i="3" s="1"/>
  <c r="AH431" i="3"/>
  <c r="AI431" i="3" s="1"/>
  <c r="AH432" i="3"/>
  <c r="AI432" i="3" s="1"/>
  <c r="AH433" i="3"/>
  <c r="AI433" i="3" s="1"/>
  <c r="AH434" i="3"/>
  <c r="AI434" i="3" s="1"/>
  <c r="AH435" i="3"/>
  <c r="AI435" i="3" s="1"/>
  <c r="AH436" i="3"/>
  <c r="AI436" i="3" s="1"/>
  <c r="AH437" i="3"/>
  <c r="AI437" i="3" s="1"/>
  <c r="AH438" i="3"/>
  <c r="AI438" i="3" s="1"/>
  <c r="AH439" i="3"/>
  <c r="AI439" i="3" s="1"/>
  <c r="AH440" i="3"/>
  <c r="AI440" i="3" s="1"/>
  <c r="AH441" i="3"/>
  <c r="AI441" i="3" s="1"/>
  <c r="AH442" i="3"/>
  <c r="AI442" i="3" s="1"/>
  <c r="AH443" i="3"/>
  <c r="AI443" i="3" s="1"/>
  <c r="AH444" i="3"/>
  <c r="AI444" i="3" s="1"/>
  <c r="AH445" i="3"/>
  <c r="AI445" i="3" s="1"/>
  <c r="AH446" i="3"/>
  <c r="AI446" i="3" s="1"/>
  <c r="AH447" i="3"/>
  <c r="AI447" i="3" s="1"/>
  <c r="AH448" i="3"/>
  <c r="AI448" i="3" s="1"/>
  <c r="AH449" i="3"/>
  <c r="AI449" i="3" s="1"/>
  <c r="AH450" i="3"/>
  <c r="AI450" i="3" s="1"/>
  <c r="AH451" i="3"/>
  <c r="AI451" i="3" s="1"/>
  <c r="AH452" i="3"/>
  <c r="AI452" i="3" s="1"/>
  <c r="AH453" i="3"/>
  <c r="AI453" i="3" s="1"/>
  <c r="AH454" i="3"/>
  <c r="AI454" i="3" s="1"/>
  <c r="AH455" i="3"/>
  <c r="AI455" i="3" s="1"/>
  <c r="AH456" i="3"/>
  <c r="AI456" i="3" s="1"/>
  <c r="AH457" i="3"/>
  <c r="AI457" i="3" s="1"/>
  <c r="AH458" i="3"/>
  <c r="AI458" i="3" s="1"/>
  <c r="AH459" i="3"/>
  <c r="AI459" i="3" s="1"/>
  <c r="AH460" i="3"/>
  <c r="AI460" i="3" s="1"/>
  <c r="AH461" i="3"/>
  <c r="AI461" i="3" s="1"/>
  <c r="AH462" i="3"/>
  <c r="AI462" i="3" s="1"/>
  <c r="AH463" i="3"/>
  <c r="AI463" i="3" s="1"/>
  <c r="AH464" i="3"/>
  <c r="AI464" i="3" s="1"/>
  <c r="AH465" i="3"/>
  <c r="AI465" i="3" s="1"/>
  <c r="AH466" i="3"/>
  <c r="AI466" i="3" s="1"/>
  <c r="AH467" i="3"/>
  <c r="AI467" i="3" s="1"/>
  <c r="AH468" i="3"/>
  <c r="AI468" i="3" s="1"/>
  <c r="AH469" i="3"/>
  <c r="AI469" i="3" s="1"/>
  <c r="AH470" i="3"/>
  <c r="AI470" i="3" s="1"/>
  <c r="AH471" i="3"/>
  <c r="AI471" i="3" s="1"/>
  <c r="AH472" i="3"/>
  <c r="AI472" i="3" s="1"/>
  <c r="AH473" i="3"/>
  <c r="AI473" i="3" s="1"/>
  <c r="AH474" i="3"/>
  <c r="AI474" i="3" s="1"/>
  <c r="AH475" i="3"/>
  <c r="AI475" i="3" s="1"/>
  <c r="AH476" i="3"/>
  <c r="AI476" i="3" s="1"/>
  <c r="AH477" i="3"/>
  <c r="AI477" i="3" s="1"/>
  <c r="AH478" i="3"/>
  <c r="AI478" i="3" s="1"/>
  <c r="AH479" i="3"/>
  <c r="AI479" i="3" s="1"/>
  <c r="AH480" i="3"/>
  <c r="AI480" i="3" s="1"/>
  <c r="AH481" i="3"/>
  <c r="AI481" i="3" s="1"/>
  <c r="AH482" i="3"/>
  <c r="AI482" i="3" s="1"/>
  <c r="AH483" i="3"/>
  <c r="AI483" i="3" s="1"/>
  <c r="AH484" i="3"/>
  <c r="AI484" i="3" s="1"/>
  <c r="AH485" i="3"/>
  <c r="AI485" i="3" s="1"/>
  <c r="AH486" i="3"/>
  <c r="AI486" i="3" s="1"/>
  <c r="AH487" i="3"/>
  <c r="AI487" i="3" s="1"/>
  <c r="AH488" i="3"/>
  <c r="AI488" i="3" s="1"/>
  <c r="AH489" i="3"/>
  <c r="AI489" i="3" s="1"/>
  <c r="AH490" i="3"/>
  <c r="AI490" i="3" s="1"/>
  <c r="AH491" i="3"/>
  <c r="AI491" i="3" s="1"/>
  <c r="AH492" i="3"/>
  <c r="AI492" i="3" s="1"/>
  <c r="AH493" i="3"/>
  <c r="AI493" i="3" s="1"/>
  <c r="AH494" i="3"/>
  <c r="AI494" i="3" s="1"/>
  <c r="AH495" i="3"/>
  <c r="AI495" i="3" s="1"/>
  <c r="AH496" i="3"/>
  <c r="AI496" i="3" s="1"/>
  <c r="AH497" i="3"/>
  <c r="AI497" i="3" s="1"/>
  <c r="AH498" i="3"/>
  <c r="AI498" i="3" s="1"/>
  <c r="AH499" i="3"/>
  <c r="AI499" i="3" s="1"/>
  <c r="AH500" i="3"/>
  <c r="AI500" i="3" s="1"/>
  <c r="AH501" i="3"/>
  <c r="AI501" i="3" s="1"/>
  <c r="AH502" i="3"/>
  <c r="AI502" i="3" s="1"/>
  <c r="AH503" i="3"/>
  <c r="AI503" i="3" s="1"/>
  <c r="AH504" i="3"/>
  <c r="AI504" i="3" s="1"/>
  <c r="AH505" i="3"/>
  <c r="AI505" i="3" s="1"/>
  <c r="AH506" i="3"/>
  <c r="AI506" i="3" s="1"/>
  <c r="AH507" i="3"/>
  <c r="AI507" i="3" s="1"/>
  <c r="AH508" i="3"/>
  <c r="AI508" i="3" s="1"/>
  <c r="AH509" i="3"/>
  <c r="AI509" i="3" s="1"/>
  <c r="AH510" i="3"/>
  <c r="AI510" i="3" s="1"/>
  <c r="AH511" i="3"/>
  <c r="AI511" i="3" s="1"/>
  <c r="AH512" i="3"/>
  <c r="AI512" i="3" s="1"/>
  <c r="AH513" i="3"/>
  <c r="AI513" i="3" s="1"/>
  <c r="AH514" i="3"/>
  <c r="AI514" i="3" s="1"/>
  <c r="AH515" i="3"/>
  <c r="AI515" i="3" s="1"/>
  <c r="AH516" i="3"/>
  <c r="AI516" i="3" s="1"/>
  <c r="AH517" i="3"/>
  <c r="AI517" i="3" s="1"/>
  <c r="AH518" i="3"/>
  <c r="AI518" i="3" s="1"/>
  <c r="AH519" i="3"/>
  <c r="AI519" i="3" s="1"/>
  <c r="AH520" i="3"/>
  <c r="AI520" i="3" s="1"/>
  <c r="AH521" i="3"/>
  <c r="AI521" i="3" s="1"/>
  <c r="AH522" i="3"/>
  <c r="AI522" i="3" s="1"/>
  <c r="AH523" i="3"/>
  <c r="AI523" i="3" s="1"/>
  <c r="AH524" i="3"/>
  <c r="AI524" i="3" s="1"/>
  <c r="AH525" i="3"/>
  <c r="AI525" i="3" s="1"/>
  <c r="AH526" i="3"/>
  <c r="AI526" i="3" s="1"/>
  <c r="AH527" i="3"/>
  <c r="AI527" i="3" s="1"/>
  <c r="AH528" i="3"/>
  <c r="AI528" i="3" s="1"/>
  <c r="AH529" i="3"/>
  <c r="AI529" i="3" s="1"/>
  <c r="AH530" i="3"/>
  <c r="AI530" i="3" s="1"/>
  <c r="AH531" i="3"/>
  <c r="AI531" i="3" s="1"/>
  <c r="AH532" i="3"/>
  <c r="AI532" i="3" s="1"/>
  <c r="AH533" i="3"/>
  <c r="AI533" i="3" s="1"/>
  <c r="AH534" i="3"/>
  <c r="AI534" i="3" s="1"/>
  <c r="AH535" i="3"/>
  <c r="AI535" i="3" s="1"/>
  <c r="AH536" i="3"/>
  <c r="AI536" i="3" s="1"/>
  <c r="AH537" i="3"/>
  <c r="AI537" i="3" s="1"/>
  <c r="AH538" i="3"/>
  <c r="AI538" i="3" s="1"/>
  <c r="AH539" i="3"/>
  <c r="AI539" i="3" s="1"/>
  <c r="AH540" i="3"/>
  <c r="AI540" i="3" s="1"/>
  <c r="AH541" i="3"/>
  <c r="AI541" i="3" s="1"/>
  <c r="AH542" i="3"/>
  <c r="AI542" i="3" s="1"/>
  <c r="AH543" i="3"/>
  <c r="AI543" i="3" s="1"/>
  <c r="AH544" i="3"/>
  <c r="AI544" i="3" s="1"/>
  <c r="AH545" i="3"/>
  <c r="AI545" i="3" s="1"/>
  <c r="AH546" i="3"/>
  <c r="AI546" i="3" s="1"/>
  <c r="AH547" i="3"/>
  <c r="AI547" i="3" s="1"/>
  <c r="AH548" i="3"/>
  <c r="AI548" i="3" s="1"/>
  <c r="AH549" i="3"/>
  <c r="AI549" i="3" s="1"/>
  <c r="AH550" i="3"/>
  <c r="AI550" i="3" s="1"/>
  <c r="AH551" i="3"/>
  <c r="AI551" i="3" s="1"/>
  <c r="AH552" i="3"/>
  <c r="AI552" i="3" s="1"/>
  <c r="AH553" i="3"/>
  <c r="AI553" i="3" s="1"/>
  <c r="AH554" i="3"/>
  <c r="AI554" i="3" s="1"/>
  <c r="AH555" i="3"/>
  <c r="AI555" i="3" s="1"/>
  <c r="AH556" i="3"/>
  <c r="AI556" i="3" s="1"/>
  <c r="AH557" i="3"/>
  <c r="AI557" i="3" s="1"/>
  <c r="AH558" i="3"/>
  <c r="AI558" i="3" s="1"/>
  <c r="AH559" i="3"/>
  <c r="AI559" i="3" s="1"/>
  <c r="AH560" i="3"/>
  <c r="AI560" i="3" s="1"/>
  <c r="AH561" i="3"/>
  <c r="AI561" i="3" s="1"/>
  <c r="AH562" i="3"/>
  <c r="AI562" i="3" s="1"/>
  <c r="AH563" i="3"/>
  <c r="AI563" i="3" s="1"/>
  <c r="AH564" i="3"/>
  <c r="AI564" i="3" s="1"/>
  <c r="AH565" i="3"/>
  <c r="AI565" i="3" s="1"/>
  <c r="AH566" i="3"/>
  <c r="AI566" i="3" s="1"/>
  <c r="AH567" i="3"/>
  <c r="AI567" i="3" s="1"/>
  <c r="AH568" i="3"/>
  <c r="AI568" i="3" s="1"/>
  <c r="AH569" i="3"/>
  <c r="AI569" i="3" s="1"/>
  <c r="AH570" i="3"/>
  <c r="AI570" i="3" s="1"/>
  <c r="AH571" i="3"/>
  <c r="AI571" i="3" s="1"/>
  <c r="AH572" i="3"/>
  <c r="AI572" i="3" s="1"/>
  <c r="AH573" i="3"/>
  <c r="AI573" i="3" s="1"/>
  <c r="AH574" i="3"/>
  <c r="AI574" i="3" s="1"/>
  <c r="AH575" i="3"/>
  <c r="AI575" i="3" s="1"/>
  <c r="AH576" i="3"/>
  <c r="AI576" i="3" s="1"/>
  <c r="AH577" i="3"/>
  <c r="AI577" i="3" s="1"/>
  <c r="AH578" i="3"/>
  <c r="AI578" i="3" s="1"/>
  <c r="AH579" i="3"/>
  <c r="AI579" i="3" s="1"/>
  <c r="AH580" i="3"/>
  <c r="AI580" i="3" s="1"/>
  <c r="AH581" i="3"/>
  <c r="AI581" i="3" s="1"/>
  <c r="AH582" i="3"/>
  <c r="AI582" i="3" s="1"/>
  <c r="AH583" i="3"/>
  <c r="AI583" i="3" s="1"/>
  <c r="AH584" i="3"/>
  <c r="AI584" i="3" s="1"/>
  <c r="AH585" i="3"/>
  <c r="AI585" i="3" s="1"/>
  <c r="AH586" i="3"/>
  <c r="AI586" i="3" s="1"/>
  <c r="AH587" i="3"/>
  <c r="AI587" i="3" s="1"/>
  <c r="AH588" i="3"/>
  <c r="AI588" i="3" s="1"/>
  <c r="AH589" i="3"/>
  <c r="AI589" i="3" s="1"/>
  <c r="AH590" i="3"/>
  <c r="AI590" i="3" s="1"/>
  <c r="AH591" i="3"/>
  <c r="AI591" i="3" s="1"/>
  <c r="AH592" i="3"/>
  <c r="AI592" i="3" s="1"/>
  <c r="AH593" i="3"/>
  <c r="AI593" i="3" s="1"/>
  <c r="AH594" i="3"/>
  <c r="AI594" i="3" s="1"/>
  <c r="AH595" i="3"/>
  <c r="AI595" i="3" s="1"/>
  <c r="AH596" i="3"/>
  <c r="AI596" i="3" s="1"/>
  <c r="AH597" i="3"/>
  <c r="AI597" i="3" s="1"/>
  <c r="AH598" i="3"/>
  <c r="AI598" i="3" s="1"/>
  <c r="AH599" i="3"/>
  <c r="AI599" i="3" s="1"/>
  <c r="AH600" i="3"/>
  <c r="AI600" i="3" s="1"/>
  <c r="AH601" i="3"/>
  <c r="AI601" i="3" s="1"/>
  <c r="AH602" i="3"/>
  <c r="AI602" i="3" s="1"/>
  <c r="AH603" i="3"/>
  <c r="AI603" i="3" s="1"/>
  <c r="AH604" i="3"/>
  <c r="AI604" i="3" s="1"/>
  <c r="AH605" i="3"/>
  <c r="AI605" i="3" s="1"/>
  <c r="AH606" i="3"/>
  <c r="AI606" i="3" s="1"/>
  <c r="AH607" i="3"/>
  <c r="AI607" i="3" s="1"/>
  <c r="AH608" i="3"/>
  <c r="AI608" i="3" s="1"/>
  <c r="AH609" i="3"/>
  <c r="AI609" i="3" s="1"/>
  <c r="AH610" i="3"/>
  <c r="AI610" i="3" s="1"/>
  <c r="AH611" i="3"/>
  <c r="AI611" i="3" s="1"/>
  <c r="AH612" i="3"/>
  <c r="AI612" i="3" s="1"/>
  <c r="AH613" i="3"/>
  <c r="AI613" i="3" s="1"/>
  <c r="AH614" i="3"/>
  <c r="AI614" i="3" s="1"/>
  <c r="AH615" i="3"/>
  <c r="AI615" i="3" s="1"/>
  <c r="AH616" i="3"/>
  <c r="AI616" i="3" s="1"/>
  <c r="AH617" i="3"/>
  <c r="AI617" i="3" s="1"/>
  <c r="AH618" i="3"/>
  <c r="AI618" i="3" s="1"/>
  <c r="AH619" i="3"/>
  <c r="AI619" i="3" s="1"/>
  <c r="AH620" i="3"/>
  <c r="AI620" i="3" s="1"/>
  <c r="AH621" i="3"/>
  <c r="AI621" i="3" s="1"/>
  <c r="AH622" i="3"/>
  <c r="AI622" i="3" s="1"/>
  <c r="AH623" i="3"/>
  <c r="AI623" i="3" s="1"/>
  <c r="AH624" i="3"/>
  <c r="AI624" i="3" s="1"/>
  <c r="AH625" i="3"/>
  <c r="AI625" i="3" s="1"/>
  <c r="AH626" i="3"/>
  <c r="AI626" i="3" s="1"/>
  <c r="AH627" i="3"/>
  <c r="AI627" i="3" s="1"/>
  <c r="AH628" i="3"/>
  <c r="AI628" i="3" s="1"/>
  <c r="AH629" i="3"/>
  <c r="AI629" i="3" s="1"/>
  <c r="AH630" i="3"/>
  <c r="AI630" i="3" s="1"/>
  <c r="AH631" i="3"/>
  <c r="AI631" i="3" s="1"/>
  <c r="AH632" i="3"/>
  <c r="AI632" i="3" s="1"/>
  <c r="AH633" i="3"/>
  <c r="AI633" i="3" s="1"/>
  <c r="AH634" i="3"/>
  <c r="AI634" i="3" s="1"/>
  <c r="AH635" i="3"/>
  <c r="AI635" i="3" s="1"/>
  <c r="AH636" i="3"/>
  <c r="AI636" i="3" s="1"/>
  <c r="AH637" i="3"/>
  <c r="AI637" i="3" s="1"/>
  <c r="AH638" i="3"/>
  <c r="AI638" i="3" s="1"/>
  <c r="AH639" i="3"/>
  <c r="AI639" i="3" s="1"/>
  <c r="AH640" i="3"/>
  <c r="AI640" i="3" s="1"/>
  <c r="AH641" i="3"/>
  <c r="AI641" i="3" s="1"/>
  <c r="AH642" i="3"/>
  <c r="AI642" i="3" s="1"/>
  <c r="AH643" i="3"/>
  <c r="AI643" i="3" s="1"/>
  <c r="AH644" i="3"/>
  <c r="AI644" i="3" s="1"/>
  <c r="AH645" i="3"/>
  <c r="AI645" i="3" s="1"/>
  <c r="AH646" i="3"/>
  <c r="AI646" i="3" s="1"/>
  <c r="AH647" i="3"/>
  <c r="AI647" i="3" s="1"/>
  <c r="AH648" i="3"/>
  <c r="AI648" i="3" s="1"/>
  <c r="AH649" i="3"/>
  <c r="AI649" i="3" s="1"/>
  <c r="AH650" i="3"/>
  <c r="AI650" i="3" s="1"/>
  <c r="AH651" i="3"/>
  <c r="AI651" i="3" s="1"/>
  <c r="AH652" i="3"/>
  <c r="AI652" i="3" s="1"/>
  <c r="AH653" i="3"/>
  <c r="AI653" i="3" s="1"/>
  <c r="AH654" i="3"/>
  <c r="AI654" i="3" s="1"/>
  <c r="AH655" i="3"/>
  <c r="AI655" i="3" s="1"/>
  <c r="AH656" i="3"/>
  <c r="AI656" i="3" s="1"/>
  <c r="AH657" i="3"/>
  <c r="AI657" i="3" s="1"/>
  <c r="AH658" i="3"/>
  <c r="AI658" i="3" s="1"/>
  <c r="AH659" i="3"/>
  <c r="AI659" i="3" s="1"/>
  <c r="AH660" i="3"/>
  <c r="AI660" i="3" s="1"/>
  <c r="AH661" i="3"/>
  <c r="AI661" i="3" s="1"/>
  <c r="AH662" i="3"/>
  <c r="AI662" i="3" s="1"/>
  <c r="AH663" i="3"/>
  <c r="AI663" i="3" s="1"/>
  <c r="AH664" i="3"/>
  <c r="AI664" i="3" s="1"/>
  <c r="AH665" i="3"/>
  <c r="AI665" i="3" s="1"/>
  <c r="AH666" i="3"/>
  <c r="AI666" i="3" s="1"/>
  <c r="AH667" i="3"/>
  <c r="AI667" i="3" s="1"/>
  <c r="AH668" i="3"/>
  <c r="AI668" i="3" s="1"/>
  <c r="AH669" i="3"/>
  <c r="AI669" i="3" s="1"/>
  <c r="AH670" i="3"/>
  <c r="AI670" i="3" s="1"/>
  <c r="AH671" i="3"/>
  <c r="AI671" i="3" s="1"/>
  <c r="AH672" i="3"/>
  <c r="AI672" i="3" s="1"/>
  <c r="AH673" i="3"/>
  <c r="AI673" i="3" s="1"/>
  <c r="AH674" i="3"/>
  <c r="AI674" i="3" s="1"/>
  <c r="AH675" i="3"/>
  <c r="AI675" i="3" s="1"/>
  <c r="AH676" i="3"/>
  <c r="AI676" i="3" s="1"/>
  <c r="AH677" i="3"/>
  <c r="AI677" i="3" s="1"/>
  <c r="AH678" i="3"/>
  <c r="AI678" i="3" s="1"/>
  <c r="AH679" i="3"/>
  <c r="AI679" i="3" s="1"/>
  <c r="AH680" i="3"/>
  <c r="AI680" i="3" s="1"/>
  <c r="AH681" i="3"/>
  <c r="AI681" i="3" s="1"/>
  <c r="AH682" i="3"/>
  <c r="AI682" i="3" s="1"/>
  <c r="AH683" i="3"/>
  <c r="AI683" i="3" s="1"/>
  <c r="AH684" i="3"/>
  <c r="AI684" i="3" s="1"/>
  <c r="AH685" i="3"/>
  <c r="AI685" i="3" s="1"/>
  <c r="AH686" i="3"/>
  <c r="AI686" i="3" s="1"/>
  <c r="AH687" i="3"/>
  <c r="AI687" i="3" s="1"/>
  <c r="AH688" i="3"/>
  <c r="AI688" i="3" s="1"/>
  <c r="AH689" i="3"/>
  <c r="AI689" i="3" s="1"/>
  <c r="AH690" i="3"/>
  <c r="AI690" i="3" s="1"/>
  <c r="AH691" i="3"/>
  <c r="AI691" i="3" s="1"/>
  <c r="AH692" i="3"/>
  <c r="AI692" i="3" s="1"/>
  <c r="AH693" i="3"/>
  <c r="AI693" i="3" s="1"/>
  <c r="AH694" i="3"/>
  <c r="AI694" i="3" s="1"/>
  <c r="AH695" i="3"/>
  <c r="AI695" i="3" s="1"/>
  <c r="AH696" i="3"/>
  <c r="AI696" i="3" s="1"/>
  <c r="AH697" i="3"/>
  <c r="AI697" i="3" s="1"/>
  <c r="AH698" i="3"/>
  <c r="AI698" i="3" s="1"/>
  <c r="AH699" i="3"/>
  <c r="AI699" i="3" s="1"/>
  <c r="AH700" i="3"/>
  <c r="AI700" i="3" s="1"/>
  <c r="AH701" i="3"/>
  <c r="AI701" i="3" s="1"/>
  <c r="AH702" i="3"/>
  <c r="AI702" i="3" s="1"/>
  <c r="AH703" i="3"/>
  <c r="AI703" i="3" s="1"/>
  <c r="AH704" i="3"/>
  <c r="AI704" i="3" s="1"/>
  <c r="AH705" i="3"/>
  <c r="AI705" i="3" s="1"/>
  <c r="AH706" i="3"/>
  <c r="AI706" i="3" s="1"/>
  <c r="AH707" i="3"/>
  <c r="AI707" i="3" s="1"/>
  <c r="AH708" i="3"/>
  <c r="AI708" i="3" s="1"/>
  <c r="AH709" i="3"/>
  <c r="AI709" i="3" s="1"/>
  <c r="AH710" i="3"/>
  <c r="AI710" i="3" s="1"/>
  <c r="AH711" i="3"/>
  <c r="AI711" i="3" s="1"/>
  <c r="AH712" i="3"/>
  <c r="AI712" i="3" s="1"/>
  <c r="AH713" i="3"/>
  <c r="AI713" i="3" s="1"/>
  <c r="AH714" i="3"/>
  <c r="AI714" i="3" s="1"/>
  <c r="AH715" i="3"/>
  <c r="AI715" i="3" s="1"/>
  <c r="AH716" i="3"/>
  <c r="AI716" i="3" s="1"/>
  <c r="AH717" i="3"/>
  <c r="AI717" i="3" s="1"/>
  <c r="AH718" i="3"/>
  <c r="AI718" i="3" s="1"/>
  <c r="AH719" i="3"/>
  <c r="AI719" i="3" s="1"/>
  <c r="AH720" i="3"/>
  <c r="AI720" i="3" s="1"/>
  <c r="AH721" i="3"/>
  <c r="AI721" i="3" s="1"/>
  <c r="AH722" i="3"/>
  <c r="AI722" i="3" s="1"/>
  <c r="AH723" i="3"/>
  <c r="AI723" i="3" s="1"/>
  <c r="AH724" i="3"/>
  <c r="AI724" i="3" s="1"/>
  <c r="AH725" i="3"/>
  <c r="AI725" i="3" s="1"/>
  <c r="AH726" i="3"/>
  <c r="AI726" i="3" s="1"/>
  <c r="AH727" i="3"/>
  <c r="AI727" i="3" s="1"/>
  <c r="AH728" i="3"/>
  <c r="AI728" i="3" s="1"/>
  <c r="AH729" i="3"/>
  <c r="AI729" i="3" s="1"/>
  <c r="AH730" i="3"/>
  <c r="AI730" i="3" s="1"/>
  <c r="AH731" i="3"/>
  <c r="AI731" i="3" s="1"/>
  <c r="AH732" i="3"/>
  <c r="AI732" i="3" s="1"/>
  <c r="AH733" i="3"/>
  <c r="AI733" i="3" s="1"/>
  <c r="AH734" i="3"/>
  <c r="AI734" i="3" s="1"/>
  <c r="AH735" i="3"/>
  <c r="AI735" i="3" s="1"/>
  <c r="AH736" i="3"/>
  <c r="AI736" i="3" s="1"/>
  <c r="AH737" i="3"/>
  <c r="AI737" i="3" s="1"/>
  <c r="AH738" i="3"/>
  <c r="AI738" i="3" s="1"/>
  <c r="AH739" i="3"/>
  <c r="AI739" i="3" s="1"/>
  <c r="AH740" i="3"/>
  <c r="AI740" i="3" s="1"/>
  <c r="AH741" i="3"/>
  <c r="AI741" i="3" s="1"/>
  <c r="AH742" i="3"/>
  <c r="AI742" i="3" s="1"/>
  <c r="AH743" i="3"/>
  <c r="AI743" i="3" s="1"/>
  <c r="AH744" i="3"/>
  <c r="AI744" i="3" s="1"/>
  <c r="AH745" i="3"/>
  <c r="AI745" i="3" s="1"/>
  <c r="AH746" i="3"/>
  <c r="AI746" i="3" s="1"/>
  <c r="AH747" i="3"/>
  <c r="AI747" i="3" s="1"/>
  <c r="AH748" i="3"/>
  <c r="AI748" i="3" s="1"/>
  <c r="AH749" i="3"/>
  <c r="AI749" i="3" s="1"/>
  <c r="AH750" i="3"/>
  <c r="AI750" i="3" s="1"/>
  <c r="AH751" i="3"/>
  <c r="AI751" i="3" s="1"/>
  <c r="AH752" i="3"/>
  <c r="AI752" i="3" s="1"/>
  <c r="AH753" i="3"/>
  <c r="AI753" i="3" s="1"/>
  <c r="AH754" i="3"/>
  <c r="AI754" i="3" s="1"/>
  <c r="AH755" i="3"/>
  <c r="AI755" i="3" s="1"/>
  <c r="AH756" i="3"/>
  <c r="AI756" i="3" s="1"/>
  <c r="AH757" i="3"/>
  <c r="AI757" i="3" s="1"/>
  <c r="AH758" i="3"/>
  <c r="AI758" i="3" s="1"/>
  <c r="AH759" i="3"/>
  <c r="AI759" i="3" s="1"/>
  <c r="AH760" i="3"/>
  <c r="AI760" i="3" s="1"/>
  <c r="AH761" i="3"/>
  <c r="AI761" i="3" s="1"/>
  <c r="AH762" i="3"/>
  <c r="AI762" i="3" s="1"/>
  <c r="AH763" i="3"/>
  <c r="AI763" i="3" s="1"/>
  <c r="AH764" i="3"/>
  <c r="AI764" i="3" s="1"/>
  <c r="AH765" i="3"/>
  <c r="AI765" i="3" s="1"/>
  <c r="AH766" i="3"/>
  <c r="AI766" i="3" s="1"/>
  <c r="AH767" i="3"/>
  <c r="AI767" i="3" s="1"/>
  <c r="AH768" i="3"/>
  <c r="AI768" i="3" s="1"/>
  <c r="AH769" i="3"/>
  <c r="AI769" i="3" s="1"/>
  <c r="AH770" i="3"/>
  <c r="AI770" i="3" s="1"/>
  <c r="AH771" i="3"/>
  <c r="AI771" i="3" s="1"/>
  <c r="AH772" i="3"/>
  <c r="AI772" i="3" s="1"/>
  <c r="AH773" i="3"/>
  <c r="AI773" i="3" s="1"/>
  <c r="AH774" i="3"/>
  <c r="AI774" i="3" s="1"/>
  <c r="AH775" i="3"/>
  <c r="AI775" i="3" s="1"/>
  <c r="AH776" i="3"/>
  <c r="AI776" i="3" s="1"/>
  <c r="AH777" i="3"/>
  <c r="AI777" i="3" s="1"/>
  <c r="AH778" i="3"/>
  <c r="AI778" i="3" s="1"/>
  <c r="AH779" i="3"/>
  <c r="AI779" i="3" s="1"/>
  <c r="AH780" i="3"/>
  <c r="AI780" i="3" s="1"/>
  <c r="AH781" i="3"/>
  <c r="AI781" i="3" s="1"/>
  <c r="AH782" i="3"/>
  <c r="AI782" i="3" s="1"/>
  <c r="AH783" i="3"/>
  <c r="AI783" i="3" s="1"/>
  <c r="AH784" i="3"/>
  <c r="AI784" i="3" s="1"/>
  <c r="AH785" i="3"/>
  <c r="AI785" i="3" s="1"/>
  <c r="AH786" i="3"/>
  <c r="AI786" i="3" s="1"/>
  <c r="AH787" i="3"/>
  <c r="AI787" i="3" s="1"/>
  <c r="AH788" i="3"/>
  <c r="AI788" i="3" s="1"/>
  <c r="AH789" i="3"/>
  <c r="AI789" i="3" s="1"/>
  <c r="AH790" i="3"/>
  <c r="AI790" i="3" s="1"/>
  <c r="AH791" i="3"/>
  <c r="AI791" i="3" s="1"/>
  <c r="AH792" i="3"/>
  <c r="AI792" i="3" s="1"/>
  <c r="AH793" i="3"/>
  <c r="AI793" i="3" s="1"/>
  <c r="AH794" i="3"/>
  <c r="AI794" i="3" s="1"/>
  <c r="AH795" i="3"/>
  <c r="AI795" i="3" s="1"/>
  <c r="AH796" i="3"/>
  <c r="AI796" i="3" s="1"/>
  <c r="AH797" i="3"/>
  <c r="AI797" i="3" s="1"/>
  <c r="AH798" i="3"/>
  <c r="AI798" i="3" s="1"/>
  <c r="AH799" i="3"/>
  <c r="AI799" i="3" s="1"/>
  <c r="AH800" i="3"/>
  <c r="AI800" i="3" s="1"/>
  <c r="AH801" i="3"/>
  <c r="AI801" i="3" s="1"/>
  <c r="AH802" i="3"/>
  <c r="AI802" i="3" s="1"/>
  <c r="AH803" i="3"/>
  <c r="AI803" i="3" s="1"/>
  <c r="AH804" i="3"/>
  <c r="AI804" i="3" s="1"/>
  <c r="AH805" i="3"/>
  <c r="AI805" i="3" s="1"/>
  <c r="AH806" i="3"/>
  <c r="AI806" i="3" s="1"/>
  <c r="AH807" i="3"/>
  <c r="AI807" i="3" s="1"/>
  <c r="AH808" i="3"/>
  <c r="AI808" i="3" s="1"/>
  <c r="AH809" i="3"/>
  <c r="AI809" i="3" s="1"/>
  <c r="AH810" i="3"/>
  <c r="AI810" i="3" s="1"/>
  <c r="AH811" i="3"/>
  <c r="AI811" i="3" s="1"/>
  <c r="AH812" i="3"/>
  <c r="AI812" i="3" s="1"/>
  <c r="AH813" i="3"/>
  <c r="AI813" i="3" s="1"/>
  <c r="AH814" i="3"/>
  <c r="AI814" i="3" s="1"/>
  <c r="AH815" i="3"/>
  <c r="AI815" i="3" s="1"/>
  <c r="AH816" i="3"/>
  <c r="AI816" i="3" s="1"/>
  <c r="AH817" i="3"/>
  <c r="AI817" i="3" s="1"/>
  <c r="AH818" i="3"/>
  <c r="AI818" i="3" s="1"/>
  <c r="AH819" i="3"/>
  <c r="AI819" i="3" s="1"/>
  <c r="AH820" i="3"/>
  <c r="AI820" i="3" s="1"/>
  <c r="AH821" i="3"/>
  <c r="AI821" i="3" s="1"/>
  <c r="AH822" i="3"/>
  <c r="AI822" i="3" s="1"/>
  <c r="AH823" i="3"/>
  <c r="AI823" i="3" s="1"/>
  <c r="AH824" i="3"/>
  <c r="AI824" i="3" s="1"/>
  <c r="AH825" i="3"/>
  <c r="AI825" i="3" s="1"/>
  <c r="AH826" i="3"/>
  <c r="AI826" i="3" s="1"/>
  <c r="AH827" i="3"/>
  <c r="AI827" i="3" s="1"/>
  <c r="AH828" i="3"/>
  <c r="AI828" i="3" s="1"/>
  <c r="AH829" i="3"/>
  <c r="AI829" i="3" s="1"/>
  <c r="AH830" i="3"/>
  <c r="AI830" i="3" s="1"/>
  <c r="AH831" i="3"/>
  <c r="AI831" i="3" s="1"/>
  <c r="AH832" i="3"/>
  <c r="AI832" i="3" s="1"/>
  <c r="AH833" i="3"/>
  <c r="AI833" i="3" s="1"/>
  <c r="AH834" i="3"/>
  <c r="AI834" i="3" s="1"/>
  <c r="AH835" i="3"/>
  <c r="AI835" i="3" s="1"/>
  <c r="AH836" i="3"/>
  <c r="AI836" i="3" s="1"/>
  <c r="AH837" i="3"/>
  <c r="AI837" i="3" s="1"/>
  <c r="AH838" i="3"/>
  <c r="AI838" i="3" s="1"/>
  <c r="AH839" i="3"/>
  <c r="AI839" i="3" s="1"/>
  <c r="AH840" i="3"/>
  <c r="AI840" i="3" s="1"/>
  <c r="AH841" i="3"/>
  <c r="AI841" i="3" s="1"/>
  <c r="AH842" i="3"/>
  <c r="AI842" i="3" s="1"/>
  <c r="AH843" i="3"/>
  <c r="AI843" i="3" s="1"/>
  <c r="AH844" i="3"/>
  <c r="AI844" i="3" s="1"/>
  <c r="AH845" i="3"/>
  <c r="AI845" i="3" s="1"/>
  <c r="AH846" i="3"/>
  <c r="AI846" i="3" s="1"/>
  <c r="AH847" i="3"/>
  <c r="AI847" i="3" s="1"/>
  <c r="AH848" i="3"/>
  <c r="AI848" i="3" s="1"/>
  <c r="AH849" i="3"/>
  <c r="AI849" i="3" s="1"/>
  <c r="AH850" i="3"/>
  <c r="AI850" i="3" s="1"/>
  <c r="AH851" i="3"/>
  <c r="AI851" i="3" s="1"/>
  <c r="AH852" i="3"/>
  <c r="AI852" i="3" s="1"/>
  <c r="AH853" i="3"/>
  <c r="AI853" i="3" s="1"/>
  <c r="AH854" i="3"/>
  <c r="AI854" i="3" s="1"/>
  <c r="AH855" i="3"/>
  <c r="AI855" i="3" s="1"/>
  <c r="AH856" i="3"/>
  <c r="AI856" i="3" s="1"/>
  <c r="AH857" i="3"/>
  <c r="AI857" i="3" s="1"/>
  <c r="AH858" i="3"/>
  <c r="AI858" i="3" s="1"/>
  <c r="AH859" i="3"/>
  <c r="AI859" i="3" s="1"/>
  <c r="AH860" i="3"/>
  <c r="AI860" i="3" s="1"/>
  <c r="AH861" i="3"/>
  <c r="AI861" i="3" s="1"/>
  <c r="AH862" i="3"/>
  <c r="AI862" i="3" s="1"/>
  <c r="AH863" i="3"/>
  <c r="AI863" i="3" s="1"/>
  <c r="AH864" i="3"/>
  <c r="AI864" i="3" s="1"/>
  <c r="AH865" i="3"/>
  <c r="AI865" i="3" s="1"/>
  <c r="AH866" i="3"/>
  <c r="AI866" i="3" s="1"/>
  <c r="AH867" i="3"/>
  <c r="AI867" i="3" s="1"/>
  <c r="AH868" i="3"/>
  <c r="AI868" i="3" s="1"/>
  <c r="AH869" i="3"/>
  <c r="AI869" i="3" s="1"/>
  <c r="AH870" i="3"/>
  <c r="AI870" i="3" s="1"/>
  <c r="AH871" i="3"/>
  <c r="AI871" i="3" s="1"/>
  <c r="AH872" i="3"/>
  <c r="AI872" i="3" s="1"/>
  <c r="AH873" i="3"/>
  <c r="AI873" i="3" s="1"/>
  <c r="AH874" i="3"/>
  <c r="AI874" i="3" s="1"/>
  <c r="AH875" i="3"/>
  <c r="AI875" i="3" s="1"/>
  <c r="AH876" i="3"/>
  <c r="AI876" i="3" s="1"/>
  <c r="AH877" i="3"/>
  <c r="AI877" i="3" s="1"/>
  <c r="AH878" i="3"/>
  <c r="AI878" i="3" s="1"/>
  <c r="AH879" i="3"/>
  <c r="AI879" i="3" s="1"/>
  <c r="AH880" i="3"/>
  <c r="AI880" i="3" s="1"/>
  <c r="AH881" i="3"/>
  <c r="AI881" i="3" s="1"/>
  <c r="AH882" i="3"/>
  <c r="AI882" i="3" s="1"/>
  <c r="AH883" i="3"/>
  <c r="AI883" i="3" s="1"/>
  <c r="AH884" i="3"/>
  <c r="AI884" i="3" s="1"/>
  <c r="AH885" i="3"/>
  <c r="AI885" i="3" s="1"/>
  <c r="AH886" i="3"/>
  <c r="AI886" i="3" s="1"/>
  <c r="AH887" i="3"/>
  <c r="AI887" i="3" s="1"/>
  <c r="AH888" i="3"/>
  <c r="AI888" i="3" s="1"/>
  <c r="AH889" i="3"/>
  <c r="AI889" i="3" s="1"/>
  <c r="AH890" i="3"/>
  <c r="AI890" i="3" s="1"/>
  <c r="AH891" i="3"/>
  <c r="AI891" i="3" s="1"/>
  <c r="AH892" i="3"/>
  <c r="AI892" i="3" s="1"/>
  <c r="AH893" i="3"/>
  <c r="AI893" i="3" s="1"/>
  <c r="AH894" i="3"/>
  <c r="AI894" i="3" s="1"/>
  <c r="AH895" i="3"/>
  <c r="AI895" i="3" s="1"/>
  <c r="AH896" i="3"/>
  <c r="AI896" i="3" s="1"/>
  <c r="AH897" i="3"/>
  <c r="AI897" i="3" s="1"/>
  <c r="AH898" i="3"/>
  <c r="AI898" i="3" s="1"/>
  <c r="AH899" i="3"/>
  <c r="AI899" i="3" s="1"/>
  <c r="AH900" i="3"/>
  <c r="AI900" i="3" s="1"/>
  <c r="AH901" i="3"/>
  <c r="AI901" i="3" s="1"/>
  <c r="AH902" i="3"/>
  <c r="AI902" i="3" s="1"/>
  <c r="AH903" i="3"/>
  <c r="AI903" i="3" s="1"/>
  <c r="AH904" i="3"/>
  <c r="AI904" i="3" s="1"/>
  <c r="AH905" i="3"/>
  <c r="AI905" i="3" s="1"/>
  <c r="AH906" i="3"/>
  <c r="AI906" i="3" s="1"/>
  <c r="AH907" i="3"/>
  <c r="AI907" i="3" s="1"/>
  <c r="AH908" i="3"/>
  <c r="AI908" i="3" s="1"/>
  <c r="AH909" i="3"/>
  <c r="AI909" i="3" s="1"/>
  <c r="AH910" i="3"/>
  <c r="AI910" i="3" s="1"/>
  <c r="AH911" i="3"/>
  <c r="AI911" i="3" s="1"/>
  <c r="AH912" i="3"/>
  <c r="AI912" i="3" s="1"/>
  <c r="AH913" i="3"/>
  <c r="AI913" i="3" s="1"/>
  <c r="AH914" i="3"/>
  <c r="AI914" i="3" s="1"/>
  <c r="AH915" i="3"/>
  <c r="AI915" i="3" s="1"/>
  <c r="AH916" i="3"/>
  <c r="AI916" i="3" s="1"/>
  <c r="AH917" i="3"/>
  <c r="AI917" i="3" s="1"/>
  <c r="AH918" i="3"/>
  <c r="AI918" i="3" s="1"/>
  <c r="AH919" i="3"/>
  <c r="AI919" i="3" s="1"/>
  <c r="AH920" i="3"/>
  <c r="AI920" i="3" s="1"/>
  <c r="AH921" i="3"/>
  <c r="AI921" i="3" s="1"/>
  <c r="AH922" i="3"/>
  <c r="AI922" i="3" s="1"/>
  <c r="AH923" i="3"/>
  <c r="AI923" i="3" s="1"/>
  <c r="AH924" i="3"/>
  <c r="AI924" i="3" s="1"/>
  <c r="AH925" i="3"/>
  <c r="AI925" i="3" s="1"/>
  <c r="AH926" i="3"/>
  <c r="AI926" i="3" s="1"/>
  <c r="AH927" i="3"/>
  <c r="AI927" i="3" s="1"/>
  <c r="AH928" i="3"/>
  <c r="AI928" i="3" s="1"/>
  <c r="AH929" i="3"/>
  <c r="AI929" i="3" s="1"/>
  <c r="AH930" i="3"/>
  <c r="AI930" i="3" s="1"/>
  <c r="AH931" i="3"/>
  <c r="AI931" i="3" s="1"/>
  <c r="AH932" i="3"/>
  <c r="AI932" i="3" s="1"/>
  <c r="AH933" i="3"/>
  <c r="AI933" i="3" s="1"/>
  <c r="AH934" i="3"/>
  <c r="AI934" i="3" s="1"/>
  <c r="AH935" i="3"/>
  <c r="AI935" i="3" s="1"/>
  <c r="AH936" i="3"/>
  <c r="AI936" i="3" s="1"/>
  <c r="AH937" i="3"/>
  <c r="AI937" i="3" s="1"/>
  <c r="AH938" i="3"/>
  <c r="AI938" i="3" s="1"/>
  <c r="AH939" i="3"/>
  <c r="AI939" i="3" s="1"/>
  <c r="AH940" i="3"/>
  <c r="AI940" i="3" s="1"/>
  <c r="AH941" i="3"/>
  <c r="AI941" i="3" s="1"/>
  <c r="AH942" i="3"/>
  <c r="AI942" i="3" s="1"/>
  <c r="AH943" i="3"/>
  <c r="AI943" i="3" s="1"/>
  <c r="AH944" i="3"/>
  <c r="AI944" i="3" s="1"/>
  <c r="AH945" i="3"/>
  <c r="AI945" i="3" s="1"/>
  <c r="AH946" i="3"/>
  <c r="AI946" i="3" s="1"/>
  <c r="AH947" i="3"/>
  <c r="AI947" i="3" s="1"/>
  <c r="AH948" i="3"/>
  <c r="AI948" i="3" s="1"/>
  <c r="AH949" i="3"/>
  <c r="AI949" i="3" s="1"/>
  <c r="AH950" i="3"/>
  <c r="AI950" i="3" s="1"/>
  <c r="AH951" i="3"/>
  <c r="AI951" i="3" s="1"/>
  <c r="AH952" i="3"/>
  <c r="AI952" i="3" s="1"/>
  <c r="AH953" i="3"/>
  <c r="AI953" i="3" s="1"/>
  <c r="AH954" i="3"/>
  <c r="AI954" i="3" s="1"/>
  <c r="AH955" i="3"/>
  <c r="AI955" i="3" s="1"/>
  <c r="AH956" i="3"/>
  <c r="AI956" i="3" s="1"/>
  <c r="AH957" i="3"/>
  <c r="AI957" i="3" s="1"/>
  <c r="AH958" i="3"/>
  <c r="AI958" i="3" s="1"/>
  <c r="AH959" i="3"/>
  <c r="AI959" i="3" s="1"/>
  <c r="AH960" i="3"/>
  <c r="AI960" i="3" s="1"/>
  <c r="AH961" i="3"/>
  <c r="AI961" i="3" s="1"/>
  <c r="AH962" i="3"/>
  <c r="AI962" i="3" s="1"/>
  <c r="AH963" i="3"/>
  <c r="AI963" i="3" s="1"/>
  <c r="AH964" i="3"/>
  <c r="AI964" i="3" s="1"/>
  <c r="AH965" i="3"/>
  <c r="AI965" i="3" s="1"/>
  <c r="AH966" i="3"/>
  <c r="AI966" i="3" s="1"/>
  <c r="AH967" i="3"/>
  <c r="AI967" i="3" s="1"/>
  <c r="AH968" i="3"/>
  <c r="AI968" i="3" s="1"/>
  <c r="AH969" i="3"/>
  <c r="AI969" i="3" s="1"/>
  <c r="AH970" i="3"/>
  <c r="AI970" i="3" s="1"/>
  <c r="AH971" i="3"/>
  <c r="AI971" i="3" s="1"/>
  <c r="AH972" i="3"/>
  <c r="AI972" i="3" s="1"/>
  <c r="AH973" i="3"/>
  <c r="AI973" i="3" s="1"/>
  <c r="AH974" i="3"/>
  <c r="AI974" i="3" s="1"/>
  <c r="AH975" i="3"/>
  <c r="AI975" i="3" s="1"/>
  <c r="AH976" i="3"/>
  <c r="AI976" i="3" s="1"/>
  <c r="AH977" i="3"/>
  <c r="AI977" i="3" s="1"/>
  <c r="AH978" i="3"/>
  <c r="AI978" i="3" s="1"/>
  <c r="AH979" i="3"/>
  <c r="AI979" i="3" s="1"/>
  <c r="AH980" i="3"/>
  <c r="AI980" i="3" s="1"/>
  <c r="AH981" i="3"/>
  <c r="AI981" i="3" s="1"/>
  <c r="AH982" i="3"/>
  <c r="AI982" i="3" s="1"/>
  <c r="AH983" i="3"/>
  <c r="AI983" i="3" s="1"/>
  <c r="AH984" i="3"/>
  <c r="AI984" i="3" s="1"/>
  <c r="AH985" i="3"/>
  <c r="AI985" i="3" s="1"/>
  <c r="AH986" i="3"/>
  <c r="AI986" i="3" s="1"/>
  <c r="AH987" i="3"/>
  <c r="AI987" i="3" s="1"/>
  <c r="AH988" i="3"/>
  <c r="AI988" i="3" s="1"/>
  <c r="AH989" i="3"/>
  <c r="AI989" i="3" s="1"/>
  <c r="AH990" i="3"/>
  <c r="AI990" i="3" s="1"/>
  <c r="AH991" i="3"/>
  <c r="AI991" i="3" s="1"/>
  <c r="AH992" i="3"/>
  <c r="AI992" i="3" s="1"/>
  <c r="AH993" i="3"/>
  <c r="AI993" i="3" s="1"/>
  <c r="AH994" i="3"/>
  <c r="AI994" i="3" s="1"/>
  <c r="AH995" i="3"/>
  <c r="AI995" i="3" s="1"/>
  <c r="AH996" i="3"/>
  <c r="AI996" i="3" s="1"/>
  <c r="AH997" i="3"/>
  <c r="AI997" i="3" s="1"/>
  <c r="AH998" i="3"/>
  <c r="AI998" i="3" s="1"/>
  <c r="AH999" i="3"/>
  <c r="AI999" i="3" s="1"/>
  <c r="AH1000" i="3"/>
  <c r="AI1000" i="3" s="1"/>
  <c r="AH1001" i="3"/>
  <c r="AI1001" i="3" s="1"/>
  <c r="AH1002" i="3"/>
  <c r="AI1002" i="3" s="1"/>
  <c r="AH1003" i="3"/>
  <c r="AI1003" i="3" s="1"/>
  <c r="AH1004" i="3"/>
  <c r="AI1004" i="3" s="1"/>
  <c r="AH1005" i="3"/>
  <c r="AI1005" i="3" s="1"/>
  <c r="AH1006" i="3"/>
  <c r="AI1006" i="3" s="1"/>
  <c r="AH1007" i="3"/>
  <c r="AI1007" i="3" s="1"/>
  <c r="AH1008" i="3"/>
  <c r="AI1008" i="3" s="1"/>
  <c r="AH1009" i="3"/>
  <c r="AI1009" i="3" s="1"/>
  <c r="AH1010" i="3"/>
  <c r="AI1010" i="3" s="1"/>
  <c r="AH1011" i="3"/>
  <c r="AI1011" i="3" s="1"/>
  <c r="AH1012" i="3"/>
  <c r="AI1012" i="3" s="1"/>
  <c r="AH1013" i="3"/>
  <c r="AI1013" i="3" s="1"/>
  <c r="AH1014" i="3"/>
  <c r="AI1014" i="3" s="1"/>
  <c r="AH1015" i="3"/>
  <c r="AI1015" i="3" s="1"/>
  <c r="AH1016" i="3"/>
  <c r="AI1016" i="3" s="1"/>
  <c r="AH1017" i="3"/>
  <c r="AI1017" i="3" s="1"/>
  <c r="AH1018" i="3"/>
  <c r="AI1018" i="3" s="1"/>
  <c r="AH1019" i="3"/>
  <c r="AI1019" i="3" s="1"/>
  <c r="AH1020" i="3"/>
  <c r="AI1020" i="3" s="1"/>
  <c r="AH1021" i="3"/>
  <c r="AI1021" i="3" s="1"/>
  <c r="AH1022" i="3"/>
  <c r="AI1022" i="3" s="1"/>
  <c r="AH1023" i="3"/>
  <c r="AI1023" i="3" s="1"/>
  <c r="AH1024" i="3"/>
  <c r="AI1024" i="3" s="1"/>
  <c r="AH1025" i="3"/>
  <c r="AI1025" i="3" s="1"/>
  <c r="AH1026" i="3"/>
  <c r="AI1026" i="3" s="1"/>
  <c r="AH1027" i="3"/>
  <c r="AI1027" i="3" s="1"/>
  <c r="AH1028" i="3"/>
  <c r="AI1028" i="3" s="1"/>
  <c r="AH1029" i="3"/>
  <c r="AI1029" i="3" s="1"/>
  <c r="AH1030" i="3"/>
  <c r="AI1030" i="3" s="1"/>
  <c r="AH1031" i="3"/>
  <c r="AI1031" i="3" s="1"/>
  <c r="AH1032" i="3"/>
  <c r="AI1032" i="3" s="1"/>
  <c r="AH1033" i="3"/>
  <c r="AI1033" i="3" s="1"/>
  <c r="AH1034" i="3"/>
  <c r="AI1034" i="3" s="1"/>
  <c r="AH1035" i="3"/>
  <c r="AI1035" i="3" s="1"/>
  <c r="AH1036" i="3"/>
  <c r="AI1036" i="3" s="1"/>
  <c r="AH1037" i="3"/>
  <c r="AI1037" i="3" s="1"/>
  <c r="AH1038" i="3"/>
  <c r="AI1038" i="3" s="1"/>
  <c r="AH1039" i="3"/>
  <c r="AI1039" i="3" s="1"/>
  <c r="AH1040" i="3"/>
  <c r="AI1040" i="3" s="1"/>
  <c r="AH1041" i="3"/>
  <c r="AI1041" i="3" s="1"/>
  <c r="AH1042" i="3"/>
  <c r="AI1042" i="3" s="1"/>
  <c r="AH1043" i="3"/>
  <c r="AI1043" i="3" s="1"/>
  <c r="AH1044" i="3"/>
  <c r="AI1044" i="3" s="1"/>
  <c r="AH1045" i="3"/>
  <c r="AI1045" i="3" s="1"/>
  <c r="AH1046" i="3"/>
  <c r="AI1046" i="3" s="1"/>
  <c r="AH1047" i="3"/>
  <c r="AI1047" i="3" s="1"/>
  <c r="AH1048" i="3"/>
  <c r="AI1048" i="3" s="1"/>
  <c r="AH1049" i="3"/>
  <c r="AI1049" i="3" s="1"/>
  <c r="AH1050" i="3"/>
  <c r="AI1050" i="3" s="1"/>
  <c r="AH1051" i="3"/>
  <c r="AI1051" i="3" s="1"/>
  <c r="AH1052" i="3"/>
  <c r="AI1052" i="3" s="1"/>
  <c r="AH1053" i="3"/>
  <c r="AI1053" i="3" s="1"/>
  <c r="AH1054" i="3"/>
  <c r="AI1054" i="3" s="1"/>
  <c r="AH1055" i="3"/>
  <c r="AI1055" i="3" s="1"/>
  <c r="AH1056" i="3"/>
  <c r="AI1056" i="3" s="1"/>
  <c r="AH1057" i="3"/>
  <c r="AI1057" i="3" s="1"/>
  <c r="AH1058" i="3"/>
  <c r="AI1058" i="3" s="1"/>
  <c r="AH1059" i="3"/>
  <c r="AI1059" i="3" s="1"/>
  <c r="AH1060" i="3"/>
  <c r="AI1060" i="3" s="1"/>
  <c r="AH1061" i="3"/>
  <c r="AI1061" i="3" s="1"/>
  <c r="AH1062" i="3"/>
  <c r="AI1062" i="3" s="1"/>
  <c r="AH1063" i="3"/>
  <c r="AI1063" i="3" s="1"/>
  <c r="AH1064" i="3"/>
  <c r="AI1064" i="3" s="1"/>
  <c r="AH1065" i="3"/>
  <c r="AI1065" i="3" s="1"/>
  <c r="AH1066" i="3"/>
  <c r="AI1066" i="3" s="1"/>
  <c r="AH1067" i="3"/>
  <c r="AI1067" i="3" s="1"/>
  <c r="AH1068" i="3"/>
  <c r="AI1068" i="3" s="1"/>
  <c r="AH1069" i="3"/>
  <c r="AI1069" i="3" s="1"/>
  <c r="AH1070" i="3"/>
  <c r="AI1070" i="3" s="1"/>
  <c r="AH1071" i="3"/>
  <c r="AI1071" i="3" s="1"/>
  <c r="AH1072" i="3"/>
  <c r="AI1072" i="3" s="1"/>
  <c r="AH1073" i="3"/>
  <c r="AI1073" i="3" s="1"/>
  <c r="AH1074" i="3"/>
  <c r="AI1074" i="3" s="1"/>
  <c r="AH1075" i="3"/>
  <c r="AI1075" i="3" s="1"/>
  <c r="AH1076" i="3"/>
  <c r="AI1076" i="3" s="1"/>
  <c r="AH1077" i="3"/>
  <c r="AI1077" i="3" s="1"/>
  <c r="AH1078" i="3"/>
  <c r="AI1078" i="3" s="1"/>
  <c r="AH1079" i="3"/>
  <c r="AI1079" i="3" s="1"/>
  <c r="AH1080" i="3"/>
  <c r="AI1080" i="3" s="1"/>
  <c r="AH1081" i="3"/>
  <c r="AI1081" i="3" s="1"/>
  <c r="AH1082" i="3"/>
  <c r="AI1082" i="3" s="1"/>
  <c r="AH1083" i="3"/>
  <c r="AI1083" i="3" s="1"/>
  <c r="AH1084" i="3"/>
  <c r="AI1084" i="3" s="1"/>
  <c r="AH1085" i="3"/>
  <c r="AI1085" i="3" s="1"/>
  <c r="AH1086" i="3"/>
  <c r="AI1086" i="3" s="1"/>
  <c r="AH1087" i="3"/>
  <c r="AI1087" i="3" s="1"/>
  <c r="AH1088" i="3"/>
  <c r="AI1088" i="3" s="1"/>
  <c r="AH1089" i="3"/>
  <c r="AI1089" i="3" s="1"/>
  <c r="AH1090" i="3"/>
  <c r="AI1090" i="3" s="1"/>
  <c r="AH1091" i="3"/>
  <c r="AI1091" i="3" s="1"/>
  <c r="AH1092" i="3"/>
  <c r="AI1092" i="3" s="1"/>
  <c r="AH1093" i="3"/>
  <c r="AI1093" i="3" s="1"/>
  <c r="AH1094" i="3"/>
  <c r="AI1094" i="3" s="1"/>
  <c r="AH1095" i="3"/>
  <c r="AI1095" i="3" s="1"/>
  <c r="AH1096" i="3"/>
  <c r="AI1096" i="3" s="1"/>
  <c r="AH1097" i="3"/>
  <c r="AI1097" i="3" s="1"/>
  <c r="AH1098" i="3"/>
  <c r="AI1098" i="3" s="1"/>
  <c r="AH1099" i="3"/>
  <c r="AI1099" i="3" s="1"/>
  <c r="AH1100" i="3"/>
  <c r="AI1100" i="3" s="1"/>
  <c r="AH1101" i="3"/>
  <c r="AI1101" i="3" s="1"/>
  <c r="AH1102" i="3"/>
  <c r="AI1102" i="3" s="1"/>
  <c r="AH1103" i="3"/>
  <c r="AI1103" i="3" s="1"/>
  <c r="AH1104" i="3"/>
  <c r="AI1104" i="3" s="1"/>
  <c r="AH1105" i="3"/>
  <c r="AI1105" i="3" s="1"/>
  <c r="AH1106" i="3"/>
  <c r="AI1106" i="3" s="1"/>
  <c r="AH1107" i="3"/>
  <c r="AI1107" i="3" s="1"/>
  <c r="AH1108" i="3"/>
  <c r="AI1108" i="3" s="1"/>
  <c r="AH1109" i="3"/>
  <c r="AI1109" i="3" s="1"/>
  <c r="AH1110" i="3"/>
  <c r="AI1110" i="3" s="1"/>
  <c r="AH1111" i="3"/>
  <c r="AI1111" i="3" s="1"/>
  <c r="AH1112" i="3"/>
  <c r="AI1112" i="3" s="1"/>
  <c r="AH1113" i="3"/>
  <c r="AI1113" i="3" s="1"/>
  <c r="AH1114" i="3"/>
  <c r="AI1114" i="3" s="1"/>
  <c r="AH1115" i="3"/>
  <c r="AI1115" i="3" s="1"/>
  <c r="AH1116" i="3"/>
  <c r="AI1116" i="3" s="1"/>
  <c r="AH1117" i="3"/>
  <c r="AI1117" i="3" s="1"/>
  <c r="AH1118" i="3"/>
  <c r="AI1118" i="3" s="1"/>
  <c r="AH1119" i="3"/>
  <c r="AI1119" i="3" s="1"/>
  <c r="AH1120" i="3"/>
  <c r="AI1120" i="3" s="1"/>
  <c r="AH1121" i="3"/>
  <c r="AI1121" i="3" s="1"/>
  <c r="AH1122" i="3"/>
  <c r="AI1122" i="3" s="1"/>
  <c r="AH1123" i="3"/>
  <c r="AI1123" i="3" s="1"/>
  <c r="AH1124" i="3"/>
  <c r="AI1124" i="3" s="1"/>
  <c r="AH1125" i="3"/>
  <c r="AI1125" i="3" s="1"/>
  <c r="AH1126" i="3"/>
  <c r="AI1126" i="3" s="1"/>
  <c r="AH1127" i="3"/>
  <c r="AI1127" i="3" s="1"/>
  <c r="AH1128" i="3"/>
  <c r="AI1128" i="3" s="1"/>
  <c r="AH1129" i="3"/>
  <c r="AI1129" i="3" s="1"/>
  <c r="AH1130" i="3"/>
  <c r="AI1130" i="3" s="1"/>
  <c r="AH1131" i="3"/>
  <c r="AI1131" i="3" s="1"/>
  <c r="AH1132" i="3"/>
  <c r="AI1132" i="3" s="1"/>
  <c r="AH1133" i="3"/>
  <c r="AI1133" i="3" s="1"/>
  <c r="AH1134" i="3"/>
  <c r="AI1134" i="3" s="1"/>
  <c r="AH1135" i="3"/>
  <c r="AI1135" i="3" s="1"/>
  <c r="AH1136" i="3"/>
  <c r="AI1136" i="3" s="1"/>
  <c r="AH1137" i="3"/>
  <c r="AI1137" i="3" s="1"/>
  <c r="AH1138" i="3"/>
  <c r="AI1138" i="3" s="1"/>
  <c r="AH1139" i="3"/>
  <c r="AI1139" i="3" s="1"/>
  <c r="AH1140" i="3"/>
  <c r="AI1140" i="3" s="1"/>
  <c r="AH1141" i="3"/>
  <c r="AI1141" i="3" s="1"/>
  <c r="AH1142" i="3"/>
  <c r="AI1142" i="3" s="1"/>
  <c r="AH1143" i="3"/>
  <c r="AI1143" i="3" s="1"/>
  <c r="AH1144" i="3"/>
  <c r="AI1144" i="3" s="1"/>
  <c r="AH1145" i="3"/>
  <c r="AI1145" i="3" s="1"/>
  <c r="AH1146" i="3"/>
  <c r="AI1146" i="3" s="1"/>
  <c r="AH1147" i="3"/>
  <c r="AI1147" i="3" s="1"/>
  <c r="AH1148" i="3"/>
  <c r="AI1148" i="3" s="1"/>
  <c r="AH1149" i="3"/>
  <c r="AI1149" i="3" s="1"/>
  <c r="AH1150" i="3"/>
  <c r="AI1150" i="3" s="1"/>
  <c r="AH1151" i="3"/>
  <c r="AI1151" i="3" s="1"/>
  <c r="AH1152" i="3"/>
  <c r="AI1152" i="3" s="1"/>
  <c r="AH1153" i="3"/>
  <c r="AI1153" i="3" s="1"/>
  <c r="AH1154" i="3"/>
  <c r="AI1154" i="3" s="1"/>
  <c r="AH1155" i="3"/>
  <c r="AI1155" i="3" s="1"/>
  <c r="AH1156" i="3"/>
  <c r="AI1156" i="3" s="1"/>
  <c r="AH1157" i="3"/>
  <c r="AI1157" i="3" s="1"/>
  <c r="AH1158" i="3"/>
  <c r="AI1158" i="3" s="1"/>
  <c r="AH1159" i="3"/>
  <c r="AI1159" i="3" s="1"/>
  <c r="AH1160" i="3"/>
  <c r="AI1160" i="3" s="1"/>
  <c r="AH1161" i="3"/>
  <c r="AI1161" i="3" s="1"/>
  <c r="AH1162" i="3"/>
  <c r="AI1162" i="3" s="1"/>
  <c r="AH1163" i="3"/>
  <c r="AI1163" i="3" s="1"/>
  <c r="AH1164" i="3"/>
  <c r="AI1164" i="3" s="1"/>
  <c r="AH1165" i="3"/>
  <c r="AI1165" i="3" s="1"/>
  <c r="AH1166" i="3"/>
  <c r="AI1166" i="3" s="1"/>
  <c r="AH1167" i="3"/>
  <c r="AI1167" i="3" s="1"/>
  <c r="AH1168" i="3"/>
  <c r="AI1168" i="3" s="1"/>
  <c r="AH1169" i="3"/>
  <c r="AI1169" i="3" s="1"/>
  <c r="AH1170" i="3"/>
  <c r="AI1170" i="3" s="1"/>
  <c r="AH1171" i="3"/>
  <c r="AI1171" i="3" s="1"/>
  <c r="AH1172" i="3"/>
  <c r="AI1172" i="3" s="1"/>
  <c r="AH1173" i="3"/>
  <c r="AI1173" i="3" s="1"/>
  <c r="AH1174" i="3"/>
  <c r="AI1174" i="3" s="1"/>
  <c r="AH1175" i="3"/>
  <c r="AI1175" i="3" s="1"/>
  <c r="AH1176" i="3"/>
  <c r="AI1176" i="3" s="1"/>
  <c r="AH1177" i="3"/>
  <c r="AI1177" i="3" s="1"/>
  <c r="AH1178" i="3"/>
  <c r="AI1178" i="3" s="1"/>
  <c r="AH1179" i="3"/>
  <c r="AI1179" i="3" s="1"/>
  <c r="AH1180" i="3"/>
  <c r="AI1180" i="3" s="1"/>
  <c r="AH1181" i="3"/>
  <c r="AI1181" i="3" s="1"/>
  <c r="AH1182" i="3"/>
  <c r="AI1182" i="3" s="1"/>
  <c r="AH1183" i="3"/>
  <c r="AI1183" i="3" s="1"/>
  <c r="AH1184" i="3"/>
  <c r="AI1184" i="3" s="1"/>
  <c r="AH1185" i="3"/>
  <c r="AI1185" i="3" s="1"/>
  <c r="AH1186" i="3"/>
  <c r="AI1186" i="3" s="1"/>
  <c r="AH1187" i="3"/>
  <c r="AI1187" i="3" s="1"/>
  <c r="AH1188" i="3"/>
  <c r="AI1188" i="3" s="1"/>
  <c r="AH1189" i="3"/>
  <c r="AI1189" i="3" s="1"/>
  <c r="AH1190" i="3"/>
  <c r="AI1190" i="3" s="1"/>
  <c r="AH1191" i="3"/>
  <c r="AI1191" i="3" s="1"/>
  <c r="AH1192" i="3"/>
  <c r="AI1192" i="3" s="1"/>
  <c r="AH1193" i="3"/>
  <c r="AI1193" i="3" s="1"/>
  <c r="AH1194" i="3"/>
  <c r="AI1194" i="3" s="1"/>
  <c r="AH1195" i="3"/>
  <c r="AI1195" i="3" s="1"/>
  <c r="AH1196" i="3"/>
  <c r="AI1196" i="3" s="1"/>
  <c r="AH1197" i="3"/>
  <c r="AI1197" i="3" s="1"/>
  <c r="AH1198" i="3"/>
  <c r="AI1198" i="3" s="1"/>
  <c r="AH1199" i="3"/>
  <c r="AI1199" i="3" s="1"/>
  <c r="AH1200" i="3"/>
  <c r="AI1200" i="3" s="1"/>
  <c r="AH1201" i="3"/>
  <c r="AI1201" i="3" s="1"/>
  <c r="AH1202" i="3"/>
  <c r="AI1202" i="3" s="1"/>
  <c r="AH1203" i="3"/>
  <c r="AI1203" i="3" s="1"/>
  <c r="AH1204" i="3"/>
  <c r="AI1204" i="3" s="1"/>
  <c r="AH1205" i="3"/>
  <c r="AI1205" i="3" s="1"/>
  <c r="AH1206" i="3"/>
  <c r="AI1206" i="3" s="1"/>
  <c r="AH1207" i="3"/>
  <c r="AI1207" i="3" s="1"/>
  <c r="AH1208" i="3"/>
  <c r="AI1208" i="3" s="1"/>
  <c r="AH1209" i="3"/>
  <c r="AI1209" i="3" s="1"/>
  <c r="AH1210" i="3"/>
  <c r="AI1210" i="3"/>
  <c r="AH1211" i="3"/>
  <c r="AI1211" i="3"/>
  <c r="AH1212" i="3"/>
  <c r="AI1212" i="3"/>
  <c r="AH1213" i="3"/>
  <c r="AI1213" i="3"/>
  <c r="AH1214" i="3"/>
  <c r="AI1214" i="3"/>
  <c r="AH1215" i="3"/>
  <c r="AI1215" i="3"/>
  <c r="AH1216" i="3"/>
  <c r="AI1216" i="3"/>
  <c r="AH1217" i="3"/>
  <c r="AI1217" i="3"/>
  <c r="AH1218" i="3"/>
  <c r="AI1218" i="3" s="1"/>
  <c r="AH1219" i="3"/>
  <c r="AI1219" i="3" s="1"/>
  <c r="AH1220" i="3"/>
  <c r="AI1220" i="3" s="1"/>
  <c r="AH1221" i="3"/>
  <c r="AI1221" i="3" s="1"/>
  <c r="AH1222" i="3"/>
  <c r="AI1222" i="3" s="1"/>
  <c r="AH1223" i="3"/>
  <c r="AI1223" i="3" s="1"/>
  <c r="AH1224" i="3"/>
  <c r="AI1224" i="3" s="1"/>
  <c r="AH1225" i="3"/>
  <c r="AI1225" i="3" s="1"/>
  <c r="AH1226" i="3"/>
  <c r="AI1226" i="3" s="1"/>
  <c r="AH1227" i="3"/>
  <c r="AI1227" i="3" s="1"/>
  <c r="AH1228" i="3"/>
  <c r="AI1228" i="3" s="1"/>
  <c r="AH1229" i="3"/>
  <c r="AI1229" i="3" s="1"/>
  <c r="AH1230" i="3"/>
  <c r="AI1230" i="3" s="1"/>
  <c r="AH1231" i="3"/>
  <c r="AI1231" i="3" s="1"/>
  <c r="AH1232" i="3"/>
  <c r="AI1232" i="3" s="1"/>
  <c r="AH1233" i="3"/>
  <c r="AI1233" i="3" s="1"/>
  <c r="AH1234" i="3"/>
  <c r="AI1234" i="3" s="1"/>
  <c r="AH1235" i="3"/>
  <c r="AI1235" i="3" s="1"/>
  <c r="AH1236" i="3"/>
  <c r="AI1236" i="3" s="1"/>
  <c r="AH1237" i="3"/>
  <c r="AI1237" i="3" s="1"/>
  <c r="AH1238" i="3"/>
  <c r="AI1238" i="3" s="1"/>
  <c r="AH1239" i="3"/>
  <c r="AI1239" i="3" s="1"/>
  <c r="AH1240" i="3"/>
  <c r="AI1240" i="3" s="1"/>
  <c r="AH1241" i="3"/>
  <c r="AI1241" i="3" s="1"/>
  <c r="AH1242" i="3"/>
  <c r="AI1242" i="3" s="1"/>
  <c r="AH1243" i="3"/>
  <c r="AI1243" i="3" s="1"/>
  <c r="AH1244" i="3"/>
  <c r="AI1244" i="3" s="1"/>
  <c r="AH1245" i="3"/>
  <c r="AI1245" i="3" s="1"/>
  <c r="AH1246" i="3"/>
  <c r="AI1246" i="3" s="1"/>
  <c r="AH1247" i="3"/>
  <c r="AI1247" i="3" s="1"/>
  <c r="AH1248" i="3"/>
  <c r="AI1248" i="3" s="1"/>
  <c r="AH1249" i="3"/>
  <c r="AI1249" i="3" s="1"/>
  <c r="AH1250" i="3"/>
  <c r="AI1250" i="3" s="1"/>
  <c r="AH1251" i="3"/>
  <c r="AI1251" i="3" s="1"/>
  <c r="AH1252" i="3"/>
  <c r="AI1252" i="3" s="1"/>
  <c r="AH1253" i="3"/>
  <c r="AI1253" i="3" s="1"/>
  <c r="AH1254" i="3"/>
  <c r="AI1254" i="3" s="1"/>
  <c r="AH1255" i="3"/>
  <c r="AI1255" i="3" s="1"/>
  <c r="AH1256" i="3"/>
  <c r="AI1256" i="3" s="1"/>
  <c r="AH1257" i="3"/>
  <c r="AI1257" i="3" s="1"/>
  <c r="AH1258" i="3"/>
  <c r="AI1258" i="3" s="1"/>
  <c r="AH1259" i="3"/>
  <c r="AI1259" i="3" s="1"/>
  <c r="AH1260" i="3"/>
  <c r="AI1260" i="3" s="1"/>
  <c r="AH1261" i="3"/>
  <c r="AI1261" i="3" s="1"/>
  <c r="AH1262" i="3"/>
  <c r="AI1262" i="3" s="1"/>
  <c r="AH1263" i="3"/>
  <c r="AI1263" i="3" s="1"/>
  <c r="AH1264" i="3"/>
  <c r="AI1264" i="3" s="1"/>
  <c r="AH1265" i="3"/>
  <c r="AI1265" i="3" s="1"/>
  <c r="AH1266" i="3"/>
  <c r="AI1266" i="3" s="1"/>
  <c r="AH1267" i="3"/>
  <c r="AI1267" i="3" s="1"/>
  <c r="AH1268" i="3"/>
  <c r="AI1268" i="3" s="1"/>
  <c r="AH1269" i="3"/>
  <c r="AI1269" i="3" s="1"/>
  <c r="AH1270" i="3"/>
  <c r="AI1270" i="3" s="1"/>
  <c r="AH1271" i="3"/>
  <c r="AI1271" i="3" s="1"/>
  <c r="AH1272" i="3"/>
  <c r="AI1272" i="3" s="1"/>
  <c r="AH1273" i="3"/>
  <c r="AI1273" i="3" s="1"/>
  <c r="AH1274" i="3"/>
  <c r="AI1274" i="3" s="1"/>
  <c r="AH1275" i="3"/>
  <c r="AI1275" i="3" s="1"/>
  <c r="AH1276" i="3"/>
  <c r="AI1276" i="3" s="1"/>
  <c r="AH1277" i="3"/>
  <c r="AI1277" i="3" s="1"/>
  <c r="AH1278" i="3"/>
  <c r="AI1278" i="3" s="1"/>
  <c r="AH1279" i="3"/>
  <c r="AI1279" i="3" s="1"/>
  <c r="AH1280" i="3"/>
  <c r="AI1280" i="3" s="1"/>
  <c r="AH1281" i="3"/>
  <c r="AI1281" i="3" s="1"/>
  <c r="AH1282" i="3"/>
  <c r="AI1282" i="3" s="1"/>
  <c r="AH1283" i="3"/>
  <c r="AI1283" i="3" s="1"/>
  <c r="AH1284" i="3"/>
  <c r="AI1284" i="3" s="1"/>
  <c r="AH1285" i="3"/>
  <c r="AI1285" i="3" s="1"/>
  <c r="AH1286" i="3"/>
  <c r="AI1286" i="3" s="1"/>
  <c r="AH1287" i="3"/>
  <c r="AI1287" i="3" s="1"/>
  <c r="AH1288" i="3"/>
  <c r="AI1288" i="3" s="1"/>
  <c r="AH1289" i="3"/>
  <c r="AI1289" i="3" s="1"/>
  <c r="AH1290" i="3"/>
  <c r="AI1290" i="3" s="1"/>
  <c r="AH1291" i="3"/>
  <c r="AI1291" i="3" s="1"/>
  <c r="AH1292" i="3"/>
  <c r="AI1292" i="3" s="1"/>
  <c r="AH1293" i="3"/>
  <c r="AI1293" i="3" s="1"/>
  <c r="AH1294" i="3"/>
  <c r="AI1294" i="3" s="1"/>
  <c r="AH1295" i="3"/>
  <c r="AI1295" i="3" s="1"/>
  <c r="AH1296" i="3"/>
  <c r="AI1296" i="3" s="1"/>
  <c r="AH1297" i="3"/>
  <c r="AI1297" i="3" s="1"/>
  <c r="AH1298" i="3"/>
  <c r="AI1298" i="3" s="1"/>
  <c r="AH1299" i="3"/>
  <c r="AI1299" i="3" s="1"/>
  <c r="AH1300" i="3"/>
  <c r="AI1300" i="3" s="1"/>
  <c r="AH1301" i="3"/>
  <c r="AI1301" i="3" s="1"/>
  <c r="AH1302" i="3"/>
  <c r="AI1302" i="3" s="1"/>
  <c r="AH1303" i="3"/>
  <c r="AI1303" i="3" s="1"/>
  <c r="AH1304" i="3"/>
  <c r="AI1304" i="3" s="1"/>
  <c r="AH1305" i="3"/>
  <c r="AI1305" i="3" s="1"/>
  <c r="AH1306" i="3"/>
  <c r="AI1306" i="3" s="1"/>
  <c r="AH1307" i="3"/>
  <c r="AI1307" i="3" s="1"/>
  <c r="AH1308" i="3"/>
  <c r="AI1308" i="3" s="1"/>
  <c r="AH1309" i="3"/>
  <c r="AI1309" i="3" s="1"/>
  <c r="AH1310" i="3"/>
  <c r="AI1310" i="3" s="1"/>
  <c r="AH1311" i="3"/>
  <c r="AI1311" i="3" s="1"/>
  <c r="AH1312" i="3"/>
  <c r="AI1312" i="3" s="1"/>
  <c r="AH1313" i="3"/>
  <c r="AI1313" i="3" s="1"/>
  <c r="AH1314" i="3"/>
  <c r="AI1314" i="3" s="1"/>
  <c r="AH1315" i="3"/>
  <c r="AI1315" i="3" s="1"/>
  <c r="AH1316" i="3"/>
  <c r="AI1316" i="3" s="1"/>
  <c r="AH1317" i="3"/>
  <c r="AI1317" i="3" s="1"/>
  <c r="AH1318" i="3"/>
  <c r="AI1318" i="3" s="1"/>
  <c r="AH1319" i="3"/>
  <c r="AI1319" i="3" s="1"/>
  <c r="AH1320" i="3"/>
  <c r="AI1320" i="3" s="1"/>
  <c r="AH1321" i="3"/>
  <c r="AI1321" i="3" s="1"/>
  <c r="AH1322" i="3"/>
  <c r="AI1322" i="3" s="1"/>
  <c r="AH1323" i="3"/>
  <c r="AI1323" i="3" s="1"/>
  <c r="AH1324" i="3"/>
  <c r="AI1324" i="3" s="1"/>
  <c r="AH1325" i="3"/>
  <c r="AI1325" i="3" s="1"/>
  <c r="AH1326" i="3"/>
  <c r="AI1326" i="3" s="1"/>
  <c r="AH1327" i="3"/>
  <c r="AI1327" i="3" s="1"/>
  <c r="AH1328" i="3"/>
  <c r="AI1328" i="3" s="1"/>
  <c r="AH1329" i="3"/>
  <c r="AI1329" i="3" s="1"/>
  <c r="AH1330" i="3"/>
  <c r="AI1330" i="3" s="1"/>
  <c r="AH1331" i="3"/>
  <c r="AI1331" i="3" s="1"/>
  <c r="AH1332" i="3"/>
  <c r="AI1332" i="3" s="1"/>
  <c r="AH1333" i="3"/>
  <c r="AI1333" i="3" s="1"/>
  <c r="AH1334" i="3"/>
  <c r="AI1334" i="3" s="1"/>
  <c r="AH1335" i="3"/>
  <c r="AI1335" i="3" s="1"/>
  <c r="AH1336" i="3"/>
  <c r="AI1336" i="3" s="1"/>
  <c r="AH1337" i="3"/>
  <c r="AI1337" i="3" s="1"/>
  <c r="AH1338" i="3"/>
  <c r="AI1338" i="3" s="1"/>
  <c r="AH1339" i="3"/>
  <c r="AI1339" i="3" s="1"/>
  <c r="AH1340" i="3"/>
  <c r="AI1340" i="3" s="1"/>
  <c r="AH1341" i="3"/>
  <c r="AI1341" i="3" s="1"/>
  <c r="AH1342" i="3"/>
  <c r="AI1342" i="3" s="1"/>
  <c r="AH1343" i="3"/>
  <c r="AI1343" i="3" s="1"/>
  <c r="AH1344" i="3"/>
  <c r="AI1344" i="3" s="1"/>
  <c r="AH1345" i="3"/>
  <c r="AI1345" i="3" s="1"/>
  <c r="AH1346" i="3"/>
  <c r="AI1346" i="3" s="1"/>
  <c r="AH1347" i="3"/>
  <c r="AI1347" i="3" s="1"/>
  <c r="AH1348" i="3"/>
  <c r="AI1348" i="3" s="1"/>
  <c r="AH1349" i="3"/>
  <c r="AI1349" i="3" s="1"/>
  <c r="AH1350" i="3"/>
  <c r="AI1350" i="3" s="1"/>
  <c r="AH1351" i="3"/>
  <c r="AI1351" i="3" s="1"/>
  <c r="AH1352" i="3"/>
  <c r="AI1352" i="3" s="1"/>
  <c r="AH1353" i="3"/>
  <c r="AI1353" i="3" s="1"/>
  <c r="AH1354" i="3"/>
  <c r="AI1354" i="3" s="1"/>
  <c r="AH1355" i="3"/>
  <c r="AI1355" i="3" s="1"/>
  <c r="AH1356" i="3"/>
  <c r="AI1356" i="3" s="1"/>
  <c r="AH1357" i="3"/>
  <c r="AI1357" i="3" s="1"/>
  <c r="AH1358" i="3"/>
  <c r="AI1358" i="3" s="1"/>
  <c r="AH1359" i="3"/>
  <c r="AI1359" i="3" s="1"/>
  <c r="AH1360" i="3"/>
  <c r="AI1360" i="3" s="1"/>
  <c r="AH1361" i="3"/>
  <c r="AI1361" i="3" s="1"/>
  <c r="AH1362" i="3"/>
  <c r="AI1362" i="3" s="1"/>
  <c r="AH1363" i="3"/>
  <c r="AI1363" i="3" s="1"/>
  <c r="AH1364" i="3"/>
  <c r="AI1364" i="3" s="1"/>
  <c r="AH1365" i="3"/>
  <c r="AI1365" i="3" s="1"/>
  <c r="AH1366" i="3"/>
  <c r="AI1366" i="3" s="1"/>
  <c r="AH1367" i="3"/>
  <c r="AI1367" i="3" s="1"/>
  <c r="AH1368" i="3"/>
  <c r="AI1368" i="3" s="1"/>
  <c r="AH1369" i="3"/>
  <c r="AI1369" i="3" s="1"/>
  <c r="AH1370" i="3"/>
  <c r="AI1370" i="3" s="1"/>
  <c r="AH1371" i="3"/>
  <c r="AI1371" i="3" s="1"/>
  <c r="AH1372" i="3"/>
  <c r="AI1372" i="3" s="1"/>
  <c r="AH1373" i="3"/>
  <c r="AI1373" i="3" s="1"/>
  <c r="AH1374" i="3"/>
  <c r="AI1374" i="3" s="1"/>
  <c r="AH1375" i="3"/>
  <c r="AI1375" i="3" s="1"/>
  <c r="AH1376" i="3"/>
  <c r="AI1376" i="3" s="1"/>
  <c r="AH1377" i="3"/>
  <c r="AI1377" i="3" s="1"/>
  <c r="AH1378" i="3"/>
  <c r="AI1378" i="3" s="1"/>
  <c r="AH1379" i="3"/>
  <c r="AI1379" i="3" s="1"/>
  <c r="AH1380" i="3"/>
  <c r="AI1380" i="3" s="1"/>
  <c r="AH1381" i="3"/>
  <c r="AI1381" i="3" s="1"/>
  <c r="AH1382" i="3"/>
  <c r="AI1382" i="3" s="1"/>
  <c r="AH1383" i="3"/>
  <c r="AI1383" i="3" s="1"/>
  <c r="AH1384" i="3"/>
  <c r="AI1384" i="3" s="1"/>
  <c r="AH1385" i="3"/>
  <c r="AI1385" i="3" s="1"/>
  <c r="AH1386" i="3"/>
  <c r="AI1386" i="3" s="1"/>
  <c r="AH1387" i="3"/>
  <c r="AI1387" i="3" s="1"/>
  <c r="AH1388" i="3"/>
  <c r="AI1388" i="3" s="1"/>
  <c r="AH1389" i="3"/>
  <c r="AI1389" i="3" s="1"/>
  <c r="AH1390" i="3"/>
  <c r="AI1390" i="3" s="1"/>
  <c r="AH1391" i="3"/>
  <c r="AI1391" i="3" s="1"/>
  <c r="AH1392" i="3"/>
  <c r="AI1392" i="3" s="1"/>
  <c r="AH1393" i="3"/>
  <c r="AI1393" i="3" s="1"/>
  <c r="AH1394" i="3"/>
  <c r="AI1394" i="3" s="1"/>
  <c r="AH1395" i="3"/>
  <c r="AI1395" i="3" s="1"/>
  <c r="AH1396" i="3"/>
  <c r="AI1396" i="3" s="1"/>
  <c r="AH1397" i="3"/>
  <c r="AI1397" i="3" s="1"/>
  <c r="AH1398" i="3"/>
  <c r="AI1398" i="3" s="1"/>
  <c r="AH1399" i="3"/>
  <c r="AI1399" i="3" s="1"/>
  <c r="AH1400" i="3"/>
  <c r="AI1400" i="3" s="1"/>
  <c r="AH1401" i="3"/>
  <c r="AI1401" i="3" s="1"/>
  <c r="AH1402" i="3"/>
  <c r="AI1402" i="3" s="1"/>
  <c r="AH1403" i="3"/>
  <c r="AI1403" i="3" s="1"/>
  <c r="AH1404" i="3"/>
  <c r="AI1404" i="3" s="1"/>
  <c r="AH1405" i="3"/>
  <c r="AI1405" i="3" s="1"/>
  <c r="AH1406" i="3"/>
  <c r="AI1406" i="3" s="1"/>
  <c r="AH1407" i="3"/>
  <c r="AI1407" i="3" s="1"/>
  <c r="AH1408" i="3"/>
  <c r="AI1408" i="3" s="1"/>
  <c r="AH1409" i="3"/>
  <c r="AI1409" i="3" s="1"/>
  <c r="AH1410" i="3"/>
  <c r="AI1410" i="3" s="1"/>
  <c r="AH1411" i="3"/>
  <c r="AI1411" i="3" s="1"/>
  <c r="AH1412" i="3"/>
  <c r="AI1412" i="3" s="1"/>
  <c r="AH1413" i="3"/>
  <c r="AI1413" i="3" s="1"/>
  <c r="AH1414" i="3"/>
  <c r="AI1414" i="3" s="1"/>
  <c r="AH1415" i="3"/>
  <c r="AI1415" i="3" s="1"/>
  <c r="AH1416" i="3"/>
  <c r="AI1416" i="3" s="1"/>
  <c r="AH1417" i="3"/>
  <c r="AI1417" i="3" s="1"/>
  <c r="AH1418" i="3"/>
  <c r="AI1418" i="3" s="1"/>
  <c r="AH1419" i="3"/>
  <c r="AI1419" i="3" s="1"/>
  <c r="AH1420" i="3"/>
  <c r="AI1420" i="3" s="1"/>
  <c r="AH1421" i="3"/>
  <c r="AI1421" i="3" s="1"/>
  <c r="AH1422" i="3"/>
  <c r="AI1422" i="3" s="1"/>
  <c r="AH1423" i="3"/>
  <c r="AI1423" i="3" s="1"/>
  <c r="AH1424" i="3"/>
  <c r="AI1424" i="3" s="1"/>
  <c r="AH1425" i="3"/>
  <c r="AI1425" i="3" s="1"/>
  <c r="AH1426" i="3"/>
  <c r="AI1426" i="3" s="1"/>
  <c r="AH1427" i="3"/>
  <c r="AI1427" i="3" s="1"/>
  <c r="AH1428" i="3"/>
  <c r="AI1428" i="3" s="1"/>
  <c r="AH1429" i="3"/>
  <c r="AI1429" i="3" s="1"/>
  <c r="AH1430" i="3"/>
  <c r="AI1430" i="3" s="1"/>
  <c r="AH1431" i="3"/>
  <c r="AI1431" i="3" s="1"/>
  <c r="AH1432" i="3"/>
  <c r="AI1432" i="3" s="1"/>
  <c r="AH1433" i="3"/>
  <c r="AI1433" i="3" s="1"/>
  <c r="AH1434" i="3"/>
  <c r="AI1434" i="3" s="1"/>
  <c r="AH1435" i="3"/>
  <c r="AI1435" i="3" s="1"/>
  <c r="AH1436" i="3"/>
  <c r="AI1436" i="3" s="1"/>
  <c r="AH1437" i="3"/>
  <c r="AI1437" i="3" s="1"/>
  <c r="AH1438" i="3"/>
  <c r="AI1438" i="3" s="1"/>
  <c r="AH1439" i="3"/>
  <c r="AI1439" i="3" s="1"/>
  <c r="AH1440" i="3"/>
  <c r="AI1440" i="3" s="1"/>
  <c r="AH1441" i="3"/>
  <c r="AI1441" i="3" s="1"/>
  <c r="AH1442" i="3"/>
  <c r="AI1442" i="3" s="1"/>
  <c r="AH1443" i="3"/>
  <c r="AI1443" i="3" s="1"/>
  <c r="AH1444" i="3"/>
  <c r="AI1444" i="3" s="1"/>
  <c r="AH1445" i="3"/>
  <c r="AI1445" i="3" s="1"/>
  <c r="AH1446" i="3"/>
  <c r="AI1446" i="3" s="1"/>
  <c r="AH1447" i="3"/>
  <c r="AI1447" i="3" s="1"/>
  <c r="AH1448" i="3"/>
  <c r="AI1448" i="3" s="1"/>
  <c r="AH1449" i="3"/>
  <c r="AI1449" i="3" s="1"/>
  <c r="AH1450" i="3"/>
  <c r="AI1450" i="3" s="1"/>
  <c r="AH1451" i="3"/>
  <c r="AI1451" i="3" s="1"/>
  <c r="AH1452" i="3"/>
  <c r="AI1452" i="3" s="1"/>
  <c r="AH1453" i="3"/>
  <c r="AI1453" i="3" s="1"/>
  <c r="AH1454" i="3"/>
  <c r="AI1454" i="3" s="1"/>
  <c r="AH1455" i="3"/>
  <c r="AI1455" i="3" s="1"/>
  <c r="AH1456" i="3"/>
  <c r="AI1456" i="3" s="1"/>
  <c r="AH1457" i="3"/>
  <c r="AI1457" i="3" s="1"/>
  <c r="AH1458" i="3"/>
  <c r="AI1458" i="3" s="1"/>
  <c r="AH1459" i="3"/>
  <c r="AI1459" i="3" s="1"/>
  <c r="AH1460" i="3"/>
  <c r="AI1460" i="3" s="1"/>
  <c r="AH1461" i="3"/>
  <c r="AI1461" i="3" s="1"/>
  <c r="AH1462" i="3"/>
  <c r="AI1462" i="3" s="1"/>
  <c r="AH1463" i="3"/>
  <c r="AI1463" i="3" s="1"/>
  <c r="AH1464" i="3"/>
  <c r="AI1464" i="3" s="1"/>
  <c r="AH1465" i="3"/>
  <c r="AI1465" i="3" s="1"/>
  <c r="AH1466" i="3"/>
  <c r="AI1466" i="3" s="1"/>
  <c r="AH1467" i="3"/>
  <c r="AI1467" i="3" s="1"/>
  <c r="AH1468" i="3"/>
  <c r="AI1468" i="3" s="1"/>
  <c r="AH1469" i="3"/>
  <c r="AI1469" i="3" s="1"/>
  <c r="AH1470" i="3"/>
  <c r="AI1470" i="3" s="1"/>
  <c r="AH1471" i="3"/>
  <c r="AI1471" i="3" s="1"/>
  <c r="AH1472" i="3"/>
  <c r="AI1472" i="3" s="1"/>
  <c r="AH1473" i="3"/>
  <c r="AI1473" i="3" s="1"/>
  <c r="AH1474" i="3"/>
  <c r="AI1474" i="3" s="1"/>
  <c r="AH1475" i="3"/>
  <c r="AI1475" i="3" s="1"/>
  <c r="AH1476" i="3"/>
  <c r="AI1476" i="3" s="1"/>
  <c r="AH1477" i="3"/>
  <c r="AI1477" i="3" s="1"/>
  <c r="AH1478" i="3"/>
  <c r="AI1478" i="3" s="1"/>
  <c r="AH1479" i="3"/>
  <c r="AI1479" i="3" s="1"/>
  <c r="AH1480" i="3"/>
  <c r="AI1480" i="3" s="1"/>
  <c r="AH1481" i="3"/>
  <c r="AI1481" i="3" s="1"/>
  <c r="AH1482" i="3"/>
  <c r="AI1482" i="3" s="1"/>
  <c r="AH1483" i="3"/>
  <c r="AI1483" i="3" s="1"/>
  <c r="AH1484" i="3"/>
  <c r="AI1484" i="3" s="1"/>
  <c r="AH1485" i="3"/>
  <c r="AI1485" i="3" s="1"/>
  <c r="AH1486" i="3"/>
  <c r="AI1486" i="3" s="1"/>
  <c r="AH1487" i="3"/>
  <c r="AI1487" i="3" s="1"/>
  <c r="AH1488" i="3"/>
  <c r="AI1488" i="3" s="1"/>
  <c r="AH1489" i="3"/>
  <c r="AI1489" i="3" s="1"/>
  <c r="AH1490" i="3"/>
  <c r="AI1490" i="3" s="1"/>
  <c r="AH1491" i="3"/>
  <c r="AI1491" i="3" s="1"/>
  <c r="AH1492" i="3"/>
  <c r="AI1492" i="3" s="1"/>
  <c r="AH1493" i="3"/>
  <c r="AI1493" i="3" s="1"/>
  <c r="AH1494" i="3"/>
  <c r="AI1494" i="3" s="1"/>
  <c r="AH1495" i="3"/>
  <c r="AI1495" i="3" s="1"/>
  <c r="AH1496" i="3"/>
  <c r="AI1496" i="3" s="1"/>
  <c r="AH1497" i="3"/>
  <c r="AI1497" i="3" s="1"/>
  <c r="AH1498" i="3"/>
  <c r="AI1498" i="3" s="1"/>
  <c r="AH1499" i="3"/>
  <c r="AI1499" i="3" s="1"/>
  <c r="AH1500" i="3"/>
  <c r="AI1500" i="3" s="1"/>
  <c r="AH1501" i="3"/>
  <c r="AI1501" i="3" s="1"/>
  <c r="AH1502" i="3"/>
  <c r="AI1502" i="3" s="1"/>
  <c r="AH1503" i="3"/>
  <c r="AI1503" i="3" s="1"/>
  <c r="AH1504" i="3"/>
  <c r="AI1504" i="3" s="1"/>
  <c r="AH1505" i="3"/>
  <c r="AI1505" i="3" s="1"/>
  <c r="AH1506" i="3"/>
  <c r="AI1506" i="3" s="1"/>
  <c r="AH1507" i="3"/>
  <c r="AI1507" i="3" s="1"/>
  <c r="AH1508" i="3"/>
  <c r="AI1508" i="3" s="1"/>
  <c r="AH1509" i="3"/>
  <c r="AI1509" i="3" s="1"/>
  <c r="AH1510" i="3"/>
  <c r="AI1510" i="3" s="1"/>
  <c r="AH1511" i="3"/>
  <c r="AI1511" i="3" s="1"/>
  <c r="AH1512" i="3"/>
  <c r="AI1512" i="3" s="1"/>
  <c r="AH1513" i="3"/>
  <c r="AI1513" i="3" s="1"/>
  <c r="AH1514" i="3"/>
  <c r="AI1514" i="3" s="1"/>
  <c r="AH1515" i="3"/>
  <c r="AI1515" i="3" s="1"/>
  <c r="AH1516" i="3"/>
  <c r="AI1516" i="3" s="1"/>
  <c r="AH1517" i="3"/>
  <c r="AI1517" i="3" s="1"/>
  <c r="AH1518" i="3"/>
  <c r="AI1518" i="3" s="1"/>
  <c r="AH1519" i="3"/>
  <c r="AI1519" i="3" s="1"/>
  <c r="AH1520" i="3"/>
  <c r="AI1520" i="3" s="1"/>
  <c r="AH1521" i="3"/>
  <c r="AI1521" i="3" s="1"/>
  <c r="AH1522" i="3"/>
  <c r="AI1522" i="3" s="1"/>
  <c r="AH1523" i="3"/>
  <c r="AI1523" i="3" s="1"/>
  <c r="AH1524" i="3"/>
  <c r="AI1524" i="3" s="1"/>
  <c r="AH1525" i="3"/>
  <c r="AI1525" i="3" s="1"/>
  <c r="AH1526" i="3"/>
  <c r="AI1526" i="3" s="1"/>
  <c r="AH1527" i="3"/>
  <c r="AI1527" i="3" s="1"/>
  <c r="AH1528" i="3"/>
  <c r="AI1528" i="3" s="1"/>
  <c r="AH1529" i="3"/>
  <c r="AI1529" i="3" s="1"/>
  <c r="AH1530" i="3"/>
  <c r="AI1530" i="3" s="1"/>
  <c r="AH1531" i="3"/>
  <c r="AI1531" i="3" s="1"/>
  <c r="AH1532" i="3"/>
  <c r="AI1532" i="3" s="1"/>
  <c r="AH1533" i="3"/>
  <c r="AI1533" i="3" s="1"/>
  <c r="AH1534" i="3"/>
  <c r="AI1534" i="3" s="1"/>
  <c r="AH1535" i="3"/>
  <c r="AI1535" i="3" s="1"/>
  <c r="AH1536" i="3"/>
  <c r="AI1536" i="3" s="1"/>
  <c r="AH1537" i="3"/>
  <c r="AI1537" i="3" s="1"/>
  <c r="AH1538" i="3"/>
  <c r="AI1538" i="3" s="1"/>
  <c r="AH1539" i="3"/>
  <c r="AI1539" i="3" s="1"/>
  <c r="AH1540" i="3"/>
  <c r="AI1540" i="3" s="1"/>
  <c r="AH1541" i="3"/>
  <c r="AI1541" i="3" s="1"/>
  <c r="AH1542" i="3"/>
  <c r="AI1542" i="3" s="1"/>
  <c r="AH1543" i="3"/>
  <c r="AI1543" i="3" s="1"/>
  <c r="AH1544" i="3"/>
  <c r="AI1544" i="3" s="1"/>
  <c r="AH1545" i="3"/>
  <c r="AI1545" i="3" s="1"/>
  <c r="AH1546" i="3"/>
  <c r="AI1546" i="3" s="1"/>
  <c r="AH1547" i="3"/>
  <c r="AI1547" i="3" s="1"/>
  <c r="AH1548" i="3"/>
  <c r="AI1548" i="3" s="1"/>
  <c r="AH1549" i="3"/>
  <c r="AI1549" i="3" s="1"/>
  <c r="AH1550" i="3"/>
  <c r="AI1550" i="3" s="1"/>
  <c r="AH1551" i="3"/>
  <c r="AI1551" i="3" s="1"/>
  <c r="AH1552" i="3"/>
  <c r="AI1552" i="3" s="1"/>
  <c r="AH1553" i="3"/>
  <c r="AI1553" i="3" s="1"/>
  <c r="AH1554" i="3"/>
  <c r="AI1554" i="3" s="1"/>
  <c r="AH1555" i="3"/>
  <c r="AI1555" i="3" s="1"/>
  <c r="AH1556" i="3"/>
  <c r="AI1556" i="3" s="1"/>
  <c r="AH1557" i="3"/>
  <c r="AI1557" i="3" s="1"/>
  <c r="AH1558" i="3"/>
  <c r="AI1558" i="3" s="1"/>
  <c r="AH1559" i="3"/>
  <c r="AI1559" i="3" s="1"/>
  <c r="AH1560" i="3"/>
  <c r="AI1560" i="3" s="1"/>
  <c r="AH1561" i="3"/>
  <c r="AI1561" i="3" s="1"/>
  <c r="AH1562" i="3"/>
  <c r="AI1562" i="3" s="1"/>
  <c r="AH1563" i="3"/>
  <c r="AI1563" i="3" s="1"/>
  <c r="AH1564" i="3"/>
  <c r="AI1564" i="3" s="1"/>
  <c r="AH1565" i="3"/>
  <c r="AI1565" i="3" s="1"/>
  <c r="AH1566" i="3"/>
  <c r="AI1566" i="3" s="1"/>
  <c r="AH1567" i="3"/>
  <c r="AI1567" i="3" s="1"/>
  <c r="AH1568" i="3"/>
  <c r="AI1568" i="3" s="1"/>
  <c r="AH1569" i="3"/>
  <c r="AI1569" i="3" s="1"/>
  <c r="AH1570" i="3"/>
  <c r="AI1570" i="3" s="1"/>
  <c r="AH1571" i="3"/>
  <c r="AI1571" i="3" s="1"/>
  <c r="AH1572" i="3"/>
  <c r="AI1572" i="3" s="1"/>
  <c r="AH1573" i="3"/>
  <c r="AI1573" i="3" s="1"/>
  <c r="AH1574" i="3"/>
  <c r="AI1574" i="3" s="1"/>
  <c r="AH1575" i="3"/>
  <c r="AI1575" i="3" s="1"/>
  <c r="AH1576" i="3"/>
  <c r="AI1576" i="3" s="1"/>
  <c r="AH1577" i="3"/>
  <c r="AI1577" i="3" s="1"/>
  <c r="AH1578" i="3"/>
  <c r="AI1578" i="3" s="1"/>
  <c r="AH1579" i="3"/>
  <c r="AI1579" i="3" s="1"/>
  <c r="AH1580" i="3"/>
  <c r="AI1580" i="3" s="1"/>
  <c r="AH1581" i="3"/>
  <c r="AI1581" i="3" s="1"/>
  <c r="AH1582" i="3"/>
  <c r="AI1582" i="3" s="1"/>
  <c r="AH1583" i="3"/>
  <c r="AI1583" i="3" s="1"/>
  <c r="AH1584" i="3"/>
  <c r="AI1584" i="3" s="1"/>
  <c r="AH1585" i="3"/>
  <c r="AI1585" i="3" s="1"/>
  <c r="AH1586" i="3"/>
  <c r="AI1586" i="3" s="1"/>
  <c r="AH1587" i="3"/>
  <c r="AI1587" i="3" s="1"/>
  <c r="AH1588" i="3"/>
  <c r="AI1588" i="3" s="1"/>
  <c r="AH1589" i="3"/>
  <c r="AI1589" i="3" s="1"/>
  <c r="AH1590" i="3"/>
  <c r="AI1590" i="3" s="1"/>
  <c r="AH1591" i="3"/>
  <c r="AI1591" i="3" s="1"/>
  <c r="AH1592" i="3"/>
  <c r="AI1592" i="3" s="1"/>
  <c r="AH1593" i="3"/>
  <c r="AI1593" i="3" s="1"/>
  <c r="AH1594" i="3"/>
  <c r="AI1594" i="3" s="1"/>
  <c r="AH1595" i="3"/>
  <c r="AI1595" i="3" s="1"/>
  <c r="AH1596" i="3"/>
  <c r="AI1596" i="3" s="1"/>
  <c r="AH1597" i="3"/>
  <c r="AI1597" i="3" s="1"/>
  <c r="AH1598" i="3"/>
  <c r="AI1598" i="3" s="1"/>
  <c r="AH1599" i="3"/>
  <c r="AI1599" i="3" s="1"/>
  <c r="AH1600" i="3"/>
  <c r="AI1600" i="3" s="1"/>
  <c r="AH1601" i="3"/>
  <c r="AI1601" i="3" s="1"/>
  <c r="AH1602" i="3"/>
  <c r="AI1602" i="3" s="1"/>
  <c r="AH1603" i="3"/>
  <c r="AI1603" i="3" s="1"/>
  <c r="AH1604" i="3"/>
  <c r="AI1604" i="3" s="1"/>
  <c r="AH1605" i="3"/>
  <c r="AI1605" i="3" s="1"/>
  <c r="AH1606" i="3"/>
  <c r="AI1606" i="3" s="1"/>
  <c r="AH1607" i="3"/>
  <c r="AI1607" i="3" s="1"/>
  <c r="AH1608" i="3"/>
  <c r="AI1608" i="3" s="1"/>
  <c r="AH1609" i="3"/>
  <c r="AI1609" i="3" s="1"/>
  <c r="AH1610" i="3"/>
  <c r="AI1610" i="3" s="1"/>
  <c r="AH1611" i="3"/>
  <c r="AI1611" i="3" s="1"/>
  <c r="AH1612" i="3"/>
  <c r="AI1612" i="3" s="1"/>
  <c r="AH1613" i="3"/>
  <c r="AI1613" i="3" s="1"/>
  <c r="AH1614" i="3"/>
  <c r="AI1614" i="3" s="1"/>
  <c r="AH1615" i="3"/>
  <c r="AI1615" i="3" s="1"/>
  <c r="AH1616" i="3"/>
  <c r="AI1616" i="3" s="1"/>
  <c r="AH1617" i="3"/>
  <c r="AI1617" i="3" s="1"/>
  <c r="AH1618" i="3"/>
  <c r="AI1618" i="3" s="1"/>
  <c r="AH1619" i="3"/>
  <c r="AI1619" i="3" s="1"/>
  <c r="AH1620" i="3"/>
  <c r="AI1620" i="3" s="1"/>
  <c r="AH1621" i="3"/>
  <c r="AI1621" i="3" s="1"/>
  <c r="AH1622" i="3"/>
  <c r="AI1622" i="3" s="1"/>
  <c r="AH1623" i="3"/>
  <c r="AI1623" i="3" s="1"/>
  <c r="AH1624" i="3"/>
  <c r="AI1624" i="3" s="1"/>
  <c r="AH1625" i="3"/>
  <c r="AI1625" i="3" s="1"/>
  <c r="AH1626" i="3"/>
  <c r="AI1626" i="3" s="1"/>
  <c r="AH1627" i="3"/>
  <c r="AI1627" i="3" s="1"/>
  <c r="AH1628" i="3"/>
  <c r="AI1628" i="3" s="1"/>
  <c r="AH1629" i="3"/>
  <c r="AI1629" i="3" s="1"/>
  <c r="AH1630" i="3"/>
  <c r="AI1630" i="3" s="1"/>
  <c r="AH1631" i="3"/>
  <c r="AI1631" i="3" s="1"/>
  <c r="AH1632" i="3"/>
  <c r="AI1632" i="3" s="1"/>
  <c r="AH1633" i="3"/>
  <c r="AI1633" i="3" s="1"/>
  <c r="AH1634" i="3"/>
  <c r="AI1634" i="3" s="1"/>
  <c r="AH1635" i="3"/>
  <c r="AI1635" i="3" s="1"/>
  <c r="AH1636" i="3"/>
  <c r="AI1636" i="3" s="1"/>
  <c r="AH1637" i="3"/>
  <c r="AI1637" i="3" s="1"/>
  <c r="AH1638" i="3"/>
  <c r="AI1638" i="3" s="1"/>
  <c r="AH1639" i="3"/>
  <c r="AI1639" i="3" s="1"/>
  <c r="AH1640" i="3"/>
  <c r="AI1640" i="3" s="1"/>
  <c r="AH1641" i="3"/>
  <c r="AI1641" i="3" s="1"/>
  <c r="AH1642" i="3"/>
  <c r="AI1642" i="3" s="1"/>
  <c r="AH1643" i="3"/>
  <c r="AI1643" i="3" s="1"/>
  <c r="AH1644" i="3"/>
  <c r="AI1644" i="3" s="1"/>
  <c r="AH1645" i="3"/>
  <c r="AI1645" i="3" s="1"/>
  <c r="AH1646" i="3"/>
  <c r="AI1646" i="3" s="1"/>
  <c r="AH1647" i="3"/>
  <c r="AI1647" i="3" s="1"/>
  <c r="AH1648" i="3"/>
  <c r="AI1648" i="3" s="1"/>
  <c r="AH1649" i="3"/>
  <c r="AI1649" i="3" s="1"/>
  <c r="AH1650" i="3"/>
  <c r="AI1650" i="3" s="1"/>
  <c r="AH1651" i="3"/>
  <c r="AI1651" i="3" s="1"/>
  <c r="AH1652" i="3"/>
  <c r="AI1652" i="3" s="1"/>
  <c r="AH1653" i="3"/>
  <c r="AI1653" i="3" s="1"/>
  <c r="AH1654" i="3"/>
  <c r="AI1654" i="3" s="1"/>
  <c r="AH1655" i="3"/>
  <c r="AI1655" i="3" s="1"/>
  <c r="AH1656" i="3"/>
  <c r="AI1656" i="3" s="1"/>
  <c r="AH1657" i="3"/>
  <c r="AI1657" i="3" s="1"/>
  <c r="AH1658" i="3"/>
  <c r="AI1658" i="3" s="1"/>
  <c r="AH1659" i="3"/>
  <c r="AI1659" i="3" s="1"/>
  <c r="AH1660" i="3"/>
  <c r="AI1660" i="3" s="1"/>
  <c r="AH1661" i="3"/>
  <c r="AI1661" i="3" s="1"/>
  <c r="AH1662" i="3"/>
  <c r="AI1662" i="3" s="1"/>
  <c r="AH1663" i="3"/>
  <c r="AI1663" i="3" s="1"/>
  <c r="AH1664" i="3"/>
  <c r="AI1664" i="3" s="1"/>
  <c r="AH1665" i="3"/>
  <c r="AI1665" i="3" s="1"/>
  <c r="AH1666" i="3"/>
  <c r="AI1666" i="3" s="1"/>
  <c r="AH1667" i="3"/>
  <c r="AI1667" i="3" s="1"/>
  <c r="AH1668" i="3"/>
  <c r="AI1668" i="3" s="1"/>
  <c r="AH1669" i="3"/>
  <c r="AI1669" i="3" s="1"/>
  <c r="AH1670" i="3"/>
  <c r="AI1670" i="3" s="1"/>
  <c r="AH1671" i="3"/>
  <c r="AI1671" i="3" s="1"/>
  <c r="AH1672" i="3"/>
  <c r="AI1672" i="3" s="1"/>
  <c r="AH1673" i="3"/>
  <c r="AI1673" i="3" s="1"/>
  <c r="AH1674" i="3"/>
  <c r="AI1674" i="3" s="1"/>
  <c r="AH1675" i="3"/>
  <c r="AI1675" i="3" s="1"/>
  <c r="AH1676" i="3"/>
  <c r="AI1676" i="3" s="1"/>
  <c r="AH1677" i="3"/>
  <c r="AI1677" i="3" s="1"/>
  <c r="AH1678" i="3"/>
  <c r="AI1678" i="3" s="1"/>
  <c r="AH1679" i="3"/>
  <c r="AI1679" i="3" s="1"/>
  <c r="AH1680" i="3"/>
  <c r="AI1680" i="3" s="1"/>
  <c r="AH1681" i="3"/>
  <c r="AI1681" i="3" s="1"/>
  <c r="AH1682" i="3"/>
  <c r="AI1682" i="3" s="1"/>
  <c r="AH1683" i="3"/>
  <c r="AI1683" i="3" s="1"/>
  <c r="AH1684" i="3"/>
  <c r="AI1684" i="3" s="1"/>
  <c r="AH1685" i="3"/>
  <c r="AI1685" i="3" s="1"/>
  <c r="AH1686" i="3"/>
  <c r="AI1686" i="3" s="1"/>
  <c r="AH1687" i="3"/>
  <c r="AI1687" i="3" s="1"/>
  <c r="AH1688" i="3"/>
  <c r="AI1688" i="3" s="1"/>
  <c r="AH1689" i="3"/>
  <c r="AI1689" i="3" s="1"/>
  <c r="AH1690" i="3"/>
  <c r="AI1690" i="3" s="1"/>
  <c r="AH1691" i="3"/>
  <c r="AI1691" i="3" s="1"/>
  <c r="AH1692" i="3"/>
  <c r="AI1692" i="3" s="1"/>
  <c r="AH1693" i="3"/>
  <c r="AI1693" i="3" s="1"/>
  <c r="AH1694" i="3"/>
  <c r="AI1694" i="3" s="1"/>
  <c r="AH1695" i="3"/>
  <c r="AI1695" i="3" s="1"/>
  <c r="AH1696" i="3"/>
  <c r="AI1696" i="3" s="1"/>
  <c r="AH1697" i="3"/>
  <c r="AI1697" i="3" s="1"/>
  <c r="AH1698" i="3"/>
  <c r="AI1698" i="3" s="1"/>
  <c r="AH1699" i="3"/>
  <c r="AI1699" i="3" s="1"/>
  <c r="AH1700" i="3"/>
  <c r="AI1700" i="3" s="1"/>
  <c r="AH1701" i="3"/>
  <c r="AI1701" i="3" s="1"/>
  <c r="AH1702" i="3"/>
  <c r="AI1702" i="3" s="1"/>
  <c r="AH1703" i="3"/>
  <c r="AI1703" i="3" s="1"/>
  <c r="AH1704" i="3"/>
  <c r="AI1704" i="3" s="1"/>
  <c r="AH1705" i="3"/>
  <c r="AI1705" i="3" s="1"/>
  <c r="AH1706" i="3"/>
  <c r="AI1706" i="3" s="1"/>
  <c r="AH1707" i="3"/>
  <c r="AI1707" i="3" s="1"/>
  <c r="AH1708" i="3"/>
  <c r="AI1708" i="3" s="1"/>
  <c r="AH1709" i="3"/>
  <c r="AI1709" i="3" s="1"/>
  <c r="AH1710" i="3"/>
  <c r="AI1710" i="3" s="1"/>
  <c r="AH1711" i="3"/>
  <c r="AI1711" i="3" s="1"/>
  <c r="AH1712" i="3"/>
  <c r="AI1712" i="3" s="1"/>
  <c r="AH1713" i="3"/>
  <c r="AI1713" i="3" s="1"/>
  <c r="AH1714" i="3"/>
  <c r="AI1714" i="3" s="1"/>
  <c r="AH1715" i="3"/>
  <c r="AI1715" i="3" s="1"/>
  <c r="AH1716" i="3"/>
  <c r="AI1716" i="3" s="1"/>
  <c r="AH1717" i="3"/>
  <c r="AI1717" i="3" s="1"/>
  <c r="AH1718" i="3"/>
  <c r="AI1718" i="3" s="1"/>
  <c r="AH1719" i="3"/>
  <c r="AI1719" i="3" s="1"/>
  <c r="AH1720" i="3"/>
  <c r="AI1720" i="3" s="1"/>
  <c r="AH1721" i="3"/>
  <c r="AI1721" i="3" s="1"/>
  <c r="AH1722" i="3"/>
  <c r="AI1722" i="3" s="1"/>
  <c r="AH1723" i="3"/>
  <c r="AI1723" i="3" s="1"/>
  <c r="AH1724" i="3"/>
  <c r="AI1724" i="3" s="1"/>
  <c r="AH1725" i="3"/>
  <c r="AI1725" i="3" s="1"/>
  <c r="AH1726" i="3"/>
  <c r="AI1726" i="3" s="1"/>
  <c r="AH1727" i="3"/>
  <c r="AI1727" i="3" s="1"/>
  <c r="AH1728" i="3"/>
  <c r="AI1728" i="3" s="1"/>
  <c r="AH1729" i="3"/>
  <c r="AI1729" i="3" s="1"/>
  <c r="AH1730" i="3"/>
  <c r="AI1730" i="3" s="1"/>
  <c r="AH1731" i="3"/>
  <c r="AI1731" i="3" s="1"/>
  <c r="AH1732" i="3"/>
  <c r="AI1732" i="3" s="1"/>
  <c r="AH3" i="3"/>
  <c r="AI3" i="3" s="1"/>
  <c r="AH4" i="3"/>
  <c r="AI4" i="3" s="1"/>
  <c r="AH5" i="3"/>
  <c r="AI5" i="3" s="1"/>
  <c r="AH6" i="3"/>
  <c r="AI6" i="3" s="1"/>
  <c r="F62" i="6"/>
  <c r="G62" i="6"/>
  <c r="E62" i="6"/>
  <c r="AH2" i="3"/>
  <c r="AI2" i="3" s="1"/>
  <c r="F61" i="6"/>
  <c r="G61" i="6"/>
  <c r="E61" i="6"/>
  <c r="C96" i="5"/>
  <c r="C95" i="5"/>
  <c r="AK1732" i="3" l="1"/>
  <c r="AM1732" i="3"/>
  <c r="AK1731" i="3"/>
  <c r="AM1731" i="3"/>
  <c r="AK1730" i="3"/>
  <c r="AM1730" i="3"/>
  <c r="AK1729" i="3"/>
  <c r="AM1729" i="3"/>
  <c r="AK1728" i="3"/>
  <c r="AM1728" i="3"/>
  <c r="AK1727" i="3"/>
  <c r="AM1727" i="3"/>
  <c r="AK1726" i="3"/>
  <c r="AM1726" i="3"/>
  <c r="AK1725" i="3"/>
  <c r="AM1725" i="3"/>
  <c r="AK1724" i="3"/>
  <c r="AM1724" i="3"/>
  <c r="AK1723" i="3"/>
  <c r="AM1723" i="3"/>
  <c r="AK1722" i="3"/>
  <c r="AM1722" i="3"/>
  <c r="AK1721" i="3"/>
  <c r="AM1721" i="3"/>
  <c r="AK1720" i="3"/>
  <c r="AM1720" i="3"/>
  <c r="AK1719" i="3"/>
  <c r="AM1719" i="3"/>
  <c r="AK1718" i="3"/>
  <c r="AM1718" i="3"/>
  <c r="AK1717" i="3"/>
  <c r="AM1717" i="3"/>
  <c r="AK1716" i="3"/>
  <c r="AM1716" i="3"/>
  <c r="AK1705" i="3"/>
  <c r="AM1705" i="3"/>
  <c r="AK1704" i="3"/>
  <c r="AM1704" i="3"/>
  <c r="AK1703" i="3"/>
  <c r="AM1703" i="3"/>
  <c r="AK1702" i="3"/>
  <c r="AM1702" i="3"/>
  <c r="AK1701" i="3"/>
  <c r="AM1701" i="3"/>
  <c r="AK1700" i="3"/>
  <c r="AM1700" i="3"/>
  <c r="AK1699" i="3"/>
  <c r="AM1699" i="3"/>
  <c r="AK1698" i="3"/>
  <c r="AM1698" i="3"/>
  <c r="AK1697" i="3"/>
  <c r="AM1697" i="3"/>
  <c r="AK1621" i="3"/>
  <c r="AM1621" i="3"/>
  <c r="AK1620" i="3"/>
  <c r="AM1620" i="3"/>
  <c r="AK1619" i="3"/>
  <c r="AM1619" i="3"/>
  <c r="AK1599" i="3"/>
  <c r="AM1599" i="3"/>
  <c r="AK1594" i="3"/>
  <c r="AM1594" i="3"/>
  <c r="AK1589" i="3"/>
  <c r="AM1589" i="3"/>
  <c r="AK1588" i="3"/>
  <c r="AM1588" i="3"/>
  <c r="AK1571" i="3"/>
  <c r="AM1571" i="3"/>
  <c r="AK1570" i="3"/>
  <c r="AM1570" i="3"/>
  <c r="AK1569" i="3"/>
  <c r="AM1569" i="3"/>
  <c r="AK1543" i="3"/>
  <c r="AM1543" i="3"/>
  <c r="AK1542" i="3"/>
  <c r="AM1542" i="3"/>
  <c r="AK1541" i="3"/>
  <c r="AM1541" i="3"/>
  <c r="AK1534" i="3"/>
  <c r="AM1534" i="3"/>
  <c r="AK1533" i="3"/>
  <c r="AM1533" i="3"/>
  <c r="AK1532" i="3"/>
  <c r="AM1532" i="3"/>
  <c r="AK1531" i="3"/>
  <c r="AM1531" i="3"/>
  <c r="AK1530" i="3"/>
  <c r="AM1530" i="3"/>
  <c r="AK1529" i="3"/>
  <c r="AM1529" i="3"/>
  <c r="AK1528" i="3"/>
  <c r="AM1528" i="3"/>
  <c r="AK1527" i="3"/>
  <c r="AM1527" i="3"/>
  <c r="AK1526" i="3"/>
  <c r="AM1526" i="3"/>
  <c r="AK1525" i="3"/>
  <c r="AM1525" i="3"/>
  <c r="AK1524" i="3"/>
  <c r="AM1524" i="3"/>
  <c r="AK1523" i="3"/>
  <c r="AM1523" i="3"/>
  <c r="AK1522" i="3"/>
  <c r="AM1522" i="3"/>
  <c r="AK1521" i="3"/>
  <c r="AM1521" i="3"/>
  <c r="AK1714" i="3"/>
  <c r="AM1714" i="3"/>
  <c r="AK1713" i="3"/>
  <c r="AM1713" i="3"/>
  <c r="AK1712" i="3"/>
  <c r="AM1712" i="3"/>
  <c r="AK1711" i="3"/>
  <c r="AM1711" i="3"/>
  <c r="AK1695" i="3"/>
  <c r="AM1695" i="3"/>
  <c r="AK1694" i="3"/>
  <c r="AM1694" i="3"/>
  <c r="AK1693" i="3"/>
  <c r="AM1693" i="3"/>
  <c r="AK1692" i="3"/>
  <c r="AM1692" i="3"/>
  <c r="AK1691" i="3"/>
  <c r="AM1691" i="3"/>
  <c r="AK1690" i="3"/>
  <c r="AM1690" i="3"/>
  <c r="AK1689" i="3"/>
  <c r="AM1689" i="3"/>
  <c r="AK1688" i="3"/>
  <c r="AM1688" i="3"/>
  <c r="AK1687" i="3"/>
  <c r="AM1687" i="3"/>
  <c r="AK1686" i="3"/>
  <c r="AM1686" i="3"/>
  <c r="AK1685" i="3"/>
  <c r="AM1685" i="3"/>
  <c r="AK1684" i="3"/>
  <c r="AM1684" i="3"/>
  <c r="AK1683" i="3"/>
  <c r="AM1683" i="3"/>
  <c r="AK1682" i="3"/>
  <c r="AM1682" i="3"/>
  <c r="AK1681" i="3"/>
  <c r="AM1681" i="3"/>
  <c r="AK1680" i="3"/>
  <c r="AM1680" i="3"/>
  <c r="AK1679" i="3"/>
  <c r="AM1679" i="3"/>
  <c r="AK1678" i="3"/>
  <c r="AM1678" i="3"/>
  <c r="AK1677" i="3"/>
  <c r="AM1677" i="3"/>
  <c r="AK1676" i="3"/>
  <c r="AM1676" i="3"/>
  <c r="AK1675" i="3"/>
  <c r="AM1675" i="3"/>
  <c r="AK1674" i="3"/>
  <c r="AM1674" i="3"/>
  <c r="AK1673" i="3"/>
  <c r="AM1673" i="3"/>
  <c r="AK1672" i="3"/>
  <c r="AM1672" i="3"/>
  <c r="AK1671" i="3"/>
  <c r="AM1671" i="3"/>
  <c r="AK1670" i="3"/>
  <c r="AM1670" i="3"/>
  <c r="AK1669" i="3"/>
  <c r="AM1669" i="3"/>
  <c r="AK1668" i="3"/>
  <c r="AM1668" i="3"/>
  <c r="AK1667" i="3"/>
  <c r="AM1667" i="3"/>
  <c r="AK1666" i="3"/>
  <c r="AM1666" i="3"/>
  <c r="AK1665" i="3"/>
  <c r="AM1665" i="3"/>
  <c r="AK1664" i="3"/>
  <c r="AM1664" i="3"/>
  <c r="AK1663" i="3"/>
  <c r="AM1663" i="3"/>
  <c r="AK1662" i="3"/>
  <c r="AM1662" i="3"/>
  <c r="AK1661" i="3"/>
  <c r="AM1661" i="3"/>
  <c r="AK1660" i="3"/>
  <c r="AM1660" i="3"/>
  <c r="AK1659" i="3"/>
  <c r="AM1659" i="3"/>
  <c r="AK1658" i="3"/>
  <c r="AM1658" i="3"/>
  <c r="AK1657" i="3"/>
  <c r="AM1657" i="3"/>
  <c r="AK1656" i="3"/>
  <c r="AM1656" i="3"/>
  <c r="AK1655" i="3"/>
  <c r="AM1655" i="3"/>
  <c r="AK1654" i="3"/>
  <c r="AM1654" i="3"/>
  <c r="AK1653" i="3"/>
  <c r="AM1653" i="3"/>
  <c r="AK1652" i="3"/>
  <c r="AM1652" i="3"/>
  <c r="AK1651" i="3"/>
  <c r="AM1651" i="3"/>
  <c r="AK1650" i="3"/>
  <c r="AM1650" i="3"/>
  <c r="AK1649" i="3"/>
  <c r="AM1649" i="3"/>
  <c r="AK1648" i="3"/>
  <c r="AM1648" i="3"/>
  <c r="AK1647" i="3"/>
  <c r="AM1647" i="3"/>
  <c r="AK1646" i="3"/>
  <c r="AM1646" i="3"/>
  <c r="AK1645" i="3"/>
  <c r="AM1645" i="3"/>
  <c r="AK1644" i="3"/>
  <c r="AM1644" i="3"/>
  <c r="AK1643" i="3"/>
  <c r="AM1643" i="3"/>
  <c r="AK1642" i="3"/>
  <c r="AM1642" i="3"/>
  <c r="AK1641" i="3"/>
  <c r="AM1641" i="3"/>
  <c r="AK1640" i="3"/>
  <c r="AM1640" i="3"/>
  <c r="AK1637" i="3"/>
  <c r="AM1637" i="3"/>
  <c r="AK1636" i="3"/>
  <c r="AM1636" i="3"/>
  <c r="AK1635" i="3"/>
  <c r="AM1635" i="3"/>
  <c r="AK1634" i="3"/>
  <c r="AM1634" i="3"/>
  <c r="AK1633" i="3"/>
  <c r="AM1633" i="3"/>
  <c r="AK1632" i="3"/>
  <c r="AM1632" i="3"/>
  <c r="AK1631" i="3"/>
  <c r="AM1631" i="3"/>
  <c r="AK1630" i="3"/>
  <c r="AM1630" i="3"/>
  <c r="AK1629" i="3"/>
  <c r="AM1629" i="3"/>
  <c r="AK1628" i="3"/>
  <c r="AM1628" i="3"/>
  <c r="AK1627" i="3"/>
  <c r="AM1627" i="3"/>
  <c r="AK1626" i="3"/>
  <c r="AM1626" i="3"/>
  <c r="AK1625" i="3"/>
  <c r="AM1625" i="3"/>
  <c r="AK1624" i="3"/>
  <c r="AM1624" i="3"/>
  <c r="AK1623" i="3"/>
  <c r="AM1623" i="3"/>
  <c r="AK1617" i="3"/>
  <c r="AM1617" i="3"/>
  <c r="AK1616" i="3"/>
  <c r="AM1616" i="3"/>
  <c r="AK1615" i="3"/>
  <c r="AM1615" i="3"/>
  <c r="AK1614" i="3"/>
  <c r="AM1614" i="3"/>
  <c r="AK1613" i="3"/>
  <c r="AM1613" i="3"/>
  <c r="AK1612" i="3"/>
  <c r="AM1612" i="3"/>
  <c r="AK1611" i="3"/>
  <c r="AM1611" i="3"/>
  <c r="AK1610" i="3"/>
  <c r="AM1610" i="3"/>
  <c r="AK1609" i="3"/>
  <c r="AM1609" i="3"/>
  <c r="AK1608" i="3"/>
  <c r="AM1608" i="3"/>
  <c r="AK1607" i="3"/>
  <c r="AM1607" i="3"/>
  <c r="AK1604" i="3"/>
  <c r="AM1604" i="3"/>
  <c r="AK1603" i="3"/>
  <c r="AM1603" i="3"/>
  <c r="AL1599" i="3"/>
  <c r="AL1594" i="3"/>
  <c r="AL1589" i="3"/>
  <c r="AL1588" i="3"/>
  <c r="AK1586" i="3"/>
  <c r="AM1586" i="3"/>
  <c r="AK1585" i="3"/>
  <c r="AM1585" i="3"/>
  <c r="AK1582" i="3"/>
  <c r="AM1582" i="3"/>
  <c r="AK1581" i="3"/>
  <c r="AM1581" i="3"/>
  <c r="AK1580" i="3"/>
  <c r="AM1580" i="3"/>
  <c r="AK1579" i="3"/>
  <c r="AM1579" i="3"/>
  <c r="AK1578" i="3"/>
  <c r="AM1578" i="3"/>
  <c r="AK1577" i="3"/>
  <c r="AM1577" i="3"/>
  <c r="AL1571" i="3"/>
  <c r="AL1570" i="3"/>
  <c r="AL1569" i="3"/>
  <c r="AK1567" i="3"/>
  <c r="AM1567" i="3"/>
  <c r="AK1566" i="3"/>
  <c r="AM1566" i="3"/>
  <c r="AK1565" i="3"/>
  <c r="AM1565" i="3"/>
  <c r="AK1564" i="3"/>
  <c r="AM1564" i="3"/>
  <c r="AK1563" i="3"/>
  <c r="AM1563" i="3"/>
  <c r="AK1562" i="3"/>
  <c r="AM1562" i="3"/>
  <c r="AK1561" i="3"/>
  <c r="AM1561" i="3"/>
  <c r="AK1560" i="3"/>
  <c r="AM1560" i="3"/>
  <c r="AK1557" i="3"/>
  <c r="AM1557" i="3"/>
  <c r="AK1556" i="3"/>
  <c r="AM1556" i="3"/>
  <c r="AK1555" i="3"/>
  <c r="AM1555" i="3"/>
  <c r="AK1554" i="3"/>
  <c r="AM1554" i="3"/>
  <c r="AK1553" i="3"/>
  <c r="AM1553" i="3"/>
  <c r="AK1552" i="3"/>
  <c r="AM1552" i="3"/>
  <c r="AK1551" i="3"/>
  <c r="AM1551" i="3"/>
  <c r="AK1550" i="3"/>
  <c r="AM1550" i="3"/>
  <c r="AK1549" i="3"/>
  <c r="AM1549" i="3"/>
  <c r="AK1548" i="3"/>
  <c r="AM1548" i="3"/>
  <c r="AK1547" i="3"/>
  <c r="AM1547" i="3"/>
  <c r="AL1543" i="3"/>
  <c r="AL1542" i="3"/>
  <c r="AL1541" i="3"/>
  <c r="AL1534" i="3"/>
  <c r="AL1533" i="3"/>
  <c r="AL1532" i="3"/>
  <c r="AL1531" i="3"/>
  <c r="AL1530" i="3"/>
  <c r="AL1529" i="3"/>
  <c r="AL1528" i="3"/>
  <c r="AL1527" i="3"/>
  <c r="AL1526" i="3"/>
  <c r="AL1525" i="3"/>
  <c r="AL1524" i="3"/>
  <c r="AL1523" i="3"/>
  <c r="AL1522" i="3"/>
  <c r="AL1521" i="3"/>
  <c r="AL1519" i="3"/>
  <c r="AL1517" i="3"/>
  <c r="AL1515" i="3"/>
  <c r="AL1513" i="3"/>
  <c r="AL1511" i="3"/>
  <c r="AL1509" i="3"/>
  <c r="AL1507" i="3"/>
  <c r="AL1505" i="3"/>
  <c r="AL1503" i="3"/>
  <c r="AL1501" i="3"/>
  <c r="AL1499" i="3"/>
  <c r="AL1497" i="3"/>
  <c r="AL1495" i="3"/>
  <c r="AL1493" i="3"/>
  <c r="AL1489" i="3"/>
  <c r="AL1487" i="3"/>
  <c r="AL1483" i="3"/>
  <c r="AL1479" i="3"/>
  <c r="AL1477" i="3"/>
  <c r="AL1475" i="3"/>
  <c r="AL1471" i="3"/>
  <c r="AL1469" i="3"/>
  <c r="AL1467" i="3"/>
  <c r="AL1462" i="3"/>
  <c r="AL1458" i="3"/>
  <c r="AL1456" i="3"/>
  <c r="AL1454" i="3"/>
  <c r="AL1452" i="3"/>
  <c r="AL1450" i="3"/>
  <c r="AL1448" i="3"/>
  <c r="AL1445" i="3"/>
  <c r="AL1442" i="3"/>
  <c r="AL1440" i="3"/>
  <c r="AL1438" i="3"/>
  <c r="AL1436" i="3"/>
  <c r="AL1433" i="3"/>
  <c r="AL1431" i="3"/>
  <c r="AL1429" i="3"/>
  <c r="AL1427" i="3"/>
  <c r="AL1425" i="3"/>
  <c r="AL1423" i="3"/>
  <c r="AL1407" i="3"/>
  <c r="AL1405" i="3"/>
  <c r="AL1403" i="3"/>
  <c r="AL1358" i="3"/>
  <c r="AL1354" i="3"/>
  <c r="AL1350" i="3"/>
  <c r="AL1348" i="3"/>
  <c r="AL1346" i="3"/>
  <c r="AL1344" i="3"/>
  <c r="AL1343" i="3"/>
  <c r="AL1339" i="3"/>
  <c r="AL1337" i="3"/>
  <c r="AL1335" i="3"/>
  <c r="AL1333" i="3"/>
  <c r="AL1331" i="3"/>
  <c r="AL1329" i="3"/>
  <c r="AL1327" i="3"/>
  <c r="AL1325" i="3"/>
  <c r="AL1323" i="3"/>
  <c r="AL1321" i="3"/>
  <c r="AL1319" i="3"/>
  <c r="AL1316" i="3"/>
  <c r="AL1314" i="3"/>
  <c r="AL1311" i="3"/>
  <c r="AL1309" i="3"/>
  <c r="AL1306" i="3"/>
  <c r="AL1303" i="3"/>
  <c r="AL1301" i="3"/>
  <c r="AL1299" i="3"/>
  <c r="AL1297" i="3"/>
  <c r="AL1295" i="3"/>
  <c r="AL1293" i="3"/>
  <c r="AL1291" i="3"/>
  <c r="AL1289" i="3"/>
  <c r="AL1286" i="3"/>
  <c r="AM1520" i="3"/>
  <c r="AK1520" i="3"/>
  <c r="AM1519" i="3"/>
  <c r="AM1518" i="3"/>
  <c r="AK1518" i="3"/>
  <c r="AM1517" i="3"/>
  <c r="AM1516" i="3"/>
  <c r="AK1516" i="3"/>
  <c r="AM1515" i="3"/>
  <c r="AM1514" i="3"/>
  <c r="AK1514" i="3"/>
  <c r="AM1513" i="3"/>
  <c r="AM1512" i="3"/>
  <c r="AK1512" i="3"/>
  <c r="AM1511" i="3"/>
  <c r="AM1510" i="3"/>
  <c r="AK1510" i="3"/>
  <c r="AM1509" i="3"/>
  <c r="AM1508" i="3"/>
  <c r="AK1508" i="3"/>
  <c r="AM1507" i="3"/>
  <c r="AM1506" i="3"/>
  <c r="AK1506" i="3"/>
  <c r="AM1505" i="3"/>
  <c r="AM1504" i="3"/>
  <c r="AK1504" i="3"/>
  <c r="AM1503" i="3"/>
  <c r="AM1502" i="3"/>
  <c r="AK1502" i="3"/>
  <c r="AM1501" i="3"/>
  <c r="AM1500" i="3"/>
  <c r="AK1500" i="3"/>
  <c r="AM1499" i="3"/>
  <c r="AM1498" i="3"/>
  <c r="AK1498" i="3"/>
  <c r="AM1497" i="3"/>
  <c r="AM1496" i="3"/>
  <c r="AK1496" i="3"/>
  <c r="AM1495" i="3"/>
  <c r="AM1494" i="3"/>
  <c r="AK1494" i="3"/>
  <c r="AM1493" i="3"/>
  <c r="AM1492" i="3"/>
  <c r="AK1492" i="3"/>
  <c r="AM1490" i="3"/>
  <c r="AK1490" i="3"/>
  <c r="AM1489" i="3"/>
  <c r="AM1488" i="3"/>
  <c r="AK1488" i="3"/>
  <c r="AM1487" i="3"/>
  <c r="AM1484" i="3"/>
  <c r="AK1484" i="3"/>
  <c r="AM1483" i="3"/>
  <c r="AM1482" i="3"/>
  <c r="AM1481" i="3"/>
  <c r="AK1481" i="3"/>
  <c r="AM1479" i="3"/>
  <c r="AM1478" i="3"/>
  <c r="AK1478" i="3"/>
  <c r="AM1477" i="3"/>
  <c r="AM1476" i="3"/>
  <c r="AK1476" i="3"/>
  <c r="AM1475" i="3"/>
  <c r="AM1472" i="3"/>
  <c r="AK1472" i="3"/>
  <c r="AM1471" i="3"/>
  <c r="AM1470" i="3"/>
  <c r="AK1470" i="3"/>
  <c r="AM1469" i="3"/>
  <c r="AM1468" i="3"/>
  <c r="AK1468" i="3"/>
  <c r="AM1467" i="3"/>
  <c r="AM1466" i="3"/>
  <c r="AK1466" i="3"/>
  <c r="AM1464" i="3"/>
  <c r="AK1464" i="3"/>
  <c r="AM1463" i="3"/>
  <c r="AM1462" i="3"/>
  <c r="AM1461" i="3"/>
  <c r="AK1461" i="3"/>
  <c r="AM1459" i="3"/>
  <c r="AK1459" i="3"/>
  <c r="AM1458" i="3"/>
  <c r="AM1457" i="3"/>
  <c r="AK1457" i="3"/>
  <c r="AM1456" i="3"/>
  <c r="AM1454" i="3"/>
  <c r="AM1453" i="3"/>
  <c r="AK1453" i="3"/>
  <c r="AM1452" i="3"/>
  <c r="AM1451" i="3"/>
  <c r="AK1451" i="3"/>
  <c r="AM1450" i="3"/>
  <c r="AM1449" i="3"/>
  <c r="AK1449" i="3"/>
  <c r="AM1448" i="3"/>
  <c r="AM1447" i="3"/>
  <c r="AK1447" i="3"/>
  <c r="AM1446" i="3"/>
  <c r="AK1446" i="3"/>
  <c r="AM1445" i="3"/>
  <c r="AM1444" i="3"/>
  <c r="AM1443" i="3"/>
  <c r="AK1443" i="3"/>
  <c r="AM1442" i="3"/>
  <c r="AM1441" i="3"/>
  <c r="AK1441" i="3"/>
  <c r="AM1440" i="3"/>
  <c r="AM1438" i="3"/>
  <c r="AM1437" i="3"/>
  <c r="AK1437" i="3"/>
  <c r="AM1436" i="3"/>
  <c r="AM1435" i="3"/>
  <c r="AK1435" i="3"/>
  <c r="AM1434" i="3"/>
  <c r="AM1433" i="3"/>
  <c r="AM1432" i="3"/>
  <c r="AK1432" i="3"/>
  <c r="AM1431" i="3"/>
  <c r="AM1430" i="3"/>
  <c r="AK1430" i="3"/>
  <c r="AM1429" i="3"/>
  <c r="AM1428" i="3"/>
  <c r="AK1428" i="3"/>
  <c r="AM1427" i="3"/>
  <c r="AM1426" i="3"/>
  <c r="AK1426" i="3"/>
  <c r="AM1425" i="3"/>
  <c r="AM1424" i="3"/>
  <c r="AK1424" i="3"/>
  <c r="AM1423" i="3"/>
  <c r="AM1422" i="3"/>
  <c r="AK1422" i="3"/>
  <c r="AM1415" i="3"/>
  <c r="AK1415" i="3"/>
  <c r="AM1413" i="3"/>
  <c r="AK1413" i="3"/>
  <c r="AM1408" i="3"/>
  <c r="AK1408" i="3"/>
  <c r="AM1407" i="3"/>
  <c r="AM1406" i="3"/>
  <c r="AK1406" i="3"/>
  <c r="AM1405" i="3"/>
  <c r="AM1404" i="3"/>
  <c r="AK1404" i="3"/>
  <c r="AM1403" i="3"/>
  <c r="AM1359" i="3"/>
  <c r="AK1359" i="3"/>
  <c r="AM1358" i="3"/>
  <c r="AM1357" i="3"/>
  <c r="AK1357" i="3"/>
  <c r="AM1355" i="3"/>
  <c r="AK1355" i="3"/>
  <c r="AM1354" i="3"/>
  <c r="AM1353" i="3"/>
  <c r="AK1353" i="3"/>
  <c r="AM1351" i="3"/>
  <c r="AK1351" i="3"/>
  <c r="AM1350" i="3"/>
  <c r="AM1349" i="3"/>
  <c r="AK1349" i="3"/>
  <c r="AM1348" i="3"/>
  <c r="AM1347" i="3"/>
  <c r="AK1347" i="3"/>
  <c r="AM1346" i="3"/>
  <c r="AM1345" i="3"/>
  <c r="AK1345" i="3"/>
  <c r="AM1344" i="3"/>
  <c r="AM1343" i="3"/>
  <c r="AM1342" i="3"/>
  <c r="AK1342" i="3"/>
  <c r="AM1340" i="3"/>
  <c r="AK1340" i="3"/>
  <c r="AM1339" i="3"/>
  <c r="AM1338" i="3"/>
  <c r="AK1338" i="3"/>
  <c r="AM1337" i="3"/>
  <c r="AM1336" i="3"/>
  <c r="AK1336" i="3"/>
  <c r="AM1335" i="3"/>
  <c r="AM1334" i="3"/>
  <c r="AK1334" i="3"/>
  <c r="AM1333" i="3"/>
  <c r="AM1332" i="3"/>
  <c r="AK1332" i="3"/>
  <c r="AM1331" i="3"/>
  <c r="AM1330" i="3"/>
  <c r="AK1330" i="3"/>
  <c r="AM1329" i="3"/>
  <c r="AM1328" i="3"/>
  <c r="AK1328" i="3"/>
  <c r="AM1327" i="3"/>
  <c r="AM1326" i="3"/>
  <c r="AK1326" i="3"/>
  <c r="AM1325" i="3"/>
  <c r="AM1324" i="3"/>
  <c r="AK1324" i="3"/>
  <c r="AM1323" i="3"/>
  <c r="AM1322" i="3"/>
  <c r="AK1322" i="3"/>
  <c r="AM1321" i="3"/>
  <c r="AM1320" i="3"/>
  <c r="AK1320" i="3"/>
  <c r="AM1319" i="3"/>
  <c r="AM1318" i="3"/>
  <c r="AM1317" i="3"/>
  <c r="AK1317" i="3"/>
  <c r="AM1316" i="3"/>
  <c r="AM1315" i="3"/>
  <c r="AK1315" i="3"/>
  <c r="AM1314" i="3"/>
  <c r="AM1313" i="3"/>
  <c r="AK1313" i="3"/>
  <c r="AM1312" i="3"/>
  <c r="AM1311" i="3"/>
  <c r="AM1310" i="3"/>
  <c r="AK1310" i="3"/>
  <c r="AM1309" i="3"/>
  <c r="AM1308" i="3"/>
  <c r="AM1307" i="3"/>
  <c r="AK1307" i="3"/>
  <c r="AM1306" i="3"/>
  <c r="AM1305" i="3"/>
  <c r="AK1305" i="3"/>
  <c r="AM1304" i="3"/>
  <c r="AK1304" i="3"/>
  <c r="AM1303" i="3"/>
  <c r="AM1301" i="3"/>
  <c r="AM1300" i="3"/>
  <c r="AK1300" i="3"/>
  <c r="AM1299" i="3"/>
  <c r="AM1298" i="3"/>
  <c r="AK1298" i="3"/>
  <c r="AM1297" i="3"/>
  <c r="AM1296" i="3"/>
  <c r="AK1296" i="3"/>
  <c r="AM1295" i="3"/>
  <c r="AM1294" i="3"/>
  <c r="AK1294" i="3"/>
  <c r="AM1293" i="3"/>
  <c r="AM1291" i="3"/>
  <c r="AM1290" i="3"/>
  <c r="AK1290" i="3"/>
  <c r="AM1289" i="3"/>
  <c r="AM1288" i="3"/>
  <c r="AM1287" i="3"/>
  <c r="AK1287" i="3"/>
  <c r="AM1286" i="3"/>
  <c r="AM1285" i="3"/>
  <c r="AM1284" i="3"/>
  <c r="AM1283" i="3"/>
  <c r="AM1282" i="3"/>
  <c r="AM1281" i="3"/>
  <c r="AM1280" i="3"/>
  <c r="AM1279" i="3"/>
  <c r="AM1278" i="3"/>
  <c r="AM1277" i="3"/>
  <c r="AM1264" i="3"/>
  <c r="AM1263" i="3"/>
  <c r="AM1262" i="3"/>
  <c r="AM1261" i="3"/>
  <c r="AM1260" i="3"/>
  <c r="AM1259" i="3"/>
  <c r="AM1121" i="3"/>
  <c r="AM1066" i="3"/>
  <c r="AM1060" i="3"/>
  <c r="AM1055" i="3"/>
  <c r="AM1041" i="3"/>
  <c r="AM1040" i="3"/>
  <c r="AM1033" i="3"/>
  <c r="AM1032" i="3"/>
  <c r="AM1031" i="3"/>
  <c r="AM1030" i="3"/>
  <c r="AM1029" i="3"/>
  <c r="AM1026" i="3"/>
  <c r="AM1025" i="3"/>
  <c r="AM1024" i="3"/>
  <c r="AM1023" i="3"/>
  <c r="AM1022" i="3"/>
  <c r="AM1021" i="3"/>
  <c r="AM1020" i="3"/>
  <c r="AM1019" i="3"/>
  <c r="AM1018" i="3"/>
  <c r="AM1015" i="3"/>
  <c r="AM1014" i="3"/>
  <c r="AM1013" i="3"/>
  <c r="AM1012" i="3"/>
  <c r="AM1011" i="3"/>
  <c r="AM1010" i="3"/>
  <c r="AM1009" i="3"/>
  <c r="AM1008" i="3"/>
  <c r="AM1007" i="3"/>
  <c r="AM1006" i="3"/>
  <c r="AM1005" i="3"/>
  <c r="AM1004" i="3"/>
  <c r="AM1003" i="3"/>
  <c r="AM1002" i="3"/>
  <c r="AM1001" i="3"/>
  <c r="AM1000" i="3"/>
  <c r="AM999" i="3"/>
  <c r="AM998" i="3"/>
  <c r="AM997" i="3"/>
  <c r="AM995" i="3"/>
  <c r="AK966" i="3"/>
  <c r="AM966" i="3"/>
  <c r="AK965" i="3"/>
  <c r="AM965" i="3"/>
  <c r="AK964" i="3"/>
  <c r="AM964" i="3"/>
  <c r="AK963" i="3"/>
  <c r="AM963" i="3"/>
  <c r="AK962" i="3"/>
  <c r="AM962" i="3"/>
  <c r="AK889" i="3"/>
  <c r="AM889" i="3"/>
  <c r="AK888" i="3"/>
  <c r="AM888" i="3"/>
  <c r="AK887" i="3"/>
  <c r="AM887" i="3"/>
  <c r="AK872" i="3"/>
  <c r="AM872" i="3"/>
  <c r="AK871" i="3"/>
  <c r="AM871" i="3"/>
  <c r="AK852" i="3"/>
  <c r="AM852" i="3"/>
  <c r="AK846" i="3"/>
  <c r="AM846" i="3"/>
  <c r="AK845" i="3"/>
  <c r="AM845" i="3"/>
  <c r="AK844" i="3"/>
  <c r="AM844" i="3"/>
  <c r="AK843" i="3"/>
  <c r="AM843" i="3"/>
  <c r="AK842" i="3"/>
  <c r="AM842" i="3"/>
  <c r="AK785" i="3"/>
  <c r="AM785" i="3"/>
  <c r="AK784" i="3"/>
  <c r="AM784" i="3"/>
  <c r="AK783" i="3"/>
  <c r="AM783" i="3"/>
  <c r="AK782" i="3"/>
  <c r="AM782" i="3"/>
  <c r="AK781" i="3"/>
  <c r="AM781" i="3"/>
  <c r="AK780" i="3"/>
  <c r="AM780" i="3"/>
  <c r="AK779" i="3"/>
  <c r="AM779" i="3"/>
  <c r="AK778" i="3"/>
  <c r="AM778" i="3"/>
  <c r="AK777" i="3"/>
  <c r="AM777" i="3"/>
  <c r="AK776" i="3"/>
  <c r="AM776" i="3"/>
  <c r="AK775" i="3"/>
  <c r="AM775" i="3"/>
  <c r="AK774" i="3"/>
  <c r="AM774" i="3"/>
  <c r="AK773" i="3"/>
  <c r="AM773" i="3"/>
  <c r="AK772" i="3"/>
  <c r="AM772" i="3"/>
  <c r="AK771" i="3"/>
  <c r="AM771" i="3"/>
  <c r="AK770" i="3"/>
  <c r="AM770" i="3"/>
  <c r="AK769" i="3"/>
  <c r="AM769" i="3"/>
  <c r="AK768" i="3"/>
  <c r="AM768" i="3"/>
  <c r="AK767" i="3"/>
  <c r="AM767" i="3"/>
  <c r="AK766" i="3"/>
  <c r="AM766" i="3"/>
  <c r="AK765" i="3"/>
  <c r="AM765" i="3"/>
  <c r="AK764" i="3"/>
  <c r="AM764" i="3"/>
  <c r="AK763" i="3"/>
  <c r="AM763" i="3"/>
  <c r="AK762" i="3"/>
  <c r="AM762" i="3"/>
  <c r="AK761" i="3"/>
  <c r="AM761" i="3"/>
  <c r="AK760" i="3"/>
  <c r="AM760" i="3"/>
  <c r="AK759" i="3"/>
  <c r="AM759" i="3"/>
  <c r="AK758" i="3"/>
  <c r="AM758" i="3"/>
  <c r="AK757" i="3"/>
  <c r="AM757" i="3"/>
  <c r="AK756" i="3"/>
  <c r="AM756" i="3"/>
  <c r="AK755" i="3"/>
  <c r="AM755" i="3"/>
  <c r="AK754" i="3"/>
  <c r="AM754" i="3"/>
  <c r="AK753" i="3"/>
  <c r="AM753" i="3"/>
  <c r="AK752" i="3"/>
  <c r="AM752" i="3"/>
  <c r="AK751" i="3"/>
  <c r="AM751" i="3"/>
  <c r="AK750" i="3"/>
  <c r="AM750" i="3"/>
  <c r="AK749" i="3"/>
  <c r="AM749" i="3"/>
  <c r="AK748" i="3"/>
  <c r="AM748" i="3"/>
  <c r="AK747" i="3"/>
  <c r="AM747" i="3"/>
  <c r="AK746" i="3"/>
  <c r="AM746" i="3"/>
  <c r="AK745" i="3"/>
  <c r="AM745" i="3"/>
  <c r="AK744" i="3"/>
  <c r="AM744" i="3"/>
  <c r="AK743" i="3"/>
  <c r="AM743" i="3"/>
  <c r="AK742" i="3"/>
  <c r="AM742" i="3"/>
  <c r="AK741" i="3"/>
  <c r="AM741" i="3"/>
  <c r="AK740" i="3"/>
  <c r="AM740" i="3"/>
  <c r="AK739" i="3"/>
  <c r="AM739" i="3"/>
  <c r="AK738" i="3"/>
  <c r="AM738" i="3"/>
  <c r="AK724" i="3"/>
  <c r="AM724" i="3"/>
  <c r="AK723" i="3"/>
  <c r="AM723" i="3"/>
  <c r="AK715" i="3"/>
  <c r="AM715" i="3"/>
  <c r="AK708" i="3"/>
  <c r="AM708" i="3"/>
  <c r="AK696" i="3"/>
  <c r="AM696" i="3"/>
  <c r="AK695" i="3"/>
  <c r="AM695" i="3"/>
  <c r="AK692" i="3"/>
  <c r="AM692" i="3"/>
  <c r="AK691" i="3"/>
  <c r="AM691" i="3"/>
  <c r="AK676" i="3"/>
  <c r="AM676" i="3"/>
  <c r="AK675" i="3"/>
  <c r="AM675" i="3"/>
  <c r="AL966" i="3"/>
  <c r="AL965" i="3"/>
  <c r="AL964" i="3"/>
  <c r="AL963" i="3"/>
  <c r="AL962" i="3"/>
  <c r="AK916" i="3"/>
  <c r="AM916" i="3"/>
  <c r="AK915" i="3"/>
  <c r="AM915" i="3"/>
  <c r="AK914" i="3"/>
  <c r="AM914" i="3"/>
  <c r="AK913" i="3"/>
  <c r="AM913" i="3"/>
  <c r="AK912" i="3"/>
  <c r="AM912" i="3"/>
  <c r="AK911" i="3"/>
  <c r="AM911" i="3"/>
  <c r="AK910" i="3"/>
  <c r="AM910" i="3"/>
  <c r="AK909" i="3"/>
  <c r="AM909" i="3"/>
  <c r="AK898" i="3"/>
  <c r="AM898" i="3"/>
  <c r="AK897" i="3"/>
  <c r="AM897" i="3"/>
  <c r="AK896" i="3"/>
  <c r="AM896" i="3"/>
  <c r="AK895" i="3"/>
  <c r="AM895" i="3"/>
  <c r="AK894" i="3"/>
  <c r="AM894" i="3"/>
  <c r="AK893" i="3"/>
  <c r="AM893" i="3"/>
  <c r="AK892" i="3"/>
  <c r="AM892" i="3"/>
  <c r="AK891" i="3"/>
  <c r="AM891" i="3"/>
  <c r="AL889" i="3"/>
  <c r="AL888" i="3"/>
  <c r="AL887" i="3"/>
  <c r="AL872" i="3"/>
  <c r="AL871" i="3"/>
  <c r="AL852" i="3"/>
  <c r="AK848" i="3"/>
  <c r="AM848" i="3"/>
  <c r="AL846" i="3"/>
  <c r="AL845" i="3"/>
  <c r="AL844" i="3"/>
  <c r="AL843" i="3"/>
  <c r="AL842" i="3"/>
  <c r="AK834" i="3"/>
  <c r="AM834" i="3"/>
  <c r="AK833" i="3"/>
  <c r="AM833" i="3"/>
  <c r="AK832" i="3"/>
  <c r="AM832" i="3"/>
  <c r="AK831" i="3"/>
  <c r="AM831" i="3"/>
  <c r="AK830" i="3"/>
  <c r="AM830" i="3"/>
  <c r="AK829" i="3"/>
  <c r="AM829" i="3"/>
  <c r="AK828" i="3"/>
  <c r="AM828" i="3"/>
  <c r="AK827" i="3"/>
  <c r="AM827" i="3"/>
  <c r="AK826" i="3"/>
  <c r="AM826" i="3"/>
  <c r="AK825" i="3"/>
  <c r="AM825" i="3"/>
  <c r="AK824" i="3"/>
  <c r="AM824" i="3"/>
  <c r="AK823" i="3"/>
  <c r="AM823" i="3"/>
  <c r="AK822" i="3"/>
  <c r="AM822" i="3"/>
  <c r="AK821" i="3"/>
  <c r="AM821" i="3"/>
  <c r="AK820" i="3"/>
  <c r="AM820" i="3"/>
  <c r="AK819" i="3"/>
  <c r="AM819" i="3"/>
  <c r="AK818" i="3"/>
  <c r="AM818" i="3"/>
  <c r="AK817" i="3"/>
  <c r="AM817" i="3"/>
  <c r="AK806" i="3"/>
  <c r="AM806" i="3"/>
  <c r="AK805" i="3"/>
  <c r="AM805" i="3"/>
  <c r="AK804" i="3"/>
  <c r="AM804" i="3"/>
  <c r="AK795" i="3"/>
  <c r="AM795" i="3"/>
  <c r="AK794" i="3"/>
  <c r="AM794" i="3"/>
  <c r="AK793" i="3"/>
  <c r="AM793" i="3"/>
  <c r="AL785" i="3"/>
  <c r="AL784" i="3"/>
  <c r="AL783" i="3"/>
  <c r="AL782" i="3"/>
  <c r="AL781" i="3"/>
  <c r="AL780" i="3"/>
  <c r="AL779" i="3"/>
  <c r="AL778" i="3"/>
  <c r="AL777" i="3"/>
  <c r="AL776" i="3"/>
  <c r="AL775" i="3"/>
  <c r="AL774" i="3"/>
  <c r="AL773" i="3"/>
  <c r="AL772" i="3"/>
  <c r="AL771" i="3"/>
  <c r="AL770" i="3"/>
  <c r="AL769" i="3"/>
  <c r="AL768" i="3"/>
  <c r="AL767" i="3"/>
  <c r="AL766" i="3"/>
  <c r="AL765" i="3"/>
  <c r="AL764" i="3"/>
  <c r="AL763" i="3"/>
  <c r="AL762" i="3"/>
  <c r="AL761" i="3"/>
  <c r="AL760" i="3"/>
  <c r="AL759" i="3"/>
  <c r="AL758" i="3"/>
  <c r="AL757" i="3"/>
  <c r="AL756" i="3"/>
  <c r="AL755" i="3"/>
  <c r="AL754" i="3"/>
  <c r="AL753" i="3"/>
  <c r="AL752" i="3"/>
  <c r="AL751" i="3"/>
  <c r="AL750" i="3"/>
  <c r="AL749" i="3"/>
  <c r="AL748" i="3"/>
  <c r="AL747" i="3"/>
  <c r="AL746" i="3"/>
  <c r="AL745" i="3"/>
  <c r="AL744" i="3"/>
  <c r="AL743" i="3"/>
  <c r="AL742" i="3"/>
  <c r="AL741" i="3"/>
  <c r="AK734" i="3"/>
  <c r="AM734" i="3"/>
  <c r="AK733" i="3"/>
  <c r="AM733" i="3"/>
  <c r="AK730" i="3"/>
  <c r="AM730" i="3"/>
  <c r="AK729" i="3"/>
  <c r="AM729" i="3"/>
  <c r="AK726" i="3"/>
  <c r="AM726" i="3"/>
  <c r="AL724" i="3"/>
  <c r="AL723" i="3"/>
  <c r="AK719" i="3"/>
  <c r="AM719" i="3"/>
  <c r="AL715" i="3"/>
  <c r="AK706" i="3"/>
  <c r="AM706" i="3"/>
  <c r="AK703" i="3"/>
  <c r="AM703" i="3"/>
  <c r="AK702" i="3"/>
  <c r="AM702" i="3"/>
  <c r="AK699" i="3"/>
  <c r="AM699" i="3"/>
  <c r="AK698" i="3"/>
  <c r="AM698" i="3"/>
  <c r="AL696" i="3"/>
  <c r="AL695" i="3"/>
  <c r="AL692" i="3"/>
  <c r="AL691" i="3"/>
  <c r="AK683" i="3"/>
  <c r="AM683" i="3"/>
  <c r="AK678" i="3"/>
  <c r="AM678" i="3"/>
  <c r="AL676" i="3"/>
  <c r="AL675" i="3"/>
  <c r="AM654" i="3"/>
  <c r="AM653" i="3"/>
  <c r="AM651" i="3"/>
  <c r="AM650" i="3"/>
  <c r="AM649" i="3"/>
  <c r="AM648" i="3"/>
  <c r="AM647" i="3"/>
  <c r="AM646" i="3"/>
  <c r="AM645" i="3"/>
  <c r="AM617" i="3"/>
  <c r="AM610" i="3"/>
  <c r="AM609" i="3"/>
  <c r="AM608" i="3"/>
  <c r="AM607" i="3"/>
  <c r="AM606" i="3"/>
  <c r="AM605" i="3"/>
  <c r="AM604" i="3"/>
  <c r="AM603" i="3"/>
  <c r="AM602" i="3"/>
  <c r="AM601" i="3"/>
  <c r="AM600" i="3"/>
  <c r="AM599" i="3"/>
  <c r="AM587" i="3"/>
  <c r="AM586" i="3"/>
  <c r="AM585" i="3"/>
  <c r="AM572" i="3"/>
  <c r="AM567" i="3"/>
  <c r="AM566" i="3"/>
  <c r="AM565" i="3"/>
  <c r="AM564" i="3"/>
  <c r="AM563" i="3"/>
  <c r="AM562" i="3"/>
  <c r="AM561" i="3"/>
  <c r="AM560" i="3"/>
  <c r="AM559" i="3"/>
  <c r="AM557" i="3"/>
  <c r="AM556" i="3"/>
  <c r="AM555" i="3"/>
  <c r="AM554" i="3"/>
  <c r="AM553" i="3"/>
  <c r="AM552" i="3"/>
  <c r="AM551" i="3"/>
  <c r="AM549" i="3"/>
  <c r="AM547" i="3"/>
  <c r="AM546" i="3"/>
  <c r="AM545" i="3"/>
  <c r="AM544" i="3"/>
  <c r="AM543" i="3"/>
  <c r="AM542" i="3"/>
  <c r="AM541" i="3"/>
  <c r="AM540" i="3"/>
  <c r="AM539" i="3"/>
  <c r="AM538" i="3"/>
  <c r="AM537" i="3"/>
  <c r="AM536" i="3"/>
  <c r="AM535" i="3"/>
  <c r="AM534" i="3"/>
  <c r="AM533" i="3"/>
  <c r="AM532" i="3"/>
  <c r="AM531" i="3"/>
  <c r="AM530" i="3"/>
  <c r="AM529" i="3"/>
  <c r="AK500" i="3"/>
  <c r="AM500" i="3"/>
  <c r="AK499" i="3"/>
  <c r="AM499" i="3"/>
  <c r="AK498" i="3"/>
  <c r="AM498" i="3"/>
  <c r="AK470" i="3"/>
  <c r="AM470" i="3"/>
  <c r="AK435" i="3"/>
  <c r="AM435" i="3"/>
  <c r="AK434" i="3"/>
  <c r="AM434" i="3"/>
  <c r="AK433" i="3"/>
  <c r="AM433" i="3"/>
  <c r="AK432" i="3"/>
  <c r="AM432" i="3"/>
  <c r="AK431" i="3"/>
  <c r="AM431" i="3"/>
  <c r="AK430" i="3"/>
  <c r="AM430" i="3"/>
  <c r="AK429" i="3"/>
  <c r="AM429" i="3"/>
  <c r="AK428" i="3"/>
  <c r="AM428" i="3"/>
  <c r="AK427" i="3"/>
  <c r="AM427" i="3"/>
  <c r="AK426" i="3"/>
  <c r="AM426" i="3"/>
  <c r="AK425" i="3"/>
  <c r="AM425" i="3"/>
  <c r="AK424" i="3"/>
  <c r="AM424" i="3"/>
  <c r="AK423" i="3"/>
  <c r="AM423" i="3"/>
  <c r="AK422" i="3"/>
  <c r="AM422" i="3"/>
  <c r="AK421" i="3"/>
  <c r="AM421" i="3"/>
  <c r="AK420" i="3"/>
  <c r="AM420" i="3"/>
  <c r="AK419" i="3"/>
  <c r="AM419" i="3"/>
  <c r="AK418" i="3"/>
  <c r="AM418" i="3"/>
  <c r="AK417" i="3"/>
  <c r="AM417" i="3"/>
  <c r="AK416" i="3"/>
  <c r="AM416" i="3"/>
  <c r="AK415" i="3"/>
  <c r="AM415" i="3"/>
  <c r="AK414" i="3"/>
  <c r="AM414" i="3"/>
  <c r="AK413" i="3"/>
  <c r="AM413" i="3"/>
  <c r="AK412" i="3"/>
  <c r="AM412" i="3"/>
  <c r="AK411" i="3"/>
  <c r="AM411" i="3"/>
  <c r="AK410" i="3"/>
  <c r="AM410" i="3"/>
  <c r="AK409" i="3"/>
  <c r="AM409" i="3"/>
  <c r="AK408" i="3"/>
  <c r="AM408" i="3"/>
  <c r="AK407" i="3"/>
  <c r="AM407" i="3"/>
  <c r="AK402" i="3"/>
  <c r="AM402" i="3"/>
  <c r="AK401" i="3"/>
  <c r="AM401" i="3"/>
  <c r="AK400" i="3"/>
  <c r="AM400" i="3"/>
  <c r="AK399" i="3"/>
  <c r="AM399" i="3"/>
  <c r="AK398" i="3"/>
  <c r="AM398" i="3"/>
  <c r="AK397" i="3"/>
  <c r="AM397" i="3"/>
  <c r="AK378" i="3"/>
  <c r="AM378" i="3"/>
  <c r="AK377" i="3"/>
  <c r="AM377" i="3"/>
  <c r="AK376" i="3"/>
  <c r="AM376" i="3"/>
  <c r="AK375" i="3"/>
  <c r="AM375" i="3"/>
  <c r="AK374" i="3"/>
  <c r="AM374" i="3"/>
  <c r="AK373" i="3"/>
  <c r="AM373" i="3"/>
  <c r="AL500" i="3"/>
  <c r="AL499" i="3"/>
  <c r="AL498" i="3"/>
  <c r="AK476" i="3"/>
  <c r="AM476" i="3"/>
  <c r="AL470" i="3"/>
  <c r="AK458" i="3"/>
  <c r="AM458" i="3"/>
  <c r="AK449" i="3"/>
  <c r="AM449" i="3"/>
  <c r="AK448" i="3"/>
  <c r="AM448" i="3"/>
  <c r="AK447" i="3"/>
  <c r="AM447" i="3"/>
  <c r="AK446" i="3"/>
  <c r="AM446" i="3"/>
  <c r="AK445" i="3"/>
  <c r="AM445" i="3"/>
  <c r="AK444" i="3"/>
  <c r="AM444" i="3"/>
  <c r="AK443" i="3"/>
  <c r="AM443" i="3"/>
  <c r="AK442" i="3"/>
  <c r="AM442" i="3"/>
  <c r="AK441" i="3"/>
  <c r="AM441" i="3"/>
  <c r="AK440" i="3"/>
  <c r="AM440" i="3"/>
  <c r="AK439" i="3"/>
  <c r="AM439" i="3"/>
  <c r="AL435" i="3"/>
  <c r="AL434" i="3"/>
  <c r="AL433" i="3"/>
  <c r="AL432" i="3"/>
  <c r="AL431" i="3"/>
  <c r="AL430" i="3"/>
  <c r="AL429" i="3"/>
  <c r="AL428" i="3"/>
  <c r="AL427" i="3"/>
  <c r="AL426" i="3"/>
  <c r="AL425" i="3"/>
  <c r="AL424" i="3"/>
  <c r="AL423" i="3"/>
  <c r="AL422" i="3"/>
  <c r="AL421" i="3"/>
  <c r="AL420" i="3"/>
  <c r="AL419" i="3"/>
  <c r="AL418" i="3"/>
  <c r="AL417" i="3"/>
  <c r="AL416" i="3"/>
  <c r="AL415" i="3"/>
  <c r="AL414" i="3"/>
  <c r="AL413" i="3"/>
  <c r="AK395" i="3"/>
  <c r="AM395" i="3"/>
  <c r="AK384" i="3"/>
  <c r="AM384" i="3"/>
  <c r="AK371" i="3"/>
  <c r="AM371" i="3"/>
  <c r="AK370" i="3"/>
  <c r="AM370" i="3"/>
  <c r="AK369" i="3"/>
  <c r="AM369" i="3"/>
  <c r="AK368" i="3"/>
  <c r="AM368" i="3"/>
  <c r="AK367" i="3"/>
  <c r="AM367" i="3"/>
  <c r="AK366" i="3"/>
  <c r="AM366" i="3"/>
  <c r="AM361" i="3"/>
  <c r="AM360" i="3"/>
  <c r="AM358" i="3"/>
  <c r="AM357" i="3"/>
  <c r="AM356" i="3"/>
  <c r="AM354" i="3"/>
  <c r="AM353" i="3"/>
  <c r="AM352" i="3"/>
  <c r="AM351" i="3"/>
  <c r="AM350" i="3"/>
  <c r="AM349" i="3"/>
  <c r="AM348" i="3"/>
  <c r="AM347" i="3"/>
  <c r="AM346" i="3"/>
  <c r="AM345" i="3"/>
  <c r="AM344" i="3"/>
  <c r="AM342" i="3"/>
  <c r="AM341" i="3"/>
  <c r="AM340" i="3"/>
  <c r="AM339" i="3"/>
  <c r="AM338" i="3"/>
  <c r="AM337" i="3"/>
  <c r="AM336" i="3"/>
  <c r="AM335" i="3"/>
  <c r="AM333" i="3"/>
  <c r="AM331" i="3"/>
  <c r="AM330" i="3"/>
  <c r="AM326" i="3"/>
  <c r="AM325" i="3"/>
  <c r="AM324" i="3"/>
  <c r="AM323" i="3"/>
  <c r="AM322" i="3"/>
  <c r="AM321" i="3"/>
  <c r="AM320" i="3"/>
  <c r="AM317" i="3"/>
  <c r="AM316" i="3"/>
  <c r="AM314" i="3"/>
  <c r="AM312" i="3"/>
  <c r="AM311" i="3"/>
  <c r="AM310" i="3"/>
  <c r="AM309" i="3"/>
  <c r="AM306" i="3"/>
  <c r="AM304" i="3"/>
  <c r="AM302" i="3"/>
  <c r="AM301" i="3"/>
  <c r="AM298" i="3"/>
  <c r="AM297" i="3"/>
  <c r="AM296" i="3"/>
  <c r="AM295" i="3"/>
  <c r="AM293" i="3"/>
  <c r="AM292" i="3"/>
  <c r="AM291" i="3"/>
  <c r="AK277" i="3"/>
  <c r="AM277" i="3"/>
  <c r="AK276" i="3"/>
  <c r="AM276" i="3"/>
  <c r="AK275" i="3"/>
  <c r="AM275" i="3"/>
  <c r="AK274" i="3"/>
  <c r="AM274" i="3"/>
  <c r="AK273" i="3"/>
  <c r="AM273" i="3"/>
  <c r="AK272" i="3"/>
  <c r="AM272" i="3"/>
  <c r="AK271" i="3"/>
  <c r="AM271" i="3"/>
  <c r="AK270" i="3"/>
  <c r="AM270" i="3"/>
  <c r="AK269" i="3"/>
  <c r="AM269" i="3"/>
  <c r="AK268" i="3"/>
  <c r="AM268" i="3"/>
  <c r="AK267" i="3"/>
  <c r="AM267" i="3"/>
  <c r="AK266" i="3"/>
  <c r="AM266" i="3"/>
  <c r="AK265" i="3"/>
  <c r="AM265" i="3"/>
  <c r="AK264" i="3"/>
  <c r="AM264" i="3"/>
  <c r="AK263" i="3"/>
  <c r="AM263" i="3"/>
  <c r="AK262" i="3"/>
  <c r="AM262" i="3"/>
  <c r="AK261" i="3"/>
  <c r="AM261" i="3"/>
  <c r="AK260" i="3"/>
  <c r="AM260" i="3"/>
  <c r="AK259" i="3"/>
  <c r="AM259" i="3"/>
  <c r="AK258" i="3"/>
  <c r="AM258" i="3"/>
  <c r="AK257" i="3"/>
  <c r="AM257" i="3"/>
  <c r="AK256" i="3"/>
  <c r="AM256" i="3"/>
  <c r="AK255" i="3"/>
  <c r="AM255" i="3"/>
  <c r="AK251" i="3"/>
  <c r="AM251" i="3"/>
  <c r="AK250" i="3"/>
  <c r="AM250" i="3"/>
  <c r="AL278" i="3"/>
  <c r="AL277" i="3"/>
  <c r="AL276" i="3"/>
  <c r="AL275" i="3"/>
  <c r="AL274" i="3"/>
  <c r="AL273" i="3"/>
  <c r="AL272" i="3"/>
  <c r="AL271" i="3"/>
  <c r="AL270" i="3"/>
  <c r="AL269" i="3"/>
  <c r="AL268" i="3"/>
  <c r="AL267" i="3"/>
  <c r="AL266" i="3"/>
  <c r="AL265" i="3"/>
  <c r="AL264" i="3"/>
  <c r="AL263" i="3"/>
  <c r="AL262" i="3"/>
  <c r="AK253" i="3"/>
  <c r="AM253" i="3"/>
  <c r="AK200" i="3"/>
  <c r="AM200" i="3"/>
  <c r="AM174" i="3"/>
  <c r="AM173" i="3"/>
  <c r="AM172" i="3"/>
  <c r="AM171" i="3"/>
  <c r="AM170" i="3"/>
  <c r="AM166" i="3"/>
  <c r="AM165" i="3"/>
  <c r="AM164" i="3"/>
  <c r="AK144" i="3"/>
  <c r="AM144" i="3"/>
  <c r="AK123" i="3"/>
  <c r="AM123" i="3"/>
  <c r="AK122" i="3"/>
  <c r="AM122" i="3"/>
  <c r="AK121" i="3"/>
  <c r="AM121" i="3"/>
  <c r="AK120" i="3"/>
  <c r="AM120" i="3"/>
  <c r="AK119" i="3"/>
  <c r="AM119" i="3"/>
  <c r="AK114" i="3"/>
  <c r="AM114" i="3"/>
  <c r="AK113" i="3"/>
  <c r="AM113" i="3"/>
  <c r="AK112" i="3"/>
  <c r="AM112" i="3"/>
  <c r="AK52" i="3"/>
  <c r="AM52" i="3"/>
  <c r="AM111" i="3"/>
  <c r="AM110" i="3"/>
  <c r="AM109" i="3"/>
  <c r="AK72" i="3"/>
  <c r="AM72" i="3"/>
  <c r="AK71" i="3"/>
  <c r="AM71" i="3"/>
  <c r="AK70" i="3"/>
  <c r="AM70" i="3"/>
  <c r="AK69" i="3"/>
  <c r="AM69" i="3"/>
  <c r="AK68" i="3"/>
  <c r="AM68" i="3"/>
  <c r="AK67" i="3"/>
  <c r="AM67" i="3"/>
  <c r="AK66" i="3"/>
  <c r="AM66" i="3"/>
  <c r="AK65" i="3"/>
  <c r="AM65" i="3"/>
  <c r="AK64" i="3"/>
  <c r="AM64" i="3"/>
  <c r="AK63" i="3"/>
  <c r="AM63" i="3"/>
  <c r="AK62" i="3"/>
  <c r="AM62" i="3"/>
  <c r="AK61" i="3"/>
  <c r="AM61" i="3"/>
  <c r="AK60" i="3"/>
  <c r="AM60" i="3"/>
  <c r="AK59" i="3"/>
  <c r="AM59" i="3"/>
  <c r="AK58" i="3"/>
  <c r="AM58" i="3"/>
  <c r="AK57" i="3"/>
  <c r="AM57" i="3"/>
  <c r="AK56" i="3"/>
  <c r="AM56" i="3"/>
  <c r="AL52" i="3"/>
  <c r="AM15" i="3"/>
  <c r="AM11" i="3"/>
  <c r="AM10" i="3"/>
  <c r="AM9" i="3"/>
  <c r="AM8" i="3"/>
  <c r="AM6" i="3"/>
  <c r="AM5" i="3"/>
  <c r="AM4" i="3"/>
  <c r="AM3" i="3"/>
  <c r="D96" i="5"/>
  <c r="D95" i="5"/>
  <c r="J6" i="6"/>
  <c r="K6" i="6" s="1"/>
  <c r="L6" i="6" s="1"/>
  <c r="AF16" i="3"/>
  <c r="AG16" i="3"/>
  <c r="AF17" i="3"/>
  <c r="AG17" i="3"/>
  <c r="AF18" i="3"/>
  <c r="AG18" i="3"/>
  <c r="AF19" i="3"/>
  <c r="AG19" i="3"/>
  <c r="AF20" i="3"/>
  <c r="AG20" i="3"/>
  <c r="AF21" i="3"/>
  <c r="AG21" i="3"/>
  <c r="AF22" i="3"/>
  <c r="AG22" i="3"/>
  <c r="AF23" i="3"/>
  <c r="AG23" i="3"/>
  <c r="AF24" i="3"/>
  <c r="AG24" i="3"/>
  <c r="AF25" i="3"/>
  <c r="AG25" i="3"/>
  <c r="AF26" i="3"/>
  <c r="AG26" i="3"/>
  <c r="AF27" i="3"/>
  <c r="AG27" i="3"/>
  <c r="AF28" i="3"/>
  <c r="AG28" i="3"/>
  <c r="AF29" i="3"/>
  <c r="AG29" i="3"/>
  <c r="AF30" i="3"/>
  <c r="AG30" i="3"/>
  <c r="AF31" i="3"/>
  <c r="AG31" i="3"/>
  <c r="AF32" i="3"/>
  <c r="AG32" i="3"/>
  <c r="AF33" i="3"/>
  <c r="AG33" i="3"/>
  <c r="AF34" i="3"/>
  <c r="AG34" i="3"/>
  <c r="AF35" i="3"/>
  <c r="AG35" i="3"/>
  <c r="AF36" i="3"/>
  <c r="AG36" i="3"/>
  <c r="AF37" i="3"/>
  <c r="AG37" i="3"/>
  <c r="AF38" i="3"/>
  <c r="AG38" i="3"/>
  <c r="AF39" i="3"/>
  <c r="AG39" i="3"/>
  <c r="AF40" i="3"/>
  <c r="AG40" i="3"/>
  <c r="AF41" i="3"/>
  <c r="AG41" i="3"/>
  <c r="AF42" i="3"/>
  <c r="AG42" i="3"/>
  <c r="AF43" i="3"/>
  <c r="AG43" i="3"/>
  <c r="AF44" i="3"/>
  <c r="AG44" i="3"/>
  <c r="AF45" i="3"/>
  <c r="AG45" i="3"/>
  <c r="AF46" i="3"/>
  <c r="AG46" i="3"/>
  <c r="AF47" i="3"/>
  <c r="AG47" i="3"/>
  <c r="AF48" i="3"/>
  <c r="AG48" i="3"/>
  <c r="AF49" i="3"/>
  <c r="AG49" i="3"/>
  <c r="AF50" i="3"/>
  <c r="AG50" i="3"/>
  <c r="AF51" i="3"/>
  <c r="AG51" i="3"/>
  <c r="AF53" i="3"/>
  <c r="AG53" i="3"/>
  <c r="AF54" i="3"/>
  <c r="AG54" i="3"/>
  <c r="AF55" i="3"/>
  <c r="AG55" i="3"/>
  <c r="AF73" i="3"/>
  <c r="AG73" i="3"/>
  <c r="AF77" i="3"/>
  <c r="AG77" i="3"/>
  <c r="AF78" i="3"/>
  <c r="AG78" i="3"/>
  <c r="AF79" i="3"/>
  <c r="AG79" i="3"/>
  <c r="AF80" i="3"/>
  <c r="AG80" i="3"/>
  <c r="AF81" i="3"/>
  <c r="AG81" i="3"/>
  <c r="AF82" i="3"/>
  <c r="AG82" i="3"/>
  <c r="AF83" i="3"/>
  <c r="AG83" i="3"/>
  <c r="AF84" i="3"/>
  <c r="AG84" i="3"/>
  <c r="AF85" i="3"/>
  <c r="AG85" i="3"/>
  <c r="AF86" i="3"/>
  <c r="AG86" i="3"/>
  <c r="AF87" i="3"/>
  <c r="AG87" i="3"/>
  <c r="AF88" i="3"/>
  <c r="AG88" i="3"/>
  <c r="AF89" i="3"/>
  <c r="AG89" i="3"/>
  <c r="AF90" i="3"/>
  <c r="AG90" i="3"/>
  <c r="AF91" i="3"/>
  <c r="AG91" i="3"/>
  <c r="AF92" i="3"/>
  <c r="AG92" i="3"/>
  <c r="AF93" i="3"/>
  <c r="AG93" i="3"/>
  <c r="AF94" i="3"/>
  <c r="AG94" i="3"/>
  <c r="AF95" i="3"/>
  <c r="AG95" i="3"/>
  <c r="AF96" i="3"/>
  <c r="AG96" i="3"/>
  <c r="AF97" i="3"/>
  <c r="AG97" i="3"/>
  <c r="AF98" i="3"/>
  <c r="AG98" i="3"/>
  <c r="AF99" i="3"/>
  <c r="AG99" i="3"/>
  <c r="AF100" i="3"/>
  <c r="AG100" i="3"/>
  <c r="AF101" i="3"/>
  <c r="AG101" i="3"/>
  <c r="AF102" i="3"/>
  <c r="AG102" i="3"/>
  <c r="AF103" i="3"/>
  <c r="AG103" i="3"/>
  <c r="AF104" i="3"/>
  <c r="AG104" i="3"/>
  <c r="AF105" i="3"/>
  <c r="AG105" i="3"/>
  <c r="AF106" i="3"/>
  <c r="AG106" i="3"/>
  <c r="AF107" i="3"/>
  <c r="AG107" i="3"/>
  <c r="AF108" i="3"/>
  <c r="AG108" i="3"/>
  <c r="AF115" i="3"/>
  <c r="AG115" i="3"/>
  <c r="AF116" i="3"/>
  <c r="AG116" i="3"/>
  <c r="AF117" i="3"/>
  <c r="AG117" i="3"/>
  <c r="AF118" i="3"/>
  <c r="AG118" i="3"/>
  <c r="AF124" i="3"/>
  <c r="AG124" i="3"/>
  <c r="AF125" i="3"/>
  <c r="AG125" i="3"/>
  <c r="AF126" i="3"/>
  <c r="AG126" i="3"/>
  <c r="AF127" i="3"/>
  <c r="AG127" i="3"/>
  <c r="AF128" i="3"/>
  <c r="AG128" i="3"/>
  <c r="AF129" i="3"/>
  <c r="AG129" i="3"/>
  <c r="AF130" i="3"/>
  <c r="AG130" i="3"/>
  <c r="AF131" i="3"/>
  <c r="AG131" i="3"/>
  <c r="AF132" i="3"/>
  <c r="AG132" i="3"/>
  <c r="AF133" i="3"/>
  <c r="AG133" i="3"/>
  <c r="AF134" i="3"/>
  <c r="AG134" i="3"/>
  <c r="AF135" i="3"/>
  <c r="AG135" i="3"/>
  <c r="AF136" i="3"/>
  <c r="AG136" i="3"/>
  <c r="AF137" i="3"/>
  <c r="AG137" i="3"/>
  <c r="AF138" i="3"/>
  <c r="AG138" i="3"/>
  <c r="AF139" i="3"/>
  <c r="AG139" i="3"/>
  <c r="AF140" i="3"/>
  <c r="AG140" i="3"/>
  <c r="AF141" i="3"/>
  <c r="AG141" i="3"/>
  <c r="AF142" i="3"/>
  <c r="AG142" i="3"/>
  <c r="AF143" i="3"/>
  <c r="AG143" i="3"/>
  <c r="AF145" i="3"/>
  <c r="AG145" i="3"/>
  <c r="AF146" i="3"/>
  <c r="AG146" i="3"/>
  <c r="AF147" i="3"/>
  <c r="AG147" i="3"/>
  <c r="AF148" i="3"/>
  <c r="AG148" i="3"/>
  <c r="AF149" i="3"/>
  <c r="AG149" i="3"/>
  <c r="AF150" i="3"/>
  <c r="AG150" i="3"/>
  <c r="AF151" i="3"/>
  <c r="AG151" i="3"/>
  <c r="AF152" i="3"/>
  <c r="AG152" i="3"/>
  <c r="AF153" i="3"/>
  <c r="AG153" i="3"/>
  <c r="AF154" i="3"/>
  <c r="AG154" i="3"/>
  <c r="AF155" i="3"/>
  <c r="AG155" i="3"/>
  <c r="AF156" i="3"/>
  <c r="AG156" i="3"/>
  <c r="AF157" i="3"/>
  <c r="AG157" i="3"/>
  <c r="AF158" i="3"/>
  <c r="AG158" i="3"/>
  <c r="AF159" i="3"/>
  <c r="AG159" i="3"/>
  <c r="AF160" i="3"/>
  <c r="AG160" i="3"/>
  <c r="AF161" i="3"/>
  <c r="AG161" i="3"/>
  <c r="AF162" i="3"/>
  <c r="AG162" i="3"/>
  <c r="AF163" i="3"/>
  <c r="AG163" i="3"/>
  <c r="AF167" i="3"/>
  <c r="AG167" i="3"/>
  <c r="AF168" i="3"/>
  <c r="AG168" i="3"/>
  <c r="AF169" i="3"/>
  <c r="AG169" i="3"/>
  <c r="AF175" i="3"/>
  <c r="AG175" i="3"/>
  <c r="AF176" i="3"/>
  <c r="AG176" i="3"/>
  <c r="AF177" i="3"/>
  <c r="AG177" i="3"/>
  <c r="AF178" i="3"/>
  <c r="AG178" i="3"/>
  <c r="AF179" i="3"/>
  <c r="AG179" i="3"/>
  <c r="AF180" i="3"/>
  <c r="AG180" i="3"/>
  <c r="AF181" i="3"/>
  <c r="AG181" i="3"/>
  <c r="AF182" i="3"/>
  <c r="AG182" i="3"/>
  <c r="AF183" i="3"/>
  <c r="AG183" i="3"/>
  <c r="AF184" i="3"/>
  <c r="AG184" i="3"/>
  <c r="AF185" i="3"/>
  <c r="AG185" i="3"/>
  <c r="AF186" i="3"/>
  <c r="AG186" i="3"/>
  <c r="AF187" i="3"/>
  <c r="AG187" i="3"/>
  <c r="AF188" i="3"/>
  <c r="AG188" i="3"/>
  <c r="AF189" i="3"/>
  <c r="AG189" i="3"/>
  <c r="AF190" i="3"/>
  <c r="AG190" i="3"/>
  <c r="AF191" i="3"/>
  <c r="AG191" i="3"/>
  <c r="AF192" i="3"/>
  <c r="AG192" i="3"/>
  <c r="AF193" i="3"/>
  <c r="AG193" i="3"/>
  <c r="AF194" i="3"/>
  <c r="AG194" i="3"/>
  <c r="AF195" i="3"/>
  <c r="AG195" i="3"/>
  <c r="AF196" i="3"/>
  <c r="AG196" i="3"/>
  <c r="AF197" i="3"/>
  <c r="AG197" i="3"/>
  <c r="AF198" i="3"/>
  <c r="AG198" i="3"/>
  <c r="AF199" i="3"/>
  <c r="AG199" i="3"/>
  <c r="AF201" i="3"/>
  <c r="AG201" i="3"/>
  <c r="AF202" i="3"/>
  <c r="AG202" i="3"/>
  <c r="AF203" i="3"/>
  <c r="AG203" i="3"/>
  <c r="AF204" i="3"/>
  <c r="AG204" i="3"/>
  <c r="AF205" i="3"/>
  <c r="AG205" i="3"/>
  <c r="AF206" i="3"/>
  <c r="AG206" i="3"/>
  <c r="AF207" i="3"/>
  <c r="AG207" i="3"/>
  <c r="AF208" i="3"/>
  <c r="AG208" i="3"/>
  <c r="AF209" i="3"/>
  <c r="AG209" i="3"/>
  <c r="AF210" i="3"/>
  <c r="AG210" i="3"/>
  <c r="AF211" i="3"/>
  <c r="AG211" i="3"/>
  <c r="AF212" i="3"/>
  <c r="AG212" i="3"/>
  <c r="AF213" i="3"/>
  <c r="AG213" i="3"/>
  <c r="AF214" i="3"/>
  <c r="AG214" i="3"/>
  <c r="AF215" i="3"/>
  <c r="AG215" i="3"/>
  <c r="AF216" i="3"/>
  <c r="AG216" i="3"/>
  <c r="AF217" i="3"/>
  <c r="AG217" i="3"/>
  <c r="AF218" i="3"/>
  <c r="AG218" i="3"/>
  <c r="AF219" i="3"/>
  <c r="AG219" i="3"/>
  <c r="AF220" i="3"/>
  <c r="AG220" i="3"/>
  <c r="AF221" i="3"/>
  <c r="AG221" i="3"/>
  <c r="AF222" i="3"/>
  <c r="AG222" i="3"/>
  <c r="AF223" i="3"/>
  <c r="AG223" i="3"/>
  <c r="AF224" i="3"/>
  <c r="AG224" i="3"/>
  <c r="AF225" i="3"/>
  <c r="AG225" i="3"/>
  <c r="AF226" i="3"/>
  <c r="AG226" i="3"/>
  <c r="AF227" i="3"/>
  <c r="AG227" i="3"/>
  <c r="AF228" i="3"/>
  <c r="AG228" i="3"/>
  <c r="AF229" i="3"/>
  <c r="AG229" i="3"/>
  <c r="AF230" i="3"/>
  <c r="AG230" i="3"/>
  <c r="AF231" i="3"/>
  <c r="AG231" i="3"/>
  <c r="AF232" i="3"/>
  <c r="AG232" i="3"/>
  <c r="AF233" i="3"/>
  <c r="AG233" i="3"/>
  <c r="AF234" i="3"/>
  <c r="AG234" i="3"/>
  <c r="AF235" i="3"/>
  <c r="AG235" i="3"/>
  <c r="AF236" i="3"/>
  <c r="AG236" i="3"/>
  <c r="AF237" i="3"/>
  <c r="AG237" i="3"/>
  <c r="AF238" i="3"/>
  <c r="AG238" i="3"/>
  <c r="AF239" i="3"/>
  <c r="AG239" i="3"/>
  <c r="AF240" i="3"/>
  <c r="AG240" i="3"/>
  <c r="AF241" i="3"/>
  <c r="AG241" i="3"/>
  <c r="AF242" i="3"/>
  <c r="AG242" i="3"/>
  <c r="AF243" i="3"/>
  <c r="AG243" i="3"/>
  <c r="AF244" i="3"/>
  <c r="AG244" i="3"/>
  <c r="AF245" i="3"/>
  <c r="AG245" i="3"/>
  <c r="AF246" i="3"/>
  <c r="AG246" i="3"/>
  <c r="AF247" i="3"/>
  <c r="AG247" i="3"/>
  <c r="AF248" i="3"/>
  <c r="AG248" i="3"/>
  <c r="AF249" i="3"/>
  <c r="AG249" i="3"/>
  <c r="AF252" i="3"/>
  <c r="AG252" i="3"/>
  <c r="AF254" i="3"/>
  <c r="AG254" i="3"/>
  <c r="AF281" i="3"/>
  <c r="AG281" i="3"/>
  <c r="AF282" i="3"/>
  <c r="AG282" i="3"/>
  <c r="AF294" i="3"/>
  <c r="AG294" i="3"/>
  <c r="AF299" i="3"/>
  <c r="AG299" i="3"/>
  <c r="AF300" i="3"/>
  <c r="AG300" i="3"/>
  <c r="AF303" i="3"/>
  <c r="AG303" i="3"/>
  <c r="AF305" i="3"/>
  <c r="AG305" i="3"/>
  <c r="AF307" i="3"/>
  <c r="AG307" i="3"/>
  <c r="AF308" i="3"/>
  <c r="AG308" i="3"/>
  <c r="AF313" i="3"/>
  <c r="AG313" i="3"/>
  <c r="AF315" i="3"/>
  <c r="AG315" i="3"/>
  <c r="AF318" i="3"/>
  <c r="AG318" i="3"/>
  <c r="AF319" i="3"/>
  <c r="AG319" i="3"/>
  <c r="AF327" i="3"/>
  <c r="AG327" i="3"/>
  <c r="AF328" i="3"/>
  <c r="AG328" i="3"/>
  <c r="AF329" i="3"/>
  <c r="AG329" i="3"/>
  <c r="AF332" i="3"/>
  <c r="AG332" i="3"/>
  <c r="AF334" i="3"/>
  <c r="AG334" i="3"/>
  <c r="AF343" i="3"/>
  <c r="AG343" i="3"/>
  <c r="AF355" i="3"/>
  <c r="AG355" i="3"/>
  <c r="AF359" i="3"/>
  <c r="AG359" i="3"/>
  <c r="AF362" i="3"/>
  <c r="AG362" i="3"/>
  <c r="AF363" i="3"/>
  <c r="AG363" i="3"/>
  <c r="AF364" i="3"/>
  <c r="AG364" i="3"/>
  <c r="AF365" i="3"/>
  <c r="AG365" i="3"/>
  <c r="AF372" i="3"/>
  <c r="AG372" i="3"/>
  <c r="AF379" i="3"/>
  <c r="AG379" i="3"/>
  <c r="AF380" i="3"/>
  <c r="AG380" i="3"/>
  <c r="AF381" i="3"/>
  <c r="AG381" i="3"/>
  <c r="AF382" i="3"/>
  <c r="AG382" i="3"/>
  <c r="AF383" i="3"/>
  <c r="AG383" i="3"/>
  <c r="AF385" i="3"/>
  <c r="AG385" i="3"/>
  <c r="AF386" i="3"/>
  <c r="AG386" i="3"/>
  <c r="AF387" i="3"/>
  <c r="AG387" i="3"/>
  <c r="AF388" i="3"/>
  <c r="AG388" i="3"/>
  <c r="AF389" i="3"/>
  <c r="AG389" i="3"/>
  <c r="AF390" i="3"/>
  <c r="AG390" i="3"/>
  <c r="AF391" i="3"/>
  <c r="AG391" i="3"/>
  <c r="AF392" i="3"/>
  <c r="AG392" i="3"/>
  <c r="AF393" i="3"/>
  <c r="AG393" i="3"/>
  <c r="AF394" i="3"/>
  <c r="AG394" i="3"/>
  <c r="AF396" i="3"/>
  <c r="AG396" i="3"/>
  <c r="AF403" i="3"/>
  <c r="AG403" i="3"/>
  <c r="AF404" i="3"/>
  <c r="AG404" i="3"/>
  <c r="AF405" i="3"/>
  <c r="AG405" i="3"/>
  <c r="AF406" i="3"/>
  <c r="AG406" i="3"/>
  <c r="AF436" i="3"/>
  <c r="AG436" i="3"/>
  <c r="AF437" i="3"/>
  <c r="AG437" i="3"/>
  <c r="AF438" i="3"/>
  <c r="AG438" i="3"/>
  <c r="AF450" i="3"/>
  <c r="AG450" i="3"/>
  <c r="AF451" i="3"/>
  <c r="AG451" i="3"/>
  <c r="AF452" i="3"/>
  <c r="AG452" i="3"/>
  <c r="AF453" i="3"/>
  <c r="AG453" i="3"/>
  <c r="AF454" i="3"/>
  <c r="AG454" i="3"/>
  <c r="AF455" i="3"/>
  <c r="AG455" i="3"/>
  <c r="AF456" i="3"/>
  <c r="AG456" i="3"/>
  <c r="AF457" i="3"/>
  <c r="AG457" i="3"/>
  <c r="AF459" i="3"/>
  <c r="AG459" i="3"/>
  <c r="AF460" i="3"/>
  <c r="AG460" i="3"/>
  <c r="AF461" i="3"/>
  <c r="AG461" i="3"/>
  <c r="AF462" i="3"/>
  <c r="AG462" i="3"/>
  <c r="AF463" i="3"/>
  <c r="AG463" i="3"/>
  <c r="AF464" i="3"/>
  <c r="AG464" i="3"/>
  <c r="AF465" i="3"/>
  <c r="AG465" i="3"/>
  <c r="AF466" i="3"/>
  <c r="AG466" i="3"/>
  <c r="AF467" i="3"/>
  <c r="AG467" i="3"/>
  <c r="AF468" i="3"/>
  <c r="AG468" i="3"/>
  <c r="AF469" i="3"/>
  <c r="AG469" i="3"/>
  <c r="AF471" i="3"/>
  <c r="AG471" i="3"/>
  <c r="AF472" i="3"/>
  <c r="AG472" i="3"/>
  <c r="AF473" i="3"/>
  <c r="AG473" i="3"/>
  <c r="AF474" i="3"/>
  <c r="AG474" i="3"/>
  <c r="AF475" i="3"/>
  <c r="AG475" i="3"/>
  <c r="AF477" i="3"/>
  <c r="AG477" i="3"/>
  <c r="AF478" i="3"/>
  <c r="AG478" i="3"/>
  <c r="AF479" i="3"/>
  <c r="AG479" i="3"/>
  <c r="AF480" i="3"/>
  <c r="AG480" i="3"/>
  <c r="AF481" i="3"/>
  <c r="AG481" i="3"/>
  <c r="AF482" i="3"/>
  <c r="AG482" i="3"/>
  <c r="AF483" i="3"/>
  <c r="AG483" i="3"/>
  <c r="AF484" i="3"/>
  <c r="AG484" i="3"/>
  <c r="AF485" i="3"/>
  <c r="AG485" i="3"/>
  <c r="AF486" i="3"/>
  <c r="AG486" i="3"/>
  <c r="AF487" i="3"/>
  <c r="AG487" i="3"/>
  <c r="AF488" i="3"/>
  <c r="AG488" i="3"/>
  <c r="AF489" i="3"/>
  <c r="AG489" i="3"/>
  <c r="AF490" i="3"/>
  <c r="AG490" i="3"/>
  <c r="AF491" i="3"/>
  <c r="AG491" i="3"/>
  <c r="AF492" i="3"/>
  <c r="AG492" i="3"/>
  <c r="AF493" i="3"/>
  <c r="AG493" i="3"/>
  <c r="AF494" i="3"/>
  <c r="AG494" i="3"/>
  <c r="AF495" i="3"/>
  <c r="AG495" i="3"/>
  <c r="AF496" i="3"/>
  <c r="AG496" i="3"/>
  <c r="AF497" i="3"/>
  <c r="AG497" i="3"/>
  <c r="AF501" i="3"/>
  <c r="AG501" i="3"/>
  <c r="AF502" i="3"/>
  <c r="AG502" i="3"/>
  <c r="AF503" i="3"/>
  <c r="AG503" i="3"/>
  <c r="AF504" i="3"/>
  <c r="AG504" i="3"/>
  <c r="AF507" i="3"/>
  <c r="AG507" i="3"/>
  <c r="AF508" i="3"/>
  <c r="AG508" i="3"/>
  <c r="AF509" i="3"/>
  <c r="AG509" i="3"/>
  <c r="AF510" i="3"/>
  <c r="AG510" i="3"/>
  <c r="AF511" i="3"/>
  <c r="AG511" i="3"/>
  <c r="AF512" i="3"/>
  <c r="AG512" i="3"/>
  <c r="AF513" i="3"/>
  <c r="AG513" i="3"/>
  <c r="AF514" i="3"/>
  <c r="AG514" i="3"/>
  <c r="AF515" i="3"/>
  <c r="AG515" i="3"/>
  <c r="AF516" i="3"/>
  <c r="AG516" i="3"/>
  <c r="AF517" i="3"/>
  <c r="AG517" i="3"/>
  <c r="AF518" i="3"/>
  <c r="AG518" i="3"/>
  <c r="AF519" i="3"/>
  <c r="AG519" i="3"/>
  <c r="AF520" i="3"/>
  <c r="AG520" i="3"/>
  <c r="AF521" i="3"/>
  <c r="AG521" i="3"/>
  <c r="AF522" i="3"/>
  <c r="AG522" i="3"/>
  <c r="AF523" i="3"/>
  <c r="AG523" i="3"/>
  <c r="AF524" i="3"/>
  <c r="AG524" i="3"/>
  <c r="AF525" i="3"/>
  <c r="AG525" i="3"/>
  <c r="AF526" i="3"/>
  <c r="AG526" i="3"/>
  <c r="AF527" i="3"/>
  <c r="AG527" i="3"/>
  <c r="AF528" i="3"/>
  <c r="AG528" i="3"/>
  <c r="AF548" i="3"/>
  <c r="AG548" i="3"/>
  <c r="AF550" i="3"/>
  <c r="AG550" i="3"/>
  <c r="AF558" i="3"/>
  <c r="AG558" i="3"/>
  <c r="AF568" i="3"/>
  <c r="AG568" i="3"/>
  <c r="AF569" i="3"/>
  <c r="AG569" i="3"/>
  <c r="AF570" i="3"/>
  <c r="AG570" i="3"/>
  <c r="AF571" i="3"/>
  <c r="AG571" i="3"/>
  <c r="AF573" i="3"/>
  <c r="AG573" i="3"/>
  <c r="AF574" i="3"/>
  <c r="AG574" i="3"/>
  <c r="AF575" i="3"/>
  <c r="AG575" i="3"/>
  <c r="AF576" i="3"/>
  <c r="AG576" i="3"/>
  <c r="AF577" i="3"/>
  <c r="AG577" i="3"/>
  <c r="AF578" i="3"/>
  <c r="AG578" i="3"/>
  <c r="AF579" i="3"/>
  <c r="AG579" i="3"/>
  <c r="AF580" i="3"/>
  <c r="AG580" i="3"/>
  <c r="AF581" i="3"/>
  <c r="AG581" i="3"/>
  <c r="AF582" i="3"/>
  <c r="AG582" i="3"/>
  <c r="AF583" i="3"/>
  <c r="AG583" i="3"/>
  <c r="AF584" i="3"/>
  <c r="AG584" i="3"/>
  <c r="AF588" i="3"/>
  <c r="AG588" i="3"/>
  <c r="AF589" i="3"/>
  <c r="AG589" i="3"/>
  <c r="AF590" i="3"/>
  <c r="AG590" i="3"/>
  <c r="AF591" i="3"/>
  <c r="AG591" i="3"/>
  <c r="AF592" i="3"/>
  <c r="AG592" i="3"/>
  <c r="AF593" i="3"/>
  <c r="AG593" i="3"/>
  <c r="AF594" i="3"/>
  <c r="AG594" i="3"/>
  <c r="AF595" i="3"/>
  <c r="AG595" i="3"/>
  <c r="AF596" i="3"/>
  <c r="AG596" i="3"/>
  <c r="AF597" i="3"/>
  <c r="AG597" i="3"/>
  <c r="AF598" i="3"/>
  <c r="AG598" i="3"/>
  <c r="AF611" i="3"/>
  <c r="AG611" i="3"/>
  <c r="AF612" i="3"/>
  <c r="AG612" i="3"/>
  <c r="AF613" i="3"/>
  <c r="AG613" i="3"/>
  <c r="AF614" i="3"/>
  <c r="AG614" i="3"/>
  <c r="AF615" i="3"/>
  <c r="AG615" i="3"/>
  <c r="AF616" i="3"/>
  <c r="AG616" i="3"/>
  <c r="AF618" i="3"/>
  <c r="AG618" i="3"/>
  <c r="AF619" i="3"/>
  <c r="AG619" i="3"/>
  <c r="AF620" i="3"/>
  <c r="AG620" i="3"/>
  <c r="AF621" i="3"/>
  <c r="AG621" i="3"/>
  <c r="AF622" i="3"/>
  <c r="AG622" i="3"/>
  <c r="AF623" i="3"/>
  <c r="AG623" i="3"/>
  <c r="AF624" i="3"/>
  <c r="AG624" i="3"/>
  <c r="AF625" i="3"/>
  <c r="AG625" i="3"/>
  <c r="AF626" i="3"/>
  <c r="AG626" i="3"/>
  <c r="AF627" i="3"/>
  <c r="AG627" i="3"/>
  <c r="AF628" i="3"/>
  <c r="AG628" i="3"/>
  <c r="AF629" i="3"/>
  <c r="AG629" i="3"/>
  <c r="AF630" i="3"/>
  <c r="AG630" i="3"/>
  <c r="AF631" i="3"/>
  <c r="AG631" i="3"/>
  <c r="AF632" i="3"/>
  <c r="AG632" i="3"/>
  <c r="AF633" i="3"/>
  <c r="AG633" i="3"/>
  <c r="AF634" i="3"/>
  <c r="AG634" i="3"/>
  <c r="AF635" i="3"/>
  <c r="AG635" i="3"/>
  <c r="AF636" i="3"/>
  <c r="AG636" i="3"/>
  <c r="AF637" i="3"/>
  <c r="AG637" i="3"/>
  <c r="AF638" i="3"/>
  <c r="AG638" i="3"/>
  <c r="AF639" i="3"/>
  <c r="AG639" i="3"/>
  <c r="AF640" i="3"/>
  <c r="AG640" i="3"/>
  <c r="AF641" i="3"/>
  <c r="AG641" i="3"/>
  <c r="AF642" i="3"/>
  <c r="AG642" i="3"/>
  <c r="AF643" i="3"/>
  <c r="AG643" i="3"/>
  <c r="AF644" i="3"/>
  <c r="AG644" i="3"/>
  <c r="AF652" i="3"/>
  <c r="AG652" i="3"/>
  <c r="AF655" i="3"/>
  <c r="AG655" i="3"/>
  <c r="AF656" i="3"/>
  <c r="AG656" i="3"/>
  <c r="AF657" i="3"/>
  <c r="AG657" i="3"/>
  <c r="AF658" i="3"/>
  <c r="AG658" i="3"/>
  <c r="AF659" i="3"/>
  <c r="AG659" i="3"/>
  <c r="AF660" i="3"/>
  <c r="AG660" i="3"/>
  <c r="AF661" i="3"/>
  <c r="AG661" i="3"/>
  <c r="AF662" i="3"/>
  <c r="AG662" i="3"/>
  <c r="AF663" i="3"/>
  <c r="AG663" i="3"/>
  <c r="AF664" i="3"/>
  <c r="AG664" i="3"/>
  <c r="AF665" i="3"/>
  <c r="AG665" i="3"/>
  <c r="AF666" i="3"/>
  <c r="AG666" i="3"/>
  <c r="AF667" i="3"/>
  <c r="AG667" i="3"/>
  <c r="AF668" i="3"/>
  <c r="AG668" i="3"/>
  <c r="AF669" i="3"/>
  <c r="AG669" i="3"/>
  <c r="AF670" i="3"/>
  <c r="AG670" i="3"/>
  <c r="AF671" i="3"/>
  <c r="AG671" i="3"/>
  <c r="AF672" i="3"/>
  <c r="AG672" i="3"/>
  <c r="AF673" i="3"/>
  <c r="AG673" i="3"/>
  <c r="AF674" i="3"/>
  <c r="AG674" i="3"/>
  <c r="AF677" i="3"/>
  <c r="AG677" i="3"/>
  <c r="AF679" i="3"/>
  <c r="AG679" i="3"/>
  <c r="AF680" i="3"/>
  <c r="AG680" i="3"/>
  <c r="AF681" i="3"/>
  <c r="AG681" i="3"/>
  <c r="AF682" i="3"/>
  <c r="AG682" i="3"/>
  <c r="AF684" i="3"/>
  <c r="AG684" i="3"/>
  <c r="AF685" i="3"/>
  <c r="AG685" i="3"/>
  <c r="AF686" i="3"/>
  <c r="AG686" i="3"/>
  <c r="AF687" i="3"/>
  <c r="AG687" i="3"/>
  <c r="AF688" i="3"/>
  <c r="AG688" i="3"/>
  <c r="AF689" i="3"/>
  <c r="AG689" i="3"/>
  <c r="AF690" i="3"/>
  <c r="AG690" i="3"/>
  <c r="AF693" i="3"/>
  <c r="AG693" i="3"/>
  <c r="AF694" i="3"/>
  <c r="AG694" i="3"/>
  <c r="AF697" i="3"/>
  <c r="AG697" i="3"/>
  <c r="AF700" i="3"/>
  <c r="AG700" i="3"/>
  <c r="AF701" i="3"/>
  <c r="AG701" i="3"/>
  <c r="AF704" i="3"/>
  <c r="AG704" i="3"/>
  <c r="AF705" i="3"/>
  <c r="AG705" i="3"/>
  <c r="AF707" i="3"/>
  <c r="AG707" i="3"/>
  <c r="AF709" i="3"/>
  <c r="AG709" i="3"/>
  <c r="AF710" i="3"/>
  <c r="AG710" i="3"/>
  <c r="AF711" i="3"/>
  <c r="AG711" i="3"/>
  <c r="AF712" i="3"/>
  <c r="AG712" i="3"/>
  <c r="AF713" i="3"/>
  <c r="AG713" i="3"/>
  <c r="AF714" i="3"/>
  <c r="AG714" i="3"/>
  <c r="AF716" i="3"/>
  <c r="AG716" i="3"/>
  <c r="AF717" i="3"/>
  <c r="AG717" i="3"/>
  <c r="AF718" i="3"/>
  <c r="AG718" i="3"/>
  <c r="AF720" i="3"/>
  <c r="AG720" i="3"/>
  <c r="AF721" i="3"/>
  <c r="AG721" i="3"/>
  <c r="AF722" i="3"/>
  <c r="AG722" i="3"/>
  <c r="AF725" i="3"/>
  <c r="AG725" i="3"/>
  <c r="AF727" i="3"/>
  <c r="AG727" i="3"/>
  <c r="AF728" i="3"/>
  <c r="AG728" i="3"/>
  <c r="AF731" i="3"/>
  <c r="AG731" i="3"/>
  <c r="AF732" i="3"/>
  <c r="AG732" i="3"/>
  <c r="AF735" i="3"/>
  <c r="AG735" i="3"/>
  <c r="AF736" i="3"/>
  <c r="AG736" i="3"/>
  <c r="AF737" i="3"/>
  <c r="AG737" i="3"/>
  <c r="AF786" i="3"/>
  <c r="AG786" i="3"/>
  <c r="AF787" i="3"/>
  <c r="AG787" i="3"/>
  <c r="AF788" i="3"/>
  <c r="AG788" i="3"/>
  <c r="AF789" i="3"/>
  <c r="AG789" i="3"/>
  <c r="AF790" i="3"/>
  <c r="AG790" i="3"/>
  <c r="AF791" i="3"/>
  <c r="AG791" i="3"/>
  <c r="AF792" i="3"/>
  <c r="AG792" i="3"/>
  <c r="AF796" i="3"/>
  <c r="AG796" i="3"/>
  <c r="AF797" i="3"/>
  <c r="AG797" i="3"/>
  <c r="AF798" i="3"/>
  <c r="AG798" i="3"/>
  <c r="AF799" i="3"/>
  <c r="AG799" i="3"/>
  <c r="AF800" i="3"/>
  <c r="AG800" i="3"/>
  <c r="AF801" i="3"/>
  <c r="AG801" i="3"/>
  <c r="AF802" i="3"/>
  <c r="AG802" i="3"/>
  <c r="AF803" i="3"/>
  <c r="AG803" i="3"/>
  <c r="AF807" i="3"/>
  <c r="AG807" i="3"/>
  <c r="AF808" i="3"/>
  <c r="AG808" i="3"/>
  <c r="AF809" i="3"/>
  <c r="AG809" i="3"/>
  <c r="AF810" i="3"/>
  <c r="AG810" i="3"/>
  <c r="AF811" i="3"/>
  <c r="AG811" i="3"/>
  <c r="AF812" i="3"/>
  <c r="AG812" i="3"/>
  <c r="AF813" i="3"/>
  <c r="AG813" i="3"/>
  <c r="AF814" i="3"/>
  <c r="AG814" i="3"/>
  <c r="AF815" i="3"/>
  <c r="AG815" i="3"/>
  <c r="AF816" i="3"/>
  <c r="AG816" i="3"/>
  <c r="AF835" i="3"/>
  <c r="AG835" i="3"/>
  <c r="AF836" i="3"/>
  <c r="AG836" i="3"/>
  <c r="AF837" i="3"/>
  <c r="AG837" i="3"/>
  <c r="AF838" i="3"/>
  <c r="AG838" i="3"/>
  <c r="AF839" i="3"/>
  <c r="AG839" i="3"/>
  <c r="AF840" i="3"/>
  <c r="AG840" i="3"/>
  <c r="AF841" i="3"/>
  <c r="AG841" i="3"/>
  <c r="AF847" i="3"/>
  <c r="AG847" i="3"/>
  <c r="AF849" i="3"/>
  <c r="AG849" i="3"/>
  <c r="AF850" i="3"/>
  <c r="AG850" i="3"/>
  <c r="AF851" i="3"/>
  <c r="AG851" i="3"/>
  <c r="AF853" i="3"/>
  <c r="AG853" i="3"/>
  <c r="AF854" i="3"/>
  <c r="AG854" i="3"/>
  <c r="AF855" i="3"/>
  <c r="AG855" i="3"/>
  <c r="AF856" i="3"/>
  <c r="AG856" i="3"/>
  <c r="AF857" i="3"/>
  <c r="AG857" i="3"/>
  <c r="AF858" i="3"/>
  <c r="AG858" i="3"/>
  <c r="AF859" i="3"/>
  <c r="AG859" i="3"/>
  <c r="AF860" i="3"/>
  <c r="AG860" i="3"/>
  <c r="AF861" i="3"/>
  <c r="AG861" i="3"/>
  <c r="AF862" i="3"/>
  <c r="AG862" i="3"/>
  <c r="AF863" i="3"/>
  <c r="AG863" i="3"/>
  <c r="AF864" i="3"/>
  <c r="AG864" i="3"/>
  <c r="AF865" i="3"/>
  <c r="AG865" i="3"/>
  <c r="AF866" i="3"/>
  <c r="AG866" i="3"/>
  <c r="AF867" i="3"/>
  <c r="AG867" i="3"/>
  <c r="AF868" i="3"/>
  <c r="AG868" i="3"/>
  <c r="AF869" i="3"/>
  <c r="AG869" i="3"/>
  <c r="AF870" i="3"/>
  <c r="AG870" i="3"/>
  <c r="AF873" i="3"/>
  <c r="AG873" i="3"/>
  <c r="AF874" i="3"/>
  <c r="AG874" i="3"/>
  <c r="AF875" i="3"/>
  <c r="AG875" i="3"/>
  <c r="AF876" i="3"/>
  <c r="AG876" i="3"/>
  <c r="AF877" i="3"/>
  <c r="AG877" i="3"/>
  <c r="AF878" i="3"/>
  <c r="AG878" i="3"/>
  <c r="AF879" i="3"/>
  <c r="AG879" i="3"/>
  <c r="AF880" i="3"/>
  <c r="AG880" i="3"/>
  <c r="AF881" i="3"/>
  <c r="AG881" i="3"/>
  <c r="AF882" i="3"/>
  <c r="AG882" i="3"/>
  <c r="AF883" i="3"/>
  <c r="AG883" i="3"/>
  <c r="AF884" i="3"/>
  <c r="AG884" i="3"/>
  <c r="AF885" i="3"/>
  <c r="AG885" i="3"/>
  <c r="AF886" i="3"/>
  <c r="AG886" i="3"/>
  <c r="AF890" i="3"/>
  <c r="AG890" i="3"/>
  <c r="AF899" i="3"/>
  <c r="AG899" i="3"/>
  <c r="AF900" i="3"/>
  <c r="AG900" i="3"/>
  <c r="AF901" i="3"/>
  <c r="AG901" i="3"/>
  <c r="AF902" i="3"/>
  <c r="AG902" i="3"/>
  <c r="AF903" i="3"/>
  <c r="AG903" i="3"/>
  <c r="AF904" i="3"/>
  <c r="AG904" i="3"/>
  <c r="AF905" i="3"/>
  <c r="AG905" i="3"/>
  <c r="AF906" i="3"/>
  <c r="AG906" i="3"/>
  <c r="AF907" i="3"/>
  <c r="AG907" i="3"/>
  <c r="AF908" i="3"/>
  <c r="AG908" i="3"/>
  <c r="AF917" i="3"/>
  <c r="AG917" i="3"/>
  <c r="AF918" i="3"/>
  <c r="AG918" i="3"/>
  <c r="AF919" i="3"/>
  <c r="AG919" i="3"/>
  <c r="AF920" i="3"/>
  <c r="AG920" i="3"/>
  <c r="AF921" i="3"/>
  <c r="AG921" i="3"/>
  <c r="AF922" i="3"/>
  <c r="AG922" i="3"/>
  <c r="AF923" i="3"/>
  <c r="AG923" i="3"/>
  <c r="AF924" i="3"/>
  <c r="AG924" i="3"/>
  <c r="AF925" i="3"/>
  <c r="AG925" i="3"/>
  <c r="AF926" i="3"/>
  <c r="AG926" i="3"/>
  <c r="AF927" i="3"/>
  <c r="AG927" i="3"/>
  <c r="AF928" i="3"/>
  <c r="AG928" i="3"/>
  <c r="AF929" i="3"/>
  <c r="AG929" i="3"/>
  <c r="AF930" i="3"/>
  <c r="AG930" i="3"/>
  <c r="AF931" i="3"/>
  <c r="AG931" i="3"/>
  <c r="AF932" i="3"/>
  <c r="AG932" i="3"/>
  <c r="AF933" i="3"/>
  <c r="AG933" i="3"/>
  <c r="AF934" i="3"/>
  <c r="AG934" i="3"/>
  <c r="AF935" i="3"/>
  <c r="AG935" i="3"/>
  <c r="AF936" i="3"/>
  <c r="AG936" i="3"/>
  <c r="AF937" i="3"/>
  <c r="AG937" i="3"/>
  <c r="AF938" i="3"/>
  <c r="AG938" i="3"/>
  <c r="AF939" i="3"/>
  <c r="AG939" i="3"/>
  <c r="AF940" i="3"/>
  <c r="AG940" i="3"/>
  <c r="AF941" i="3"/>
  <c r="AG941" i="3"/>
  <c r="AF942" i="3"/>
  <c r="AG942" i="3"/>
  <c r="AF943" i="3"/>
  <c r="AG943" i="3"/>
  <c r="AF944" i="3"/>
  <c r="AG944" i="3"/>
  <c r="AF945" i="3"/>
  <c r="AG945" i="3"/>
  <c r="AF946" i="3"/>
  <c r="AG946" i="3"/>
  <c r="AF947" i="3"/>
  <c r="AG947" i="3"/>
  <c r="AF948" i="3"/>
  <c r="AG948" i="3"/>
  <c r="AF949" i="3"/>
  <c r="AG949" i="3"/>
  <c r="AF950" i="3"/>
  <c r="AG950" i="3"/>
  <c r="AF951" i="3"/>
  <c r="AG951" i="3"/>
  <c r="AF952" i="3"/>
  <c r="AG952" i="3"/>
  <c r="AF953" i="3"/>
  <c r="AG953" i="3"/>
  <c r="AF954" i="3"/>
  <c r="AG954" i="3"/>
  <c r="AF955" i="3"/>
  <c r="AG955" i="3"/>
  <c r="AF956" i="3"/>
  <c r="AG956" i="3"/>
  <c r="AF957" i="3"/>
  <c r="AG957" i="3"/>
  <c r="AF958" i="3"/>
  <c r="AG958" i="3"/>
  <c r="AF959" i="3"/>
  <c r="AG959" i="3"/>
  <c r="AF960" i="3"/>
  <c r="AG960" i="3"/>
  <c r="AF961" i="3"/>
  <c r="AG961" i="3"/>
  <c r="AF967" i="3"/>
  <c r="AG967" i="3"/>
  <c r="AF968" i="3"/>
  <c r="AG968" i="3"/>
  <c r="AF969" i="3"/>
  <c r="AG969" i="3"/>
  <c r="AF970" i="3"/>
  <c r="AG970" i="3"/>
  <c r="AF971" i="3"/>
  <c r="AG971" i="3"/>
  <c r="AF972" i="3"/>
  <c r="AG972" i="3"/>
  <c r="AF973" i="3"/>
  <c r="AG973" i="3"/>
  <c r="AF974" i="3"/>
  <c r="AG974" i="3"/>
  <c r="AF975" i="3"/>
  <c r="AG975" i="3"/>
  <c r="AF976" i="3"/>
  <c r="AG976" i="3"/>
  <c r="AF977" i="3"/>
  <c r="AG977" i="3"/>
  <c r="AF978" i="3"/>
  <c r="AG978" i="3"/>
  <c r="AF979" i="3"/>
  <c r="AG979" i="3"/>
  <c r="AF980" i="3"/>
  <c r="AG980" i="3"/>
  <c r="AF983" i="3"/>
  <c r="AG983" i="3"/>
  <c r="AF984" i="3"/>
  <c r="AG984" i="3"/>
  <c r="AF985" i="3"/>
  <c r="AG985" i="3"/>
  <c r="AF986" i="3"/>
  <c r="AG986" i="3"/>
  <c r="AF987" i="3"/>
  <c r="AG987" i="3"/>
  <c r="AF988" i="3"/>
  <c r="AG988" i="3"/>
  <c r="AF989" i="3"/>
  <c r="AG989" i="3"/>
  <c r="AF990" i="3"/>
  <c r="AG990" i="3"/>
  <c r="AF991" i="3"/>
  <c r="AG991" i="3"/>
  <c r="AF992" i="3"/>
  <c r="AG992" i="3"/>
  <c r="AF993" i="3"/>
  <c r="AG993" i="3"/>
  <c r="AF994" i="3"/>
  <c r="AG994" i="3"/>
  <c r="AF996" i="3"/>
  <c r="AG996" i="3"/>
  <c r="AF1016" i="3"/>
  <c r="AG1016" i="3"/>
  <c r="AF1017" i="3"/>
  <c r="AG1017" i="3"/>
  <c r="AF1027" i="3"/>
  <c r="AG1027" i="3"/>
  <c r="AF1028" i="3"/>
  <c r="AG1028" i="3"/>
  <c r="AF1034" i="3"/>
  <c r="AG1034" i="3"/>
  <c r="AF1035" i="3"/>
  <c r="AG1035" i="3"/>
  <c r="AF1036" i="3"/>
  <c r="AG1036" i="3"/>
  <c r="AF1037" i="3"/>
  <c r="AG1037" i="3"/>
  <c r="AF1038" i="3"/>
  <c r="AG1038" i="3"/>
  <c r="AF1039" i="3"/>
  <c r="AG1039" i="3"/>
  <c r="AF1042" i="3"/>
  <c r="AG1042" i="3"/>
  <c r="AF1043" i="3"/>
  <c r="AG1043" i="3"/>
  <c r="AF1044" i="3"/>
  <c r="AG1044" i="3"/>
  <c r="AF1045" i="3"/>
  <c r="AG1045" i="3"/>
  <c r="AF1046" i="3"/>
  <c r="AG1046" i="3"/>
  <c r="AF1047" i="3"/>
  <c r="AG1047" i="3"/>
  <c r="AF1048" i="3"/>
  <c r="AG1048" i="3"/>
  <c r="AF1049" i="3"/>
  <c r="AG1049" i="3"/>
  <c r="AF1050" i="3"/>
  <c r="AG1050" i="3"/>
  <c r="AF1051" i="3"/>
  <c r="AG1051" i="3"/>
  <c r="AF1052" i="3"/>
  <c r="AG1052" i="3"/>
  <c r="AF1053" i="3"/>
  <c r="AG1053" i="3"/>
  <c r="AF1054" i="3"/>
  <c r="AG1054" i="3"/>
  <c r="AF1056" i="3"/>
  <c r="AG1056" i="3"/>
  <c r="AF1057" i="3"/>
  <c r="AG1057" i="3"/>
  <c r="AF1058" i="3"/>
  <c r="AG1058" i="3"/>
  <c r="AF1059" i="3"/>
  <c r="AG1059" i="3"/>
  <c r="AF1061" i="3"/>
  <c r="AG1061" i="3"/>
  <c r="AF1062" i="3"/>
  <c r="AG1062" i="3"/>
  <c r="AF1063" i="3"/>
  <c r="AG1063" i="3"/>
  <c r="AF1064" i="3"/>
  <c r="AG1064" i="3"/>
  <c r="AF1065" i="3"/>
  <c r="AG1065" i="3"/>
  <c r="AF1067" i="3"/>
  <c r="AG1067" i="3"/>
  <c r="AF1068" i="3"/>
  <c r="AG1068" i="3"/>
  <c r="AF1069" i="3"/>
  <c r="AG1069" i="3"/>
  <c r="AF1070" i="3"/>
  <c r="AG1070" i="3"/>
  <c r="AF1071" i="3"/>
  <c r="AG1071" i="3"/>
  <c r="AF1072" i="3"/>
  <c r="AG1072" i="3"/>
  <c r="AF1073" i="3"/>
  <c r="AG1073" i="3"/>
  <c r="AF1074" i="3"/>
  <c r="AG1074" i="3"/>
  <c r="AF1075" i="3"/>
  <c r="AG1075" i="3"/>
  <c r="AF1076" i="3"/>
  <c r="AG1076" i="3"/>
  <c r="AF1077" i="3"/>
  <c r="AG1077" i="3"/>
  <c r="AF1078" i="3"/>
  <c r="AG1078" i="3"/>
  <c r="AF1079" i="3"/>
  <c r="AG1079" i="3"/>
  <c r="AF1080" i="3"/>
  <c r="AG1080" i="3"/>
  <c r="AF1081" i="3"/>
  <c r="AG1081" i="3"/>
  <c r="AF1082" i="3"/>
  <c r="AG1082" i="3"/>
  <c r="AF1083" i="3"/>
  <c r="AG1083" i="3"/>
  <c r="AF1084" i="3"/>
  <c r="AG1084" i="3"/>
  <c r="AF1085" i="3"/>
  <c r="AG1085" i="3"/>
  <c r="AF1086" i="3"/>
  <c r="AG1086" i="3"/>
  <c r="AF1087" i="3"/>
  <c r="AG1087" i="3"/>
  <c r="AF1088" i="3"/>
  <c r="AG1088" i="3"/>
  <c r="AF1089" i="3"/>
  <c r="AG1089" i="3"/>
  <c r="AF1090" i="3"/>
  <c r="AG1090" i="3"/>
  <c r="AF1091" i="3"/>
  <c r="AG1091" i="3"/>
  <c r="AF1092" i="3"/>
  <c r="AG1092" i="3"/>
  <c r="AF1093" i="3"/>
  <c r="AG1093" i="3"/>
  <c r="AF1094" i="3"/>
  <c r="AG1094" i="3"/>
  <c r="AF1095" i="3"/>
  <c r="AG1095" i="3"/>
  <c r="AF1096" i="3"/>
  <c r="AG1096" i="3"/>
  <c r="AF1097" i="3"/>
  <c r="AG1097" i="3"/>
  <c r="AF1098" i="3"/>
  <c r="AG1098" i="3"/>
  <c r="AF1099" i="3"/>
  <c r="AG1099" i="3"/>
  <c r="AF1100" i="3"/>
  <c r="AG1100" i="3"/>
  <c r="AF1101" i="3"/>
  <c r="AG1101" i="3"/>
  <c r="AF1102" i="3"/>
  <c r="AG1102" i="3"/>
  <c r="AF1103" i="3"/>
  <c r="AG1103" i="3"/>
  <c r="AF1104" i="3"/>
  <c r="AG1104" i="3"/>
  <c r="AF1105" i="3"/>
  <c r="AG1105" i="3"/>
  <c r="AF1106" i="3"/>
  <c r="AG1106" i="3"/>
  <c r="AF1107" i="3"/>
  <c r="AG1107" i="3"/>
  <c r="AF1108" i="3"/>
  <c r="AG1108" i="3"/>
  <c r="AF1109" i="3"/>
  <c r="AG1109" i="3"/>
  <c r="AF1110" i="3"/>
  <c r="AG1110" i="3"/>
  <c r="AF1111" i="3"/>
  <c r="AG1111" i="3"/>
  <c r="AF1112" i="3"/>
  <c r="AG1112" i="3"/>
  <c r="AF1113" i="3"/>
  <c r="AG1113" i="3"/>
  <c r="AF1114" i="3"/>
  <c r="AG1114" i="3"/>
  <c r="AF1115" i="3"/>
  <c r="AG1115" i="3"/>
  <c r="AF1116" i="3"/>
  <c r="AG1116" i="3"/>
  <c r="AF1117" i="3"/>
  <c r="AG1117" i="3"/>
  <c r="AF1118" i="3"/>
  <c r="AG1118" i="3"/>
  <c r="AF1119" i="3"/>
  <c r="AG1119" i="3"/>
  <c r="AF1120" i="3"/>
  <c r="AG1120" i="3"/>
  <c r="AF1122" i="3"/>
  <c r="AG1122" i="3"/>
  <c r="AF1123" i="3"/>
  <c r="AG1123" i="3"/>
  <c r="AF1124" i="3"/>
  <c r="AG1124" i="3"/>
  <c r="AF1125" i="3"/>
  <c r="AG1125" i="3"/>
  <c r="AF1126" i="3"/>
  <c r="AG1126" i="3"/>
  <c r="AF1127" i="3"/>
  <c r="AG1127" i="3"/>
  <c r="AF1128" i="3"/>
  <c r="AG1128" i="3"/>
  <c r="AF1129" i="3"/>
  <c r="AG1129" i="3"/>
  <c r="AF1130" i="3"/>
  <c r="AG1130" i="3"/>
  <c r="AF1131" i="3"/>
  <c r="AG1131" i="3"/>
  <c r="AF1132" i="3"/>
  <c r="AG1132" i="3"/>
  <c r="AF1133" i="3"/>
  <c r="AG1133" i="3"/>
  <c r="AF1134" i="3"/>
  <c r="AG1134" i="3"/>
  <c r="AF1135" i="3"/>
  <c r="AG1135" i="3"/>
  <c r="AF1136" i="3"/>
  <c r="AG1136" i="3"/>
  <c r="AF1137" i="3"/>
  <c r="AG1137" i="3"/>
  <c r="AF1138" i="3"/>
  <c r="AG1138" i="3"/>
  <c r="AF1139" i="3"/>
  <c r="AG1139" i="3"/>
  <c r="AF1140" i="3"/>
  <c r="AG1140" i="3"/>
  <c r="AF1141" i="3"/>
  <c r="AG1141" i="3"/>
  <c r="AF1142" i="3"/>
  <c r="AG1142" i="3"/>
  <c r="AF1143" i="3"/>
  <c r="AG1143" i="3"/>
  <c r="AF1144" i="3"/>
  <c r="AG1144" i="3"/>
  <c r="AF1145" i="3"/>
  <c r="AG1145" i="3"/>
  <c r="AF1146" i="3"/>
  <c r="AG1146" i="3"/>
  <c r="AF1147" i="3"/>
  <c r="AG1147" i="3"/>
  <c r="AF1148" i="3"/>
  <c r="AG1148" i="3"/>
  <c r="AF1149" i="3"/>
  <c r="AG1149" i="3"/>
  <c r="AF1150" i="3"/>
  <c r="AG1150" i="3"/>
  <c r="AF1151" i="3"/>
  <c r="AG1151" i="3"/>
  <c r="AF1152" i="3"/>
  <c r="AG1152" i="3"/>
  <c r="AF1153" i="3"/>
  <c r="AG1153" i="3"/>
  <c r="AF1154" i="3"/>
  <c r="AG1154" i="3"/>
  <c r="AF1155" i="3"/>
  <c r="AG1155" i="3"/>
  <c r="AF1156" i="3"/>
  <c r="AG1156" i="3"/>
  <c r="AF1157" i="3"/>
  <c r="AG1157" i="3"/>
  <c r="AF1158" i="3"/>
  <c r="AG1158" i="3"/>
  <c r="AF1159" i="3"/>
  <c r="AG1159" i="3"/>
  <c r="AF1160" i="3"/>
  <c r="AG1160" i="3"/>
  <c r="AF1161" i="3"/>
  <c r="AG1161" i="3"/>
  <c r="AF1162" i="3"/>
  <c r="AG1162" i="3"/>
  <c r="AF1163" i="3"/>
  <c r="AG1163" i="3"/>
  <c r="AF1164" i="3"/>
  <c r="AG1164" i="3"/>
  <c r="AF1165" i="3"/>
  <c r="AG1165" i="3"/>
  <c r="AF1166" i="3"/>
  <c r="AG1166" i="3"/>
  <c r="AF1167" i="3"/>
  <c r="AG1167" i="3"/>
  <c r="AF1168" i="3"/>
  <c r="AG1168" i="3"/>
  <c r="AF1169" i="3"/>
  <c r="AG1169" i="3"/>
  <c r="AF1170" i="3"/>
  <c r="AG1170" i="3"/>
  <c r="AF1171" i="3"/>
  <c r="AG1171" i="3"/>
  <c r="AF1172" i="3"/>
  <c r="AG1172" i="3"/>
  <c r="AF1173" i="3"/>
  <c r="AG1173" i="3"/>
  <c r="AF1174" i="3"/>
  <c r="AG1174" i="3"/>
  <c r="AF1175" i="3"/>
  <c r="AG1175" i="3"/>
  <c r="AF1176" i="3"/>
  <c r="AG1176" i="3"/>
  <c r="AF1177" i="3"/>
  <c r="AG1177" i="3"/>
  <c r="AF1178" i="3"/>
  <c r="AG1178" i="3"/>
  <c r="AF1179" i="3"/>
  <c r="AG1179" i="3"/>
  <c r="AF1180" i="3"/>
  <c r="AG1180" i="3"/>
  <c r="AF1181" i="3"/>
  <c r="AG1181" i="3"/>
  <c r="AF1182" i="3"/>
  <c r="AG1182" i="3"/>
  <c r="AF1183" i="3"/>
  <c r="AG1183" i="3"/>
  <c r="AF1184" i="3"/>
  <c r="AG1184" i="3"/>
  <c r="AF1185" i="3"/>
  <c r="AG1185" i="3"/>
  <c r="AF1186" i="3"/>
  <c r="AG1186" i="3"/>
  <c r="AF1187" i="3"/>
  <c r="AG1187" i="3"/>
  <c r="AF1188" i="3"/>
  <c r="AG1188" i="3"/>
  <c r="AF1189" i="3"/>
  <c r="AG1189" i="3"/>
  <c r="AF1190" i="3"/>
  <c r="AG1190" i="3"/>
  <c r="AF1191" i="3"/>
  <c r="AG1191" i="3"/>
  <c r="AF1192" i="3"/>
  <c r="AG1192" i="3"/>
  <c r="AF1193" i="3"/>
  <c r="AG1193" i="3"/>
  <c r="AF1194" i="3"/>
  <c r="AG1194" i="3"/>
  <c r="AF1195" i="3"/>
  <c r="AG1195" i="3"/>
  <c r="AF1196" i="3"/>
  <c r="AG1196" i="3"/>
  <c r="AF1197" i="3"/>
  <c r="AG1197" i="3"/>
  <c r="AF1198" i="3"/>
  <c r="AG1198" i="3"/>
  <c r="AF1199" i="3"/>
  <c r="AG1199" i="3"/>
  <c r="AF1200" i="3"/>
  <c r="AG1200" i="3"/>
  <c r="AF1201" i="3"/>
  <c r="AG1201" i="3"/>
  <c r="AF1202" i="3"/>
  <c r="AG1202" i="3"/>
  <c r="AF1203" i="3"/>
  <c r="AG1203" i="3"/>
  <c r="AF1204" i="3"/>
  <c r="AG1204" i="3"/>
  <c r="AF1205" i="3"/>
  <c r="AG1205" i="3"/>
  <c r="AF1206" i="3"/>
  <c r="AG1206" i="3"/>
  <c r="AF1207" i="3"/>
  <c r="AG1207" i="3"/>
  <c r="AF1208" i="3"/>
  <c r="AG1208" i="3"/>
  <c r="AF1209" i="3"/>
  <c r="AG1209" i="3"/>
  <c r="AF1210" i="3"/>
  <c r="AG1210" i="3"/>
  <c r="AF1211" i="3"/>
  <c r="AG1211" i="3"/>
  <c r="AF1212" i="3"/>
  <c r="AG1212" i="3"/>
  <c r="AF1213" i="3"/>
  <c r="AG1213" i="3"/>
  <c r="AF1214" i="3"/>
  <c r="AG1214" i="3"/>
  <c r="AF1215" i="3"/>
  <c r="AG1215" i="3"/>
  <c r="AF1216" i="3"/>
  <c r="AG1216" i="3"/>
  <c r="AF1217" i="3"/>
  <c r="AG1217" i="3"/>
  <c r="AF1218" i="3"/>
  <c r="AG1218" i="3"/>
  <c r="AF1219" i="3"/>
  <c r="AG1219" i="3"/>
  <c r="AF1220" i="3"/>
  <c r="AG1220" i="3"/>
  <c r="AF1221" i="3"/>
  <c r="AG1221" i="3"/>
  <c r="AF1222" i="3"/>
  <c r="AG1222" i="3"/>
  <c r="AF1223" i="3"/>
  <c r="AG1223" i="3"/>
  <c r="AF1224" i="3"/>
  <c r="AG1224" i="3"/>
  <c r="AF1225" i="3"/>
  <c r="AG1225" i="3"/>
  <c r="AF1226" i="3"/>
  <c r="AG1226" i="3"/>
  <c r="AF1227" i="3"/>
  <c r="AG1227" i="3"/>
  <c r="AF1228" i="3"/>
  <c r="AG1228" i="3"/>
  <c r="AF1229" i="3"/>
  <c r="AG1229" i="3"/>
  <c r="AF1230" i="3"/>
  <c r="AG1230" i="3"/>
  <c r="AF1231" i="3"/>
  <c r="AG1231" i="3"/>
  <c r="AF1232" i="3"/>
  <c r="AG1232" i="3"/>
  <c r="AF1233" i="3"/>
  <c r="AG1233" i="3"/>
  <c r="AF1234" i="3"/>
  <c r="AG1234" i="3"/>
  <c r="AF1235" i="3"/>
  <c r="AG1235" i="3"/>
  <c r="AF1236" i="3"/>
  <c r="AG1236" i="3"/>
  <c r="AF1237" i="3"/>
  <c r="AG1237" i="3"/>
  <c r="AF1238" i="3"/>
  <c r="AG1238" i="3"/>
  <c r="AF1239" i="3"/>
  <c r="AG1239" i="3"/>
  <c r="AF1240" i="3"/>
  <c r="AG1240" i="3"/>
  <c r="AF1241" i="3"/>
  <c r="AG1241" i="3"/>
  <c r="AF1242" i="3"/>
  <c r="AG1242" i="3"/>
  <c r="AF1243" i="3"/>
  <c r="AG1243" i="3"/>
  <c r="AF1244" i="3"/>
  <c r="AG1244" i="3"/>
  <c r="AF1245" i="3"/>
  <c r="AG1245" i="3"/>
  <c r="AF1246" i="3"/>
  <c r="AG1246" i="3"/>
  <c r="AF1247" i="3"/>
  <c r="AG1247" i="3"/>
  <c r="AF1248" i="3"/>
  <c r="AG1248" i="3"/>
  <c r="AF1249" i="3"/>
  <c r="AG1249" i="3"/>
  <c r="AF1250" i="3"/>
  <c r="AG1250" i="3"/>
  <c r="AF1251" i="3"/>
  <c r="AG1251" i="3"/>
  <c r="AF1252" i="3"/>
  <c r="AG1252" i="3"/>
  <c r="AF1253" i="3"/>
  <c r="AG1253" i="3"/>
  <c r="AF1254" i="3"/>
  <c r="AG1254" i="3"/>
  <c r="AF1255" i="3"/>
  <c r="AG1255" i="3"/>
  <c r="AF1256" i="3"/>
  <c r="AG1256" i="3"/>
  <c r="AF1257" i="3"/>
  <c r="AG1257" i="3"/>
  <c r="AF1258" i="3"/>
  <c r="AG1258" i="3"/>
  <c r="AF1265" i="3"/>
  <c r="AG1265" i="3"/>
  <c r="AF1266" i="3"/>
  <c r="AG1266" i="3"/>
  <c r="AF1267" i="3"/>
  <c r="AG1267" i="3"/>
  <c r="AF1268" i="3"/>
  <c r="AG1268" i="3"/>
  <c r="AF1269" i="3"/>
  <c r="AG1269" i="3"/>
  <c r="AF1270" i="3"/>
  <c r="AG1270" i="3"/>
  <c r="AF1271" i="3"/>
  <c r="AG1271" i="3"/>
  <c r="AF1272" i="3"/>
  <c r="AG1272" i="3"/>
  <c r="AF1273" i="3"/>
  <c r="AG1273" i="3"/>
  <c r="AF1274" i="3"/>
  <c r="AG1274" i="3"/>
  <c r="AF1275" i="3"/>
  <c r="AG1275" i="3"/>
  <c r="AF1276" i="3"/>
  <c r="AG1276" i="3"/>
  <c r="AF1292" i="3"/>
  <c r="AG1292" i="3"/>
  <c r="AF1302" i="3"/>
  <c r="AG1302" i="3"/>
  <c r="AF1341" i="3"/>
  <c r="AG1341" i="3"/>
  <c r="AF1352" i="3"/>
  <c r="AG1352" i="3"/>
  <c r="AF1356" i="3"/>
  <c r="AG1356" i="3"/>
  <c r="AF1360" i="3"/>
  <c r="AG1360" i="3"/>
  <c r="AF1361" i="3"/>
  <c r="AG1361" i="3"/>
  <c r="AF1362" i="3"/>
  <c r="AG1362" i="3"/>
  <c r="AF1363" i="3"/>
  <c r="AG1363" i="3"/>
  <c r="AF1364" i="3"/>
  <c r="AG1364" i="3"/>
  <c r="AF1365" i="3"/>
  <c r="AG1365" i="3"/>
  <c r="AF1366" i="3"/>
  <c r="AG1366" i="3"/>
  <c r="AF1367" i="3"/>
  <c r="AG1367" i="3"/>
  <c r="AF1368" i="3"/>
  <c r="AG1368" i="3"/>
  <c r="AF1369" i="3"/>
  <c r="AG1369" i="3"/>
  <c r="AF1370" i="3"/>
  <c r="AG1370" i="3"/>
  <c r="AF1371" i="3"/>
  <c r="AG1371" i="3"/>
  <c r="AF1372" i="3"/>
  <c r="AG1372" i="3"/>
  <c r="AF1373" i="3"/>
  <c r="AG1373" i="3"/>
  <c r="AF1374" i="3"/>
  <c r="AG1374" i="3"/>
  <c r="AF1375" i="3"/>
  <c r="AG1375" i="3"/>
  <c r="AF1376" i="3"/>
  <c r="AG1376" i="3"/>
  <c r="AF1377" i="3"/>
  <c r="AG1377" i="3"/>
  <c r="AF1378" i="3"/>
  <c r="AG1378" i="3"/>
  <c r="AF1379" i="3"/>
  <c r="AG1379" i="3"/>
  <c r="AF1380" i="3"/>
  <c r="AG1380" i="3"/>
  <c r="AF1381" i="3"/>
  <c r="AG1381" i="3"/>
  <c r="AF1382" i="3"/>
  <c r="AG1382" i="3"/>
  <c r="AF1383" i="3"/>
  <c r="AG1383" i="3"/>
  <c r="AF1384" i="3"/>
  <c r="AG1384" i="3"/>
  <c r="AF1385" i="3"/>
  <c r="AG1385" i="3"/>
  <c r="AF1386" i="3"/>
  <c r="AG1386" i="3"/>
  <c r="AF1387" i="3"/>
  <c r="AG1387" i="3"/>
  <c r="AF1388" i="3"/>
  <c r="AG1388" i="3"/>
  <c r="AF1389" i="3"/>
  <c r="AG1389" i="3"/>
  <c r="AF1390" i="3"/>
  <c r="AG1390" i="3"/>
  <c r="AF1391" i="3"/>
  <c r="AG1391" i="3"/>
  <c r="AF1392" i="3"/>
  <c r="AG1392" i="3"/>
  <c r="AF1393" i="3"/>
  <c r="AG1393" i="3"/>
  <c r="AF1394" i="3"/>
  <c r="AG1394" i="3"/>
  <c r="AF1395" i="3"/>
  <c r="AG1395" i="3"/>
  <c r="AF1396" i="3"/>
  <c r="AG1396" i="3"/>
  <c r="AF1397" i="3"/>
  <c r="AG1397" i="3"/>
  <c r="AF1398" i="3"/>
  <c r="AG1398" i="3"/>
  <c r="AF1399" i="3"/>
  <c r="AG1399" i="3"/>
  <c r="AF1400" i="3"/>
  <c r="AG1400" i="3"/>
  <c r="AF1401" i="3"/>
  <c r="AG1401" i="3"/>
  <c r="AF1402" i="3"/>
  <c r="AG1402" i="3"/>
  <c r="AF1409" i="3"/>
  <c r="AG1409" i="3"/>
  <c r="AF1410" i="3"/>
  <c r="AG1410" i="3"/>
  <c r="AF1411" i="3"/>
  <c r="AG1411" i="3"/>
  <c r="AF1412" i="3"/>
  <c r="AG1412" i="3"/>
  <c r="AF1414" i="3"/>
  <c r="AG1414" i="3"/>
  <c r="AF1416" i="3"/>
  <c r="AG1416" i="3"/>
  <c r="AF1417" i="3"/>
  <c r="AG1417" i="3"/>
  <c r="AF1418" i="3"/>
  <c r="AG1418" i="3"/>
  <c r="AF1419" i="3"/>
  <c r="AG1419" i="3"/>
  <c r="AF1420" i="3"/>
  <c r="AG1420" i="3"/>
  <c r="AF1421" i="3"/>
  <c r="AG1421" i="3"/>
  <c r="AF1439" i="3"/>
  <c r="AG1439" i="3"/>
  <c r="AF1455" i="3"/>
  <c r="AG1455" i="3"/>
  <c r="AF1460" i="3"/>
  <c r="AG1460" i="3"/>
  <c r="AF1465" i="3"/>
  <c r="AG1465" i="3"/>
  <c r="AF1473" i="3"/>
  <c r="AG1473" i="3"/>
  <c r="AF1474" i="3"/>
  <c r="AG1474" i="3"/>
  <c r="AF1480" i="3"/>
  <c r="AG1480" i="3"/>
  <c r="AF1485" i="3"/>
  <c r="AG1485" i="3"/>
  <c r="AF1486" i="3"/>
  <c r="AG1486" i="3"/>
  <c r="AF1491" i="3"/>
  <c r="AG1491" i="3"/>
  <c r="AF1535" i="3"/>
  <c r="AG1535" i="3"/>
  <c r="AF1536" i="3"/>
  <c r="AG1536" i="3"/>
  <c r="AF1537" i="3"/>
  <c r="AG1537" i="3"/>
  <c r="AF1538" i="3"/>
  <c r="AG1538" i="3"/>
  <c r="AF1539" i="3"/>
  <c r="AG1539" i="3"/>
  <c r="AF1540" i="3"/>
  <c r="AG1540" i="3"/>
  <c r="AF1544" i="3"/>
  <c r="AG1544" i="3"/>
  <c r="AF1545" i="3"/>
  <c r="AG1545" i="3"/>
  <c r="AF1546" i="3"/>
  <c r="AG1546" i="3"/>
  <c r="AF1558" i="3"/>
  <c r="AG1558" i="3"/>
  <c r="AF1559" i="3"/>
  <c r="AG1559" i="3"/>
  <c r="AF1568" i="3"/>
  <c r="AG1568" i="3"/>
  <c r="AF1572" i="3"/>
  <c r="AG1572" i="3"/>
  <c r="AF1573" i="3"/>
  <c r="AG1573" i="3"/>
  <c r="AF1574" i="3"/>
  <c r="AG1574" i="3"/>
  <c r="AF1575" i="3"/>
  <c r="AG1575" i="3"/>
  <c r="AF1576" i="3"/>
  <c r="AG1576" i="3"/>
  <c r="AF1583" i="3"/>
  <c r="AG1583" i="3"/>
  <c r="AF1584" i="3"/>
  <c r="AG1584" i="3"/>
  <c r="AF1587" i="3"/>
  <c r="AG1587" i="3"/>
  <c r="AF1590" i="3"/>
  <c r="AG1590" i="3"/>
  <c r="AF1591" i="3"/>
  <c r="AG1591" i="3"/>
  <c r="AF1592" i="3"/>
  <c r="AG1592" i="3"/>
  <c r="AF1593" i="3"/>
  <c r="AG1593" i="3"/>
  <c r="AF1595" i="3"/>
  <c r="AG1595" i="3"/>
  <c r="AF1596" i="3"/>
  <c r="AG1596" i="3"/>
  <c r="AF1597" i="3"/>
  <c r="AG1597" i="3"/>
  <c r="AF1598" i="3"/>
  <c r="AG1598" i="3"/>
  <c r="AF1600" i="3"/>
  <c r="AG1600" i="3"/>
  <c r="AF1601" i="3"/>
  <c r="AG1601" i="3"/>
  <c r="AF1602" i="3"/>
  <c r="AG1602" i="3"/>
  <c r="AF1605" i="3"/>
  <c r="AG1605" i="3"/>
  <c r="AF1606" i="3"/>
  <c r="AG1606" i="3"/>
  <c r="AF1618" i="3"/>
  <c r="AG1618" i="3"/>
  <c r="AF1622" i="3"/>
  <c r="AG1622" i="3"/>
  <c r="AF1638" i="3"/>
  <c r="AG1638" i="3"/>
  <c r="AF1639" i="3"/>
  <c r="AG1639" i="3"/>
  <c r="AF1696" i="3"/>
  <c r="AG1696" i="3"/>
  <c r="AF1706" i="3"/>
  <c r="AG1706" i="3"/>
  <c r="AF1707" i="3"/>
  <c r="AG1707" i="3"/>
  <c r="AF1708" i="3"/>
  <c r="AG1708" i="3"/>
  <c r="AF1709" i="3"/>
  <c r="AG1709" i="3"/>
  <c r="AF1710" i="3"/>
  <c r="AG1710" i="3"/>
  <c r="AF1715" i="3"/>
  <c r="AG1715" i="3"/>
  <c r="AF7" i="3"/>
  <c r="AG7" i="3"/>
  <c r="AF12" i="3"/>
  <c r="AG12" i="3"/>
  <c r="AF13" i="3"/>
  <c r="AG13" i="3"/>
  <c r="AF14" i="3"/>
  <c r="AG14" i="3"/>
  <c r="E13" i="6" l="1"/>
  <c r="G13" i="6"/>
  <c r="F14" i="6"/>
  <c r="E15" i="6"/>
  <c r="G15" i="6"/>
  <c r="F16" i="6"/>
  <c r="E17" i="6"/>
  <c r="G17" i="6"/>
  <c r="F18" i="6"/>
  <c r="E19" i="6"/>
  <c r="G19" i="6"/>
  <c r="F20" i="6"/>
  <c r="E21" i="6"/>
  <c r="G21" i="6"/>
  <c r="F22" i="6"/>
  <c r="E23" i="6"/>
  <c r="G23" i="6"/>
  <c r="F24" i="6"/>
  <c r="E25" i="6"/>
  <c r="G25" i="6"/>
  <c r="F26" i="6"/>
  <c r="E27" i="6"/>
  <c r="G27" i="6"/>
  <c r="F28" i="6"/>
  <c r="E29" i="6"/>
  <c r="G29" i="6"/>
  <c r="F30" i="6"/>
  <c r="E31" i="6"/>
  <c r="G31" i="6"/>
  <c r="F32" i="6"/>
  <c r="E33" i="6"/>
  <c r="G33" i="6"/>
  <c r="F34" i="6"/>
  <c r="E35" i="6"/>
  <c r="G35" i="6"/>
  <c r="F36" i="6"/>
  <c r="E37" i="6"/>
  <c r="G37" i="6"/>
  <c r="F38" i="6"/>
  <c r="E39" i="6"/>
  <c r="G39" i="6"/>
  <c r="F40" i="6"/>
  <c r="E41" i="6"/>
  <c r="G41" i="6"/>
  <c r="F42" i="6"/>
  <c r="E43" i="6"/>
  <c r="G43" i="6"/>
  <c r="F44" i="6"/>
  <c r="E45" i="6"/>
  <c r="G45" i="6"/>
  <c r="F46" i="6"/>
  <c r="E47" i="6"/>
  <c r="G47" i="6"/>
  <c r="F48" i="6"/>
  <c r="F12" i="6"/>
  <c r="E12" i="6"/>
  <c r="F13" i="6"/>
  <c r="E14" i="6"/>
  <c r="G14" i="6"/>
  <c r="F15" i="6"/>
  <c r="E16" i="6"/>
  <c r="G16" i="6"/>
  <c r="F17" i="6"/>
  <c r="E18" i="6"/>
  <c r="G18" i="6"/>
  <c r="F19" i="6"/>
  <c r="E20" i="6"/>
  <c r="G20" i="6"/>
  <c r="F21" i="6"/>
  <c r="E22" i="6"/>
  <c r="G22" i="6"/>
  <c r="F23" i="6"/>
  <c r="E24" i="6"/>
  <c r="G24" i="6"/>
  <c r="F25" i="6"/>
  <c r="E26" i="6"/>
  <c r="G26" i="6"/>
  <c r="F27" i="6"/>
  <c r="E28" i="6"/>
  <c r="G28" i="6"/>
  <c r="F29" i="6"/>
  <c r="E30" i="6"/>
  <c r="G30" i="6"/>
  <c r="F31" i="6"/>
  <c r="E32" i="6"/>
  <c r="F33" i="6"/>
  <c r="G34" i="6"/>
  <c r="E36" i="6"/>
  <c r="F37" i="6"/>
  <c r="G38" i="6"/>
  <c r="E40" i="6"/>
  <c r="F41" i="6"/>
  <c r="G42" i="6"/>
  <c r="E44" i="6"/>
  <c r="F45" i="6"/>
  <c r="G46" i="6"/>
  <c r="E48" i="6"/>
  <c r="G12" i="6"/>
  <c r="G32" i="6"/>
  <c r="E34" i="6"/>
  <c r="F35" i="6"/>
  <c r="G36" i="6"/>
  <c r="E38" i="6"/>
  <c r="F39" i="6"/>
  <c r="G40" i="6"/>
  <c r="E42" i="6"/>
  <c r="F43" i="6"/>
  <c r="G44" i="6"/>
  <c r="E46" i="6"/>
  <c r="F47" i="6"/>
  <c r="G48" i="6"/>
  <c r="C55" i="5"/>
  <c r="C54" i="5"/>
  <c r="E49" i="6"/>
  <c r="F49" i="6"/>
  <c r="G49" i="6"/>
  <c r="E50" i="6"/>
  <c r="F50" i="6"/>
  <c r="G50" i="6"/>
  <c r="E51" i="6"/>
  <c r="F51" i="6"/>
  <c r="G51" i="6"/>
  <c r="E52" i="6"/>
  <c r="F52" i="6"/>
  <c r="G52" i="6"/>
  <c r="E53" i="6"/>
  <c r="F53" i="6"/>
  <c r="G53" i="6"/>
  <c r="E54" i="6"/>
  <c r="F54" i="6"/>
  <c r="G54" i="6"/>
  <c r="E55" i="6"/>
  <c r="F55" i="6"/>
  <c r="G55" i="6"/>
  <c r="E56" i="6"/>
  <c r="F56" i="6"/>
  <c r="G56" i="6"/>
  <c r="E57" i="6"/>
  <c r="F57" i="6"/>
  <c r="G57" i="6"/>
  <c r="E58" i="6"/>
  <c r="F58" i="6"/>
  <c r="G58" i="6"/>
  <c r="E59" i="6"/>
  <c r="F59" i="6"/>
  <c r="G59" i="6"/>
  <c r="E60" i="6"/>
  <c r="F60" i="6"/>
  <c r="G60" i="6"/>
  <c r="AC7" i="3"/>
  <c r="AC12" i="3"/>
  <c r="AC13" i="3"/>
  <c r="AC14"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3" i="3"/>
  <c r="AC54" i="3"/>
  <c r="AC55" i="3"/>
  <c r="AC73"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15" i="3"/>
  <c r="AC116" i="3"/>
  <c r="AC117" i="3"/>
  <c r="AC118" i="3"/>
  <c r="AC124" i="3"/>
  <c r="AC125" i="3"/>
  <c r="AC126" i="3"/>
  <c r="AC127" i="3"/>
  <c r="AC128" i="3"/>
  <c r="AC129" i="3"/>
  <c r="AC130" i="3"/>
  <c r="AC131" i="3"/>
  <c r="AC132" i="3"/>
  <c r="AC133" i="3"/>
  <c r="AC134" i="3"/>
  <c r="AC135" i="3"/>
  <c r="AC136" i="3"/>
  <c r="AC137" i="3"/>
  <c r="AC138" i="3"/>
  <c r="AC139" i="3"/>
  <c r="AC140" i="3"/>
  <c r="AC141" i="3"/>
  <c r="AC142" i="3"/>
  <c r="AC143" i="3"/>
  <c r="AC145" i="3"/>
  <c r="AC146" i="3"/>
  <c r="AC147" i="3"/>
  <c r="AC148" i="3"/>
  <c r="AC149" i="3"/>
  <c r="AC150" i="3"/>
  <c r="AC151" i="3"/>
  <c r="AC152" i="3"/>
  <c r="AC153" i="3"/>
  <c r="AC154" i="3"/>
  <c r="AC155" i="3"/>
  <c r="AC156" i="3"/>
  <c r="AC157" i="3"/>
  <c r="AC158" i="3"/>
  <c r="AC159" i="3"/>
  <c r="AC160" i="3"/>
  <c r="AC161" i="3"/>
  <c r="AC162" i="3"/>
  <c r="AC163" i="3"/>
  <c r="AC167" i="3"/>
  <c r="AC168" i="3"/>
  <c r="AC169"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2" i="3"/>
  <c r="AC254" i="3"/>
  <c r="AC281" i="3"/>
  <c r="AC282" i="3"/>
  <c r="AC294" i="3"/>
  <c r="AC299" i="3"/>
  <c r="AC300" i="3"/>
  <c r="AC303" i="3"/>
  <c r="AC305" i="3"/>
  <c r="AC307" i="3"/>
  <c r="AC308" i="3"/>
  <c r="AC313" i="3"/>
  <c r="AC315" i="3"/>
  <c r="AC318" i="3"/>
  <c r="AC319" i="3"/>
  <c r="AC327" i="3"/>
  <c r="AC328" i="3"/>
  <c r="AC329" i="3"/>
  <c r="AC332" i="3"/>
  <c r="AC334" i="3"/>
  <c r="AC343" i="3"/>
  <c r="AC355" i="3"/>
  <c r="AC359" i="3"/>
  <c r="AC362" i="3"/>
  <c r="AC363" i="3"/>
  <c r="AC364" i="3"/>
  <c r="AC365" i="3"/>
  <c r="AC372" i="3"/>
  <c r="AC379" i="3"/>
  <c r="AC380" i="3"/>
  <c r="AC381" i="3"/>
  <c r="AC382" i="3"/>
  <c r="AC383" i="3"/>
  <c r="AC385" i="3"/>
  <c r="AC386" i="3"/>
  <c r="AC387" i="3"/>
  <c r="AC388" i="3"/>
  <c r="AC389" i="3"/>
  <c r="AC390" i="3"/>
  <c r="AC391" i="3"/>
  <c r="AC392" i="3"/>
  <c r="AC393" i="3"/>
  <c r="AC394" i="3"/>
  <c r="AC396" i="3"/>
  <c r="AC403" i="3"/>
  <c r="AC404" i="3"/>
  <c r="AC405" i="3"/>
  <c r="AC406" i="3"/>
  <c r="AC436" i="3"/>
  <c r="AC437" i="3"/>
  <c r="AC438" i="3"/>
  <c r="AC450" i="3"/>
  <c r="AC451" i="3"/>
  <c r="AC452" i="3"/>
  <c r="AC453" i="3"/>
  <c r="AC454" i="3"/>
  <c r="AC455" i="3"/>
  <c r="AC456" i="3"/>
  <c r="AC457" i="3"/>
  <c r="AC459" i="3"/>
  <c r="AC460" i="3"/>
  <c r="AC461" i="3"/>
  <c r="AC462" i="3"/>
  <c r="AC463" i="3"/>
  <c r="AC464" i="3"/>
  <c r="AC465" i="3"/>
  <c r="AC466" i="3"/>
  <c r="AC467" i="3"/>
  <c r="AC468" i="3"/>
  <c r="AC469" i="3"/>
  <c r="AC471" i="3"/>
  <c r="AC472" i="3"/>
  <c r="AC473" i="3"/>
  <c r="AC474" i="3"/>
  <c r="AC475" i="3"/>
  <c r="AC477" i="3"/>
  <c r="AC478" i="3"/>
  <c r="AC479" i="3"/>
  <c r="AC480" i="3"/>
  <c r="AC481" i="3"/>
  <c r="AC482" i="3"/>
  <c r="AC483" i="3"/>
  <c r="AC484" i="3"/>
  <c r="AC485" i="3"/>
  <c r="AC486" i="3"/>
  <c r="AC487" i="3"/>
  <c r="AC488" i="3"/>
  <c r="AC489" i="3"/>
  <c r="AC490" i="3"/>
  <c r="AC491" i="3"/>
  <c r="AC492" i="3"/>
  <c r="AC493" i="3"/>
  <c r="AC494" i="3"/>
  <c r="AC495" i="3"/>
  <c r="AC496" i="3"/>
  <c r="AC497" i="3"/>
  <c r="AC501" i="3"/>
  <c r="AC502" i="3"/>
  <c r="AC503" i="3"/>
  <c r="AC504" i="3"/>
  <c r="AC507" i="3"/>
  <c r="AC508" i="3"/>
  <c r="AC509" i="3"/>
  <c r="AC510" i="3"/>
  <c r="AC511" i="3"/>
  <c r="AC512" i="3"/>
  <c r="AC513" i="3"/>
  <c r="AC514" i="3"/>
  <c r="AC515" i="3"/>
  <c r="AC516" i="3"/>
  <c r="AC517" i="3"/>
  <c r="AC518" i="3"/>
  <c r="AC519" i="3"/>
  <c r="AC520" i="3"/>
  <c r="AC521" i="3"/>
  <c r="AC522" i="3"/>
  <c r="AC523" i="3"/>
  <c r="AC524" i="3"/>
  <c r="AC525" i="3"/>
  <c r="AC526" i="3"/>
  <c r="AC527" i="3"/>
  <c r="AC528" i="3"/>
  <c r="AC548" i="3"/>
  <c r="AC550" i="3"/>
  <c r="AC558" i="3"/>
  <c r="AC568" i="3"/>
  <c r="AC569" i="3"/>
  <c r="AC570" i="3"/>
  <c r="AC571" i="3"/>
  <c r="AC573" i="3"/>
  <c r="AC574" i="3"/>
  <c r="AC575" i="3"/>
  <c r="AC576" i="3"/>
  <c r="AC577" i="3"/>
  <c r="AC578" i="3"/>
  <c r="AC579" i="3"/>
  <c r="AC580" i="3"/>
  <c r="AC581" i="3"/>
  <c r="AC582" i="3"/>
  <c r="AC583" i="3"/>
  <c r="AC584" i="3"/>
  <c r="AC588" i="3"/>
  <c r="AC589" i="3"/>
  <c r="AC590" i="3"/>
  <c r="AC591" i="3"/>
  <c r="AC592" i="3"/>
  <c r="AC593" i="3"/>
  <c r="AC594" i="3"/>
  <c r="AC595" i="3"/>
  <c r="AC596" i="3"/>
  <c r="AC597" i="3"/>
  <c r="AC598" i="3"/>
  <c r="AC611" i="3"/>
  <c r="AC612" i="3"/>
  <c r="AC613" i="3"/>
  <c r="AC614" i="3"/>
  <c r="AC615" i="3"/>
  <c r="AC616"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52" i="3"/>
  <c r="AC655" i="3"/>
  <c r="AC656" i="3"/>
  <c r="AC657" i="3"/>
  <c r="AC658" i="3"/>
  <c r="AC659" i="3"/>
  <c r="AC660" i="3"/>
  <c r="AC661" i="3"/>
  <c r="AC662" i="3"/>
  <c r="AC663" i="3"/>
  <c r="AC664" i="3"/>
  <c r="AC665" i="3"/>
  <c r="AC666" i="3"/>
  <c r="AC667" i="3"/>
  <c r="AC668" i="3"/>
  <c r="AC669" i="3"/>
  <c r="AC670" i="3"/>
  <c r="AC671" i="3"/>
  <c r="AC672" i="3"/>
  <c r="AC673" i="3"/>
  <c r="AC674" i="3"/>
  <c r="AC677" i="3"/>
  <c r="AC679" i="3"/>
  <c r="AC680" i="3"/>
  <c r="AC681" i="3"/>
  <c r="AC682" i="3"/>
  <c r="AC684" i="3"/>
  <c r="AC685" i="3"/>
  <c r="AC686" i="3"/>
  <c r="AC687" i="3"/>
  <c r="AC688" i="3"/>
  <c r="AC689" i="3"/>
  <c r="AC690" i="3"/>
  <c r="AC693" i="3"/>
  <c r="AC694" i="3"/>
  <c r="AC697" i="3"/>
  <c r="AC700" i="3"/>
  <c r="AC701" i="3"/>
  <c r="AC704" i="3"/>
  <c r="AC705" i="3"/>
  <c r="AC707" i="3"/>
  <c r="AC709" i="3"/>
  <c r="AC710" i="3"/>
  <c r="AC711" i="3"/>
  <c r="AC712" i="3"/>
  <c r="AC713" i="3"/>
  <c r="AC714" i="3"/>
  <c r="AC716" i="3"/>
  <c r="AC717" i="3"/>
  <c r="AC718" i="3"/>
  <c r="AC720" i="3"/>
  <c r="AC721" i="3"/>
  <c r="AC722" i="3"/>
  <c r="AC725" i="3"/>
  <c r="AC727" i="3"/>
  <c r="AC728" i="3"/>
  <c r="AC731" i="3"/>
  <c r="AC732" i="3"/>
  <c r="AC735" i="3"/>
  <c r="AC736" i="3"/>
  <c r="AC737" i="3"/>
  <c r="AC786" i="3"/>
  <c r="AC787" i="3"/>
  <c r="AC788" i="3"/>
  <c r="AC789" i="3"/>
  <c r="AC790" i="3"/>
  <c r="AC791" i="3"/>
  <c r="AC792" i="3"/>
  <c r="AC796" i="3"/>
  <c r="AC797" i="3"/>
  <c r="AC798" i="3"/>
  <c r="AC799" i="3"/>
  <c r="AC800" i="3"/>
  <c r="AC801" i="3"/>
  <c r="AC802" i="3"/>
  <c r="AC803" i="3"/>
  <c r="AC807" i="3"/>
  <c r="AC808" i="3"/>
  <c r="AC809" i="3"/>
  <c r="AC810" i="3"/>
  <c r="AC811" i="3"/>
  <c r="AC812" i="3"/>
  <c r="AC813" i="3"/>
  <c r="AC814" i="3"/>
  <c r="AC815" i="3"/>
  <c r="AC816" i="3"/>
  <c r="AC835" i="3"/>
  <c r="AC836" i="3"/>
  <c r="AC837" i="3"/>
  <c r="AC838" i="3"/>
  <c r="AC839" i="3"/>
  <c r="AC840" i="3"/>
  <c r="AC841" i="3"/>
  <c r="AC847" i="3"/>
  <c r="AC849" i="3"/>
  <c r="AC850" i="3"/>
  <c r="AC851" i="3"/>
  <c r="AC853" i="3"/>
  <c r="AC854" i="3"/>
  <c r="AC855" i="3"/>
  <c r="AC856" i="3"/>
  <c r="AC857" i="3"/>
  <c r="AC858" i="3"/>
  <c r="AC859" i="3"/>
  <c r="AC860" i="3"/>
  <c r="AC861" i="3"/>
  <c r="AC862" i="3"/>
  <c r="AC863" i="3"/>
  <c r="AC864" i="3"/>
  <c r="AC865" i="3"/>
  <c r="AC866" i="3"/>
  <c r="AC867" i="3"/>
  <c r="AC868" i="3"/>
  <c r="AC869" i="3"/>
  <c r="AC870" i="3"/>
  <c r="AC873" i="3"/>
  <c r="AC874" i="3"/>
  <c r="AC875" i="3"/>
  <c r="AC876" i="3"/>
  <c r="AC877" i="3"/>
  <c r="AC878" i="3"/>
  <c r="AC879" i="3"/>
  <c r="AC880" i="3"/>
  <c r="AC881" i="3"/>
  <c r="AC882" i="3"/>
  <c r="AC883" i="3"/>
  <c r="AC884" i="3"/>
  <c r="AC885" i="3"/>
  <c r="AC886" i="3"/>
  <c r="AC890" i="3"/>
  <c r="AC899" i="3"/>
  <c r="AC900" i="3"/>
  <c r="AC901" i="3"/>
  <c r="AC902" i="3"/>
  <c r="AC903" i="3"/>
  <c r="AC904" i="3"/>
  <c r="AC905" i="3"/>
  <c r="AC906" i="3"/>
  <c r="AC907" i="3"/>
  <c r="AC908" i="3"/>
  <c r="AC917" i="3"/>
  <c r="AC918" i="3"/>
  <c r="AC919" i="3"/>
  <c r="AC920" i="3"/>
  <c r="AC921" i="3"/>
  <c r="AC922" i="3"/>
  <c r="AC923" i="3"/>
  <c r="AC924" i="3"/>
  <c r="AC925" i="3"/>
  <c r="AC926" i="3"/>
  <c r="AC927" i="3"/>
  <c r="AC928" i="3"/>
  <c r="AC929" i="3"/>
  <c r="AC930" i="3"/>
  <c r="AC931" i="3"/>
  <c r="AC932" i="3"/>
  <c r="AC933" i="3"/>
  <c r="AC934" i="3"/>
  <c r="AC935" i="3"/>
  <c r="AC936" i="3"/>
  <c r="AC937" i="3"/>
  <c r="AC938" i="3"/>
  <c r="AC939" i="3"/>
  <c r="AC940" i="3"/>
  <c r="AC941" i="3"/>
  <c r="AC942" i="3"/>
  <c r="AC943" i="3"/>
  <c r="AC944" i="3"/>
  <c r="AC945" i="3"/>
  <c r="AC946" i="3"/>
  <c r="AC947" i="3"/>
  <c r="AC948" i="3"/>
  <c r="AC949" i="3"/>
  <c r="AC950" i="3"/>
  <c r="AC951" i="3"/>
  <c r="AC952" i="3"/>
  <c r="AC953" i="3"/>
  <c r="AC954" i="3"/>
  <c r="AC955" i="3"/>
  <c r="AC956" i="3"/>
  <c r="AC957" i="3"/>
  <c r="AC958" i="3"/>
  <c r="AC959" i="3"/>
  <c r="AC960" i="3"/>
  <c r="AC961" i="3"/>
  <c r="AC967" i="3"/>
  <c r="AC968" i="3"/>
  <c r="AC969" i="3"/>
  <c r="AC970" i="3"/>
  <c r="AC971" i="3"/>
  <c r="AC972" i="3"/>
  <c r="AC973" i="3"/>
  <c r="AC974" i="3"/>
  <c r="AC975" i="3"/>
  <c r="AC976" i="3"/>
  <c r="AC977" i="3"/>
  <c r="AC978" i="3"/>
  <c r="AC979" i="3"/>
  <c r="AC980" i="3"/>
  <c r="AC983" i="3"/>
  <c r="AC984" i="3"/>
  <c r="AC985" i="3"/>
  <c r="AC986" i="3"/>
  <c r="AC987" i="3"/>
  <c r="AC988" i="3"/>
  <c r="AC989" i="3"/>
  <c r="AC990" i="3"/>
  <c r="AC991" i="3"/>
  <c r="AC992" i="3"/>
  <c r="AC993" i="3"/>
  <c r="AC994" i="3"/>
  <c r="AC996" i="3"/>
  <c r="AC1016" i="3"/>
  <c r="AC1017" i="3"/>
  <c r="AC1027" i="3"/>
  <c r="AC1028" i="3"/>
  <c r="AC1034" i="3"/>
  <c r="AC1035" i="3"/>
  <c r="AC1036" i="3"/>
  <c r="AC1037" i="3"/>
  <c r="AC1038" i="3"/>
  <c r="AC1039" i="3"/>
  <c r="AC1042" i="3"/>
  <c r="AC1043" i="3"/>
  <c r="AC1044" i="3"/>
  <c r="AC1045" i="3"/>
  <c r="AC1046" i="3"/>
  <c r="AC1047" i="3"/>
  <c r="AC1048" i="3"/>
  <c r="AC1049" i="3"/>
  <c r="AC1050" i="3"/>
  <c r="AC1051" i="3"/>
  <c r="AC1052" i="3"/>
  <c r="AC1053" i="3"/>
  <c r="AC1054" i="3"/>
  <c r="AC1056" i="3"/>
  <c r="AC1057" i="3"/>
  <c r="AC1058" i="3"/>
  <c r="AC1059" i="3"/>
  <c r="AC1061" i="3"/>
  <c r="AC1062" i="3"/>
  <c r="AC1063" i="3"/>
  <c r="AC1064" i="3"/>
  <c r="AC1065" i="3"/>
  <c r="AC1067" i="3"/>
  <c r="AC1068" i="3"/>
  <c r="AC1069" i="3"/>
  <c r="AC1070" i="3"/>
  <c r="AC1071" i="3"/>
  <c r="AC1072" i="3"/>
  <c r="AC1073" i="3"/>
  <c r="AC1074" i="3"/>
  <c r="AC1075" i="3"/>
  <c r="AC1076" i="3"/>
  <c r="AC1077" i="3"/>
  <c r="AC1078" i="3"/>
  <c r="AC1079" i="3"/>
  <c r="AC1080" i="3"/>
  <c r="AC1081" i="3"/>
  <c r="AC1082" i="3"/>
  <c r="AC1083" i="3"/>
  <c r="AC1084" i="3"/>
  <c r="AC1085" i="3"/>
  <c r="AC1086" i="3"/>
  <c r="AC1087" i="3"/>
  <c r="AC1088" i="3"/>
  <c r="AC1089" i="3"/>
  <c r="AC1090" i="3"/>
  <c r="AC1091" i="3"/>
  <c r="AC1092" i="3"/>
  <c r="AC1093" i="3"/>
  <c r="AC1094" i="3"/>
  <c r="AC1095" i="3"/>
  <c r="AC1096" i="3"/>
  <c r="AC1097" i="3"/>
  <c r="AC1098" i="3"/>
  <c r="AC1099" i="3"/>
  <c r="AC1100" i="3"/>
  <c r="AC1101" i="3"/>
  <c r="AC1102" i="3"/>
  <c r="AC1103" i="3"/>
  <c r="AC1104" i="3"/>
  <c r="AC1105" i="3"/>
  <c r="AC1106" i="3"/>
  <c r="AC1107" i="3"/>
  <c r="AC1108" i="3"/>
  <c r="AC1109" i="3"/>
  <c r="AC1110" i="3"/>
  <c r="AC1111" i="3"/>
  <c r="AC1112" i="3"/>
  <c r="AC1113" i="3"/>
  <c r="AC1114" i="3"/>
  <c r="AC1115" i="3"/>
  <c r="AC1116" i="3"/>
  <c r="AC1117" i="3"/>
  <c r="AC1118" i="3"/>
  <c r="AC1119" i="3"/>
  <c r="AC1120" i="3"/>
  <c r="AC1122" i="3"/>
  <c r="AC1123" i="3"/>
  <c r="AC1124" i="3"/>
  <c r="AC1125" i="3"/>
  <c r="AC1126" i="3"/>
  <c r="AC1127" i="3"/>
  <c r="AC1128" i="3"/>
  <c r="AC1129" i="3"/>
  <c r="AC1130" i="3"/>
  <c r="AC1131" i="3"/>
  <c r="AC1132" i="3"/>
  <c r="AC1133" i="3"/>
  <c r="AC1134" i="3"/>
  <c r="AC1135" i="3"/>
  <c r="AC1136" i="3"/>
  <c r="AC1137" i="3"/>
  <c r="AC1138" i="3"/>
  <c r="AC1139" i="3"/>
  <c r="AC1140" i="3"/>
  <c r="AC1141" i="3"/>
  <c r="AC1142" i="3"/>
  <c r="AC1143" i="3"/>
  <c r="AC1144" i="3"/>
  <c r="AC1145" i="3"/>
  <c r="AC1146" i="3"/>
  <c r="AC1147" i="3"/>
  <c r="AC1148" i="3"/>
  <c r="AC1149" i="3"/>
  <c r="AC1150" i="3"/>
  <c r="AC1151" i="3"/>
  <c r="AC1152" i="3"/>
  <c r="AC1153" i="3"/>
  <c r="AC1154" i="3"/>
  <c r="AC1155" i="3"/>
  <c r="AC1156" i="3"/>
  <c r="AC1157" i="3"/>
  <c r="AC1158" i="3"/>
  <c r="AC1159" i="3"/>
  <c r="AC1160" i="3"/>
  <c r="AC1161" i="3"/>
  <c r="AC1162" i="3"/>
  <c r="AC1163" i="3"/>
  <c r="AC1164" i="3"/>
  <c r="AC1165" i="3"/>
  <c r="AC1166" i="3"/>
  <c r="AC1167" i="3"/>
  <c r="AC1168" i="3"/>
  <c r="AC1169" i="3"/>
  <c r="AC1170" i="3"/>
  <c r="AC1171" i="3"/>
  <c r="AC1172" i="3"/>
  <c r="AC1173" i="3"/>
  <c r="AC1174" i="3"/>
  <c r="AC1175" i="3"/>
  <c r="AC1176" i="3"/>
  <c r="AC1177" i="3"/>
  <c r="AC1178" i="3"/>
  <c r="AC1179" i="3"/>
  <c r="AC1180" i="3"/>
  <c r="AC1181" i="3"/>
  <c r="AC1182" i="3"/>
  <c r="AC1183" i="3"/>
  <c r="AC1184" i="3"/>
  <c r="AC1185" i="3"/>
  <c r="AC1186" i="3"/>
  <c r="AC1187" i="3"/>
  <c r="AC1188" i="3"/>
  <c r="AC1189" i="3"/>
  <c r="AC1190" i="3"/>
  <c r="AC1191" i="3"/>
  <c r="AC1192" i="3"/>
  <c r="AC1193" i="3"/>
  <c r="AC1194" i="3"/>
  <c r="AC1195" i="3"/>
  <c r="AC1196" i="3"/>
  <c r="AC1197" i="3"/>
  <c r="AC1198" i="3"/>
  <c r="AC1199" i="3"/>
  <c r="AC1200" i="3"/>
  <c r="AC1201" i="3"/>
  <c r="AC1202" i="3"/>
  <c r="AC1203" i="3"/>
  <c r="AC1204" i="3"/>
  <c r="AC1205" i="3"/>
  <c r="AC1206" i="3"/>
  <c r="AC1207" i="3"/>
  <c r="AC1208" i="3"/>
  <c r="AC1209" i="3"/>
  <c r="AC1210" i="3"/>
  <c r="AC1211" i="3"/>
  <c r="AC1212" i="3"/>
  <c r="AC1213" i="3"/>
  <c r="AC1214" i="3"/>
  <c r="AC1215" i="3"/>
  <c r="AC1216" i="3"/>
  <c r="AC1217" i="3"/>
  <c r="AC1218" i="3"/>
  <c r="AC1219" i="3"/>
  <c r="AC1220" i="3"/>
  <c r="AC1221" i="3"/>
  <c r="AC1222" i="3"/>
  <c r="AC1223" i="3"/>
  <c r="AC1224" i="3"/>
  <c r="AC1225" i="3"/>
  <c r="AC1226" i="3"/>
  <c r="AC1227" i="3"/>
  <c r="AC1228" i="3"/>
  <c r="AC1229" i="3"/>
  <c r="AC1230" i="3"/>
  <c r="AC1231" i="3"/>
  <c r="AC1232" i="3"/>
  <c r="AC1233" i="3"/>
  <c r="AC1234" i="3"/>
  <c r="AC1235" i="3"/>
  <c r="AC1236" i="3"/>
  <c r="AC1237" i="3"/>
  <c r="AC1238" i="3"/>
  <c r="AC1239" i="3"/>
  <c r="AC1240" i="3"/>
  <c r="AC1241" i="3"/>
  <c r="AC1242" i="3"/>
  <c r="AC1243" i="3"/>
  <c r="AC1244" i="3"/>
  <c r="AC1245" i="3"/>
  <c r="AC1246" i="3"/>
  <c r="AC1247" i="3"/>
  <c r="AC1248" i="3"/>
  <c r="AC1249" i="3"/>
  <c r="AC1250" i="3"/>
  <c r="AC1251" i="3"/>
  <c r="AC1252" i="3"/>
  <c r="AC1253" i="3"/>
  <c r="AC1254" i="3"/>
  <c r="AC1255" i="3"/>
  <c r="AC1256" i="3"/>
  <c r="AC1257" i="3"/>
  <c r="AC1258" i="3"/>
  <c r="AC1265" i="3"/>
  <c r="AC1266" i="3"/>
  <c r="AC1267" i="3"/>
  <c r="AC1268" i="3"/>
  <c r="AC1269" i="3"/>
  <c r="AC1270" i="3"/>
  <c r="AC1271" i="3"/>
  <c r="AC1272" i="3"/>
  <c r="AC1273" i="3"/>
  <c r="AC1274" i="3"/>
  <c r="AC1275" i="3"/>
  <c r="AC1276" i="3"/>
  <c r="AC1292" i="3"/>
  <c r="AC1302" i="3"/>
  <c r="AC1341" i="3"/>
  <c r="AC1352" i="3"/>
  <c r="AC1356" i="3"/>
  <c r="AC1360" i="3"/>
  <c r="AC1361" i="3"/>
  <c r="AC1362" i="3"/>
  <c r="AC1363" i="3"/>
  <c r="AC1364" i="3"/>
  <c r="AC1365" i="3"/>
  <c r="AC1366" i="3"/>
  <c r="AC1367" i="3"/>
  <c r="AC1368" i="3"/>
  <c r="AC1369" i="3"/>
  <c r="AC1370" i="3"/>
  <c r="AC1371" i="3"/>
  <c r="AC1372" i="3"/>
  <c r="AC1373" i="3"/>
  <c r="AC1374" i="3"/>
  <c r="AC1375" i="3"/>
  <c r="AC1376" i="3"/>
  <c r="AC1377" i="3"/>
  <c r="AC1378" i="3"/>
  <c r="AC1379" i="3"/>
  <c r="AC1380" i="3"/>
  <c r="AC1381" i="3"/>
  <c r="AC1382" i="3"/>
  <c r="AC1383" i="3"/>
  <c r="AC1384" i="3"/>
  <c r="AC1385" i="3"/>
  <c r="AC1386" i="3"/>
  <c r="AC1387" i="3"/>
  <c r="AC1388" i="3"/>
  <c r="AC1389" i="3"/>
  <c r="AC1390" i="3"/>
  <c r="AC1391" i="3"/>
  <c r="AC1392" i="3"/>
  <c r="AC1393" i="3"/>
  <c r="AC1394" i="3"/>
  <c r="AC1395" i="3"/>
  <c r="AC1396" i="3"/>
  <c r="AC1397" i="3"/>
  <c r="AC1398" i="3"/>
  <c r="AC1399" i="3"/>
  <c r="AC1400" i="3"/>
  <c r="AC1401" i="3"/>
  <c r="AC1402" i="3"/>
  <c r="AC1409" i="3"/>
  <c r="AC1410" i="3"/>
  <c r="AC1411" i="3"/>
  <c r="AC1412" i="3"/>
  <c r="AC1414" i="3"/>
  <c r="AC1416" i="3"/>
  <c r="AC1417" i="3"/>
  <c r="AC1418" i="3"/>
  <c r="AC1419" i="3"/>
  <c r="AC1420" i="3"/>
  <c r="AC1421" i="3"/>
  <c r="AC1439" i="3"/>
  <c r="AC1455" i="3"/>
  <c r="AC1460" i="3"/>
  <c r="AC1465" i="3"/>
  <c r="AC1473" i="3"/>
  <c r="AC1474" i="3"/>
  <c r="AC1480" i="3"/>
  <c r="AC1485" i="3"/>
  <c r="AC1486" i="3"/>
  <c r="AC1491" i="3"/>
  <c r="AC1535" i="3"/>
  <c r="AC1536" i="3"/>
  <c r="AC1537" i="3"/>
  <c r="AC1538" i="3"/>
  <c r="AC1539" i="3"/>
  <c r="AC1540" i="3"/>
  <c r="AC1544" i="3"/>
  <c r="AC1545" i="3"/>
  <c r="AC1546" i="3"/>
  <c r="AC1558" i="3"/>
  <c r="AC1559" i="3"/>
  <c r="AC1568" i="3"/>
  <c r="AC1572" i="3"/>
  <c r="AC1573" i="3"/>
  <c r="AC1574" i="3"/>
  <c r="AC1575" i="3"/>
  <c r="AC1576" i="3"/>
  <c r="AC1583" i="3"/>
  <c r="AC1584" i="3"/>
  <c r="AC1587" i="3"/>
  <c r="AC1590" i="3"/>
  <c r="AC1591" i="3"/>
  <c r="AC1592" i="3"/>
  <c r="AC1593" i="3"/>
  <c r="AC1595" i="3"/>
  <c r="AC1596" i="3"/>
  <c r="AC1597" i="3"/>
  <c r="AC1598" i="3"/>
  <c r="AC1600" i="3"/>
  <c r="AC1601" i="3"/>
  <c r="AC1602" i="3"/>
  <c r="AC1605" i="3"/>
  <c r="AC1606" i="3"/>
  <c r="AC1618" i="3"/>
  <c r="AC1622" i="3"/>
  <c r="AC1638" i="3"/>
  <c r="AC1639" i="3"/>
  <c r="AC1696" i="3"/>
  <c r="AC1706" i="3"/>
  <c r="AC1707" i="3"/>
  <c r="AC1708" i="3"/>
  <c r="AC1709" i="3"/>
  <c r="AC1710" i="3"/>
  <c r="AC1715" i="3"/>
  <c r="AB7" i="3"/>
  <c r="AB12" i="3"/>
  <c r="AB13" i="3"/>
  <c r="AB14"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3" i="3"/>
  <c r="AB54" i="3"/>
  <c r="AB55" i="3"/>
  <c r="AB73"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15" i="3"/>
  <c r="AB116" i="3"/>
  <c r="AB117" i="3"/>
  <c r="AB118" i="3"/>
  <c r="AB124" i="3"/>
  <c r="AB125" i="3"/>
  <c r="AB126" i="3"/>
  <c r="AB127" i="3"/>
  <c r="AB128" i="3"/>
  <c r="AB129" i="3"/>
  <c r="AB130" i="3"/>
  <c r="AB131" i="3"/>
  <c r="AB132" i="3"/>
  <c r="AB133" i="3"/>
  <c r="AB134" i="3"/>
  <c r="AB135" i="3"/>
  <c r="AB136" i="3"/>
  <c r="AB137" i="3"/>
  <c r="AB138" i="3"/>
  <c r="AB139" i="3"/>
  <c r="AB140" i="3"/>
  <c r="AB141" i="3"/>
  <c r="AB142" i="3"/>
  <c r="AB143" i="3"/>
  <c r="AB145" i="3"/>
  <c r="AB146" i="3"/>
  <c r="AB147" i="3"/>
  <c r="AB148" i="3"/>
  <c r="AB149" i="3"/>
  <c r="AB150" i="3"/>
  <c r="AB151" i="3"/>
  <c r="AB152" i="3"/>
  <c r="AB153" i="3"/>
  <c r="AB154" i="3"/>
  <c r="AB155" i="3"/>
  <c r="AB156" i="3"/>
  <c r="AB157" i="3"/>
  <c r="AB158" i="3"/>
  <c r="AB159" i="3"/>
  <c r="AB160" i="3"/>
  <c r="AB161" i="3"/>
  <c r="AB162" i="3"/>
  <c r="AB163" i="3"/>
  <c r="AB167" i="3"/>
  <c r="AB168" i="3"/>
  <c r="AB169"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2" i="3"/>
  <c r="AB254" i="3"/>
  <c r="AB281" i="3"/>
  <c r="AB282" i="3"/>
  <c r="AB294" i="3"/>
  <c r="AB299" i="3"/>
  <c r="AB300" i="3"/>
  <c r="AB303" i="3"/>
  <c r="AB305" i="3"/>
  <c r="AB307" i="3"/>
  <c r="AB308" i="3"/>
  <c r="AB313" i="3"/>
  <c r="AB315" i="3"/>
  <c r="AB318" i="3"/>
  <c r="AB319" i="3"/>
  <c r="AB327" i="3"/>
  <c r="AB328" i="3"/>
  <c r="AB329" i="3"/>
  <c r="AB332" i="3"/>
  <c r="AB334" i="3"/>
  <c r="AB343" i="3"/>
  <c r="AB355" i="3"/>
  <c r="AB359" i="3"/>
  <c r="AB362" i="3"/>
  <c r="AB363" i="3"/>
  <c r="AB364" i="3"/>
  <c r="AB365" i="3"/>
  <c r="AB372" i="3"/>
  <c r="AB379" i="3"/>
  <c r="AB380" i="3"/>
  <c r="AB381" i="3"/>
  <c r="AB382" i="3"/>
  <c r="AB383" i="3"/>
  <c r="AB385" i="3"/>
  <c r="AB386" i="3"/>
  <c r="AB387" i="3"/>
  <c r="AB388" i="3"/>
  <c r="AB389" i="3"/>
  <c r="AB390" i="3"/>
  <c r="AB391" i="3"/>
  <c r="AB392" i="3"/>
  <c r="AB393" i="3"/>
  <c r="AB394" i="3"/>
  <c r="AB396" i="3"/>
  <c r="AB403" i="3"/>
  <c r="AB404" i="3"/>
  <c r="AB405" i="3"/>
  <c r="AB406" i="3"/>
  <c r="AB436" i="3"/>
  <c r="AB437" i="3"/>
  <c r="AB438" i="3"/>
  <c r="AB450" i="3"/>
  <c r="AB451" i="3"/>
  <c r="AB452" i="3"/>
  <c r="AB453" i="3"/>
  <c r="AB454" i="3"/>
  <c r="AB455" i="3"/>
  <c r="AB456" i="3"/>
  <c r="AB457" i="3"/>
  <c r="AB459" i="3"/>
  <c r="AB460" i="3"/>
  <c r="AB461" i="3"/>
  <c r="AB462" i="3"/>
  <c r="AB463" i="3"/>
  <c r="AB464" i="3"/>
  <c r="AB465" i="3"/>
  <c r="AB466" i="3"/>
  <c r="AB467" i="3"/>
  <c r="AB468" i="3"/>
  <c r="AB469" i="3"/>
  <c r="AB471" i="3"/>
  <c r="AB472" i="3"/>
  <c r="AB473" i="3"/>
  <c r="AB474" i="3"/>
  <c r="AB475" i="3"/>
  <c r="AB477" i="3"/>
  <c r="AB478" i="3"/>
  <c r="AB479" i="3"/>
  <c r="AB480" i="3"/>
  <c r="AB481" i="3"/>
  <c r="AB482" i="3"/>
  <c r="AB483" i="3"/>
  <c r="AB484" i="3"/>
  <c r="AB485" i="3"/>
  <c r="AB486" i="3"/>
  <c r="AB487" i="3"/>
  <c r="AB488" i="3"/>
  <c r="AB489" i="3"/>
  <c r="AB490" i="3"/>
  <c r="AB491" i="3"/>
  <c r="AB492" i="3"/>
  <c r="AB493" i="3"/>
  <c r="AB494" i="3"/>
  <c r="AB495" i="3"/>
  <c r="AB496" i="3"/>
  <c r="AB497" i="3"/>
  <c r="AB501" i="3"/>
  <c r="AB502" i="3"/>
  <c r="AB503" i="3"/>
  <c r="AB504" i="3"/>
  <c r="AB507" i="3"/>
  <c r="AB508" i="3"/>
  <c r="AB509" i="3"/>
  <c r="AB510" i="3"/>
  <c r="AB511" i="3"/>
  <c r="AB512" i="3"/>
  <c r="AB513" i="3"/>
  <c r="AB514" i="3"/>
  <c r="AB515" i="3"/>
  <c r="AB516" i="3"/>
  <c r="AB517" i="3"/>
  <c r="AB518" i="3"/>
  <c r="AB519" i="3"/>
  <c r="AB520" i="3"/>
  <c r="AB521" i="3"/>
  <c r="AB522" i="3"/>
  <c r="AB523" i="3"/>
  <c r="AB524" i="3"/>
  <c r="AB525" i="3"/>
  <c r="AB526" i="3"/>
  <c r="AB527" i="3"/>
  <c r="AB528" i="3"/>
  <c r="AB548" i="3"/>
  <c r="AB550" i="3"/>
  <c r="AB558" i="3"/>
  <c r="AB568" i="3"/>
  <c r="AB569" i="3"/>
  <c r="AB570" i="3"/>
  <c r="AB571" i="3"/>
  <c r="AB573" i="3"/>
  <c r="AB574" i="3"/>
  <c r="AB575" i="3"/>
  <c r="AB576" i="3"/>
  <c r="AB577" i="3"/>
  <c r="AB578" i="3"/>
  <c r="AB579" i="3"/>
  <c r="AB580" i="3"/>
  <c r="AB581" i="3"/>
  <c r="AB582" i="3"/>
  <c r="AB583" i="3"/>
  <c r="AB584" i="3"/>
  <c r="AB588" i="3"/>
  <c r="AB589" i="3"/>
  <c r="AB590" i="3"/>
  <c r="AB591" i="3"/>
  <c r="AB592" i="3"/>
  <c r="AB593" i="3"/>
  <c r="AB594" i="3"/>
  <c r="AB595" i="3"/>
  <c r="AB596" i="3"/>
  <c r="AB597" i="3"/>
  <c r="AB598" i="3"/>
  <c r="AB611" i="3"/>
  <c r="AB612" i="3"/>
  <c r="AB613" i="3"/>
  <c r="AB614" i="3"/>
  <c r="AB615" i="3"/>
  <c r="AB616"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52" i="3"/>
  <c r="AB655" i="3"/>
  <c r="AB656" i="3"/>
  <c r="AB657" i="3"/>
  <c r="AB658" i="3"/>
  <c r="AB659" i="3"/>
  <c r="AB660" i="3"/>
  <c r="AB661" i="3"/>
  <c r="AB662" i="3"/>
  <c r="AB663" i="3"/>
  <c r="AB664" i="3"/>
  <c r="AB665" i="3"/>
  <c r="AB666" i="3"/>
  <c r="AB667" i="3"/>
  <c r="AB668" i="3"/>
  <c r="AB669" i="3"/>
  <c r="AB670" i="3"/>
  <c r="AB671" i="3"/>
  <c r="AB672" i="3"/>
  <c r="AB673" i="3"/>
  <c r="AB674" i="3"/>
  <c r="AB677" i="3"/>
  <c r="AB679" i="3"/>
  <c r="AB680" i="3"/>
  <c r="AB681" i="3"/>
  <c r="AB682" i="3"/>
  <c r="AB684" i="3"/>
  <c r="AB685" i="3"/>
  <c r="AB686" i="3"/>
  <c r="AB687" i="3"/>
  <c r="AB688" i="3"/>
  <c r="AB689" i="3"/>
  <c r="AB690" i="3"/>
  <c r="AB693" i="3"/>
  <c r="AB694" i="3"/>
  <c r="AB697" i="3"/>
  <c r="AB700" i="3"/>
  <c r="AB701" i="3"/>
  <c r="AB704" i="3"/>
  <c r="AB705" i="3"/>
  <c r="AB707" i="3"/>
  <c r="AB709" i="3"/>
  <c r="AB710" i="3"/>
  <c r="AB711" i="3"/>
  <c r="AB712" i="3"/>
  <c r="AB713" i="3"/>
  <c r="AB714" i="3"/>
  <c r="AB716" i="3"/>
  <c r="AB717" i="3"/>
  <c r="AB718" i="3"/>
  <c r="AB720" i="3"/>
  <c r="AB721" i="3"/>
  <c r="AB722" i="3"/>
  <c r="AB725" i="3"/>
  <c r="AB727" i="3"/>
  <c r="AB728" i="3"/>
  <c r="AB731" i="3"/>
  <c r="AB732" i="3"/>
  <c r="AB735" i="3"/>
  <c r="AB736" i="3"/>
  <c r="AB737" i="3"/>
  <c r="AB786" i="3"/>
  <c r="AB787" i="3"/>
  <c r="AB788" i="3"/>
  <c r="AB789" i="3"/>
  <c r="AB790" i="3"/>
  <c r="AB791" i="3"/>
  <c r="AB792" i="3"/>
  <c r="AB796" i="3"/>
  <c r="AB797" i="3"/>
  <c r="AB798" i="3"/>
  <c r="AB799" i="3"/>
  <c r="AB800" i="3"/>
  <c r="AB801" i="3"/>
  <c r="AB802" i="3"/>
  <c r="AB803" i="3"/>
  <c r="AB807" i="3"/>
  <c r="AB808" i="3"/>
  <c r="AB809" i="3"/>
  <c r="AB810" i="3"/>
  <c r="AB811" i="3"/>
  <c r="AB812" i="3"/>
  <c r="AB813" i="3"/>
  <c r="AB814" i="3"/>
  <c r="AB815" i="3"/>
  <c r="AB816" i="3"/>
  <c r="AB835" i="3"/>
  <c r="AB836" i="3"/>
  <c r="AB837" i="3"/>
  <c r="AB838" i="3"/>
  <c r="AB839" i="3"/>
  <c r="AB840" i="3"/>
  <c r="AB841" i="3"/>
  <c r="AB847" i="3"/>
  <c r="AB849" i="3"/>
  <c r="AB850" i="3"/>
  <c r="AB851" i="3"/>
  <c r="AB853" i="3"/>
  <c r="AB854" i="3"/>
  <c r="AB855" i="3"/>
  <c r="AB856" i="3"/>
  <c r="AB857" i="3"/>
  <c r="AB858" i="3"/>
  <c r="AB859" i="3"/>
  <c r="AB860" i="3"/>
  <c r="AB861" i="3"/>
  <c r="AB862" i="3"/>
  <c r="AB863" i="3"/>
  <c r="AB864" i="3"/>
  <c r="AB865" i="3"/>
  <c r="AB866" i="3"/>
  <c r="AB867" i="3"/>
  <c r="AB868" i="3"/>
  <c r="AB869" i="3"/>
  <c r="AB870" i="3"/>
  <c r="AB873" i="3"/>
  <c r="AB874" i="3"/>
  <c r="AB875" i="3"/>
  <c r="AB876" i="3"/>
  <c r="AB877" i="3"/>
  <c r="AB878" i="3"/>
  <c r="AB879" i="3"/>
  <c r="AB880" i="3"/>
  <c r="AB881" i="3"/>
  <c r="AB882" i="3"/>
  <c r="AB883" i="3"/>
  <c r="AB884" i="3"/>
  <c r="AB885" i="3"/>
  <c r="AB886" i="3"/>
  <c r="AB890" i="3"/>
  <c r="AB899" i="3"/>
  <c r="AB900" i="3"/>
  <c r="AB901" i="3"/>
  <c r="AB902" i="3"/>
  <c r="AB903" i="3"/>
  <c r="AB904" i="3"/>
  <c r="AB905" i="3"/>
  <c r="AB906" i="3"/>
  <c r="AB907" i="3"/>
  <c r="AB908"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7" i="3"/>
  <c r="AB968" i="3"/>
  <c r="AB969" i="3"/>
  <c r="AB970" i="3"/>
  <c r="AB971" i="3"/>
  <c r="AB972" i="3"/>
  <c r="AB973" i="3"/>
  <c r="AB974" i="3"/>
  <c r="AB975" i="3"/>
  <c r="AB976" i="3"/>
  <c r="AB977" i="3"/>
  <c r="AB978" i="3"/>
  <c r="AB979" i="3"/>
  <c r="AB980" i="3"/>
  <c r="AB983" i="3"/>
  <c r="AB984" i="3"/>
  <c r="AB985" i="3"/>
  <c r="AB986" i="3"/>
  <c r="AB987" i="3"/>
  <c r="AB988" i="3"/>
  <c r="AB989" i="3"/>
  <c r="AB990" i="3"/>
  <c r="AB991" i="3"/>
  <c r="AB992" i="3"/>
  <c r="AB993" i="3"/>
  <c r="AB994" i="3"/>
  <c r="AB996" i="3"/>
  <c r="AB1016" i="3"/>
  <c r="AB1017" i="3"/>
  <c r="AB1027" i="3"/>
  <c r="AB1028" i="3"/>
  <c r="AB1034" i="3"/>
  <c r="AB1035" i="3"/>
  <c r="AB1036" i="3"/>
  <c r="AB1037" i="3"/>
  <c r="AB1038" i="3"/>
  <c r="AB1039" i="3"/>
  <c r="AB1042" i="3"/>
  <c r="AB1043" i="3"/>
  <c r="AB1044" i="3"/>
  <c r="AB1045" i="3"/>
  <c r="AB1046" i="3"/>
  <c r="AB1047" i="3"/>
  <c r="AB1048" i="3"/>
  <c r="AB1049" i="3"/>
  <c r="AB1050" i="3"/>
  <c r="AB1051" i="3"/>
  <c r="AB1052" i="3"/>
  <c r="AB1053" i="3"/>
  <c r="AB1054" i="3"/>
  <c r="AB1056" i="3"/>
  <c r="AB1057" i="3"/>
  <c r="AB1058" i="3"/>
  <c r="AB1059" i="3"/>
  <c r="AB1061" i="3"/>
  <c r="AB1062" i="3"/>
  <c r="AB1063" i="3"/>
  <c r="AB1064" i="3"/>
  <c r="AB1065"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65" i="3"/>
  <c r="AB1266" i="3"/>
  <c r="AB1267" i="3"/>
  <c r="AB1268" i="3"/>
  <c r="AB1269" i="3"/>
  <c r="AB1270" i="3"/>
  <c r="AB1271" i="3"/>
  <c r="AB1272" i="3"/>
  <c r="AB1273" i="3"/>
  <c r="AB1274" i="3"/>
  <c r="AB1275" i="3"/>
  <c r="AB1276" i="3"/>
  <c r="AB1292" i="3"/>
  <c r="AB1302" i="3"/>
  <c r="AB1341" i="3"/>
  <c r="AB1352" i="3"/>
  <c r="AB1356"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9" i="3"/>
  <c r="AB1410" i="3"/>
  <c r="AB1411" i="3"/>
  <c r="AB1412" i="3"/>
  <c r="AB1414" i="3"/>
  <c r="AB1416" i="3"/>
  <c r="AB1417" i="3"/>
  <c r="AB1418" i="3"/>
  <c r="AB1419" i="3"/>
  <c r="AB1420" i="3"/>
  <c r="AB1421" i="3"/>
  <c r="AB1439" i="3"/>
  <c r="AB1455" i="3"/>
  <c r="AB1460" i="3"/>
  <c r="AB1465" i="3"/>
  <c r="AB1473" i="3"/>
  <c r="AB1474" i="3"/>
  <c r="AB1480" i="3"/>
  <c r="AB1485" i="3"/>
  <c r="AB1486" i="3"/>
  <c r="AB1491" i="3"/>
  <c r="AB1535" i="3"/>
  <c r="AB1536" i="3"/>
  <c r="AB1537" i="3"/>
  <c r="AB1538" i="3"/>
  <c r="AB1539" i="3"/>
  <c r="AB1540" i="3"/>
  <c r="AB1544" i="3"/>
  <c r="AB1545" i="3"/>
  <c r="AB1546" i="3"/>
  <c r="AB1558" i="3"/>
  <c r="AB1559" i="3"/>
  <c r="AB1568" i="3"/>
  <c r="AB1572" i="3"/>
  <c r="AB1573" i="3"/>
  <c r="AB1574" i="3"/>
  <c r="AB1575" i="3"/>
  <c r="AB1576" i="3"/>
  <c r="AB1583" i="3"/>
  <c r="AB1584" i="3"/>
  <c r="AB1587" i="3"/>
  <c r="AB1590" i="3"/>
  <c r="AB1591" i="3"/>
  <c r="AB1592" i="3"/>
  <c r="AB1593" i="3"/>
  <c r="AB1595" i="3"/>
  <c r="AB1596" i="3"/>
  <c r="AB1597" i="3"/>
  <c r="AB1598" i="3"/>
  <c r="AB1600" i="3"/>
  <c r="AB1601" i="3"/>
  <c r="AB1602" i="3"/>
  <c r="AB1605" i="3"/>
  <c r="AB1606" i="3"/>
  <c r="AB1618" i="3"/>
  <c r="AB1622" i="3"/>
  <c r="AB1638" i="3"/>
  <c r="AB1639" i="3"/>
  <c r="AB1696" i="3"/>
  <c r="AB1706" i="3"/>
  <c r="AB1707" i="3"/>
  <c r="AB1708" i="3"/>
  <c r="AB1709" i="3"/>
  <c r="AB1710" i="3"/>
  <c r="AB1715" i="3"/>
  <c r="X16" i="3"/>
  <c r="Y16" i="3"/>
  <c r="X17" i="3"/>
  <c r="Y17" i="3"/>
  <c r="X18" i="3"/>
  <c r="Y18" i="3"/>
  <c r="X19" i="3"/>
  <c r="Y19" i="3"/>
  <c r="X20" i="3"/>
  <c r="Y20" i="3"/>
  <c r="X21" i="3"/>
  <c r="Y21" i="3"/>
  <c r="X22" i="3"/>
  <c r="Y22" i="3"/>
  <c r="X23" i="3"/>
  <c r="Y23" i="3"/>
  <c r="X24" i="3"/>
  <c r="Y24" i="3"/>
  <c r="X25" i="3"/>
  <c r="Y25" i="3"/>
  <c r="X26" i="3"/>
  <c r="Y26" i="3"/>
  <c r="X27" i="3"/>
  <c r="Y27" i="3"/>
  <c r="Z27" i="3"/>
  <c r="AD27" i="3" s="1"/>
  <c r="X28" i="3"/>
  <c r="Y28" i="3"/>
  <c r="Z28" i="3" s="1"/>
  <c r="AD28" i="3" s="1"/>
  <c r="X29" i="3"/>
  <c r="Y29" i="3"/>
  <c r="Z29" i="3" s="1"/>
  <c r="AD29" i="3" s="1"/>
  <c r="X30" i="3"/>
  <c r="Y30" i="3"/>
  <c r="X31" i="3"/>
  <c r="Y31" i="3"/>
  <c r="Z31" i="3" s="1"/>
  <c r="AD31" i="3" s="1"/>
  <c r="X32" i="3"/>
  <c r="Y32" i="3"/>
  <c r="X33" i="3"/>
  <c r="Y33" i="3"/>
  <c r="X34" i="3"/>
  <c r="Y34" i="3"/>
  <c r="X35" i="3"/>
  <c r="Y35" i="3"/>
  <c r="Z35" i="3" s="1"/>
  <c r="AD35" i="3" s="1"/>
  <c r="X36" i="3"/>
  <c r="Y36" i="3"/>
  <c r="X37" i="3"/>
  <c r="Y37" i="3"/>
  <c r="X38" i="3"/>
  <c r="Y38" i="3"/>
  <c r="X39" i="3"/>
  <c r="Y39" i="3"/>
  <c r="X40" i="3"/>
  <c r="Y40" i="3"/>
  <c r="X41" i="3"/>
  <c r="Y41" i="3"/>
  <c r="X42" i="3"/>
  <c r="Y42" i="3"/>
  <c r="X43" i="3"/>
  <c r="Y43" i="3"/>
  <c r="Z43" i="3" s="1"/>
  <c r="AD43" i="3" s="1"/>
  <c r="X44" i="3"/>
  <c r="Y44" i="3"/>
  <c r="X45" i="3"/>
  <c r="Y45" i="3"/>
  <c r="X46" i="3"/>
  <c r="Y46" i="3"/>
  <c r="X47" i="3"/>
  <c r="Y47" i="3"/>
  <c r="X48" i="3"/>
  <c r="Y48" i="3"/>
  <c r="X49" i="3"/>
  <c r="Y49" i="3"/>
  <c r="X50" i="3"/>
  <c r="Y50" i="3"/>
  <c r="X51" i="3"/>
  <c r="Y51" i="3"/>
  <c r="X52" i="3"/>
  <c r="Y52" i="3"/>
  <c r="X53" i="3"/>
  <c r="Y53" i="3"/>
  <c r="X54" i="3"/>
  <c r="Y54" i="3"/>
  <c r="X55" i="3"/>
  <c r="Y55" i="3"/>
  <c r="X56" i="3"/>
  <c r="Y56" i="3"/>
  <c r="X57" i="3"/>
  <c r="Y57" i="3"/>
  <c r="X58" i="3"/>
  <c r="Y58" i="3"/>
  <c r="X59" i="3"/>
  <c r="Y59" i="3"/>
  <c r="Z59" i="3" s="1"/>
  <c r="X60" i="3"/>
  <c r="Y60" i="3"/>
  <c r="X61" i="3"/>
  <c r="Y61" i="3"/>
  <c r="X62" i="3"/>
  <c r="Y62" i="3"/>
  <c r="X63" i="3"/>
  <c r="Y63" i="3"/>
  <c r="X64" i="3"/>
  <c r="Y64" i="3"/>
  <c r="X65" i="3"/>
  <c r="Y65" i="3"/>
  <c r="X66" i="3"/>
  <c r="Y66" i="3"/>
  <c r="X67" i="3"/>
  <c r="Y67" i="3"/>
  <c r="X68" i="3"/>
  <c r="Y68" i="3"/>
  <c r="X69" i="3"/>
  <c r="Y69" i="3"/>
  <c r="X70" i="3"/>
  <c r="Y70" i="3"/>
  <c r="X71" i="3"/>
  <c r="Y71" i="3"/>
  <c r="X72" i="3"/>
  <c r="Y72" i="3"/>
  <c r="X73" i="3"/>
  <c r="Y73" i="3"/>
  <c r="X74" i="3"/>
  <c r="Y74" i="3"/>
  <c r="X75" i="3"/>
  <c r="Y75" i="3"/>
  <c r="X76" i="3"/>
  <c r="Y76" i="3"/>
  <c r="X77" i="3"/>
  <c r="Y77" i="3"/>
  <c r="X78" i="3"/>
  <c r="Y78" i="3"/>
  <c r="X79" i="3"/>
  <c r="Y79" i="3"/>
  <c r="X80" i="3"/>
  <c r="Y80" i="3"/>
  <c r="X81" i="3"/>
  <c r="Y81" i="3"/>
  <c r="X82" i="3"/>
  <c r="Y82" i="3"/>
  <c r="X83" i="3"/>
  <c r="Y83" i="3"/>
  <c r="X84" i="3"/>
  <c r="Y84" i="3"/>
  <c r="X85" i="3"/>
  <c r="Y85" i="3"/>
  <c r="X86" i="3"/>
  <c r="Y86" i="3"/>
  <c r="X87" i="3"/>
  <c r="Y87" i="3"/>
  <c r="X88" i="3"/>
  <c r="Y88" i="3"/>
  <c r="X89" i="3"/>
  <c r="Y89" i="3"/>
  <c r="X90" i="3"/>
  <c r="Y90" i="3"/>
  <c r="X91" i="3"/>
  <c r="Y91" i="3"/>
  <c r="Z91" i="3"/>
  <c r="AD91" i="3" s="1"/>
  <c r="X92" i="3"/>
  <c r="Y92" i="3"/>
  <c r="Z92" i="3" s="1"/>
  <c r="AD92" i="3" s="1"/>
  <c r="X93" i="3"/>
  <c r="Y93" i="3"/>
  <c r="Z93" i="3" s="1"/>
  <c r="AD93" i="3" s="1"/>
  <c r="X94" i="3"/>
  <c r="Y94" i="3"/>
  <c r="X95" i="3"/>
  <c r="Y95" i="3"/>
  <c r="Z95" i="3" s="1"/>
  <c r="AD95" i="3" s="1"/>
  <c r="X96" i="3"/>
  <c r="Y96" i="3"/>
  <c r="X97" i="3"/>
  <c r="Y97" i="3"/>
  <c r="X98" i="3"/>
  <c r="Y98" i="3"/>
  <c r="X99" i="3"/>
  <c r="Y99" i="3"/>
  <c r="Z99" i="3" s="1"/>
  <c r="AD99" i="3" s="1"/>
  <c r="X100" i="3"/>
  <c r="Y100" i="3"/>
  <c r="X101" i="3"/>
  <c r="Y101" i="3"/>
  <c r="X102" i="3"/>
  <c r="Y102" i="3"/>
  <c r="X103" i="3"/>
  <c r="Y103" i="3"/>
  <c r="X104" i="3"/>
  <c r="Y104" i="3"/>
  <c r="X105" i="3"/>
  <c r="Y105" i="3"/>
  <c r="X106" i="3"/>
  <c r="Y106" i="3"/>
  <c r="X107" i="3"/>
  <c r="Y107" i="3"/>
  <c r="Z107" i="3" s="1"/>
  <c r="AD107" i="3" s="1"/>
  <c r="X108" i="3"/>
  <c r="Y108" i="3"/>
  <c r="X109" i="3"/>
  <c r="Y109" i="3"/>
  <c r="X110" i="3"/>
  <c r="Y110" i="3"/>
  <c r="X111" i="3"/>
  <c r="Y111" i="3"/>
  <c r="X112" i="3"/>
  <c r="Y112" i="3"/>
  <c r="X113" i="3"/>
  <c r="Y113" i="3"/>
  <c r="X114" i="3"/>
  <c r="Y114" i="3"/>
  <c r="X115" i="3"/>
  <c r="Y115" i="3"/>
  <c r="X116" i="3"/>
  <c r="Y116" i="3"/>
  <c r="X117" i="3"/>
  <c r="Y117" i="3"/>
  <c r="X118" i="3"/>
  <c r="Y118" i="3"/>
  <c r="X119" i="3"/>
  <c r="Y119" i="3"/>
  <c r="X120" i="3"/>
  <c r="Y120" i="3"/>
  <c r="X121" i="3"/>
  <c r="Y121" i="3"/>
  <c r="X122" i="3"/>
  <c r="Y122" i="3"/>
  <c r="X123" i="3"/>
  <c r="Y123" i="3"/>
  <c r="X124" i="3"/>
  <c r="Y124" i="3"/>
  <c r="X125" i="3"/>
  <c r="Y125" i="3"/>
  <c r="Z125" i="3" s="1"/>
  <c r="AD125" i="3" s="1"/>
  <c r="X126" i="3"/>
  <c r="Y126" i="3"/>
  <c r="X127" i="3"/>
  <c r="Y127" i="3"/>
  <c r="X128" i="3"/>
  <c r="Y128" i="3"/>
  <c r="X129" i="3"/>
  <c r="Y129" i="3"/>
  <c r="X130" i="3"/>
  <c r="Y130" i="3"/>
  <c r="X131" i="3"/>
  <c r="Y131" i="3"/>
  <c r="X132" i="3"/>
  <c r="Y132" i="3"/>
  <c r="X133" i="3"/>
  <c r="Y133" i="3"/>
  <c r="X134" i="3"/>
  <c r="Y134" i="3"/>
  <c r="X135" i="3"/>
  <c r="Y135" i="3"/>
  <c r="X136" i="3"/>
  <c r="Y136" i="3"/>
  <c r="X137" i="3"/>
  <c r="Y137" i="3"/>
  <c r="X138" i="3"/>
  <c r="Y138" i="3"/>
  <c r="X139" i="3"/>
  <c r="Y139" i="3"/>
  <c r="X140" i="3"/>
  <c r="Y140" i="3"/>
  <c r="X141" i="3"/>
  <c r="Y141" i="3"/>
  <c r="X142" i="3"/>
  <c r="Y142" i="3"/>
  <c r="X143" i="3"/>
  <c r="Y143" i="3"/>
  <c r="X144" i="3"/>
  <c r="Y144" i="3"/>
  <c r="X145" i="3"/>
  <c r="Y145" i="3"/>
  <c r="X146" i="3"/>
  <c r="Y146" i="3"/>
  <c r="X147" i="3"/>
  <c r="Y147" i="3"/>
  <c r="X148" i="3"/>
  <c r="Y148" i="3"/>
  <c r="X149" i="3"/>
  <c r="Y149" i="3"/>
  <c r="X150" i="3"/>
  <c r="Y150" i="3"/>
  <c r="X151" i="3"/>
  <c r="Y151" i="3"/>
  <c r="X152" i="3"/>
  <c r="Y152" i="3"/>
  <c r="X153" i="3"/>
  <c r="Y153" i="3"/>
  <c r="X154" i="3"/>
  <c r="Y154" i="3"/>
  <c r="X155" i="3"/>
  <c r="Y155" i="3"/>
  <c r="X156" i="3"/>
  <c r="Y156" i="3"/>
  <c r="X157" i="3"/>
  <c r="Y157" i="3"/>
  <c r="Z157" i="3"/>
  <c r="AD157" i="3" s="1"/>
  <c r="X158" i="3"/>
  <c r="Y158" i="3"/>
  <c r="Z158" i="3" s="1"/>
  <c r="AD158" i="3" s="1"/>
  <c r="X159" i="3"/>
  <c r="Y159" i="3"/>
  <c r="Z159" i="3" s="1"/>
  <c r="AD159" i="3" s="1"/>
  <c r="X160" i="3"/>
  <c r="Y160" i="3"/>
  <c r="X161" i="3"/>
  <c r="Y161" i="3"/>
  <c r="Z161" i="3" s="1"/>
  <c r="AD161" i="3" s="1"/>
  <c r="X162" i="3"/>
  <c r="Y162" i="3"/>
  <c r="X163" i="3"/>
  <c r="Y163" i="3"/>
  <c r="X164" i="3"/>
  <c r="Y164" i="3"/>
  <c r="X165" i="3"/>
  <c r="Y165" i="3"/>
  <c r="Z165" i="3" s="1"/>
  <c r="AD165" i="3" s="1"/>
  <c r="X166" i="3"/>
  <c r="Y166" i="3"/>
  <c r="X167" i="3"/>
  <c r="Y167" i="3"/>
  <c r="X168" i="3"/>
  <c r="Y168" i="3"/>
  <c r="X169" i="3"/>
  <c r="Y169" i="3"/>
  <c r="X170" i="3"/>
  <c r="Y170" i="3"/>
  <c r="X171" i="3"/>
  <c r="Y171" i="3"/>
  <c r="X172" i="3"/>
  <c r="Y172" i="3"/>
  <c r="X173" i="3"/>
  <c r="Y173" i="3"/>
  <c r="Z173" i="3" s="1"/>
  <c r="AD173" i="3" s="1"/>
  <c r="X174" i="3"/>
  <c r="Y174" i="3"/>
  <c r="X175" i="3"/>
  <c r="Y175" i="3"/>
  <c r="X176" i="3"/>
  <c r="Y176" i="3"/>
  <c r="X177" i="3"/>
  <c r="Y177" i="3"/>
  <c r="X178" i="3"/>
  <c r="Y178" i="3"/>
  <c r="X179" i="3"/>
  <c r="Y179" i="3"/>
  <c r="X180" i="3"/>
  <c r="Y180" i="3"/>
  <c r="X181" i="3"/>
  <c r="Y181" i="3"/>
  <c r="X182" i="3"/>
  <c r="Y182" i="3"/>
  <c r="X183" i="3"/>
  <c r="Y183" i="3"/>
  <c r="X184" i="3"/>
  <c r="Y184" i="3"/>
  <c r="X185" i="3"/>
  <c r="Y185" i="3"/>
  <c r="X186" i="3"/>
  <c r="Y186" i="3"/>
  <c r="X187" i="3"/>
  <c r="Y187" i="3"/>
  <c r="X188" i="3"/>
  <c r="Y188" i="3"/>
  <c r="X189" i="3"/>
  <c r="Y189" i="3"/>
  <c r="Z189" i="3" s="1"/>
  <c r="AD189" i="3" s="1"/>
  <c r="X190" i="3"/>
  <c r="Y190" i="3"/>
  <c r="X191" i="3"/>
  <c r="Y191" i="3"/>
  <c r="X192" i="3"/>
  <c r="Y192" i="3"/>
  <c r="X193" i="3"/>
  <c r="Y193" i="3"/>
  <c r="X194" i="3"/>
  <c r="Y194" i="3"/>
  <c r="X195" i="3"/>
  <c r="Y195" i="3"/>
  <c r="X196" i="3"/>
  <c r="Y196" i="3"/>
  <c r="X197" i="3"/>
  <c r="Y197" i="3"/>
  <c r="X198" i="3"/>
  <c r="Y198" i="3"/>
  <c r="X199" i="3"/>
  <c r="Y199" i="3"/>
  <c r="X200" i="3"/>
  <c r="Y200" i="3"/>
  <c r="X201" i="3"/>
  <c r="Y201" i="3"/>
  <c r="X202" i="3"/>
  <c r="Y202" i="3"/>
  <c r="X203" i="3"/>
  <c r="Y203" i="3"/>
  <c r="X204" i="3"/>
  <c r="Y204" i="3"/>
  <c r="X205" i="3"/>
  <c r="Y205" i="3"/>
  <c r="X206" i="3"/>
  <c r="Y206" i="3"/>
  <c r="X207" i="3"/>
  <c r="Y207" i="3"/>
  <c r="X208" i="3"/>
  <c r="Y208" i="3"/>
  <c r="X209" i="3"/>
  <c r="Y209" i="3"/>
  <c r="X210" i="3"/>
  <c r="Y210" i="3"/>
  <c r="X211" i="3"/>
  <c r="Y211" i="3"/>
  <c r="X212" i="3"/>
  <c r="Y212" i="3"/>
  <c r="X213" i="3"/>
  <c r="Y213" i="3"/>
  <c r="X214" i="3"/>
  <c r="Y214" i="3"/>
  <c r="X215" i="3"/>
  <c r="Y215" i="3"/>
  <c r="X216" i="3"/>
  <c r="Y216" i="3"/>
  <c r="X217" i="3"/>
  <c r="Y217" i="3"/>
  <c r="X218" i="3"/>
  <c r="Y218" i="3"/>
  <c r="Z218" i="3"/>
  <c r="AD218" i="3" s="1"/>
  <c r="X219" i="3"/>
  <c r="Y219" i="3"/>
  <c r="Z219" i="3" s="1"/>
  <c r="AD219" i="3" s="1"/>
  <c r="X220" i="3"/>
  <c r="Y220" i="3"/>
  <c r="Z220" i="3" s="1"/>
  <c r="AD220" i="3" s="1"/>
  <c r="X221" i="3"/>
  <c r="Y221" i="3"/>
  <c r="X222" i="3"/>
  <c r="Y222" i="3"/>
  <c r="Z222" i="3" s="1"/>
  <c r="AD222" i="3" s="1"/>
  <c r="X223" i="3"/>
  <c r="Y223" i="3"/>
  <c r="X224" i="3"/>
  <c r="Y224" i="3"/>
  <c r="X225" i="3"/>
  <c r="Y225" i="3"/>
  <c r="X226" i="3"/>
  <c r="Y226" i="3"/>
  <c r="Z226" i="3" s="1"/>
  <c r="AD226" i="3" s="1"/>
  <c r="X227" i="3"/>
  <c r="Y227" i="3"/>
  <c r="X228" i="3"/>
  <c r="Y228" i="3"/>
  <c r="X229" i="3"/>
  <c r="Y229" i="3"/>
  <c r="X230" i="3"/>
  <c r="Y230" i="3"/>
  <c r="X231" i="3"/>
  <c r="Y231" i="3"/>
  <c r="X232" i="3"/>
  <c r="Y232" i="3"/>
  <c r="X233" i="3"/>
  <c r="Y233" i="3"/>
  <c r="X234" i="3"/>
  <c r="Y234" i="3"/>
  <c r="X235" i="3"/>
  <c r="Y235" i="3"/>
  <c r="Z235" i="3" s="1"/>
  <c r="AD235" i="3" s="1"/>
  <c r="X236" i="3"/>
  <c r="Y236" i="3"/>
  <c r="X237" i="3"/>
  <c r="Y237" i="3"/>
  <c r="X238" i="3"/>
  <c r="Y238" i="3"/>
  <c r="X239" i="3"/>
  <c r="Y239" i="3"/>
  <c r="X240" i="3"/>
  <c r="Y240" i="3"/>
  <c r="X241" i="3"/>
  <c r="Y241" i="3"/>
  <c r="X242" i="3"/>
  <c r="Y242" i="3"/>
  <c r="X243" i="3"/>
  <c r="Y243" i="3"/>
  <c r="X244" i="3"/>
  <c r="Y244" i="3"/>
  <c r="X245" i="3"/>
  <c r="Y245" i="3"/>
  <c r="X246" i="3"/>
  <c r="Y246" i="3"/>
  <c r="X247" i="3"/>
  <c r="Y247" i="3"/>
  <c r="X248" i="3"/>
  <c r="Y248" i="3"/>
  <c r="X249" i="3"/>
  <c r="Y249" i="3"/>
  <c r="X250" i="3"/>
  <c r="Y250" i="3"/>
  <c r="X251" i="3"/>
  <c r="Y251" i="3"/>
  <c r="X252" i="3"/>
  <c r="Y252" i="3"/>
  <c r="X253" i="3"/>
  <c r="Y253" i="3"/>
  <c r="X254" i="3"/>
  <c r="Y254" i="3"/>
  <c r="X255" i="3"/>
  <c r="Y255" i="3"/>
  <c r="X256" i="3"/>
  <c r="Y256" i="3"/>
  <c r="X257" i="3"/>
  <c r="Y257" i="3"/>
  <c r="X258" i="3"/>
  <c r="Y258" i="3"/>
  <c r="X259" i="3"/>
  <c r="Y259" i="3"/>
  <c r="Z259" i="3" s="1"/>
  <c r="AD259" i="3" s="1"/>
  <c r="X260" i="3"/>
  <c r="Y260" i="3"/>
  <c r="X261" i="3"/>
  <c r="Y261" i="3"/>
  <c r="X262" i="3"/>
  <c r="Y262" i="3"/>
  <c r="X263" i="3"/>
  <c r="Y263" i="3"/>
  <c r="X264" i="3"/>
  <c r="Y264" i="3"/>
  <c r="X265" i="3"/>
  <c r="Y265" i="3"/>
  <c r="X266" i="3"/>
  <c r="Y266" i="3"/>
  <c r="X267" i="3"/>
  <c r="Y267" i="3"/>
  <c r="X268" i="3"/>
  <c r="Y268" i="3"/>
  <c r="X269" i="3"/>
  <c r="Y269" i="3"/>
  <c r="X270" i="3"/>
  <c r="Y270" i="3"/>
  <c r="X271" i="3"/>
  <c r="Y271" i="3"/>
  <c r="X272" i="3"/>
  <c r="Y272" i="3"/>
  <c r="X273" i="3"/>
  <c r="Y273" i="3"/>
  <c r="X274" i="3"/>
  <c r="Y274" i="3"/>
  <c r="X275" i="3"/>
  <c r="Y275" i="3"/>
  <c r="X276" i="3"/>
  <c r="Y276" i="3"/>
  <c r="X277" i="3"/>
  <c r="Y277" i="3"/>
  <c r="X278" i="3"/>
  <c r="Y278" i="3"/>
  <c r="X279" i="3"/>
  <c r="Y279" i="3"/>
  <c r="X280" i="3"/>
  <c r="Y280" i="3"/>
  <c r="X281" i="3"/>
  <c r="Y281" i="3"/>
  <c r="X282" i="3"/>
  <c r="Y282" i="3"/>
  <c r="X283" i="3"/>
  <c r="Y283" i="3"/>
  <c r="X284" i="3"/>
  <c r="Y284" i="3"/>
  <c r="X285" i="3"/>
  <c r="Y285" i="3"/>
  <c r="X286" i="3"/>
  <c r="Y286" i="3"/>
  <c r="X287" i="3"/>
  <c r="Y287" i="3"/>
  <c r="X288" i="3"/>
  <c r="Y288" i="3"/>
  <c r="X289" i="3"/>
  <c r="Y289" i="3"/>
  <c r="X290" i="3"/>
  <c r="Y290" i="3"/>
  <c r="X291" i="3"/>
  <c r="Y291" i="3"/>
  <c r="Z291" i="3"/>
  <c r="AD291" i="3" s="1"/>
  <c r="X292" i="3"/>
  <c r="Y292" i="3"/>
  <c r="Z292" i="3" s="1"/>
  <c r="AD292" i="3" s="1"/>
  <c r="X293" i="3"/>
  <c r="Y293" i="3"/>
  <c r="Z293" i="3" s="1"/>
  <c r="AD293" i="3" s="1"/>
  <c r="X294" i="3"/>
  <c r="Y294" i="3"/>
  <c r="X295" i="3"/>
  <c r="Y295" i="3"/>
  <c r="Z295" i="3" s="1"/>
  <c r="AD295" i="3" s="1"/>
  <c r="X296" i="3"/>
  <c r="Y296" i="3"/>
  <c r="X297" i="3"/>
  <c r="Y297" i="3"/>
  <c r="X298" i="3"/>
  <c r="Y298" i="3"/>
  <c r="X299" i="3"/>
  <c r="Y299" i="3"/>
  <c r="Z299" i="3" s="1"/>
  <c r="AD299" i="3" s="1"/>
  <c r="X300" i="3"/>
  <c r="Y300" i="3"/>
  <c r="X301" i="3"/>
  <c r="Y301" i="3"/>
  <c r="X302" i="3"/>
  <c r="Y302" i="3"/>
  <c r="X303" i="3"/>
  <c r="Y303" i="3"/>
  <c r="X304" i="3"/>
  <c r="Y304" i="3"/>
  <c r="X305" i="3"/>
  <c r="Y305" i="3"/>
  <c r="X306" i="3"/>
  <c r="Y306" i="3"/>
  <c r="X307" i="3"/>
  <c r="Y307" i="3"/>
  <c r="Z307" i="3" s="1"/>
  <c r="AD307" i="3" s="1"/>
  <c r="X308" i="3"/>
  <c r="Y308" i="3"/>
  <c r="X309" i="3"/>
  <c r="Y309" i="3"/>
  <c r="X310" i="3"/>
  <c r="Y310" i="3"/>
  <c r="X311" i="3"/>
  <c r="Y311" i="3"/>
  <c r="X312" i="3"/>
  <c r="Y312" i="3"/>
  <c r="X313" i="3"/>
  <c r="Y313" i="3"/>
  <c r="X314" i="3"/>
  <c r="Y314" i="3"/>
  <c r="X315" i="3"/>
  <c r="Y315" i="3"/>
  <c r="X316" i="3"/>
  <c r="Y316" i="3"/>
  <c r="X317" i="3"/>
  <c r="Y317" i="3"/>
  <c r="X318" i="3"/>
  <c r="Y318" i="3"/>
  <c r="X319" i="3"/>
  <c r="Y319" i="3"/>
  <c r="X320" i="3"/>
  <c r="Y320" i="3"/>
  <c r="X321" i="3"/>
  <c r="Y321" i="3"/>
  <c r="X322" i="3"/>
  <c r="Y322" i="3"/>
  <c r="X323" i="3"/>
  <c r="Y323" i="3"/>
  <c r="Z323" i="3" s="1"/>
  <c r="AD323" i="3" s="1"/>
  <c r="X324" i="3"/>
  <c r="Y324" i="3"/>
  <c r="X325" i="3"/>
  <c r="Y325" i="3"/>
  <c r="X326" i="3"/>
  <c r="Y326" i="3"/>
  <c r="X327" i="3"/>
  <c r="Y327" i="3"/>
  <c r="X328" i="3"/>
  <c r="Y328" i="3"/>
  <c r="X329" i="3"/>
  <c r="Y329" i="3"/>
  <c r="X330" i="3"/>
  <c r="Y330" i="3"/>
  <c r="X331" i="3"/>
  <c r="Y331" i="3"/>
  <c r="X332" i="3"/>
  <c r="Y332" i="3"/>
  <c r="X333" i="3"/>
  <c r="Y333" i="3"/>
  <c r="X334" i="3"/>
  <c r="Y334" i="3"/>
  <c r="X335" i="3"/>
  <c r="Y335" i="3"/>
  <c r="X336" i="3"/>
  <c r="Y336" i="3"/>
  <c r="X337" i="3"/>
  <c r="Y337" i="3"/>
  <c r="X338" i="3"/>
  <c r="Y338" i="3"/>
  <c r="X339" i="3"/>
  <c r="Y339" i="3"/>
  <c r="X340" i="3"/>
  <c r="Y340" i="3"/>
  <c r="X341" i="3"/>
  <c r="Y341" i="3"/>
  <c r="X342" i="3"/>
  <c r="Y342" i="3"/>
  <c r="X343" i="3"/>
  <c r="Y343" i="3"/>
  <c r="X344" i="3"/>
  <c r="Y344" i="3"/>
  <c r="X345" i="3"/>
  <c r="Y345" i="3"/>
  <c r="X346" i="3"/>
  <c r="Y346" i="3"/>
  <c r="X347" i="3"/>
  <c r="Y347" i="3"/>
  <c r="X348" i="3"/>
  <c r="Y348" i="3"/>
  <c r="X349" i="3"/>
  <c r="Y349" i="3"/>
  <c r="X350" i="3"/>
  <c r="Y350" i="3"/>
  <c r="X351" i="3"/>
  <c r="Y351" i="3"/>
  <c r="X352" i="3"/>
  <c r="Y352" i="3"/>
  <c r="X353" i="3"/>
  <c r="Y353" i="3"/>
  <c r="X354" i="3"/>
  <c r="Y354" i="3"/>
  <c r="X355" i="3"/>
  <c r="Y355" i="3"/>
  <c r="Z355" i="3"/>
  <c r="AD355" i="3" s="1"/>
  <c r="X356" i="3"/>
  <c r="Y356" i="3"/>
  <c r="Z356" i="3" s="1"/>
  <c r="AD356" i="3" s="1"/>
  <c r="X357" i="3"/>
  <c r="Y357" i="3"/>
  <c r="Z357" i="3" s="1"/>
  <c r="AD357" i="3" s="1"/>
  <c r="X358" i="3"/>
  <c r="Y358" i="3"/>
  <c r="X359" i="3"/>
  <c r="Y359" i="3"/>
  <c r="Z359" i="3" s="1"/>
  <c r="AD359" i="3" s="1"/>
  <c r="X360" i="3"/>
  <c r="Y360" i="3"/>
  <c r="X361" i="3"/>
  <c r="Y361" i="3"/>
  <c r="X362" i="3"/>
  <c r="Y362" i="3"/>
  <c r="X363" i="3"/>
  <c r="Y363" i="3"/>
  <c r="Z363" i="3" s="1"/>
  <c r="AD363" i="3" s="1"/>
  <c r="X364" i="3"/>
  <c r="Y364" i="3"/>
  <c r="X365" i="3"/>
  <c r="Y365" i="3"/>
  <c r="X366" i="3"/>
  <c r="Y366" i="3"/>
  <c r="X367" i="3"/>
  <c r="Y367" i="3"/>
  <c r="X368" i="3"/>
  <c r="Y368" i="3"/>
  <c r="X369" i="3"/>
  <c r="Y369" i="3"/>
  <c r="X370" i="3"/>
  <c r="Y370" i="3"/>
  <c r="X371" i="3"/>
  <c r="Y371" i="3"/>
  <c r="Z371" i="3" s="1"/>
  <c r="X372" i="3"/>
  <c r="Y372" i="3"/>
  <c r="X373" i="3"/>
  <c r="Y373" i="3"/>
  <c r="X374" i="3"/>
  <c r="Y374" i="3"/>
  <c r="X375" i="3"/>
  <c r="Y375" i="3"/>
  <c r="X376" i="3"/>
  <c r="Y376" i="3"/>
  <c r="X377" i="3"/>
  <c r="Y377" i="3"/>
  <c r="X378" i="3"/>
  <c r="Y378" i="3"/>
  <c r="X379" i="3"/>
  <c r="Y379" i="3"/>
  <c r="X380" i="3"/>
  <c r="Y380" i="3"/>
  <c r="X381" i="3"/>
  <c r="Y381" i="3"/>
  <c r="X382" i="3"/>
  <c r="Y382" i="3"/>
  <c r="X383" i="3"/>
  <c r="Y383" i="3"/>
  <c r="X384" i="3"/>
  <c r="Y384" i="3"/>
  <c r="X385" i="3"/>
  <c r="Y385" i="3"/>
  <c r="X386" i="3"/>
  <c r="Y386" i="3"/>
  <c r="X387" i="3"/>
  <c r="Y387" i="3"/>
  <c r="Z387" i="3" s="1"/>
  <c r="AD387" i="3" s="1"/>
  <c r="X388" i="3"/>
  <c r="Y388" i="3"/>
  <c r="X389" i="3"/>
  <c r="Y389" i="3"/>
  <c r="X390" i="3"/>
  <c r="Y390" i="3"/>
  <c r="X391" i="3"/>
  <c r="Y391" i="3"/>
  <c r="X392" i="3"/>
  <c r="Y392" i="3"/>
  <c r="X393" i="3"/>
  <c r="Y393" i="3"/>
  <c r="X394" i="3"/>
  <c r="Y394" i="3"/>
  <c r="X395" i="3"/>
  <c r="Y395" i="3"/>
  <c r="X396" i="3"/>
  <c r="Y396" i="3"/>
  <c r="X397" i="3"/>
  <c r="Y397" i="3"/>
  <c r="X398" i="3"/>
  <c r="Y398" i="3"/>
  <c r="X399" i="3"/>
  <c r="Y399" i="3"/>
  <c r="X400" i="3"/>
  <c r="Y400" i="3"/>
  <c r="X401" i="3"/>
  <c r="Y401" i="3"/>
  <c r="X402" i="3"/>
  <c r="Y402" i="3"/>
  <c r="X403" i="3"/>
  <c r="Y403" i="3"/>
  <c r="X404" i="3"/>
  <c r="Y404" i="3"/>
  <c r="X405" i="3"/>
  <c r="Y405" i="3"/>
  <c r="X406" i="3"/>
  <c r="Y406" i="3"/>
  <c r="X407" i="3"/>
  <c r="Y407" i="3"/>
  <c r="X408" i="3"/>
  <c r="Y408" i="3"/>
  <c r="X409" i="3"/>
  <c r="Y409" i="3"/>
  <c r="X410" i="3"/>
  <c r="Y410" i="3"/>
  <c r="X411" i="3"/>
  <c r="Y411" i="3"/>
  <c r="X412" i="3"/>
  <c r="Y412" i="3"/>
  <c r="X413" i="3"/>
  <c r="Y413" i="3"/>
  <c r="X414" i="3"/>
  <c r="Y414" i="3"/>
  <c r="X415" i="3"/>
  <c r="Y415" i="3"/>
  <c r="X416" i="3"/>
  <c r="Y416" i="3"/>
  <c r="X417" i="3"/>
  <c r="Y417" i="3"/>
  <c r="X418" i="3"/>
  <c r="Y418" i="3"/>
  <c r="X419" i="3"/>
  <c r="Y419" i="3"/>
  <c r="Z419" i="3"/>
  <c r="AD419" i="3" s="1"/>
  <c r="X420" i="3"/>
  <c r="Y420" i="3"/>
  <c r="Z420" i="3" s="1"/>
  <c r="AD420" i="3" s="1"/>
  <c r="X421" i="3"/>
  <c r="Y421" i="3"/>
  <c r="Z421" i="3" s="1"/>
  <c r="AD421" i="3" s="1"/>
  <c r="X422" i="3"/>
  <c r="Y422" i="3"/>
  <c r="X423" i="3"/>
  <c r="Y423" i="3"/>
  <c r="Z423" i="3" s="1"/>
  <c r="AD423" i="3" s="1"/>
  <c r="X424" i="3"/>
  <c r="Y424" i="3"/>
  <c r="X425" i="3"/>
  <c r="Y425" i="3"/>
  <c r="X426" i="3"/>
  <c r="Y426" i="3"/>
  <c r="X427" i="3"/>
  <c r="Y427" i="3"/>
  <c r="Z427" i="3" s="1"/>
  <c r="AD427" i="3" s="1"/>
  <c r="X428" i="3"/>
  <c r="Y428" i="3"/>
  <c r="X429" i="3"/>
  <c r="Y429" i="3"/>
  <c r="X430" i="3"/>
  <c r="Y430" i="3"/>
  <c r="X431" i="3"/>
  <c r="Y431" i="3"/>
  <c r="X432" i="3"/>
  <c r="Y432" i="3"/>
  <c r="X433" i="3"/>
  <c r="Y433" i="3"/>
  <c r="X434" i="3"/>
  <c r="Y434" i="3"/>
  <c r="X435" i="3"/>
  <c r="Y435" i="3"/>
  <c r="Z435" i="3" s="1"/>
  <c r="AD435" i="3" s="1"/>
  <c r="X436" i="3"/>
  <c r="Y436" i="3"/>
  <c r="X437" i="3"/>
  <c r="Y437" i="3"/>
  <c r="X438" i="3"/>
  <c r="Y438" i="3"/>
  <c r="X439" i="3"/>
  <c r="Y439" i="3"/>
  <c r="X440" i="3"/>
  <c r="Y440" i="3"/>
  <c r="X441" i="3"/>
  <c r="Y441" i="3"/>
  <c r="X442" i="3"/>
  <c r="Y442" i="3"/>
  <c r="X443" i="3"/>
  <c r="Y443" i="3"/>
  <c r="X444" i="3"/>
  <c r="Y444" i="3"/>
  <c r="X445" i="3"/>
  <c r="Y445" i="3"/>
  <c r="X446" i="3"/>
  <c r="Y446" i="3"/>
  <c r="X447" i="3"/>
  <c r="Y447" i="3"/>
  <c r="X448" i="3"/>
  <c r="Y448" i="3"/>
  <c r="X449" i="3"/>
  <c r="Y449" i="3"/>
  <c r="X450" i="3"/>
  <c r="Y450" i="3"/>
  <c r="X451" i="3"/>
  <c r="Y451" i="3"/>
  <c r="Z451" i="3" s="1"/>
  <c r="AD451" i="3" s="1"/>
  <c r="X452" i="3"/>
  <c r="Y452" i="3"/>
  <c r="X453" i="3"/>
  <c r="Y453" i="3"/>
  <c r="X454" i="3"/>
  <c r="Y454" i="3"/>
  <c r="X455" i="3"/>
  <c r="Y455" i="3"/>
  <c r="X456" i="3"/>
  <c r="Y456" i="3"/>
  <c r="X457" i="3"/>
  <c r="Y457" i="3"/>
  <c r="X458" i="3"/>
  <c r="Y458" i="3"/>
  <c r="X459" i="3"/>
  <c r="Y459" i="3"/>
  <c r="X460" i="3"/>
  <c r="Y460" i="3"/>
  <c r="X461" i="3"/>
  <c r="Y461" i="3"/>
  <c r="X462" i="3"/>
  <c r="Y462" i="3"/>
  <c r="X463" i="3"/>
  <c r="Y463" i="3"/>
  <c r="X464" i="3"/>
  <c r="Y464" i="3"/>
  <c r="X465" i="3"/>
  <c r="Y465" i="3"/>
  <c r="X466" i="3"/>
  <c r="Y466" i="3"/>
  <c r="X467" i="3"/>
  <c r="Y467" i="3"/>
  <c r="X468" i="3"/>
  <c r="Y468" i="3"/>
  <c r="X469" i="3"/>
  <c r="Y469" i="3"/>
  <c r="X470" i="3"/>
  <c r="Y470" i="3"/>
  <c r="X471" i="3"/>
  <c r="Y471" i="3"/>
  <c r="X472" i="3"/>
  <c r="Y472" i="3"/>
  <c r="X473" i="3"/>
  <c r="Y473" i="3"/>
  <c r="X474" i="3"/>
  <c r="Y474" i="3"/>
  <c r="X475" i="3"/>
  <c r="Y475" i="3"/>
  <c r="X476" i="3"/>
  <c r="Y476" i="3"/>
  <c r="X477" i="3"/>
  <c r="Y477" i="3"/>
  <c r="X478" i="3"/>
  <c r="Y478" i="3"/>
  <c r="X479" i="3"/>
  <c r="Y479" i="3"/>
  <c r="X480" i="3"/>
  <c r="Y480" i="3"/>
  <c r="X481" i="3"/>
  <c r="Y481" i="3"/>
  <c r="X482" i="3"/>
  <c r="Y482" i="3"/>
  <c r="X483" i="3"/>
  <c r="Y483" i="3"/>
  <c r="Z483" i="3"/>
  <c r="AD483" i="3" s="1"/>
  <c r="X484" i="3"/>
  <c r="Y484" i="3"/>
  <c r="Z484" i="3" s="1"/>
  <c r="AD484" i="3" s="1"/>
  <c r="X485" i="3"/>
  <c r="Y485" i="3"/>
  <c r="Z485" i="3" s="1"/>
  <c r="AD485" i="3" s="1"/>
  <c r="X486" i="3"/>
  <c r="Y486" i="3"/>
  <c r="X487" i="3"/>
  <c r="Y487" i="3"/>
  <c r="Z487" i="3" s="1"/>
  <c r="AD487" i="3" s="1"/>
  <c r="X488" i="3"/>
  <c r="Y488" i="3"/>
  <c r="X489" i="3"/>
  <c r="Y489" i="3"/>
  <c r="X490" i="3"/>
  <c r="Y490" i="3"/>
  <c r="X491" i="3"/>
  <c r="Y491" i="3"/>
  <c r="Z491" i="3" s="1"/>
  <c r="AD491" i="3" s="1"/>
  <c r="X492" i="3"/>
  <c r="Y492" i="3"/>
  <c r="X493" i="3"/>
  <c r="Y493" i="3"/>
  <c r="X494" i="3"/>
  <c r="Y494" i="3"/>
  <c r="X495" i="3"/>
  <c r="Y495" i="3"/>
  <c r="X496" i="3"/>
  <c r="Y496" i="3"/>
  <c r="X497" i="3"/>
  <c r="Y497" i="3"/>
  <c r="X498" i="3"/>
  <c r="Y498" i="3"/>
  <c r="X499" i="3"/>
  <c r="Y499" i="3"/>
  <c r="Z499" i="3" s="1"/>
  <c r="AD499" i="3" s="1"/>
  <c r="X500" i="3"/>
  <c r="Y500" i="3"/>
  <c r="X501" i="3"/>
  <c r="Y501" i="3"/>
  <c r="X502" i="3"/>
  <c r="Y502" i="3"/>
  <c r="X503" i="3"/>
  <c r="Y503" i="3"/>
  <c r="X504" i="3"/>
  <c r="Y504" i="3"/>
  <c r="X505" i="3"/>
  <c r="Y505" i="3"/>
  <c r="X506" i="3"/>
  <c r="Y506" i="3"/>
  <c r="X507" i="3"/>
  <c r="Y507" i="3"/>
  <c r="X508" i="3"/>
  <c r="Y508" i="3"/>
  <c r="X509" i="3"/>
  <c r="Y509" i="3"/>
  <c r="X510" i="3"/>
  <c r="Y510" i="3"/>
  <c r="X511" i="3"/>
  <c r="Y511" i="3"/>
  <c r="X512" i="3"/>
  <c r="Y512" i="3"/>
  <c r="X513" i="3"/>
  <c r="Y513" i="3"/>
  <c r="X514" i="3"/>
  <c r="Y514" i="3"/>
  <c r="X515" i="3"/>
  <c r="Y515" i="3"/>
  <c r="Z515" i="3" s="1"/>
  <c r="AD515" i="3" s="1"/>
  <c r="X516" i="3"/>
  <c r="Y516" i="3"/>
  <c r="X517" i="3"/>
  <c r="Y517" i="3"/>
  <c r="X518" i="3"/>
  <c r="Y518" i="3"/>
  <c r="X519" i="3"/>
  <c r="Y519" i="3"/>
  <c r="X520" i="3"/>
  <c r="Y520" i="3"/>
  <c r="X521" i="3"/>
  <c r="Y521" i="3"/>
  <c r="X522" i="3"/>
  <c r="Y522" i="3"/>
  <c r="X523" i="3"/>
  <c r="Y523" i="3"/>
  <c r="X524" i="3"/>
  <c r="Y524" i="3"/>
  <c r="X525" i="3"/>
  <c r="Y525" i="3"/>
  <c r="X526" i="3"/>
  <c r="Y526" i="3"/>
  <c r="X527" i="3"/>
  <c r="Y527" i="3"/>
  <c r="X528" i="3"/>
  <c r="Y528" i="3"/>
  <c r="X529" i="3"/>
  <c r="Y529" i="3"/>
  <c r="X530" i="3"/>
  <c r="Y530" i="3"/>
  <c r="X531" i="3"/>
  <c r="Y531" i="3"/>
  <c r="X532" i="3"/>
  <c r="Y532" i="3"/>
  <c r="X533" i="3"/>
  <c r="Y533" i="3"/>
  <c r="X534" i="3"/>
  <c r="Y534" i="3"/>
  <c r="X535" i="3"/>
  <c r="Y535" i="3"/>
  <c r="X536" i="3"/>
  <c r="Y536" i="3"/>
  <c r="X537" i="3"/>
  <c r="Y537" i="3"/>
  <c r="X538" i="3"/>
  <c r="Y538" i="3"/>
  <c r="X539" i="3"/>
  <c r="Y539" i="3"/>
  <c r="X540" i="3"/>
  <c r="Y540" i="3"/>
  <c r="X541" i="3"/>
  <c r="Y541" i="3"/>
  <c r="X542" i="3"/>
  <c r="Y542" i="3"/>
  <c r="X543" i="3"/>
  <c r="Y543" i="3"/>
  <c r="X544" i="3"/>
  <c r="Y544" i="3"/>
  <c r="X545" i="3"/>
  <c r="Y545" i="3"/>
  <c r="X546" i="3"/>
  <c r="Y546" i="3"/>
  <c r="X547" i="3"/>
  <c r="Y547" i="3"/>
  <c r="Z547" i="3"/>
  <c r="AD547" i="3" s="1"/>
  <c r="X548" i="3"/>
  <c r="Y548" i="3"/>
  <c r="Z548" i="3" s="1"/>
  <c r="AD548" i="3" s="1"/>
  <c r="X549" i="3"/>
  <c r="Y549" i="3"/>
  <c r="Z549" i="3" s="1"/>
  <c r="AD549" i="3" s="1"/>
  <c r="X550" i="3"/>
  <c r="Y550" i="3"/>
  <c r="X551" i="3"/>
  <c r="Y551" i="3"/>
  <c r="Z551" i="3" s="1"/>
  <c r="AD551" i="3" s="1"/>
  <c r="X552" i="3"/>
  <c r="Y552" i="3"/>
  <c r="X553" i="3"/>
  <c r="Y553" i="3"/>
  <c r="X554" i="3"/>
  <c r="Y554" i="3"/>
  <c r="X555" i="3"/>
  <c r="Y555" i="3"/>
  <c r="Z555" i="3" s="1"/>
  <c r="AD555" i="3" s="1"/>
  <c r="X556" i="3"/>
  <c r="Y556" i="3"/>
  <c r="X557" i="3"/>
  <c r="Y557" i="3"/>
  <c r="X558" i="3"/>
  <c r="Y558" i="3"/>
  <c r="X559" i="3"/>
  <c r="Y559" i="3"/>
  <c r="X560" i="3"/>
  <c r="Y560" i="3"/>
  <c r="X561" i="3"/>
  <c r="Y561" i="3"/>
  <c r="X562" i="3"/>
  <c r="Y562" i="3"/>
  <c r="X563" i="3"/>
  <c r="Y563" i="3"/>
  <c r="Z563" i="3" s="1"/>
  <c r="AD563" i="3" s="1"/>
  <c r="X564" i="3"/>
  <c r="Y564" i="3"/>
  <c r="X565" i="3"/>
  <c r="Y565" i="3"/>
  <c r="X566" i="3"/>
  <c r="Y566" i="3"/>
  <c r="X567" i="3"/>
  <c r="Y567" i="3"/>
  <c r="X568" i="3"/>
  <c r="Y568" i="3"/>
  <c r="X569" i="3"/>
  <c r="Y569" i="3"/>
  <c r="X570" i="3"/>
  <c r="Y570" i="3"/>
  <c r="X571" i="3"/>
  <c r="Y571" i="3"/>
  <c r="X572" i="3"/>
  <c r="Y572" i="3"/>
  <c r="X573" i="3"/>
  <c r="Y573" i="3"/>
  <c r="X574" i="3"/>
  <c r="Y574" i="3"/>
  <c r="X575" i="3"/>
  <c r="Y575" i="3"/>
  <c r="X576" i="3"/>
  <c r="Y576" i="3"/>
  <c r="X577" i="3"/>
  <c r="Y577" i="3"/>
  <c r="X578" i="3"/>
  <c r="Y578" i="3"/>
  <c r="Z578" i="3" s="1"/>
  <c r="AD578" i="3" s="1"/>
  <c r="X579" i="3"/>
  <c r="Y579" i="3"/>
  <c r="X580" i="3"/>
  <c r="Y580" i="3"/>
  <c r="X581" i="3"/>
  <c r="Y581" i="3"/>
  <c r="X582" i="3"/>
  <c r="Y582" i="3"/>
  <c r="X583" i="3"/>
  <c r="Y583" i="3"/>
  <c r="X584" i="3"/>
  <c r="Y584" i="3"/>
  <c r="X585" i="3"/>
  <c r="Y585" i="3"/>
  <c r="X586" i="3"/>
  <c r="Y586" i="3"/>
  <c r="X587" i="3"/>
  <c r="Y587" i="3"/>
  <c r="X588" i="3"/>
  <c r="Y588" i="3"/>
  <c r="X589" i="3"/>
  <c r="Y589" i="3"/>
  <c r="X590" i="3"/>
  <c r="Y590" i="3"/>
  <c r="X591" i="3"/>
  <c r="Y591" i="3"/>
  <c r="X592" i="3"/>
  <c r="Y592" i="3"/>
  <c r="X593" i="3"/>
  <c r="Y593" i="3"/>
  <c r="X594" i="3"/>
  <c r="Y594" i="3"/>
  <c r="X595" i="3"/>
  <c r="Y595" i="3"/>
  <c r="X596" i="3"/>
  <c r="Y596" i="3"/>
  <c r="X597" i="3"/>
  <c r="Y597" i="3"/>
  <c r="X598" i="3"/>
  <c r="Y598" i="3"/>
  <c r="X599" i="3"/>
  <c r="Y599" i="3"/>
  <c r="X600" i="3"/>
  <c r="Y600" i="3"/>
  <c r="X601" i="3"/>
  <c r="Y601" i="3"/>
  <c r="X602" i="3"/>
  <c r="Y602" i="3"/>
  <c r="X603" i="3"/>
  <c r="Y603" i="3"/>
  <c r="X604" i="3"/>
  <c r="Y604" i="3"/>
  <c r="X605" i="3"/>
  <c r="Y605" i="3"/>
  <c r="X606" i="3"/>
  <c r="Y606" i="3"/>
  <c r="X607" i="3"/>
  <c r="Y607" i="3"/>
  <c r="Z607" i="3"/>
  <c r="AD607" i="3" s="1"/>
  <c r="X608" i="3"/>
  <c r="Y608" i="3"/>
  <c r="Z608" i="3" s="1"/>
  <c r="AD608" i="3" s="1"/>
  <c r="X609" i="3"/>
  <c r="Y609" i="3"/>
  <c r="Z609" i="3" s="1"/>
  <c r="AD609" i="3" s="1"/>
  <c r="X610" i="3"/>
  <c r="Y610" i="3"/>
  <c r="X611" i="3"/>
  <c r="Y611" i="3"/>
  <c r="Z611" i="3" s="1"/>
  <c r="AD611" i="3" s="1"/>
  <c r="X612" i="3"/>
  <c r="Y612" i="3"/>
  <c r="X613" i="3"/>
  <c r="Y613" i="3"/>
  <c r="X614" i="3"/>
  <c r="Y614" i="3"/>
  <c r="X615" i="3"/>
  <c r="Y615" i="3"/>
  <c r="Z615" i="3" s="1"/>
  <c r="AD615" i="3" s="1"/>
  <c r="X616" i="3"/>
  <c r="Y616" i="3"/>
  <c r="X617" i="3"/>
  <c r="Y617" i="3"/>
  <c r="X618" i="3"/>
  <c r="Y618" i="3"/>
  <c r="X619" i="3"/>
  <c r="Y619" i="3"/>
  <c r="X620" i="3"/>
  <c r="Y620" i="3"/>
  <c r="X621" i="3"/>
  <c r="Y621" i="3"/>
  <c r="X622" i="3"/>
  <c r="Y622" i="3"/>
  <c r="X623" i="3"/>
  <c r="Y623" i="3"/>
  <c r="Z623" i="3" s="1"/>
  <c r="AD623" i="3" s="1"/>
  <c r="X624" i="3"/>
  <c r="Y624" i="3"/>
  <c r="X625" i="3"/>
  <c r="Y625" i="3"/>
  <c r="X626" i="3"/>
  <c r="Y626" i="3"/>
  <c r="X627" i="3"/>
  <c r="Y627" i="3"/>
  <c r="X628" i="3"/>
  <c r="Y628" i="3"/>
  <c r="X629" i="3"/>
  <c r="Y629" i="3"/>
  <c r="X630" i="3"/>
  <c r="Y630" i="3"/>
  <c r="X631" i="3"/>
  <c r="Y631" i="3"/>
  <c r="X632" i="3"/>
  <c r="Y632" i="3"/>
  <c r="X633" i="3"/>
  <c r="Y633" i="3"/>
  <c r="X634" i="3"/>
  <c r="Y634" i="3"/>
  <c r="X635" i="3"/>
  <c r="Y635" i="3"/>
  <c r="X636" i="3"/>
  <c r="Y636" i="3"/>
  <c r="X637" i="3"/>
  <c r="Y637" i="3"/>
  <c r="X638" i="3"/>
  <c r="Y638" i="3"/>
  <c r="X639" i="3"/>
  <c r="Y639" i="3"/>
  <c r="Z639" i="3" s="1"/>
  <c r="AD639" i="3" s="1"/>
  <c r="X640" i="3"/>
  <c r="Y640" i="3"/>
  <c r="X641" i="3"/>
  <c r="Y641" i="3"/>
  <c r="X642" i="3"/>
  <c r="Y642" i="3"/>
  <c r="X643" i="3"/>
  <c r="Y643" i="3"/>
  <c r="X644" i="3"/>
  <c r="Y644" i="3"/>
  <c r="X645" i="3"/>
  <c r="Y645" i="3"/>
  <c r="X646" i="3"/>
  <c r="Y646" i="3"/>
  <c r="X647" i="3"/>
  <c r="Y647" i="3"/>
  <c r="X648" i="3"/>
  <c r="Y648" i="3"/>
  <c r="X649" i="3"/>
  <c r="Y649" i="3"/>
  <c r="X650" i="3"/>
  <c r="Y650" i="3"/>
  <c r="X651" i="3"/>
  <c r="Y651" i="3"/>
  <c r="X652" i="3"/>
  <c r="Y652" i="3"/>
  <c r="X653" i="3"/>
  <c r="Y653" i="3"/>
  <c r="X654" i="3"/>
  <c r="Y654" i="3"/>
  <c r="X655" i="3"/>
  <c r="Y655" i="3"/>
  <c r="X656" i="3"/>
  <c r="Y656" i="3"/>
  <c r="X657" i="3"/>
  <c r="Y657" i="3"/>
  <c r="X658" i="3"/>
  <c r="Y658" i="3"/>
  <c r="X659" i="3"/>
  <c r="Y659" i="3"/>
  <c r="X660" i="3"/>
  <c r="Y660" i="3"/>
  <c r="X661" i="3"/>
  <c r="Y661" i="3"/>
  <c r="X662" i="3"/>
  <c r="Y662" i="3"/>
  <c r="X663" i="3"/>
  <c r="Y663" i="3"/>
  <c r="X664" i="3"/>
  <c r="Y664" i="3"/>
  <c r="X665" i="3"/>
  <c r="Y665" i="3"/>
  <c r="X666" i="3"/>
  <c r="Y666" i="3"/>
  <c r="X667" i="3"/>
  <c r="Y667" i="3"/>
  <c r="X668" i="3"/>
  <c r="Y668" i="3"/>
  <c r="X669" i="3"/>
  <c r="Y669" i="3"/>
  <c r="X670" i="3"/>
  <c r="Y670" i="3"/>
  <c r="X671" i="3"/>
  <c r="Y671" i="3"/>
  <c r="Z671" i="3"/>
  <c r="AD671" i="3" s="1"/>
  <c r="X672" i="3"/>
  <c r="Y672" i="3"/>
  <c r="Z672" i="3" s="1"/>
  <c r="AD672" i="3" s="1"/>
  <c r="X673" i="3"/>
  <c r="Y673" i="3"/>
  <c r="Z673" i="3" s="1"/>
  <c r="AD673" i="3" s="1"/>
  <c r="X674" i="3"/>
  <c r="Y674" i="3"/>
  <c r="X675" i="3"/>
  <c r="Y675" i="3"/>
  <c r="Z675" i="3" s="1"/>
  <c r="AD675" i="3" s="1"/>
  <c r="X676" i="3"/>
  <c r="Y676" i="3"/>
  <c r="X677" i="3"/>
  <c r="Y677" i="3"/>
  <c r="X678" i="3"/>
  <c r="Y678" i="3"/>
  <c r="X679" i="3"/>
  <c r="Y679" i="3"/>
  <c r="Z679" i="3" s="1"/>
  <c r="AD679" i="3" s="1"/>
  <c r="X680" i="3"/>
  <c r="Y680" i="3"/>
  <c r="X681" i="3"/>
  <c r="Y681" i="3"/>
  <c r="X682" i="3"/>
  <c r="Y682" i="3"/>
  <c r="X683" i="3"/>
  <c r="Y683" i="3"/>
  <c r="X684" i="3"/>
  <c r="Y684" i="3"/>
  <c r="X685" i="3"/>
  <c r="Y685" i="3"/>
  <c r="X686" i="3"/>
  <c r="Y686" i="3"/>
  <c r="X687" i="3"/>
  <c r="Y687" i="3"/>
  <c r="Z687" i="3" s="1"/>
  <c r="AD687" i="3" s="1"/>
  <c r="X688" i="3"/>
  <c r="Y688" i="3"/>
  <c r="X689" i="3"/>
  <c r="Y689" i="3"/>
  <c r="X690" i="3"/>
  <c r="Y690" i="3"/>
  <c r="X691" i="3"/>
  <c r="Y691" i="3"/>
  <c r="X692" i="3"/>
  <c r="Y692" i="3"/>
  <c r="X693" i="3"/>
  <c r="Y693" i="3"/>
  <c r="X694" i="3"/>
  <c r="Y694" i="3"/>
  <c r="X695" i="3"/>
  <c r="Y695" i="3"/>
  <c r="X696" i="3"/>
  <c r="Y696" i="3"/>
  <c r="X697" i="3"/>
  <c r="Y697" i="3"/>
  <c r="X698" i="3"/>
  <c r="Y698" i="3"/>
  <c r="X699" i="3"/>
  <c r="Y699" i="3"/>
  <c r="X700" i="3"/>
  <c r="Y700" i="3"/>
  <c r="X701" i="3"/>
  <c r="Y701" i="3"/>
  <c r="X702" i="3"/>
  <c r="Y702" i="3"/>
  <c r="X703" i="3"/>
  <c r="Y703" i="3"/>
  <c r="X704" i="3"/>
  <c r="Y704" i="3"/>
  <c r="X705" i="3"/>
  <c r="Y705" i="3"/>
  <c r="X706" i="3"/>
  <c r="Y706" i="3"/>
  <c r="X707" i="3"/>
  <c r="Y707" i="3"/>
  <c r="Z707" i="3" s="1"/>
  <c r="AD707" i="3" s="1"/>
  <c r="X708" i="3"/>
  <c r="Y708" i="3"/>
  <c r="X709" i="3"/>
  <c r="Y709" i="3"/>
  <c r="X710" i="3"/>
  <c r="Y710" i="3"/>
  <c r="X711" i="3"/>
  <c r="Y711" i="3"/>
  <c r="X712" i="3"/>
  <c r="Y712" i="3"/>
  <c r="X713" i="3"/>
  <c r="Y713" i="3"/>
  <c r="X714" i="3"/>
  <c r="Y714" i="3"/>
  <c r="X715" i="3"/>
  <c r="Y715" i="3"/>
  <c r="X716" i="3"/>
  <c r="Y716" i="3"/>
  <c r="X717" i="3"/>
  <c r="Y717" i="3"/>
  <c r="X718" i="3"/>
  <c r="Y718" i="3"/>
  <c r="X719" i="3"/>
  <c r="Y719" i="3"/>
  <c r="X720" i="3"/>
  <c r="Y720" i="3"/>
  <c r="X721" i="3"/>
  <c r="Y721" i="3"/>
  <c r="X722" i="3"/>
  <c r="Y722" i="3"/>
  <c r="X723" i="3"/>
  <c r="Y723" i="3"/>
  <c r="X724" i="3"/>
  <c r="Y724" i="3"/>
  <c r="X725" i="3"/>
  <c r="Y725" i="3"/>
  <c r="X726" i="3"/>
  <c r="Y726" i="3"/>
  <c r="X727" i="3"/>
  <c r="Y727" i="3"/>
  <c r="X728" i="3"/>
  <c r="Y728" i="3"/>
  <c r="X729" i="3"/>
  <c r="Y729" i="3"/>
  <c r="X730" i="3"/>
  <c r="Y730" i="3"/>
  <c r="X731" i="3"/>
  <c r="Y731" i="3"/>
  <c r="X732" i="3"/>
  <c r="Y732" i="3"/>
  <c r="X733" i="3"/>
  <c r="Y733" i="3"/>
  <c r="X734" i="3"/>
  <c r="Y734" i="3"/>
  <c r="X735" i="3"/>
  <c r="Y735" i="3"/>
  <c r="X736" i="3"/>
  <c r="Y736" i="3"/>
  <c r="X737" i="3"/>
  <c r="Y737" i="3"/>
  <c r="X738" i="3"/>
  <c r="Y738" i="3"/>
  <c r="X739" i="3"/>
  <c r="Y739" i="3"/>
  <c r="Z739" i="3"/>
  <c r="AD739" i="3" s="1"/>
  <c r="X740" i="3"/>
  <c r="Y740" i="3"/>
  <c r="Z740" i="3" s="1"/>
  <c r="AD740" i="3" s="1"/>
  <c r="X741" i="3"/>
  <c r="Y741" i="3"/>
  <c r="Z741" i="3" s="1"/>
  <c r="AD741" i="3" s="1"/>
  <c r="X742" i="3"/>
  <c r="Y742" i="3"/>
  <c r="X743" i="3"/>
  <c r="Y743" i="3"/>
  <c r="Z743" i="3" s="1"/>
  <c r="AD743" i="3" s="1"/>
  <c r="X744" i="3"/>
  <c r="Y744" i="3"/>
  <c r="X745" i="3"/>
  <c r="Y745" i="3"/>
  <c r="X746" i="3"/>
  <c r="Y746" i="3"/>
  <c r="X747" i="3"/>
  <c r="Y747" i="3"/>
  <c r="Z747" i="3" s="1"/>
  <c r="AD747" i="3" s="1"/>
  <c r="X748" i="3"/>
  <c r="Y748" i="3"/>
  <c r="X749" i="3"/>
  <c r="Y749" i="3"/>
  <c r="X750" i="3"/>
  <c r="Y750" i="3"/>
  <c r="X751" i="3"/>
  <c r="Y751" i="3"/>
  <c r="X752" i="3"/>
  <c r="Y752" i="3"/>
  <c r="X753" i="3"/>
  <c r="Y753" i="3"/>
  <c r="X754" i="3"/>
  <c r="Y754" i="3"/>
  <c r="X755" i="3"/>
  <c r="Y755" i="3"/>
  <c r="Z755" i="3" s="1"/>
  <c r="AD755" i="3" s="1"/>
  <c r="X756" i="3"/>
  <c r="Y756" i="3"/>
  <c r="X757" i="3"/>
  <c r="Y757" i="3"/>
  <c r="X758" i="3"/>
  <c r="Y758" i="3"/>
  <c r="X759" i="3"/>
  <c r="Y759" i="3"/>
  <c r="X760" i="3"/>
  <c r="Y760" i="3"/>
  <c r="X761" i="3"/>
  <c r="Y761" i="3"/>
  <c r="X762" i="3"/>
  <c r="Y762" i="3"/>
  <c r="X763" i="3"/>
  <c r="Y763" i="3"/>
  <c r="X764" i="3"/>
  <c r="Y764" i="3"/>
  <c r="X765" i="3"/>
  <c r="Y765" i="3"/>
  <c r="X766" i="3"/>
  <c r="Y766" i="3"/>
  <c r="X767" i="3"/>
  <c r="Y767" i="3"/>
  <c r="X768" i="3"/>
  <c r="Y768" i="3"/>
  <c r="X769" i="3"/>
  <c r="Y769" i="3"/>
  <c r="X770" i="3"/>
  <c r="Y770" i="3"/>
  <c r="X771" i="3"/>
  <c r="Y771" i="3"/>
  <c r="Z771" i="3" s="1"/>
  <c r="AD771" i="3" s="1"/>
  <c r="X772" i="3"/>
  <c r="Y772" i="3"/>
  <c r="X773" i="3"/>
  <c r="Y773" i="3"/>
  <c r="X774" i="3"/>
  <c r="Y774" i="3"/>
  <c r="X775" i="3"/>
  <c r="Y775" i="3"/>
  <c r="X776" i="3"/>
  <c r="Y776" i="3"/>
  <c r="X777" i="3"/>
  <c r="Y777" i="3"/>
  <c r="X778" i="3"/>
  <c r="Y778" i="3"/>
  <c r="X779" i="3"/>
  <c r="Y779" i="3"/>
  <c r="X780" i="3"/>
  <c r="Y780" i="3"/>
  <c r="X781" i="3"/>
  <c r="Y781" i="3"/>
  <c r="X782" i="3"/>
  <c r="Y782" i="3"/>
  <c r="X783" i="3"/>
  <c r="Y783" i="3"/>
  <c r="X784" i="3"/>
  <c r="Y784" i="3"/>
  <c r="X785" i="3"/>
  <c r="Y785" i="3"/>
  <c r="X786" i="3"/>
  <c r="Y786" i="3"/>
  <c r="X787" i="3"/>
  <c r="Y787" i="3"/>
  <c r="X788" i="3"/>
  <c r="Y788" i="3"/>
  <c r="X789" i="3"/>
  <c r="Y789" i="3"/>
  <c r="X790" i="3"/>
  <c r="Y790" i="3"/>
  <c r="X791" i="3"/>
  <c r="Y791" i="3"/>
  <c r="X792" i="3"/>
  <c r="Y792" i="3"/>
  <c r="X793" i="3"/>
  <c r="Y793" i="3"/>
  <c r="X794" i="3"/>
  <c r="Y794" i="3"/>
  <c r="X795" i="3"/>
  <c r="Y795" i="3"/>
  <c r="X796" i="3"/>
  <c r="Y796" i="3"/>
  <c r="X797" i="3"/>
  <c r="Y797" i="3"/>
  <c r="X798" i="3"/>
  <c r="Y798" i="3"/>
  <c r="X799" i="3"/>
  <c r="Y799" i="3"/>
  <c r="X800" i="3"/>
  <c r="Y800" i="3"/>
  <c r="X801" i="3"/>
  <c r="Y801" i="3"/>
  <c r="X802" i="3"/>
  <c r="Y802" i="3"/>
  <c r="X803" i="3"/>
  <c r="Y803" i="3"/>
  <c r="Z803" i="3"/>
  <c r="AD803" i="3" s="1"/>
  <c r="X804" i="3"/>
  <c r="Y804" i="3"/>
  <c r="Z804" i="3" s="1"/>
  <c r="AD804" i="3" s="1"/>
  <c r="X805" i="3"/>
  <c r="Y805" i="3"/>
  <c r="Z805" i="3" s="1"/>
  <c r="AD805" i="3" s="1"/>
  <c r="X806" i="3"/>
  <c r="Y806" i="3"/>
  <c r="X807" i="3"/>
  <c r="Y807" i="3"/>
  <c r="Z807" i="3" s="1"/>
  <c r="AD807" i="3" s="1"/>
  <c r="X808" i="3"/>
  <c r="Y808" i="3"/>
  <c r="X809" i="3"/>
  <c r="Y809" i="3"/>
  <c r="X810" i="3"/>
  <c r="Y810" i="3"/>
  <c r="X811" i="3"/>
  <c r="Y811" i="3"/>
  <c r="Z811" i="3" s="1"/>
  <c r="AD811" i="3" s="1"/>
  <c r="X812" i="3"/>
  <c r="Y812" i="3"/>
  <c r="X813" i="3"/>
  <c r="Y813" i="3"/>
  <c r="X814" i="3"/>
  <c r="Y814" i="3"/>
  <c r="X815" i="3"/>
  <c r="Y815" i="3"/>
  <c r="X816" i="3"/>
  <c r="Y816" i="3"/>
  <c r="X817" i="3"/>
  <c r="Y817" i="3"/>
  <c r="X818" i="3"/>
  <c r="Y818" i="3"/>
  <c r="X819" i="3"/>
  <c r="Y819" i="3"/>
  <c r="Z819" i="3" s="1"/>
  <c r="AD819" i="3" s="1"/>
  <c r="X820" i="3"/>
  <c r="Y820" i="3"/>
  <c r="X821" i="3"/>
  <c r="Y821" i="3"/>
  <c r="X822" i="3"/>
  <c r="Y822" i="3"/>
  <c r="X823" i="3"/>
  <c r="Y823" i="3"/>
  <c r="X824" i="3"/>
  <c r="Y824" i="3"/>
  <c r="X825" i="3"/>
  <c r="Y825" i="3"/>
  <c r="X826" i="3"/>
  <c r="Y826" i="3"/>
  <c r="X827" i="3"/>
  <c r="Y827" i="3"/>
  <c r="X828" i="3"/>
  <c r="Y828" i="3"/>
  <c r="X829" i="3"/>
  <c r="Y829" i="3"/>
  <c r="X830" i="3"/>
  <c r="Y830" i="3"/>
  <c r="X831" i="3"/>
  <c r="Y831" i="3"/>
  <c r="X832" i="3"/>
  <c r="Y832" i="3"/>
  <c r="X833" i="3"/>
  <c r="Y833" i="3"/>
  <c r="X834" i="3"/>
  <c r="Y834" i="3"/>
  <c r="X835" i="3"/>
  <c r="Y835" i="3"/>
  <c r="Z835" i="3" s="1"/>
  <c r="AD835" i="3" s="1"/>
  <c r="X836" i="3"/>
  <c r="Y836" i="3"/>
  <c r="X837" i="3"/>
  <c r="Y837" i="3"/>
  <c r="X838" i="3"/>
  <c r="Y838" i="3"/>
  <c r="X839" i="3"/>
  <c r="Y839" i="3"/>
  <c r="X840" i="3"/>
  <c r="Y840" i="3"/>
  <c r="X841" i="3"/>
  <c r="Y841" i="3"/>
  <c r="X842" i="3"/>
  <c r="Y842" i="3"/>
  <c r="X843" i="3"/>
  <c r="Y843" i="3"/>
  <c r="X844" i="3"/>
  <c r="Y844" i="3"/>
  <c r="X845" i="3"/>
  <c r="Y845" i="3"/>
  <c r="X846" i="3"/>
  <c r="Y846" i="3"/>
  <c r="X847" i="3"/>
  <c r="Y847" i="3"/>
  <c r="X848" i="3"/>
  <c r="Y848" i="3"/>
  <c r="X849" i="3"/>
  <c r="Y849" i="3"/>
  <c r="X850" i="3"/>
  <c r="Y850" i="3"/>
  <c r="X851" i="3"/>
  <c r="Y851" i="3"/>
  <c r="X852" i="3"/>
  <c r="Y852" i="3"/>
  <c r="X853" i="3"/>
  <c r="Y853" i="3"/>
  <c r="X854" i="3"/>
  <c r="Y854" i="3"/>
  <c r="X855" i="3"/>
  <c r="Y855" i="3"/>
  <c r="X856" i="3"/>
  <c r="Y856" i="3"/>
  <c r="X857" i="3"/>
  <c r="Y857" i="3"/>
  <c r="X858" i="3"/>
  <c r="Y858" i="3"/>
  <c r="X859" i="3"/>
  <c r="Y859" i="3"/>
  <c r="X860" i="3"/>
  <c r="Y860" i="3"/>
  <c r="X861" i="3"/>
  <c r="Y861" i="3"/>
  <c r="X862" i="3"/>
  <c r="Y862" i="3"/>
  <c r="X863" i="3"/>
  <c r="Y863" i="3"/>
  <c r="X864" i="3"/>
  <c r="Y864" i="3"/>
  <c r="X865" i="3"/>
  <c r="Y865" i="3"/>
  <c r="Z865" i="3"/>
  <c r="AD865" i="3" s="1"/>
  <c r="X866" i="3"/>
  <c r="Y866" i="3"/>
  <c r="Z866" i="3" s="1"/>
  <c r="AD866" i="3" s="1"/>
  <c r="X867" i="3"/>
  <c r="Y867" i="3"/>
  <c r="Z867" i="3" s="1"/>
  <c r="AD867" i="3" s="1"/>
  <c r="X868" i="3"/>
  <c r="Y868" i="3"/>
  <c r="X869" i="3"/>
  <c r="Y869" i="3"/>
  <c r="Z869" i="3" s="1"/>
  <c r="AD869" i="3" s="1"/>
  <c r="X870" i="3"/>
  <c r="Y870" i="3"/>
  <c r="X871" i="3"/>
  <c r="Y871" i="3"/>
  <c r="X872" i="3"/>
  <c r="Y872" i="3"/>
  <c r="X873" i="3"/>
  <c r="Y873" i="3"/>
  <c r="Z873" i="3" s="1"/>
  <c r="AD873" i="3" s="1"/>
  <c r="X874" i="3"/>
  <c r="Y874" i="3"/>
  <c r="X875" i="3"/>
  <c r="Y875" i="3"/>
  <c r="X876" i="3"/>
  <c r="Y876" i="3"/>
  <c r="X877" i="3"/>
  <c r="Y877" i="3"/>
  <c r="X878" i="3"/>
  <c r="Y878" i="3"/>
  <c r="X879" i="3"/>
  <c r="Y879" i="3"/>
  <c r="X880" i="3"/>
  <c r="Y880" i="3"/>
  <c r="X881" i="3"/>
  <c r="Y881" i="3"/>
  <c r="Z881" i="3" s="1"/>
  <c r="AD881" i="3" s="1"/>
  <c r="X882" i="3"/>
  <c r="Y882" i="3"/>
  <c r="X883" i="3"/>
  <c r="Y883" i="3"/>
  <c r="X884" i="3"/>
  <c r="Y884" i="3"/>
  <c r="X885" i="3"/>
  <c r="Y885" i="3"/>
  <c r="X886" i="3"/>
  <c r="Y886" i="3"/>
  <c r="X887" i="3"/>
  <c r="Y887" i="3"/>
  <c r="X888" i="3"/>
  <c r="Y888" i="3"/>
  <c r="X889" i="3"/>
  <c r="Y889" i="3"/>
  <c r="X890" i="3"/>
  <c r="Y890" i="3"/>
  <c r="X891" i="3"/>
  <c r="Y891" i="3"/>
  <c r="X892" i="3"/>
  <c r="Y892" i="3"/>
  <c r="X893" i="3"/>
  <c r="Y893" i="3"/>
  <c r="X894" i="3"/>
  <c r="Y894" i="3"/>
  <c r="X895" i="3"/>
  <c r="Y895" i="3"/>
  <c r="X896" i="3"/>
  <c r="Y896" i="3"/>
  <c r="X897" i="3"/>
  <c r="Y897" i="3"/>
  <c r="Z897" i="3" s="1"/>
  <c r="AD897" i="3" s="1"/>
  <c r="X898" i="3"/>
  <c r="Y898" i="3"/>
  <c r="X899" i="3"/>
  <c r="Y899" i="3"/>
  <c r="X900" i="3"/>
  <c r="Y900" i="3"/>
  <c r="X901" i="3"/>
  <c r="Y901" i="3"/>
  <c r="X902" i="3"/>
  <c r="Y902" i="3"/>
  <c r="X903" i="3"/>
  <c r="Y903" i="3"/>
  <c r="X904" i="3"/>
  <c r="Y904" i="3"/>
  <c r="X905" i="3"/>
  <c r="Y905" i="3"/>
  <c r="X906" i="3"/>
  <c r="Y906" i="3"/>
  <c r="X907" i="3"/>
  <c r="Y907" i="3"/>
  <c r="X908" i="3"/>
  <c r="Y908" i="3"/>
  <c r="X909" i="3"/>
  <c r="Y909" i="3"/>
  <c r="X910" i="3"/>
  <c r="Y910" i="3"/>
  <c r="X911" i="3"/>
  <c r="Y911" i="3"/>
  <c r="X912" i="3"/>
  <c r="Y912" i="3"/>
  <c r="X913" i="3"/>
  <c r="Y913" i="3"/>
  <c r="Z913" i="3" s="1"/>
  <c r="AD913" i="3" s="1"/>
  <c r="X914" i="3"/>
  <c r="Y914" i="3"/>
  <c r="X915" i="3"/>
  <c r="Y915" i="3"/>
  <c r="X916" i="3"/>
  <c r="Y916" i="3"/>
  <c r="X917" i="3"/>
  <c r="Y917" i="3"/>
  <c r="X918" i="3"/>
  <c r="Y918" i="3"/>
  <c r="X919" i="3"/>
  <c r="Y919" i="3"/>
  <c r="X920" i="3"/>
  <c r="Y920" i="3"/>
  <c r="X921" i="3"/>
  <c r="Y921" i="3"/>
  <c r="X922" i="3"/>
  <c r="Y922" i="3"/>
  <c r="X923" i="3"/>
  <c r="Y923" i="3"/>
  <c r="X924" i="3"/>
  <c r="Y924" i="3"/>
  <c r="X925" i="3"/>
  <c r="Y925" i="3"/>
  <c r="X926" i="3"/>
  <c r="Y926" i="3"/>
  <c r="X927" i="3"/>
  <c r="Y927" i="3"/>
  <c r="X928" i="3"/>
  <c r="Y928" i="3"/>
  <c r="X929" i="3"/>
  <c r="Y929" i="3"/>
  <c r="X930" i="3"/>
  <c r="Y930" i="3"/>
  <c r="X931" i="3"/>
  <c r="Y931" i="3"/>
  <c r="X932" i="3"/>
  <c r="Y932" i="3"/>
  <c r="X933" i="3"/>
  <c r="Y933" i="3"/>
  <c r="Z933" i="3" s="1"/>
  <c r="AD933" i="3" s="1"/>
  <c r="X934" i="3"/>
  <c r="Y934" i="3"/>
  <c r="X935" i="3"/>
  <c r="Y935" i="3"/>
  <c r="X936" i="3"/>
  <c r="Y936" i="3"/>
  <c r="X937" i="3"/>
  <c r="Y937" i="3"/>
  <c r="X938" i="3"/>
  <c r="Y938" i="3"/>
  <c r="X939" i="3"/>
  <c r="Y939" i="3"/>
  <c r="X940" i="3"/>
  <c r="Y940" i="3"/>
  <c r="X941" i="3"/>
  <c r="Y941" i="3"/>
  <c r="X942" i="3"/>
  <c r="Y942" i="3"/>
  <c r="X943" i="3"/>
  <c r="Y943" i="3"/>
  <c r="X944" i="3"/>
  <c r="Y944" i="3"/>
  <c r="X945" i="3"/>
  <c r="Y945" i="3"/>
  <c r="X946" i="3"/>
  <c r="Y946" i="3"/>
  <c r="X947" i="3"/>
  <c r="Y947" i="3"/>
  <c r="X948" i="3"/>
  <c r="Y948" i="3"/>
  <c r="X949" i="3"/>
  <c r="Y949" i="3"/>
  <c r="X950" i="3"/>
  <c r="Y950" i="3"/>
  <c r="X951" i="3"/>
  <c r="Y951" i="3"/>
  <c r="X952" i="3"/>
  <c r="Y952" i="3"/>
  <c r="X953" i="3"/>
  <c r="Y953" i="3"/>
  <c r="X954" i="3"/>
  <c r="Y954" i="3"/>
  <c r="X955" i="3"/>
  <c r="Y955" i="3"/>
  <c r="X956" i="3"/>
  <c r="Y956" i="3"/>
  <c r="X957" i="3"/>
  <c r="Y957" i="3"/>
  <c r="X958" i="3"/>
  <c r="Y958" i="3"/>
  <c r="X959" i="3"/>
  <c r="Y959" i="3"/>
  <c r="X960" i="3"/>
  <c r="Y960" i="3"/>
  <c r="X961" i="3"/>
  <c r="Y961" i="3"/>
  <c r="X962" i="3"/>
  <c r="Y962" i="3"/>
  <c r="X963" i="3"/>
  <c r="Y963" i="3"/>
  <c r="X964" i="3"/>
  <c r="Y964" i="3"/>
  <c r="X965" i="3"/>
  <c r="Z965" i="3" s="1"/>
  <c r="AD965" i="3" s="1"/>
  <c r="Y965" i="3"/>
  <c r="X966" i="3"/>
  <c r="Y966" i="3"/>
  <c r="X967" i="3"/>
  <c r="Y967" i="3"/>
  <c r="X968" i="3"/>
  <c r="Y968" i="3"/>
  <c r="X969" i="3"/>
  <c r="Y969" i="3"/>
  <c r="X970" i="3"/>
  <c r="Y970" i="3"/>
  <c r="X971" i="3"/>
  <c r="Y971" i="3"/>
  <c r="X972" i="3"/>
  <c r="Y972" i="3"/>
  <c r="X973" i="3"/>
  <c r="Y973" i="3"/>
  <c r="X974" i="3"/>
  <c r="Y974" i="3"/>
  <c r="X975" i="3"/>
  <c r="Y975" i="3"/>
  <c r="X976" i="3"/>
  <c r="Y976" i="3"/>
  <c r="X977" i="3"/>
  <c r="Y977" i="3"/>
  <c r="X978" i="3"/>
  <c r="Y978" i="3"/>
  <c r="X979" i="3"/>
  <c r="Y979" i="3"/>
  <c r="X980" i="3"/>
  <c r="Y980" i="3"/>
  <c r="X981" i="3"/>
  <c r="Y981" i="3"/>
  <c r="X982" i="3"/>
  <c r="Y982" i="3"/>
  <c r="X983" i="3"/>
  <c r="Y983" i="3"/>
  <c r="X984" i="3"/>
  <c r="Y984" i="3"/>
  <c r="X985" i="3"/>
  <c r="Y985" i="3"/>
  <c r="X986" i="3"/>
  <c r="Y986" i="3"/>
  <c r="X987" i="3"/>
  <c r="Y987" i="3"/>
  <c r="X988" i="3"/>
  <c r="Y988" i="3"/>
  <c r="X989" i="3"/>
  <c r="Y989" i="3"/>
  <c r="X990" i="3"/>
  <c r="Y990" i="3"/>
  <c r="X991" i="3"/>
  <c r="Y991" i="3"/>
  <c r="X992" i="3"/>
  <c r="Y992" i="3"/>
  <c r="X993" i="3"/>
  <c r="Y993" i="3"/>
  <c r="X994" i="3"/>
  <c r="Y994" i="3"/>
  <c r="X995" i="3"/>
  <c r="Y995" i="3"/>
  <c r="X996" i="3"/>
  <c r="Y996" i="3"/>
  <c r="X997" i="3"/>
  <c r="Y997" i="3"/>
  <c r="Z997" i="3"/>
  <c r="AD997" i="3" s="1"/>
  <c r="X998" i="3"/>
  <c r="Y998" i="3"/>
  <c r="Z998" i="3" s="1"/>
  <c r="AD998" i="3" s="1"/>
  <c r="X999" i="3"/>
  <c r="Y999" i="3"/>
  <c r="Z999" i="3" s="1"/>
  <c r="AD999" i="3" s="1"/>
  <c r="X1000" i="3"/>
  <c r="Y1000" i="3"/>
  <c r="X1001" i="3"/>
  <c r="Y1001" i="3"/>
  <c r="Z1001" i="3" s="1"/>
  <c r="AD1001" i="3" s="1"/>
  <c r="X1002" i="3"/>
  <c r="Y1002" i="3"/>
  <c r="X1003" i="3"/>
  <c r="Y1003" i="3"/>
  <c r="X1004" i="3"/>
  <c r="Y1004" i="3"/>
  <c r="X1005" i="3"/>
  <c r="Y1005" i="3"/>
  <c r="Z1005" i="3" s="1"/>
  <c r="AD1005" i="3" s="1"/>
  <c r="X1006" i="3"/>
  <c r="Y1006" i="3"/>
  <c r="X1007" i="3"/>
  <c r="Y1007" i="3"/>
  <c r="X1008" i="3"/>
  <c r="Y1008" i="3"/>
  <c r="X1009" i="3"/>
  <c r="Y1009" i="3"/>
  <c r="X1010" i="3"/>
  <c r="Y1010" i="3"/>
  <c r="X1011" i="3"/>
  <c r="Y1011" i="3"/>
  <c r="X1012" i="3"/>
  <c r="Y1012" i="3"/>
  <c r="X1013" i="3"/>
  <c r="Y1013" i="3"/>
  <c r="Z1013" i="3" s="1"/>
  <c r="AD1013" i="3" s="1"/>
  <c r="X1014" i="3"/>
  <c r="Y1014" i="3"/>
  <c r="X1015" i="3"/>
  <c r="Y1015" i="3"/>
  <c r="X1016" i="3"/>
  <c r="Y1016" i="3"/>
  <c r="X1017" i="3"/>
  <c r="Y1017" i="3"/>
  <c r="X1018" i="3"/>
  <c r="Y1018" i="3"/>
  <c r="X1019" i="3"/>
  <c r="Y1019" i="3"/>
  <c r="X1020" i="3"/>
  <c r="Y1020" i="3"/>
  <c r="X1021" i="3"/>
  <c r="Y1021" i="3"/>
  <c r="X1022" i="3"/>
  <c r="Y1022" i="3"/>
  <c r="X1023" i="3"/>
  <c r="Y1023" i="3"/>
  <c r="X1024" i="3"/>
  <c r="Y1024" i="3"/>
  <c r="X1025" i="3"/>
  <c r="Y1025" i="3"/>
  <c r="X1026" i="3"/>
  <c r="Y1026" i="3"/>
  <c r="X1027" i="3"/>
  <c r="Y1027" i="3"/>
  <c r="X1028" i="3"/>
  <c r="Y1028" i="3"/>
  <c r="X1029" i="3"/>
  <c r="Y1029" i="3"/>
  <c r="X1030" i="3"/>
  <c r="Y1030" i="3"/>
  <c r="Z1030" i="3" s="1"/>
  <c r="AD1030" i="3" s="1"/>
  <c r="X1031" i="3"/>
  <c r="Y1031" i="3"/>
  <c r="Z1031" i="3" s="1"/>
  <c r="AD1031" i="3" s="1"/>
  <c r="X1032" i="3"/>
  <c r="Y1032" i="3"/>
  <c r="X1033" i="3"/>
  <c r="Y1033" i="3"/>
  <c r="Z1033" i="3" s="1"/>
  <c r="AD1033" i="3" s="1"/>
  <c r="X1034" i="3"/>
  <c r="Y1034" i="3"/>
  <c r="X1035" i="3"/>
  <c r="Y1035" i="3"/>
  <c r="X1036" i="3"/>
  <c r="Y1036" i="3"/>
  <c r="X1037" i="3"/>
  <c r="Y1037" i="3"/>
  <c r="Z1037" i="3" s="1"/>
  <c r="AD1037" i="3" s="1"/>
  <c r="X1038" i="3"/>
  <c r="Y1038" i="3"/>
  <c r="X1039" i="3"/>
  <c r="Y1039" i="3"/>
  <c r="X1040" i="3"/>
  <c r="Y1040" i="3"/>
  <c r="X1041" i="3"/>
  <c r="Y1041" i="3"/>
  <c r="X1042" i="3"/>
  <c r="Y1042" i="3"/>
  <c r="X1043" i="3"/>
  <c r="Y1043" i="3"/>
  <c r="X1044" i="3"/>
  <c r="Y1044" i="3"/>
  <c r="X1045" i="3"/>
  <c r="Y1045" i="3"/>
  <c r="Z1045" i="3" s="1"/>
  <c r="AD1045" i="3" s="1"/>
  <c r="X1046" i="3"/>
  <c r="Y1046" i="3"/>
  <c r="X1047" i="3"/>
  <c r="Y1047" i="3"/>
  <c r="X1048" i="3"/>
  <c r="Y1048" i="3"/>
  <c r="X1049" i="3"/>
  <c r="Y1049" i="3"/>
  <c r="X1050" i="3"/>
  <c r="Y1050" i="3"/>
  <c r="X1051" i="3"/>
  <c r="Y1051" i="3"/>
  <c r="X1052" i="3"/>
  <c r="Y1052" i="3"/>
  <c r="X1053" i="3"/>
  <c r="Y1053" i="3"/>
  <c r="X1054" i="3"/>
  <c r="Y1054" i="3"/>
  <c r="X1055" i="3"/>
  <c r="Y1055" i="3"/>
  <c r="X1056" i="3"/>
  <c r="Y1056" i="3"/>
  <c r="X1057" i="3"/>
  <c r="Y1057" i="3"/>
  <c r="X1058" i="3"/>
  <c r="Y1058" i="3"/>
  <c r="X1059" i="3"/>
  <c r="Y1059" i="3"/>
  <c r="X1060" i="3"/>
  <c r="Y1060" i="3"/>
  <c r="X1061" i="3"/>
  <c r="Y1061" i="3"/>
  <c r="X1062" i="3"/>
  <c r="Y1062" i="3"/>
  <c r="Z1062" i="3" s="1"/>
  <c r="AD1062" i="3" s="1"/>
  <c r="X1063" i="3"/>
  <c r="Y1063" i="3"/>
  <c r="Z1063" i="3" s="1"/>
  <c r="AD1063" i="3" s="1"/>
  <c r="X1064" i="3"/>
  <c r="Y1064" i="3"/>
  <c r="X1065" i="3"/>
  <c r="Y1065" i="3"/>
  <c r="Z1065" i="3" s="1"/>
  <c r="AD1065" i="3" s="1"/>
  <c r="X1066" i="3"/>
  <c r="Y1066" i="3"/>
  <c r="X1067" i="3"/>
  <c r="Y1067" i="3"/>
  <c r="X1068" i="3"/>
  <c r="Y1068" i="3"/>
  <c r="X1069" i="3"/>
  <c r="Y1069" i="3"/>
  <c r="Z1069" i="3" s="1"/>
  <c r="AD1069" i="3" s="1"/>
  <c r="X1070" i="3"/>
  <c r="Y1070" i="3"/>
  <c r="X1071" i="3"/>
  <c r="Y1071" i="3"/>
  <c r="X1072" i="3"/>
  <c r="Y1072" i="3"/>
  <c r="X1073" i="3"/>
  <c r="Y1073" i="3"/>
  <c r="X1074" i="3"/>
  <c r="Y1074" i="3"/>
  <c r="X1075" i="3"/>
  <c r="Y1075" i="3"/>
  <c r="X1076" i="3"/>
  <c r="Y1076" i="3"/>
  <c r="X1077" i="3"/>
  <c r="Y1077" i="3"/>
  <c r="Z1077" i="3" s="1"/>
  <c r="AD1077" i="3" s="1"/>
  <c r="X1078" i="3"/>
  <c r="Y1078" i="3"/>
  <c r="X1079" i="3"/>
  <c r="Y1079" i="3"/>
  <c r="X1080" i="3"/>
  <c r="Y1080" i="3"/>
  <c r="X1081" i="3"/>
  <c r="Y1081" i="3"/>
  <c r="X1082" i="3"/>
  <c r="Y1082" i="3"/>
  <c r="X1083" i="3"/>
  <c r="Y1083" i="3"/>
  <c r="X1084" i="3"/>
  <c r="Y1084" i="3"/>
  <c r="X1085" i="3"/>
  <c r="Y1085" i="3"/>
  <c r="X1086" i="3"/>
  <c r="Y1086" i="3"/>
  <c r="X1087" i="3"/>
  <c r="Y1087" i="3"/>
  <c r="X1088" i="3"/>
  <c r="Y1088" i="3"/>
  <c r="X1089" i="3"/>
  <c r="Y1089" i="3"/>
  <c r="X1090" i="3"/>
  <c r="Y1090" i="3"/>
  <c r="X1091" i="3"/>
  <c r="Y1091" i="3"/>
  <c r="X1092" i="3"/>
  <c r="Y1092" i="3"/>
  <c r="X1093" i="3"/>
  <c r="Y1093" i="3"/>
  <c r="Z1093" i="3" s="1"/>
  <c r="AD1093" i="3" s="1"/>
  <c r="X1094" i="3"/>
  <c r="Y1094" i="3"/>
  <c r="X1095" i="3"/>
  <c r="Y1095" i="3"/>
  <c r="X1096" i="3"/>
  <c r="Y1096" i="3"/>
  <c r="X1097" i="3"/>
  <c r="Y1097" i="3"/>
  <c r="X1098" i="3"/>
  <c r="Y1098" i="3"/>
  <c r="X1099" i="3"/>
  <c r="Y1099" i="3"/>
  <c r="X1100" i="3"/>
  <c r="Y1100" i="3"/>
  <c r="X1101" i="3"/>
  <c r="Y1101" i="3"/>
  <c r="X1102" i="3"/>
  <c r="Y1102" i="3"/>
  <c r="X1103" i="3"/>
  <c r="Y1103" i="3"/>
  <c r="X1104" i="3"/>
  <c r="Y1104" i="3"/>
  <c r="X1105" i="3"/>
  <c r="Y1105" i="3"/>
  <c r="X1106" i="3"/>
  <c r="Y1106" i="3"/>
  <c r="X1107" i="3"/>
  <c r="Y1107" i="3"/>
  <c r="X1108" i="3"/>
  <c r="Y1108" i="3"/>
  <c r="X1109" i="3"/>
  <c r="Y1109" i="3"/>
  <c r="X1110" i="3"/>
  <c r="Y1110" i="3"/>
  <c r="X1111" i="3"/>
  <c r="Y1111" i="3"/>
  <c r="X1112" i="3"/>
  <c r="Y1112" i="3"/>
  <c r="X1113" i="3"/>
  <c r="Y1113" i="3"/>
  <c r="X1114" i="3"/>
  <c r="Y1114" i="3"/>
  <c r="X1115" i="3"/>
  <c r="Y1115" i="3"/>
  <c r="X1116" i="3"/>
  <c r="Y1116" i="3"/>
  <c r="X1117" i="3"/>
  <c r="Y1117" i="3"/>
  <c r="X1118" i="3"/>
  <c r="Y1118" i="3"/>
  <c r="X1119" i="3"/>
  <c r="Y1119" i="3"/>
  <c r="X1120" i="3"/>
  <c r="Y1120" i="3"/>
  <c r="X1121" i="3"/>
  <c r="Y1121" i="3"/>
  <c r="X1122" i="3"/>
  <c r="Y1122" i="3"/>
  <c r="X1123" i="3"/>
  <c r="Y1123" i="3"/>
  <c r="X1124" i="3"/>
  <c r="Y1124" i="3"/>
  <c r="X1125" i="3"/>
  <c r="Z1125" i="3" s="1"/>
  <c r="AD1125" i="3" s="1"/>
  <c r="Y1125" i="3"/>
  <c r="X1126" i="3"/>
  <c r="Y1126" i="3"/>
  <c r="X1127" i="3"/>
  <c r="Y1127" i="3"/>
  <c r="X1128" i="3"/>
  <c r="Y1128" i="3"/>
  <c r="X1129" i="3"/>
  <c r="Y1129" i="3"/>
  <c r="X1130" i="3"/>
  <c r="Y1130" i="3"/>
  <c r="X1131" i="3"/>
  <c r="Y1131" i="3"/>
  <c r="X1132" i="3"/>
  <c r="Y1132" i="3"/>
  <c r="X1133" i="3"/>
  <c r="Y1133" i="3"/>
  <c r="X1134" i="3"/>
  <c r="Y1134" i="3"/>
  <c r="X1135" i="3"/>
  <c r="Y1135" i="3"/>
  <c r="X1136" i="3"/>
  <c r="Y1136" i="3"/>
  <c r="X1137" i="3"/>
  <c r="Y1137" i="3"/>
  <c r="X1138" i="3"/>
  <c r="Y1138" i="3"/>
  <c r="X1139" i="3"/>
  <c r="Y1139" i="3"/>
  <c r="X1140" i="3"/>
  <c r="Y1140" i="3"/>
  <c r="X1141" i="3"/>
  <c r="Y1141" i="3"/>
  <c r="X1142" i="3"/>
  <c r="Y1142" i="3"/>
  <c r="X1143" i="3"/>
  <c r="Y1143" i="3"/>
  <c r="X1144" i="3"/>
  <c r="Y1144" i="3"/>
  <c r="X1145" i="3"/>
  <c r="Y1145" i="3"/>
  <c r="X1146" i="3"/>
  <c r="Y1146" i="3"/>
  <c r="X1147" i="3"/>
  <c r="Y1147" i="3"/>
  <c r="X1148" i="3"/>
  <c r="Y1148" i="3"/>
  <c r="X1149" i="3"/>
  <c r="Y1149" i="3"/>
  <c r="X1150" i="3"/>
  <c r="Y1150" i="3"/>
  <c r="X1151" i="3"/>
  <c r="Y1151" i="3"/>
  <c r="X1152" i="3"/>
  <c r="Y1152" i="3"/>
  <c r="X1153" i="3"/>
  <c r="Y1153" i="3"/>
  <c r="X1154" i="3"/>
  <c r="Y1154" i="3"/>
  <c r="X1155" i="3"/>
  <c r="Y1155" i="3"/>
  <c r="X1156" i="3"/>
  <c r="Y1156" i="3"/>
  <c r="X1157" i="3"/>
  <c r="Z1157" i="3" s="1"/>
  <c r="AD1157" i="3" s="1"/>
  <c r="Y1157" i="3"/>
  <c r="X1158" i="3"/>
  <c r="Y1158" i="3"/>
  <c r="X1159" i="3"/>
  <c r="Y1159" i="3"/>
  <c r="X1160" i="3"/>
  <c r="Y1160" i="3"/>
  <c r="X1161" i="3"/>
  <c r="Y1161" i="3"/>
  <c r="X1162" i="3"/>
  <c r="Y1162" i="3"/>
  <c r="X1163" i="3"/>
  <c r="Y1163" i="3"/>
  <c r="X1164" i="3"/>
  <c r="Y1164" i="3"/>
  <c r="X1165" i="3"/>
  <c r="Y1165" i="3"/>
  <c r="X1166" i="3"/>
  <c r="Y1166" i="3"/>
  <c r="X1167" i="3"/>
  <c r="Y1167" i="3"/>
  <c r="X1168" i="3"/>
  <c r="Y1168" i="3"/>
  <c r="X1169" i="3"/>
  <c r="Y1169" i="3"/>
  <c r="X1170" i="3"/>
  <c r="Y1170" i="3"/>
  <c r="X1171" i="3"/>
  <c r="Y1171" i="3"/>
  <c r="X1172" i="3"/>
  <c r="Y1172" i="3"/>
  <c r="X1173" i="3"/>
  <c r="Y1173" i="3"/>
  <c r="X1174" i="3"/>
  <c r="Y1174" i="3"/>
  <c r="X1175" i="3"/>
  <c r="Y1175" i="3"/>
  <c r="X1176" i="3"/>
  <c r="Y1176" i="3"/>
  <c r="X1177" i="3"/>
  <c r="Y1177" i="3"/>
  <c r="X1178" i="3"/>
  <c r="Y1178" i="3"/>
  <c r="X1179" i="3"/>
  <c r="Y1179" i="3"/>
  <c r="X1180" i="3"/>
  <c r="Y1180" i="3"/>
  <c r="X1181" i="3"/>
  <c r="Y1181" i="3"/>
  <c r="X1182" i="3"/>
  <c r="Y1182" i="3"/>
  <c r="X1183" i="3"/>
  <c r="Y1183" i="3"/>
  <c r="X1184" i="3"/>
  <c r="Y1184" i="3"/>
  <c r="X1185" i="3"/>
  <c r="Y1185" i="3"/>
  <c r="X1186" i="3"/>
  <c r="Y1186" i="3"/>
  <c r="X1187" i="3"/>
  <c r="Y1187" i="3"/>
  <c r="X1188" i="3"/>
  <c r="Y1188" i="3"/>
  <c r="X1189" i="3"/>
  <c r="Z1189" i="3" s="1"/>
  <c r="AD1189" i="3" s="1"/>
  <c r="Y1189" i="3"/>
  <c r="X1190" i="3"/>
  <c r="Y1190" i="3"/>
  <c r="X1191" i="3"/>
  <c r="Y1191" i="3"/>
  <c r="X1192" i="3"/>
  <c r="Y1192" i="3"/>
  <c r="X1193" i="3"/>
  <c r="Y1193" i="3"/>
  <c r="X1194" i="3"/>
  <c r="Y1194" i="3"/>
  <c r="X1195" i="3"/>
  <c r="Y1195" i="3"/>
  <c r="X1196" i="3"/>
  <c r="Y1196" i="3"/>
  <c r="X1197" i="3"/>
  <c r="Y1197" i="3"/>
  <c r="X1198" i="3"/>
  <c r="Y1198" i="3"/>
  <c r="X1199" i="3"/>
  <c r="Y1199" i="3"/>
  <c r="X1200" i="3"/>
  <c r="Y1200" i="3"/>
  <c r="X1201" i="3"/>
  <c r="Y1201" i="3"/>
  <c r="X1202" i="3"/>
  <c r="Y1202" i="3"/>
  <c r="X1203" i="3"/>
  <c r="Y1203" i="3"/>
  <c r="X1204" i="3"/>
  <c r="Y1204" i="3"/>
  <c r="X1205" i="3"/>
  <c r="Z1205" i="3" s="1"/>
  <c r="AD1205" i="3" s="1"/>
  <c r="Y1205" i="3"/>
  <c r="X1206" i="3"/>
  <c r="Y1206" i="3"/>
  <c r="X1207" i="3"/>
  <c r="Y1207" i="3"/>
  <c r="X1208" i="3"/>
  <c r="Y1208" i="3"/>
  <c r="X1209" i="3"/>
  <c r="Y1209" i="3"/>
  <c r="X1210" i="3"/>
  <c r="Y1210" i="3"/>
  <c r="X1211" i="3"/>
  <c r="Y1211" i="3"/>
  <c r="X1212" i="3"/>
  <c r="Y1212" i="3"/>
  <c r="X1213" i="3"/>
  <c r="Y1213" i="3"/>
  <c r="X1214" i="3"/>
  <c r="Y1214" i="3"/>
  <c r="X1215" i="3"/>
  <c r="Y1215" i="3"/>
  <c r="X1216" i="3"/>
  <c r="Y1216" i="3"/>
  <c r="X1217" i="3"/>
  <c r="Y1217" i="3"/>
  <c r="X1218" i="3"/>
  <c r="Y1218" i="3"/>
  <c r="X1219" i="3"/>
  <c r="Y1219" i="3"/>
  <c r="X1220" i="3"/>
  <c r="Y1220" i="3"/>
  <c r="X1221" i="3"/>
  <c r="Y1221" i="3"/>
  <c r="X1222" i="3"/>
  <c r="Y1222" i="3"/>
  <c r="X1223" i="3"/>
  <c r="Y1223" i="3"/>
  <c r="X1224" i="3"/>
  <c r="Y1224" i="3"/>
  <c r="X1225" i="3"/>
  <c r="Y1225" i="3"/>
  <c r="X1226" i="3"/>
  <c r="Y1226" i="3"/>
  <c r="X1227" i="3"/>
  <c r="Y1227" i="3"/>
  <c r="X1228" i="3"/>
  <c r="Y1228" i="3"/>
  <c r="X1229" i="3"/>
  <c r="Y1229" i="3"/>
  <c r="X1230" i="3"/>
  <c r="Y1230" i="3"/>
  <c r="X1231" i="3"/>
  <c r="Y1231" i="3"/>
  <c r="X1232" i="3"/>
  <c r="Y1232" i="3"/>
  <c r="X1233" i="3"/>
  <c r="Y1233" i="3"/>
  <c r="X1234" i="3"/>
  <c r="Y1234" i="3"/>
  <c r="X1235" i="3"/>
  <c r="Y1235" i="3"/>
  <c r="X1236" i="3"/>
  <c r="Y1236" i="3"/>
  <c r="X1237" i="3"/>
  <c r="Y1237" i="3"/>
  <c r="X1238" i="3"/>
  <c r="Y1238" i="3"/>
  <c r="X1239" i="3"/>
  <c r="Y1239" i="3"/>
  <c r="X1240" i="3"/>
  <c r="Y1240" i="3"/>
  <c r="X1241" i="3"/>
  <c r="Y1241" i="3"/>
  <c r="X1242" i="3"/>
  <c r="Y1242" i="3"/>
  <c r="X1243" i="3"/>
  <c r="Y1243" i="3"/>
  <c r="X1244" i="3"/>
  <c r="Y1244" i="3"/>
  <c r="X1245" i="3"/>
  <c r="Y1245" i="3"/>
  <c r="X1246" i="3"/>
  <c r="Y1246" i="3"/>
  <c r="X1247" i="3"/>
  <c r="Y1247" i="3"/>
  <c r="X1248" i="3"/>
  <c r="Y1248" i="3"/>
  <c r="X1249" i="3"/>
  <c r="Y1249" i="3"/>
  <c r="X1250" i="3"/>
  <c r="Y1250" i="3"/>
  <c r="X1251" i="3"/>
  <c r="Y1251" i="3"/>
  <c r="X1252" i="3"/>
  <c r="Y1252" i="3"/>
  <c r="X1253" i="3"/>
  <c r="Y1253" i="3"/>
  <c r="X1254" i="3"/>
  <c r="Y1254" i="3"/>
  <c r="X1255" i="3"/>
  <c r="Y1255" i="3"/>
  <c r="X1256" i="3"/>
  <c r="Y1256" i="3"/>
  <c r="X1257" i="3"/>
  <c r="Y1257" i="3"/>
  <c r="X1258" i="3"/>
  <c r="Y1258" i="3"/>
  <c r="X1259" i="3"/>
  <c r="Y1259" i="3"/>
  <c r="X1260" i="3"/>
  <c r="Y1260" i="3"/>
  <c r="X1261" i="3"/>
  <c r="Y1261" i="3"/>
  <c r="X1262" i="3"/>
  <c r="Y1262" i="3"/>
  <c r="X1263" i="3"/>
  <c r="Y1263" i="3"/>
  <c r="X1264" i="3"/>
  <c r="Y1264" i="3"/>
  <c r="X1265" i="3"/>
  <c r="Y1265" i="3"/>
  <c r="X1266" i="3"/>
  <c r="Y1266" i="3"/>
  <c r="X1267" i="3"/>
  <c r="Y1267" i="3"/>
  <c r="X1268" i="3"/>
  <c r="Y1268" i="3"/>
  <c r="X1269" i="3"/>
  <c r="Y1269" i="3"/>
  <c r="X1270" i="3"/>
  <c r="Y1270" i="3"/>
  <c r="X1271" i="3"/>
  <c r="Y1271" i="3"/>
  <c r="X1272" i="3"/>
  <c r="Y1272" i="3"/>
  <c r="X1273" i="3"/>
  <c r="Y1273" i="3"/>
  <c r="X1274" i="3"/>
  <c r="Y1274" i="3"/>
  <c r="X1275" i="3"/>
  <c r="Y1275" i="3"/>
  <c r="X1276" i="3"/>
  <c r="Y1276" i="3"/>
  <c r="Z1276" i="3"/>
  <c r="AD1276" i="3" s="1"/>
  <c r="X1277" i="3"/>
  <c r="Y1277" i="3"/>
  <c r="X1278" i="3"/>
  <c r="Y1278" i="3"/>
  <c r="X1279" i="3"/>
  <c r="Y1279" i="3"/>
  <c r="X1280" i="3"/>
  <c r="Y1280" i="3"/>
  <c r="X1281" i="3"/>
  <c r="Y1281" i="3"/>
  <c r="X1282" i="3"/>
  <c r="Y1282" i="3"/>
  <c r="X1283" i="3"/>
  <c r="Y1283" i="3"/>
  <c r="Z1283" i="3" s="1"/>
  <c r="AD1283" i="3" s="1"/>
  <c r="X1284" i="3"/>
  <c r="Y1284" i="3"/>
  <c r="X1285" i="3"/>
  <c r="Y1285" i="3"/>
  <c r="X1286" i="3"/>
  <c r="Y1286" i="3"/>
  <c r="X1287" i="3"/>
  <c r="Y1287" i="3"/>
  <c r="X1288" i="3"/>
  <c r="Y1288" i="3"/>
  <c r="X1289" i="3"/>
  <c r="Y1289" i="3"/>
  <c r="X1290" i="3"/>
  <c r="Y1290" i="3"/>
  <c r="X1291" i="3"/>
  <c r="Y1291" i="3"/>
  <c r="X1292" i="3"/>
  <c r="Y1292" i="3"/>
  <c r="X1293" i="3"/>
  <c r="Y1293" i="3"/>
  <c r="X1294" i="3"/>
  <c r="Y1294" i="3"/>
  <c r="X1295" i="3"/>
  <c r="Y1295" i="3"/>
  <c r="X1296" i="3"/>
  <c r="Y1296" i="3"/>
  <c r="X1297" i="3"/>
  <c r="Y1297" i="3"/>
  <c r="X1298" i="3"/>
  <c r="Y1298" i="3"/>
  <c r="X1299" i="3"/>
  <c r="Y1299" i="3"/>
  <c r="X1300" i="3"/>
  <c r="Y1300" i="3"/>
  <c r="X1301" i="3"/>
  <c r="Y1301" i="3"/>
  <c r="X1302" i="3"/>
  <c r="Y1302" i="3"/>
  <c r="X1303" i="3"/>
  <c r="Y1303" i="3"/>
  <c r="X1304" i="3"/>
  <c r="Y1304" i="3"/>
  <c r="X1305" i="3"/>
  <c r="Y1305" i="3"/>
  <c r="X1306" i="3"/>
  <c r="Y1306" i="3"/>
  <c r="X1307" i="3"/>
  <c r="Y1307" i="3"/>
  <c r="X1308" i="3"/>
  <c r="Y1308" i="3"/>
  <c r="X1309" i="3"/>
  <c r="Y1309" i="3"/>
  <c r="X1310" i="3"/>
  <c r="Y1310" i="3"/>
  <c r="X1311" i="3"/>
  <c r="Y1311" i="3"/>
  <c r="X1312" i="3"/>
  <c r="Y1312" i="3"/>
  <c r="X1313" i="3"/>
  <c r="Y1313" i="3"/>
  <c r="X1314" i="3"/>
  <c r="Y1314" i="3"/>
  <c r="X1315" i="3"/>
  <c r="Y1315" i="3"/>
  <c r="X1316" i="3"/>
  <c r="Y1316" i="3"/>
  <c r="X1317" i="3"/>
  <c r="Y1317" i="3"/>
  <c r="X1318" i="3"/>
  <c r="Y1318" i="3"/>
  <c r="X1319" i="3"/>
  <c r="Y1319" i="3"/>
  <c r="X1320" i="3"/>
  <c r="Y1320" i="3"/>
  <c r="X1321" i="3"/>
  <c r="Y1321" i="3"/>
  <c r="X1322" i="3"/>
  <c r="Y1322" i="3"/>
  <c r="X1323" i="3"/>
  <c r="Y1323" i="3"/>
  <c r="X1324" i="3"/>
  <c r="Y1324" i="3"/>
  <c r="X1325" i="3"/>
  <c r="Y1325" i="3"/>
  <c r="X1326" i="3"/>
  <c r="Y1326" i="3"/>
  <c r="X1327" i="3"/>
  <c r="Y1327" i="3"/>
  <c r="X1328" i="3"/>
  <c r="Y1328" i="3"/>
  <c r="X1329" i="3"/>
  <c r="Y1329" i="3"/>
  <c r="X1330" i="3"/>
  <c r="Y1330" i="3"/>
  <c r="X1331" i="3"/>
  <c r="Y1331" i="3"/>
  <c r="X1332" i="3"/>
  <c r="Y1332" i="3"/>
  <c r="X1333" i="3"/>
  <c r="Y1333" i="3"/>
  <c r="X1334" i="3"/>
  <c r="Y1334" i="3"/>
  <c r="X1335" i="3"/>
  <c r="Y1335" i="3"/>
  <c r="X1336" i="3"/>
  <c r="Y1336" i="3"/>
  <c r="X1337" i="3"/>
  <c r="Y1337" i="3"/>
  <c r="X1338" i="3"/>
  <c r="Y1338" i="3"/>
  <c r="X1339" i="3"/>
  <c r="Y1339" i="3"/>
  <c r="X1340" i="3"/>
  <c r="Y1340" i="3"/>
  <c r="X1341" i="3"/>
  <c r="Y1341" i="3"/>
  <c r="X1342" i="3"/>
  <c r="Y1342" i="3"/>
  <c r="X1343" i="3"/>
  <c r="Y1343" i="3"/>
  <c r="X1344" i="3"/>
  <c r="Y1344" i="3"/>
  <c r="X1345" i="3"/>
  <c r="Y1345" i="3"/>
  <c r="X1346" i="3"/>
  <c r="Y1346" i="3"/>
  <c r="X1347" i="3"/>
  <c r="Y1347" i="3"/>
  <c r="X1348" i="3"/>
  <c r="Y1348" i="3"/>
  <c r="X1349" i="3"/>
  <c r="Y1349" i="3"/>
  <c r="X1350" i="3"/>
  <c r="Y1350" i="3"/>
  <c r="X1351" i="3"/>
  <c r="Y1351" i="3"/>
  <c r="X1352" i="3"/>
  <c r="Y1352" i="3"/>
  <c r="X1353" i="3"/>
  <c r="Y1353" i="3"/>
  <c r="X1354" i="3"/>
  <c r="Y1354" i="3"/>
  <c r="X1355" i="3"/>
  <c r="Y1355" i="3"/>
  <c r="X1356" i="3"/>
  <c r="Y1356" i="3"/>
  <c r="X1357" i="3"/>
  <c r="Y1357" i="3"/>
  <c r="X1358" i="3"/>
  <c r="Y1358" i="3"/>
  <c r="X1359" i="3"/>
  <c r="Y1359" i="3"/>
  <c r="X1360" i="3"/>
  <c r="Y1360" i="3"/>
  <c r="X1361" i="3"/>
  <c r="Y1361" i="3"/>
  <c r="X1362" i="3"/>
  <c r="Y1362" i="3"/>
  <c r="X1363" i="3"/>
  <c r="Y1363" i="3"/>
  <c r="X1364" i="3"/>
  <c r="Y1364" i="3"/>
  <c r="X1365" i="3"/>
  <c r="Y1365" i="3"/>
  <c r="X1366" i="3"/>
  <c r="Y1366" i="3"/>
  <c r="X1367" i="3"/>
  <c r="Y1367" i="3"/>
  <c r="X1368" i="3"/>
  <c r="Y1368" i="3"/>
  <c r="X1369" i="3"/>
  <c r="Y1369" i="3"/>
  <c r="X1370" i="3"/>
  <c r="Y1370" i="3"/>
  <c r="X1371" i="3"/>
  <c r="Y1371" i="3"/>
  <c r="X1372" i="3"/>
  <c r="Y1372" i="3"/>
  <c r="X1373" i="3"/>
  <c r="Y1373" i="3"/>
  <c r="X1374" i="3"/>
  <c r="Y1374" i="3"/>
  <c r="X1375" i="3"/>
  <c r="Y1375" i="3"/>
  <c r="X1376" i="3"/>
  <c r="Y1376" i="3"/>
  <c r="X1377" i="3"/>
  <c r="Y1377" i="3"/>
  <c r="X1378" i="3"/>
  <c r="Y1378" i="3"/>
  <c r="X1379" i="3"/>
  <c r="Y1379" i="3"/>
  <c r="X1380" i="3"/>
  <c r="Y1380" i="3"/>
  <c r="X1381" i="3"/>
  <c r="Y1381" i="3"/>
  <c r="X1382" i="3"/>
  <c r="Y1382" i="3"/>
  <c r="X1383" i="3"/>
  <c r="Z1383" i="3" s="1"/>
  <c r="AD1383" i="3" s="1"/>
  <c r="Y1383" i="3"/>
  <c r="X1384" i="3"/>
  <c r="Y1384" i="3"/>
  <c r="X1385" i="3"/>
  <c r="Y1385" i="3"/>
  <c r="X1386" i="3"/>
  <c r="Y1386" i="3"/>
  <c r="X1387" i="3"/>
  <c r="Y1387" i="3"/>
  <c r="X1388" i="3"/>
  <c r="Y1388" i="3"/>
  <c r="X1389" i="3"/>
  <c r="Y1389" i="3"/>
  <c r="X1390" i="3"/>
  <c r="Y1390" i="3"/>
  <c r="X1391" i="3"/>
  <c r="Y1391" i="3"/>
  <c r="X1392" i="3"/>
  <c r="Y1392" i="3"/>
  <c r="X1393" i="3"/>
  <c r="Y1393" i="3"/>
  <c r="X1394" i="3"/>
  <c r="Y1394" i="3"/>
  <c r="X1395" i="3"/>
  <c r="Y1395" i="3"/>
  <c r="X1396" i="3"/>
  <c r="Y1396" i="3"/>
  <c r="X1397" i="3"/>
  <c r="Y1397" i="3"/>
  <c r="X1398" i="3"/>
  <c r="Y1398" i="3"/>
  <c r="X1399" i="3"/>
  <c r="Y1399" i="3"/>
  <c r="X1400" i="3"/>
  <c r="Y1400" i="3"/>
  <c r="X1401" i="3"/>
  <c r="Y1401" i="3"/>
  <c r="X1402" i="3"/>
  <c r="Y1402" i="3"/>
  <c r="X1403" i="3"/>
  <c r="Y1403" i="3"/>
  <c r="X1404" i="3"/>
  <c r="Y1404" i="3"/>
  <c r="X1405" i="3"/>
  <c r="Y1405" i="3"/>
  <c r="X1406" i="3"/>
  <c r="Y1406" i="3"/>
  <c r="X1407" i="3"/>
  <c r="Y1407" i="3"/>
  <c r="X1408" i="3"/>
  <c r="Y1408" i="3"/>
  <c r="X1409" i="3"/>
  <c r="Y1409" i="3"/>
  <c r="X1410" i="3"/>
  <c r="Y1410" i="3"/>
  <c r="X1411" i="3"/>
  <c r="Y1411" i="3"/>
  <c r="X1412" i="3"/>
  <c r="Y1412" i="3"/>
  <c r="X1413" i="3"/>
  <c r="Y1413" i="3"/>
  <c r="X1414" i="3"/>
  <c r="Y1414" i="3"/>
  <c r="X1415" i="3"/>
  <c r="Z1415" i="3" s="1"/>
  <c r="AD1415" i="3" s="1"/>
  <c r="Y1415" i="3"/>
  <c r="X1416" i="3"/>
  <c r="Y1416" i="3"/>
  <c r="X1417" i="3"/>
  <c r="Y1417" i="3"/>
  <c r="X1418" i="3"/>
  <c r="Y1418" i="3"/>
  <c r="X1419" i="3"/>
  <c r="Y1419" i="3"/>
  <c r="X1420" i="3"/>
  <c r="Y1420" i="3"/>
  <c r="X1421" i="3"/>
  <c r="Y1421" i="3"/>
  <c r="X1422" i="3"/>
  <c r="Y1422" i="3"/>
  <c r="X1423" i="3"/>
  <c r="Y1423" i="3"/>
  <c r="X1424" i="3"/>
  <c r="Y1424" i="3"/>
  <c r="X1425" i="3"/>
  <c r="Y1425" i="3"/>
  <c r="X1426" i="3"/>
  <c r="Y1426" i="3"/>
  <c r="X1427" i="3"/>
  <c r="Y1427" i="3"/>
  <c r="X1428" i="3"/>
  <c r="Y1428" i="3"/>
  <c r="X1429" i="3"/>
  <c r="Y1429" i="3"/>
  <c r="X1430" i="3"/>
  <c r="Y1430" i="3"/>
  <c r="X1431" i="3"/>
  <c r="Z1431" i="3" s="1"/>
  <c r="AD1431" i="3" s="1"/>
  <c r="Y1431" i="3"/>
  <c r="X1432" i="3"/>
  <c r="Y1432" i="3"/>
  <c r="X1433" i="3"/>
  <c r="Y1433" i="3"/>
  <c r="X1434" i="3"/>
  <c r="Y1434" i="3"/>
  <c r="X1435" i="3"/>
  <c r="Y1435" i="3"/>
  <c r="X1436" i="3"/>
  <c r="Y1436" i="3"/>
  <c r="X1437" i="3"/>
  <c r="Y1437" i="3"/>
  <c r="X1438" i="3"/>
  <c r="Y1438" i="3"/>
  <c r="X1439" i="3"/>
  <c r="Y1439" i="3"/>
  <c r="X1440" i="3"/>
  <c r="Y1440" i="3"/>
  <c r="X1441" i="3"/>
  <c r="Y1441" i="3"/>
  <c r="X1442" i="3"/>
  <c r="Y1442" i="3"/>
  <c r="X1443" i="3"/>
  <c r="Y1443" i="3"/>
  <c r="X1444" i="3"/>
  <c r="Y1444" i="3"/>
  <c r="X1445" i="3"/>
  <c r="Y1445" i="3"/>
  <c r="X1446" i="3"/>
  <c r="Y1446" i="3"/>
  <c r="X1447" i="3"/>
  <c r="Y1447" i="3"/>
  <c r="X1448" i="3"/>
  <c r="Y1448" i="3"/>
  <c r="Z1448" i="3"/>
  <c r="AD1448" i="3" s="1"/>
  <c r="X1449" i="3"/>
  <c r="Y1449" i="3"/>
  <c r="Z1449" i="3" s="1"/>
  <c r="AD1449" i="3" s="1"/>
  <c r="X1450" i="3"/>
  <c r="Y1450" i="3"/>
  <c r="Z1450" i="3" s="1"/>
  <c r="AD1450" i="3" s="1"/>
  <c r="X1451" i="3"/>
  <c r="Y1451" i="3"/>
  <c r="X1452" i="3"/>
  <c r="Y1452" i="3"/>
  <c r="Z1452" i="3" s="1"/>
  <c r="AD1452" i="3" s="1"/>
  <c r="X1453" i="3"/>
  <c r="Y1453" i="3"/>
  <c r="X1454" i="3"/>
  <c r="Y1454" i="3"/>
  <c r="X1455" i="3"/>
  <c r="Y1455" i="3"/>
  <c r="X1456" i="3"/>
  <c r="Y1456" i="3"/>
  <c r="Z1456" i="3" s="1"/>
  <c r="AD1456" i="3" s="1"/>
  <c r="X1457" i="3"/>
  <c r="Y1457" i="3"/>
  <c r="X1458" i="3"/>
  <c r="Y1458" i="3"/>
  <c r="X1459" i="3"/>
  <c r="Y1459" i="3"/>
  <c r="X1460" i="3"/>
  <c r="Y1460" i="3"/>
  <c r="X1461" i="3"/>
  <c r="Y1461" i="3"/>
  <c r="X1462" i="3"/>
  <c r="Y1462" i="3"/>
  <c r="X1463" i="3"/>
  <c r="Y1463" i="3"/>
  <c r="X1464" i="3"/>
  <c r="Y1464" i="3"/>
  <c r="X1465" i="3"/>
  <c r="Y1465" i="3"/>
  <c r="X1466" i="3"/>
  <c r="Y1466" i="3"/>
  <c r="X1467" i="3"/>
  <c r="Y1467" i="3"/>
  <c r="X1468" i="3"/>
  <c r="Y1468" i="3"/>
  <c r="X1469" i="3"/>
  <c r="Y1469" i="3"/>
  <c r="X1470" i="3"/>
  <c r="Y1470" i="3"/>
  <c r="X1471" i="3"/>
  <c r="Y1471" i="3"/>
  <c r="X1472" i="3"/>
  <c r="Y1472" i="3"/>
  <c r="Z1472" i="3" s="1"/>
  <c r="AD1472" i="3" s="1"/>
  <c r="X1473" i="3"/>
  <c r="Y1473" i="3"/>
  <c r="X1474" i="3"/>
  <c r="Y1474" i="3"/>
  <c r="X1475" i="3"/>
  <c r="Y1475" i="3"/>
  <c r="X1476" i="3"/>
  <c r="Y1476" i="3"/>
  <c r="X1477" i="3"/>
  <c r="Y1477" i="3"/>
  <c r="X1478" i="3"/>
  <c r="Y1478" i="3"/>
  <c r="X1479" i="3"/>
  <c r="Y1479" i="3"/>
  <c r="X1480" i="3"/>
  <c r="Y1480" i="3"/>
  <c r="X1481" i="3"/>
  <c r="Y1481" i="3"/>
  <c r="X1482" i="3"/>
  <c r="Y1482" i="3"/>
  <c r="X1483" i="3"/>
  <c r="Y1483" i="3"/>
  <c r="X1484" i="3"/>
  <c r="Y1484" i="3"/>
  <c r="X1485" i="3"/>
  <c r="Y1485" i="3"/>
  <c r="X1486" i="3"/>
  <c r="Y1486" i="3"/>
  <c r="X1487" i="3"/>
  <c r="Y1487" i="3"/>
  <c r="X1488" i="3"/>
  <c r="Y1488" i="3"/>
  <c r="X1489" i="3"/>
  <c r="Y1489" i="3"/>
  <c r="X1490" i="3"/>
  <c r="Y1490" i="3"/>
  <c r="X1491" i="3"/>
  <c r="Y1491" i="3"/>
  <c r="X1492" i="3"/>
  <c r="Y1492" i="3"/>
  <c r="X1493" i="3"/>
  <c r="Y1493" i="3"/>
  <c r="X1494" i="3"/>
  <c r="Y1494" i="3"/>
  <c r="X1495" i="3"/>
  <c r="Y1495" i="3"/>
  <c r="X1496" i="3"/>
  <c r="Y1496" i="3"/>
  <c r="Z1496" i="3" s="1"/>
  <c r="AD1496" i="3" s="1"/>
  <c r="X1497" i="3"/>
  <c r="Y1497" i="3"/>
  <c r="X1498" i="3"/>
  <c r="Y1498" i="3"/>
  <c r="X1499" i="3"/>
  <c r="Y1499" i="3"/>
  <c r="X1500" i="3"/>
  <c r="Y1500" i="3"/>
  <c r="X1501" i="3"/>
  <c r="Y1501" i="3"/>
  <c r="X1502" i="3"/>
  <c r="Y1502" i="3"/>
  <c r="X1503" i="3"/>
  <c r="Y1503" i="3"/>
  <c r="X1504" i="3"/>
  <c r="Y1504" i="3"/>
  <c r="X1505" i="3"/>
  <c r="Y1505" i="3"/>
  <c r="X1506" i="3"/>
  <c r="Y1506" i="3"/>
  <c r="X1507" i="3"/>
  <c r="Y1507" i="3"/>
  <c r="X1508" i="3"/>
  <c r="Y1508" i="3"/>
  <c r="X1509" i="3"/>
  <c r="Y1509" i="3"/>
  <c r="X1510" i="3"/>
  <c r="Y1510" i="3"/>
  <c r="X1511" i="3"/>
  <c r="Y1511" i="3"/>
  <c r="X1512" i="3"/>
  <c r="Y1512" i="3"/>
  <c r="X1513" i="3"/>
  <c r="Y1513" i="3"/>
  <c r="X1514" i="3"/>
  <c r="Y1514" i="3"/>
  <c r="X1515" i="3"/>
  <c r="Y1515" i="3"/>
  <c r="X1516" i="3"/>
  <c r="Y1516" i="3"/>
  <c r="Z1516" i="3" s="1"/>
  <c r="AD1516" i="3" s="1"/>
  <c r="X1517" i="3"/>
  <c r="Y1517" i="3"/>
  <c r="X1518" i="3"/>
  <c r="Y1518" i="3"/>
  <c r="X1519" i="3"/>
  <c r="Y1519" i="3"/>
  <c r="X1520" i="3"/>
  <c r="Y1520" i="3"/>
  <c r="X1521" i="3"/>
  <c r="Y1521" i="3"/>
  <c r="Z1521" i="3" s="1"/>
  <c r="AD1521" i="3" s="1"/>
  <c r="X1522" i="3"/>
  <c r="Y1522" i="3"/>
  <c r="Z1522" i="3" s="1"/>
  <c r="AD1522" i="3" s="1"/>
  <c r="X1523" i="3"/>
  <c r="Y1523" i="3"/>
  <c r="X1524" i="3"/>
  <c r="Y1524" i="3"/>
  <c r="Z1524" i="3" s="1"/>
  <c r="AD1524" i="3" s="1"/>
  <c r="X1525" i="3"/>
  <c r="Y1525" i="3"/>
  <c r="X1526" i="3"/>
  <c r="Y1526" i="3"/>
  <c r="X1527" i="3"/>
  <c r="Y1527" i="3"/>
  <c r="X1528" i="3"/>
  <c r="Y1528" i="3"/>
  <c r="Z1528" i="3" s="1"/>
  <c r="AD1528" i="3" s="1"/>
  <c r="X1529" i="3"/>
  <c r="Y1529" i="3"/>
  <c r="X1530" i="3"/>
  <c r="Y1530" i="3"/>
  <c r="X1531" i="3"/>
  <c r="Y1531" i="3"/>
  <c r="X1532" i="3"/>
  <c r="Y1532" i="3"/>
  <c r="X1533" i="3"/>
  <c r="Y1533" i="3"/>
  <c r="X1534" i="3"/>
  <c r="Y1534" i="3"/>
  <c r="X1535" i="3"/>
  <c r="Y1535" i="3"/>
  <c r="X1536" i="3"/>
  <c r="Y1536" i="3"/>
  <c r="X1537" i="3"/>
  <c r="Y1537" i="3"/>
  <c r="X1538" i="3"/>
  <c r="Y1538" i="3"/>
  <c r="X1539" i="3"/>
  <c r="Y1539" i="3"/>
  <c r="X1540" i="3"/>
  <c r="Y1540" i="3"/>
  <c r="X1541" i="3"/>
  <c r="Y1541" i="3"/>
  <c r="X1542" i="3"/>
  <c r="Y1542" i="3"/>
  <c r="X1543" i="3"/>
  <c r="Y1543" i="3"/>
  <c r="X1544" i="3"/>
  <c r="Y1544" i="3"/>
  <c r="X1545" i="3"/>
  <c r="Y1545" i="3"/>
  <c r="X1546" i="3"/>
  <c r="Y1546" i="3"/>
  <c r="X1547" i="3"/>
  <c r="Y1547" i="3"/>
  <c r="X1548" i="3"/>
  <c r="Y1548" i="3"/>
  <c r="X1549" i="3"/>
  <c r="Y1549" i="3"/>
  <c r="X1550" i="3"/>
  <c r="Y1550" i="3"/>
  <c r="X1551" i="3"/>
  <c r="Y1551" i="3"/>
  <c r="X1552" i="3"/>
  <c r="Y1552" i="3"/>
  <c r="X1553" i="3"/>
  <c r="Y1553" i="3"/>
  <c r="X1554" i="3"/>
  <c r="Y1554" i="3"/>
  <c r="X1555" i="3"/>
  <c r="Y1555" i="3"/>
  <c r="X1556" i="3"/>
  <c r="Y1556" i="3"/>
  <c r="X1557" i="3"/>
  <c r="Y1557" i="3"/>
  <c r="X1558" i="3"/>
  <c r="Y1558" i="3"/>
  <c r="X1559" i="3"/>
  <c r="Y1559" i="3"/>
  <c r="X1560" i="3"/>
  <c r="Y1560" i="3"/>
  <c r="Z1560" i="3" s="1"/>
  <c r="AD1560" i="3" s="1"/>
  <c r="X1561" i="3"/>
  <c r="Y1561" i="3"/>
  <c r="X1562" i="3"/>
  <c r="Y1562" i="3"/>
  <c r="X1563" i="3"/>
  <c r="Y1563" i="3"/>
  <c r="X1564" i="3"/>
  <c r="Y1564" i="3"/>
  <c r="X1565" i="3"/>
  <c r="Y1565" i="3"/>
  <c r="X1566" i="3"/>
  <c r="Y1566" i="3"/>
  <c r="X1567" i="3"/>
  <c r="Y1567" i="3"/>
  <c r="X1568" i="3"/>
  <c r="Y1568" i="3"/>
  <c r="X1569" i="3"/>
  <c r="Y1569" i="3"/>
  <c r="X1570" i="3"/>
  <c r="Y1570" i="3"/>
  <c r="X1571" i="3"/>
  <c r="Y1571" i="3"/>
  <c r="X1572" i="3"/>
  <c r="Y1572" i="3"/>
  <c r="X1573" i="3"/>
  <c r="Y1573" i="3"/>
  <c r="X1574" i="3"/>
  <c r="Y1574" i="3"/>
  <c r="X1575" i="3"/>
  <c r="Y1575" i="3"/>
  <c r="X1576" i="3"/>
  <c r="Y1576" i="3"/>
  <c r="X1577" i="3"/>
  <c r="Y1577" i="3"/>
  <c r="X1578" i="3"/>
  <c r="Y1578" i="3"/>
  <c r="X1579" i="3"/>
  <c r="Y1579" i="3"/>
  <c r="X1580" i="3"/>
  <c r="Y1580" i="3"/>
  <c r="X1581" i="3"/>
  <c r="Y1581" i="3"/>
  <c r="X1582" i="3"/>
  <c r="Y1582" i="3"/>
  <c r="X1583" i="3"/>
  <c r="Y1583" i="3"/>
  <c r="X1584" i="3"/>
  <c r="Y1584" i="3"/>
  <c r="X1585" i="3"/>
  <c r="Y1585" i="3"/>
  <c r="X1586" i="3"/>
  <c r="Y1586" i="3"/>
  <c r="X1587" i="3"/>
  <c r="Y1587" i="3"/>
  <c r="X1588" i="3"/>
  <c r="Y1588" i="3"/>
  <c r="X1589" i="3"/>
  <c r="Y1589" i="3"/>
  <c r="X1590" i="3"/>
  <c r="Y1590" i="3"/>
  <c r="X1591" i="3"/>
  <c r="Y1591" i="3"/>
  <c r="X1592" i="3"/>
  <c r="Y1592" i="3"/>
  <c r="X1593" i="3"/>
  <c r="Y1593" i="3"/>
  <c r="X1594" i="3"/>
  <c r="Y1594" i="3"/>
  <c r="X1595" i="3"/>
  <c r="Y1595" i="3"/>
  <c r="X1596" i="3"/>
  <c r="Y1596" i="3"/>
  <c r="X1597" i="3"/>
  <c r="Y1597" i="3"/>
  <c r="X1598" i="3"/>
  <c r="Y1598" i="3"/>
  <c r="X1599" i="3"/>
  <c r="Y1599" i="3"/>
  <c r="X1600" i="3"/>
  <c r="Y1600" i="3"/>
  <c r="Z1600" i="3" s="1"/>
  <c r="AD1600" i="3" s="1"/>
  <c r="X1601" i="3"/>
  <c r="Y1601" i="3"/>
  <c r="X1602" i="3"/>
  <c r="Y1602" i="3"/>
  <c r="X1603" i="3"/>
  <c r="Y1603" i="3"/>
  <c r="X1604" i="3"/>
  <c r="Y1604" i="3"/>
  <c r="X1605" i="3"/>
  <c r="Y1605" i="3"/>
  <c r="X1606" i="3"/>
  <c r="Y1606" i="3"/>
  <c r="X1607" i="3"/>
  <c r="Y1607" i="3"/>
  <c r="X1608" i="3"/>
  <c r="Y1608" i="3"/>
  <c r="X1609" i="3"/>
  <c r="Y1609" i="3"/>
  <c r="X1610" i="3"/>
  <c r="Y1610" i="3"/>
  <c r="X1611" i="3"/>
  <c r="Y1611" i="3"/>
  <c r="X1612" i="3"/>
  <c r="Y1612" i="3"/>
  <c r="X1613" i="3"/>
  <c r="Y1613" i="3"/>
  <c r="X1614" i="3"/>
  <c r="Y1614" i="3"/>
  <c r="X1615" i="3"/>
  <c r="Y1615" i="3"/>
  <c r="X1616" i="3"/>
  <c r="Y1616" i="3"/>
  <c r="X1617" i="3"/>
  <c r="Y1617" i="3"/>
  <c r="X1618" i="3"/>
  <c r="Y1618" i="3"/>
  <c r="X1619" i="3"/>
  <c r="Y1619" i="3"/>
  <c r="X1620" i="3"/>
  <c r="Y1620" i="3"/>
  <c r="X1621" i="3"/>
  <c r="Y1621" i="3"/>
  <c r="X1622" i="3"/>
  <c r="Y1622" i="3"/>
  <c r="X1623" i="3"/>
  <c r="Y1623" i="3"/>
  <c r="X1624" i="3"/>
  <c r="Y1624" i="3"/>
  <c r="X1625" i="3"/>
  <c r="Y1625" i="3"/>
  <c r="X1626" i="3"/>
  <c r="Y1626" i="3"/>
  <c r="X1627" i="3"/>
  <c r="Y1627" i="3"/>
  <c r="X1628" i="3"/>
  <c r="Y1628" i="3"/>
  <c r="X1629" i="3"/>
  <c r="Y1629" i="3"/>
  <c r="X1630" i="3"/>
  <c r="Y1630" i="3"/>
  <c r="X1631" i="3"/>
  <c r="Y1631" i="3"/>
  <c r="X1632" i="3"/>
  <c r="Y1632" i="3"/>
  <c r="X1633" i="3"/>
  <c r="Y1633" i="3"/>
  <c r="X1634" i="3"/>
  <c r="Y1634" i="3"/>
  <c r="X1635" i="3"/>
  <c r="Y1635" i="3"/>
  <c r="X1636" i="3"/>
  <c r="Y1636" i="3"/>
  <c r="X1637" i="3"/>
  <c r="Y1637" i="3"/>
  <c r="X1638" i="3"/>
  <c r="Y1638" i="3"/>
  <c r="X1639" i="3"/>
  <c r="Y1639" i="3"/>
  <c r="X1640" i="3"/>
  <c r="Y1640" i="3"/>
  <c r="X1641" i="3"/>
  <c r="Y1641" i="3"/>
  <c r="X1642" i="3"/>
  <c r="Y1642" i="3"/>
  <c r="X1643" i="3"/>
  <c r="Y1643" i="3"/>
  <c r="X1644" i="3"/>
  <c r="Y1644" i="3"/>
  <c r="X1645" i="3"/>
  <c r="Y1645" i="3"/>
  <c r="X1646" i="3"/>
  <c r="Y1646" i="3"/>
  <c r="X1647" i="3"/>
  <c r="Y1647" i="3"/>
  <c r="X1648" i="3"/>
  <c r="Y1648" i="3"/>
  <c r="X1649" i="3"/>
  <c r="Y1649" i="3"/>
  <c r="X1650" i="3"/>
  <c r="Y1650" i="3"/>
  <c r="X1651" i="3"/>
  <c r="Y1651" i="3"/>
  <c r="X1652" i="3"/>
  <c r="Y1652" i="3"/>
  <c r="X1653" i="3"/>
  <c r="Y1653" i="3"/>
  <c r="X1654" i="3"/>
  <c r="Y1654" i="3"/>
  <c r="X1655" i="3"/>
  <c r="Y1655" i="3"/>
  <c r="X1656" i="3"/>
  <c r="Y1656" i="3"/>
  <c r="X1657" i="3"/>
  <c r="Y1657" i="3"/>
  <c r="X1658" i="3"/>
  <c r="Y1658" i="3"/>
  <c r="X1659" i="3"/>
  <c r="Y1659" i="3"/>
  <c r="X1660" i="3"/>
  <c r="Y1660" i="3"/>
  <c r="X1661" i="3"/>
  <c r="Y1661" i="3"/>
  <c r="X1662" i="3"/>
  <c r="Y1662" i="3"/>
  <c r="X1663" i="3"/>
  <c r="Y1663" i="3"/>
  <c r="X1664" i="3"/>
  <c r="Y1664" i="3"/>
  <c r="X1665" i="3"/>
  <c r="Y1665" i="3"/>
  <c r="X1666" i="3"/>
  <c r="Y1666" i="3"/>
  <c r="X1667" i="3"/>
  <c r="Y1667" i="3"/>
  <c r="X1668" i="3"/>
  <c r="Y1668" i="3"/>
  <c r="X1669" i="3"/>
  <c r="Y1669" i="3"/>
  <c r="X1670" i="3"/>
  <c r="Y1670" i="3"/>
  <c r="X1671" i="3"/>
  <c r="Y1671" i="3"/>
  <c r="X1672" i="3"/>
  <c r="Y1672" i="3"/>
  <c r="X1673" i="3"/>
  <c r="Y1673" i="3"/>
  <c r="X1674" i="3"/>
  <c r="Y1674" i="3"/>
  <c r="X1675" i="3"/>
  <c r="Y1675" i="3"/>
  <c r="X1676" i="3"/>
  <c r="Y1676" i="3"/>
  <c r="X1677" i="3"/>
  <c r="Y1677" i="3"/>
  <c r="X1678" i="3"/>
  <c r="Y1678" i="3"/>
  <c r="X1679" i="3"/>
  <c r="Y1679" i="3"/>
  <c r="X1680" i="3"/>
  <c r="Y1680" i="3"/>
  <c r="X1681" i="3"/>
  <c r="Y1681" i="3"/>
  <c r="X1682" i="3"/>
  <c r="Y1682" i="3"/>
  <c r="X1683" i="3"/>
  <c r="Y1683" i="3"/>
  <c r="X1684" i="3"/>
  <c r="Y1684" i="3"/>
  <c r="X1685" i="3"/>
  <c r="Y1685" i="3"/>
  <c r="X1686" i="3"/>
  <c r="Y1686" i="3"/>
  <c r="X1687" i="3"/>
  <c r="Y1687" i="3"/>
  <c r="X1688" i="3"/>
  <c r="Y1688" i="3"/>
  <c r="X1689" i="3"/>
  <c r="Y1689" i="3"/>
  <c r="X1690" i="3"/>
  <c r="Y1690" i="3"/>
  <c r="X1691" i="3"/>
  <c r="Y1691" i="3"/>
  <c r="X1692" i="3"/>
  <c r="Y1692" i="3"/>
  <c r="X1693" i="3"/>
  <c r="Y1693" i="3"/>
  <c r="X1694" i="3"/>
  <c r="Y1694" i="3"/>
  <c r="X1695" i="3"/>
  <c r="Y1695" i="3"/>
  <c r="X1696" i="3"/>
  <c r="Y1696" i="3"/>
  <c r="X1697" i="3"/>
  <c r="Y1697" i="3"/>
  <c r="X1698" i="3"/>
  <c r="Y1698" i="3"/>
  <c r="X1699" i="3"/>
  <c r="Y1699" i="3"/>
  <c r="X1700" i="3"/>
  <c r="Z1700" i="3" s="1"/>
  <c r="AD1700" i="3" s="1"/>
  <c r="Y1700" i="3"/>
  <c r="X1701" i="3"/>
  <c r="Y1701" i="3"/>
  <c r="X1702" i="3"/>
  <c r="Y1702" i="3"/>
  <c r="X1703" i="3"/>
  <c r="Y1703" i="3"/>
  <c r="X1704" i="3"/>
  <c r="Y1704" i="3"/>
  <c r="Z1704" i="3"/>
  <c r="AD1704" i="3" s="1"/>
  <c r="X1705" i="3"/>
  <c r="Y1705" i="3"/>
  <c r="Z1705" i="3" s="1"/>
  <c r="AD1705" i="3" s="1"/>
  <c r="X1706" i="3"/>
  <c r="Y1706" i="3"/>
  <c r="Z1706" i="3" s="1"/>
  <c r="AD1706" i="3" s="1"/>
  <c r="X1707" i="3"/>
  <c r="Y1707" i="3"/>
  <c r="X1708" i="3"/>
  <c r="Y1708" i="3"/>
  <c r="X1709" i="3"/>
  <c r="Y1709" i="3"/>
  <c r="Z1709" i="3" s="1"/>
  <c r="AD1709" i="3" s="1"/>
  <c r="X1710" i="3"/>
  <c r="Y1710" i="3"/>
  <c r="Z1710" i="3" s="1"/>
  <c r="AD1710" i="3" s="1"/>
  <c r="X1711" i="3"/>
  <c r="Y1711" i="3"/>
  <c r="X1712" i="3"/>
  <c r="Y1712" i="3"/>
  <c r="Z1712" i="3" s="1"/>
  <c r="AD1712" i="3" s="1"/>
  <c r="X1713" i="3"/>
  <c r="Y1713" i="3"/>
  <c r="X1714" i="3"/>
  <c r="Y1714" i="3"/>
  <c r="X1715" i="3"/>
  <c r="Y1715" i="3"/>
  <c r="X1716" i="3"/>
  <c r="Y1716" i="3"/>
  <c r="X1717" i="3"/>
  <c r="Y1717" i="3"/>
  <c r="X1718" i="3"/>
  <c r="Y1718" i="3"/>
  <c r="X1719" i="3"/>
  <c r="Y1719" i="3"/>
  <c r="X1720" i="3"/>
  <c r="Y1720" i="3"/>
  <c r="Z1720" i="3" s="1"/>
  <c r="AD1720" i="3" s="1"/>
  <c r="X1721" i="3"/>
  <c r="Y1721" i="3"/>
  <c r="X1722" i="3"/>
  <c r="Y1722" i="3"/>
  <c r="X1723" i="3"/>
  <c r="Y1723" i="3"/>
  <c r="X1724" i="3"/>
  <c r="Y1724" i="3"/>
  <c r="X1725" i="3"/>
  <c r="Y1725" i="3"/>
  <c r="X1726" i="3"/>
  <c r="Y1726" i="3"/>
  <c r="X1727" i="3"/>
  <c r="Y1727" i="3"/>
  <c r="X1728" i="3"/>
  <c r="Y1728" i="3"/>
  <c r="X1729" i="3"/>
  <c r="Y1729" i="3"/>
  <c r="X1730" i="3"/>
  <c r="Y1730" i="3"/>
  <c r="X1731" i="3"/>
  <c r="Y1731" i="3"/>
  <c r="X1732" i="3"/>
  <c r="Y1732" i="3"/>
  <c r="X14" i="3"/>
  <c r="X15" i="3"/>
  <c r="Y3" i="3"/>
  <c r="Y4" i="3"/>
  <c r="Y5" i="3"/>
  <c r="Y6" i="3"/>
  <c r="Y7" i="3"/>
  <c r="Y8" i="3"/>
  <c r="Y9" i="3"/>
  <c r="Y10" i="3"/>
  <c r="Y11" i="3"/>
  <c r="Y12" i="3"/>
  <c r="Y13" i="3"/>
  <c r="Y14" i="3"/>
  <c r="Y15" i="3"/>
  <c r="Y2" i="3"/>
  <c r="X3" i="3"/>
  <c r="Z3" i="3" s="1"/>
  <c r="AD3" i="3" s="1"/>
  <c r="X4" i="3"/>
  <c r="Z4" i="3" s="1"/>
  <c r="AD4" i="3" s="1"/>
  <c r="X5" i="3"/>
  <c r="Z5" i="3" s="1"/>
  <c r="AD5" i="3" s="1"/>
  <c r="X6" i="3"/>
  <c r="Z6" i="3" s="1"/>
  <c r="X7" i="3"/>
  <c r="Z7" i="3" s="1"/>
  <c r="AD7" i="3" s="1"/>
  <c r="X8" i="3"/>
  <c r="Z8" i="3" s="1"/>
  <c r="X9" i="3"/>
  <c r="Z9" i="3" s="1"/>
  <c r="X10" i="3"/>
  <c r="Z10" i="3" s="1"/>
  <c r="X11" i="3"/>
  <c r="Z11" i="3" s="1"/>
  <c r="X12" i="3"/>
  <c r="Z12" i="3" s="1"/>
  <c r="AD12" i="3" s="1"/>
  <c r="X13" i="3"/>
  <c r="Z13" i="3" s="1"/>
  <c r="AD13" i="3" s="1"/>
  <c r="X2" i="3"/>
  <c r="AD2" i="3" s="1"/>
  <c r="O26" i="6"/>
  <c r="P26" i="6"/>
  <c r="N26" i="6"/>
  <c r="Z1648" i="3" l="1"/>
  <c r="AD1648" i="3" s="1"/>
  <c r="Z1608" i="3"/>
  <c r="AD1608" i="3" s="1"/>
  <c r="Z1604" i="3"/>
  <c r="AD1604" i="3" s="1"/>
  <c r="Z1602" i="3"/>
  <c r="AD1602" i="3" s="1"/>
  <c r="Z1601" i="3"/>
  <c r="AD1601" i="3" s="1"/>
  <c r="Z1592" i="3"/>
  <c r="AD1592" i="3" s="1"/>
  <c r="Z1584" i="3"/>
  <c r="AD1584" i="3" s="1"/>
  <c r="Z1514" i="3"/>
  <c r="AD1514" i="3" s="1"/>
  <c r="Z1513" i="3"/>
  <c r="AD1513" i="3" s="1"/>
  <c r="Z1508" i="3"/>
  <c r="AD1508" i="3" s="1"/>
  <c r="Z1506" i="3"/>
  <c r="AD1506" i="3" s="1"/>
  <c r="Z1505" i="3"/>
  <c r="AD1505" i="3" s="1"/>
  <c r="Z1500" i="3"/>
  <c r="AD1500" i="3" s="1"/>
  <c r="Z1498" i="3"/>
  <c r="AD1498" i="3" s="1"/>
  <c r="Z1497" i="3"/>
  <c r="AD1497" i="3" s="1"/>
  <c r="Z1488" i="3"/>
  <c r="AD1488" i="3" s="1"/>
  <c r="Z1399" i="3"/>
  <c r="AD1399" i="3" s="1"/>
  <c r="Z1391" i="3"/>
  <c r="AD1391" i="3" s="1"/>
  <c r="Z1387" i="3"/>
  <c r="AD1387" i="3" s="1"/>
  <c r="Z1385" i="3"/>
  <c r="AD1385" i="3" s="1"/>
  <c r="Z1384" i="3"/>
  <c r="AD1384" i="3" s="1"/>
  <c r="Z1363" i="3"/>
  <c r="AD1363" i="3" s="1"/>
  <c r="Z1355" i="3"/>
  <c r="AD1355" i="3" s="1"/>
  <c r="Z1351" i="3"/>
  <c r="AD1351" i="3" s="1"/>
  <c r="Z1349" i="3"/>
  <c r="AD1349" i="3" s="1"/>
  <c r="Z1348" i="3"/>
  <c r="AD1348" i="3" s="1"/>
  <c r="Z1339" i="3"/>
  <c r="AD1339" i="3" s="1"/>
  <c r="Z1335" i="3"/>
  <c r="AD1335" i="3" s="1"/>
  <c r="Z1333" i="3"/>
  <c r="AD1333" i="3" s="1"/>
  <c r="Z1332" i="3"/>
  <c r="AD1332" i="3" s="1"/>
  <c r="Z1323" i="3"/>
  <c r="AD1323" i="3" s="1"/>
  <c r="Z1319" i="3"/>
  <c r="AD1319" i="3" s="1"/>
  <c r="Z1317" i="3"/>
  <c r="AD1317" i="3" s="1"/>
  <c r="Z1316" i="3"/>
  <c r="AD1316" i="3" s="1"/>
  <c r="Z1307" i="3"/>
  <c r="AD1307" i="3" s="1"/>
  <c r="Z1303" i="3"/>
  <c r="AD1303" i="3" s="1"/>
  <c r="Z1301" i="3"/>
  <c r="AD1301" i="3" s="1"/>
  <c r="Z1300" i="3"/>
  <c r="AD1300" i="3" s="1"/>
  <c r="Z1291" i="3"/>
  <c r="AD1291" i="3" s="1"/>
  <c r="Z1287" i="3"/>
  <c r="AD1287" i="3" s="1"/>
  <c r="Z1285" i="3"/>
  <c r="AD1285" i="3" s="1"/>
  <c r="Z1284" i="3"/>
  <c r="AD1284" i="3" s="1"/>
  <c r="Z1273" i="3"/>
  <c r="AD1273" i="3" s="1"/>
  <c r="Z1271" i="3"/>
  <c r="AD1271" i="3" s="1"/>
  <c r="Z1270" i="3"/>
  <c r="AD1270" i="3" s="1"/>
  <c r="Z1261" i="3"/>
  <c r="AD1261" i="3" s="1"/>
  <c r="Z1257" i="3"/>
  <c r="AD1257" i="3" s="1"/>
  <c r="Z1255" i="3"/>
  <c r="AD1255" i="3" s="1"/>
  <c r="Z1254" i="3"/>
  <c r="AD1254" i="3" s="1"/>
  <c r="Z1245" i="3"/>
  <c r="AD1245" i="3" s="1"/>
  <c r="Z1241" i="3"/>
  <c r="AD1241" i="3" s="1"/>
  <c r="Z1239" i="3"/>
  <c r="AD1239" i="3" s="1"/>
  <c r="Z1238" i="3"/>
  <c r="AD1238" i="3" s="1"/>
  <c r="Z1229" i="3"/>
  <c r="AD1229" i="3" s="1"/>
  <c r="Z1225" i="3"/>
  <c r="AD1225" i="3" s="1"/>
  <c r="Z1223" i="3"/>
  <c r="AD1223" i="3" s="1"/>
  <c r="Z1222" i="3"/>
  <c r="AD1222" i="3" s="1"/>
  <c r="Z1213" i="3"/>
  <c r="AD1213" i="3" s="1"/>
  <c r="Z1209" i="3"/>
  <c r="AD1209" i="3" s="1"/>
  <c r="Z1207" i="3"/>
  <c r="AD1207" i="3" s="1"/>
  <c r="Z1206" i="3"/>
  <c r="AD1206" i="3" s="1"/>
  <c r="Z1173" i="3"/>
  <c r="AD1173" i="3" s="1"/>
  <c r="Z1165" i="3"/>
  <c r="AD1165" i="3" s="1"/>
  <c r="Z1161" i="3"/>
  <c r="AD1161" i="3" s="1"/>
  <c r="Z1159" i="3"/>
  <c r="AD1159" i="3" s="1"/>
  <c r="Z1158" i="3"/>
  <c r="AD1158" i="3" s="1"/>
  <c r="Z1141" i="3"/>
  <c r="AD1141" i="3" s="1"/>
  <c r="Z1133" i="3"/>
  <c r="AD1133" i="3" s="1"/>
  <c r="Z1129" i="3"/>
  <c r="AD1129" i="3" s="1"/>
  <c r="Z1127" i="3"/>
  <c r="AD1127" i="3" s="1"/>
  <c r="Z1126" i="3"/>
  <c r="AD1126" i="3" s="1"/>
  <c r="Z1109" i="3"/>
  <c r="AD1109" i="3" s="1"/>
  <c r="Z1101" i="3"/>
  <c r="AD1101" i="3" s="1"/>
  <c r="Z1097" i="3"/>
  <c r="AD1097" i="3" s="1"/>
  <c r="Z1095" i="3"/>
  <c r="AD1095" i="3" s="1"/>
  <c r="Z1094" i="3"/>
  <c r="AD1094" i="3" s="1"/>
  <c r="Z1061" i="3"/>
  <c r="AD1061" i="3" s="1"/>
  <c r="Z1029" i="3"/>
  <c r="AD1029" i="3" s="1"/>
  <c r="Z981" i="3"/>
  <c r="AD981" i="3" s="1"/>
  <c r="Z973" i="3"/>
  <c r="AD973" i="3" s="1"/>
  <c r="Z969" i="3"/>
  <c r="AD969" i="3" s="1"/>
  <c r="Z967" i="3"/>
  <c r="AD967" i="3" s="1"/>
  <c r="Z966" i="3"/>
  <c r="AD966" i="3" s="1"/>
  <c r="Z949" i="3"/>
  <c r="AD949" i="3" s="1"/>
  <c r="Z941" i="3"/>
  <c r="AD941" i="3" s="1"/>
  <c r="Z937" i="3"/>
  <c r="AD937" i="3" s="1"/>
  <c r="Z935" i="3"/>
  <c r="AD935" i="3" s="1"/>
  <c r="Z934" i="3"/>
  <c r="AD934" i="3" s="1"/>
  <c r="Z905" i="3"/>
  <c r="AD905" i="3" s="1"/>
  <c r="Z901" i="3"/>
  <c r="AD901" i="3" s="1"/>
  <c r="Z899" i="3"/>
  <c r="AD899" i="3" s="1"/>
  <c r="Z898" i="3"/>
  <c r="AD898" i="3" s="1"/>
  <c r="Z849" i="3"/>
  <c r="AD849" i="3" s="1"/>
  <c r="Z842" i="3"/>
  <c r="AD842" i="3" s="1"/>
  <c r="Z839" i="3"/>
  <c r="AD839" i="3" s="1"/>
  <c r="Z837" i="3"/>
  <c r="AD837" i="3" s="1"/>
  <c r="Z836" i="3"/>
  <c r="AD836" i="3" s="1"/>
  <c r="Z787" i="3"/>
  <c r="AD787" i="3" s="1"/>
  <c r="Z779" i="3"/>
  <c r="AD779" i="3" s="1"/>
  <c r="Z775" i="3"/>
  <c r="AD775" i="3" s="1"/>
  <c r="Z773" i="3"/>
  <c r="AD773" i="3" s="1"/>
  <c r="Z772" i="3"/>
  <c r="AD772" i="3" s="1"/>
  <c r="Z723" i="3"/>
  <c r="AD723" i="3" s="1"/>
  <c r="Z715" i="3"/>
  <c r="AD715" i="3" s="1"/>
  <c r="Z711" i="3"/>
  <c r="AD711" i="3" s="1"/>
  <c r="Z709" i="3"/>
  <c r="AD709" i="3" s="1"/>
  <c r="Z708" i="3"/>
  <c r="AD708" i="3" s="1"/>
  <c r="Z655" i="3"/>
  <c r="AD655" i="3" s="1"/>
  <c r="Z647" i="3"/>
  <c r="AD647" i="3" s="1"/>
  <c r="Z643" i="3"/>
  <c r="AD643" i="3" s="1"/>
  <c r="Z641" i="3"/>
  <c r="AD641" i="3" s="1"/>
  <c r="Z640" i="3"/>
  <c r="AD640" i="3" s="1"/>
  <c r="Z591" i="3"/>
  <c r="AD591" i="3" s="1"/>
  <c r="Z584" i="3"/>
  <c r="AD584" i="3" s="1"/>
  <c r="Z581" i="3"/>
  <c r="AD581" i="3" s="1"/>
  <c r="Z579" i="3"/>
  <c r="AD579" i="3" s="1"/>
  <c r="Z531" i="3"/>
  <c r="AD531" i="3" s="1"/>
  <c r="Z523" i="3"/>
  <c r="AD523" i="3" s="1"/>
  <c r="Z519" i="3"/>
  <c r="AD519" i="3" s="1"/>
  <c r="Z517" i="3"/>
  <c r="AD517" i="3" s="1"/>
  <c r="Z516" i="3"/>
  <c r="AD516" i="3" s="1"/>
  <c r="Z467" i="3"/>
  <c r="AD467" i="3" s="1"/>
  <c r="Z459" i="3"/>
  <c r="AD459" i="3" s="1"/>
  <c r="Z455" i="3"/>
  <c r="AD455" i="3" s="1"/>
  <c r="Z453" i="3"/>
  <c r="AD453" i="3" s="1"/>
  <c r="Z452" i="3"/>
  <c r="AD452" i="3" s="1"/>
  <c r="Z403" i="3"/>
  <c r="AD403" i="3" s="1"/>
  <c r="Z395" i="3"/>
  <c r="AD395" i="3" s="1"/>
  <c r="Z391" i="3"/>
  <c r="AD391" i="3" s="1"/>
  <c r="Z389" i="3"/>
  <c r="AD389" i="3" s="1"/>
  <c r="Z388" i="3"/>
  <c r="AD388" i="3" s="1"/>
  <c r="Z339" i="3"/>
  <c r="AD339" i="3" s="1"/>
  <c r="Z331" i="3"/>
  <c r="AD331" i="3" s="1"/>
  <c r="Z327" i="3"/>
  <c r="AD327" i="3" s="1"/>
  <c r="Z325" i="3"/>
  <c r="AD325" i="3" s="1"/>
  <c r="Z324" i="3"/>
  <c r="AD324" i="3" s="1"/>
  <c r="Z275" i="3"/>
  <c r="AD275" i="3" s="1"/>
  <c r="Z267" i="3"/>
  <c r="Z263" i="3"/>
  <c r="AD263" i="3" s="1"/>
  <c r="Z261" i="3"/>
  <c r="AD261" i="3" s="1"/>
  <c r="Z260" i="3"/>
  <c r="AD260" i="3" s="1"/>
  <c r="Z202" i="3"/>
  <c r="AD202" i="3" s="1"/>
  <c r="Z196" i="3"/>
  <c r="AD196" i="3" s="1"/>
  <c r="Z193" i="3"/>
  <c r="AD193" i="3" s="1"/>
  <c r="Z191" i="3"/>
  <c r="AD191" i="3" s="1"/>
  <c r="Z190" i="3"/>
  <c r="AD190" i="3" s="1"/>
  <c r="Z141" i="3"/>
  <c r="AD141" i="3" s="1"/>
  <c r="Z133" i="3"/>
  <c r="AD133" i="3" s="1"/>
  <c r="Z129" i="3"/>
  <c r="AD129" i="3" s="1"/>
  <c r="Z127" i="3"/>
  <c r="AD127" i="3" s="1"/>
  <c r="Z126" i="3"/>
  <c r="AD126" i="3" s="1"/>
  <c r="Z75" i="3"/>
  <c r="Z67" i="3"/>
  <c r="Z63" i="3"/>
  <c r="Z61" i="3"/>
  <c r="AD61" i="3" s="1"/>
  <c r="Z60" i="3"/>
  <c r="AD60" i="3" s="1"/>
  <c r="Z18" i="3"/>
  <c r="AD18" i="3" s="1"/>
  <c r="Z17" i="3"/>
  <c r="AD17" i="3" s="1"/>
  <c r="Z16" i="3"/>
  <c r="AD16" i="3" s="1"/>
  <c r="AD371" i="3"/>
  <c r="AF371" i="3" s="1"/>
  <c r="AD75" i="3"/>
  <c r="AF75" i="3" s="1"/>
  <c r="AD8" i="3"/>
  <c r="AE8" i="3" s="1"/>
  <c r="AD6" i="3"/>
  <c r="AE6" i="3" s="1"/>
  <c r="AD11" i="3"/>
  <c r="AF11" i="3" s="1"/>
  <c r="AD9" i="3"/>
  <c r="AF9" i="3" s="1"/>
  <c r="Z1732" i="3"/>
  <c r="AD1732" i="3" s="1"/>
  <c r="Z1730" i="3"/>
  <c r="AD1730" i="3" s="1"/>
  <c r="Z1728" i="3"/>
  <c r="AD1728" i="3" s="1"/>
  <c r="Z1692" i="3"/>
  <c r="AD1692" i="3" s="1"/>
  <c r="Z1688" i="3"/>
  <c r="AD1688" i="3" s="1"/>
  <c r="Z1686" i="3"/>
  <c r="AD1686" i="3" s="1"/>
  <c r="Z1685" i="3"/>
  <c r="AD1685" i="3" s="1"/>
  <c r="Z1676" i="3"/>
  <c r="AD1676" i="3" s="1"/>
  <c r="Z1674" i="3"/>
  <c r="AD1674" i="3" s="1"/>
  <c r="Z1673" i="3"/>
  <c r="AD1673" i="3" s="1"/>
  <c r="Z1670" i="3"/>
  <c r="AD1670" i="3" s="1"/>
  <c r="Z1669" i="3"/>
  <c r="AD1669" i="3" s="1"/>
  <c r="Z1660" i="3"/>
  <c r="AD1660" i="3" s="1"/>
  <c r="Z1658" i="3"/>
  <c r="AD1658" i="3" s="1"/>
  <c r="Z1657" i="3"/>
  <c r="AD1657" i="3" s="1"/>
  <c r="Z1652" i="3"/>
  <c r="AD1652" i="3" s="1"/>
  <c r="Z1650" i="3"/>
  <c r="AD1650" i="3" s="1"/>
  <c r="Z1649" i="3"/>
  <c r="AD1649" i="3" s="1"/>
  <c r="Z1640" i="3"/>
  <c r="AD1640" i="3" s="1"/>
  <c r="Z1632" i="3"/>
  <c r="AD1632" i="3" s="1"/>
  <c r="Z1624" i="3"/>
  <c r="AD1624" i="3" s="1"/>
  <c r="Z1616" i="3"/>
  <c r="AD1616" i="3" s="1"/>
  <c r="Z1576" i="3"/>
  <c r="AD1576" i="3" s="1"/>
  <c r="Z1572" i="3"/>
  <c r="AD1572" i="3" s="1"/>
  <c r="Z1570" i="3"/>
  <c r="AD1570" i="3" s="1"/>
  <c r="Z1569" i="3"/>
  <c r="AD1569" i="3" s="1"/>
  <c r="Z1564" i="3"/>
  <c r="AD1564" i="3" s="1"/>
  <c r="Z1562" i="3"/>
  <c r="AD1562" i="3" s="1"/>
  <c r="Z1561" i="3"/>
  <c r="AD1561" i="3" s="1"/>
  <c r="Z1552" i="3"/>
  <c r="AD1552" i="3" s="1"/>
  <c r="Z1544" i="3"/>
  <c r="AD1544" i="3" s="1"/>
  <c r="Z1536" i="3"/>
  <c r="AD1536" i="3" s="1"/>
  <c r="Z1480" i="3"/>
  <c r="AD1480" i="3" s="1"/>
  <c r="Z1476" i="3"/>
  <c r="AD1476" i="3" s="1"/>
  <c r="Z1474" i="3"/>
  <c r="AD1474" i="3" s="1"/>
  <c r="Z1473" i="3"/>
  <c r="AD1473" i="3" s="1"/>
  <c r="Z1464" i="3"/>
  <c r="AD1464" i="3" s="1"/>
  <c r="Z1440" i="3"/>
  <c r="AD1440" i="3" s="1"/>
  <c r="Z1435" i="3"/>
  <c r="AD1435" i="3" s="1"/>
  <c r="Z1433" i="3"/>
  <c r="AD1433" i="3" s="1"/>
  <c r="Z1432" i="3"/>
  <c r="AD1432" i="3" s="1"/>
  <c r="Z1423" i="3"/>
  <c r="AD1423" i="3" s="1"/>
  <c r="Z1419" i="3"/>
  <c r="AD1419" i="3" s="1"/>
  <c r="Z1417" i="3"/>
  <c r="AD1417" i="3" s="1"/>
  <c r="Z1416" i="3"/>
  <c r="AD1416" i="3" s="1"/>
  <c r="Z1407" i="3"/>
  <c r="AD1407" i="3" s="1"/>
  <c r="Z1403" i="3"/>
  <c r="AD1403" i="3" s="1"/>
  <c r="Z1401" i="3"/>
  <c r="AD1401" i="3" s="1"/>
  <c r="Z1400" i="3"/>
  <c r="AD1400" i="3" s="1"/>
  <c r="Z1375" i="3"/>
  <c r="AD1375" i="3" s="1"/>
  <c r="Z1371" i="3"/>
  <c r="AD1371" i="3" s="1"/>
  <c r="Z1369" i="3"/>
  <c r="AD1369" i="3" s="1"/>
  <c r="Z1367" i="3"/>
  <c r="AD1367" i="3" s="1"/>
  <c r="Z1365" i="3"/>
  <c r="AD1365" i="3" s="1"/>
  <c r="Z1364" i="3"/>
  <c r="AD1364" i="3" s="1"/>
  <c r="Z1347" i="3"/>
  <c r="AD1347" i="3" s="1"/>
  <c r="Z1331" i="3"/>
  <c r="AD1331" i="3" s="1"/>
  <c r="Z1315" i="3"/>
  <c r="AD1315" i="3" s="1"/>
  <c r="Z1299" i="3"/>
  <c r="AD1299" i="3" s="1"/>
  <c r="Z1269" i="3"/>
  <c r="AD1269" i="3" s="1"/>
  <c r="Z1253" i="3"/>
  <c r="AD1253" i="3" s="1"/>
  <c r="Z1237" i="3"/>
  <c r="AD1237" i="3" s="1"/>
  <c r="Z1221" i="3"/>
  <c r="AD1221" i="3" s="1"/>
  <c r="Z1197" i="3"/>
  <c r="AD1197" i="3" s="1"/>
  <c r="Z1193" i="3"/>
  <c r="AD1193" i="3" s="1"/>
  <c r="Z1191" i="3"/>
  <c r="AD1191" i="3" s="1"/>
  <c r="Z1190" i="3"/>
  <c r="AD1190" i="3" s="1"/>
  <c r="Z1181" i="3"/>
  <c r="AD1181" i="3" s="1"/>
  <c r="Z1177" i="3"/>
  <c r="AD1177" i="3" s="1"/>
  <c r="Z1175" i="3"/>
  <c r="AD1175" i="3" s="1"/>
  <c r="Z1174" i="3"/>
  <c r="AD1174" i="3" s="1"/>
  <c r="Z1149" i="3"/>
  <c r="AD1149" i="3" s="1"/>
  <c r="Z1145" i="3"/>
  <c r="AD1145" i="3" s="1"/>
  <c r="Z1143" i="3"/>
  <c r="AD1143" i="3" s="1"/>
  <c r="Z1142" i="3"/>
  <c r="AD1142" i="3" s="1"/>
  <c r="Z1117" i="3"/>
  <c r="AD1117" i="3" s="1"/>
  <c r="Z1113" i="3"/>
  <c r="AD1113" i="3" s="1"/>
  <c r="Z1111" i="3"/>
  <c r="AD1111" i="3" s="1"/>
  <c r="Z1110" i="3"/>
  <c r="AD1110" i="3" s="1"/>
  <c r="Z1085" i="3"/>
  <c r="AD1085" i="3" s="1"/>
  <c r="Z1081" i="3"/>
  <c r="AD1081" i="3" s="1"/>
  <c r="Z1079" i="3"/>
  <c r="AD1079" i="3" s="1"/>
  <c r="Z1078" i="3"/>
  <c r="AD1078" i="3" s="1"/>
  <c r="Z1053" i="3"/>
  <c r="AD1053" i="3" s="1"/>
  <c r="Z1049" i="3"/>
  <c r="AD1049" i="3" s="1"/>
  <c r="Z1047" i="3"/>
  <c r="AD1047" i="3" s="1"/>
  <c r="Z1046" i="3"/>
  <c r="AD1046" i="3" s="1"/>
  <c r="Z1021" i="3"/>
  <c r="AD1021" i="3" s="1"/>
  <c r="Z1017" i="3"/>
  <c r="AD1017" i="3" s="1"/>
  <c r="Z1015" i="3"/>
  <c r="AD1015" i="3" s="1"/>
  <c r="Z1014" i="3"/>
  <c r="AD1014" i="3" s="1"/>
  <c r="Z989" i="3"/>
  <c r="AD989" i="3" s="1"/>
  <c r="Z985" i="3"/>
  <c r="AD985" i="3" s="1"/>
  <c r="Z983" i="3"/>
  <c r="AD983" i="3" s="1"/>
  <c r="Z982" i="3"/>
  <c r="AD982" i="3" s="1"/>
  <c r="Z957" i="3"/>
  <c r="AD957" i="3" s="1"/>
  <c r="Z953" i="3"/>
  <c r="AD953" i="3" s="1"/>
  <c r="Z951" i="3"/>
  <c r="AD951" i="3" s="1"/>
  <c r="Z950" i="3"/>
  <c r="AD950" i="3" s="1"/>
  <c r="Z925" i="3"/>
  <c r="AD925" i="3" s="1"/>
  <c r="Z921" i="3"/>
  <c r="AD921" i="3" s="1"/>
  <c r="Z919" i="3"/>
  <c r="AD919" i="3" s="1"/>
  <c r="Z918" i="3"/>
  <c r="AD918" i="3" s="1"/>
  <c r="Z917" i="3"/>
  <c r="AD917" i="3" s="1"/>
  <c r="Z915" i="3"/>
  <c r="AD915" i="3" s="1"/>
  <c r="Z914" i="3"/>
  <c r="AD914" i="3" s="1"/>
  <c r="Z889" i="3"/>
  <c r="AD889" i="3" s="1"/>
  <c r="Z885" i="3"/>
  <c r="AD885" i="3" s="1"/>
  <c r="Z883" i="3"/>
  <c r="AD883" i="3" s="1"/>
  <c r="Z882" i="3"/>
  <c r="AD882" i="3" s="1"/>
  <c r="Z857" i="3"/>
  <c r="AD857" i="3" s="1"/>
  <c r="Z853" i="3"/>
  <c r="AD853" i="3" s="1"/>
  <c r="Z851" i="3"/>
  <c r="AD851" i="3" s="1"/>
  <c r="Z850" i="3"/>
  <c r="AD850" i="3" s="1"/>
  <c r="Z827" i="3"/>
  <c r="AD827" i="3" s="1"/>
  <c r="Z823" i="3"/>
  <c r="AD823" i="3" s="1"/>
  <c r="Z821" i="3"/>
  <c r="AD821" i="3" s="1"/>
  <c r="Z820" i="3"/>
  <c r="AD820" i="3" s="1"/>
  <c r="Z795" i="3"/>
  <c r="AD795" i="3" s="1"/>
  <c r="Z791" i="3"/>
  <c r="AD791" i="3" s="1"/>
  <c r="Z789" i="3"/>
  <c r="AD789" i="3" s="1"/>
  <c r="Z788" i="3"/>
  <c r="AD788" i="3" s="1"/>
  <c r="Z763" i="3"/>
  <c r="AD763" i="3" s="1"/>
  <c r="Z759" i="3"/>
  <c r="AD759" i="3" s="1"/>
  <c r="Z757" i="3"/>
  <c r="AD757" i="3" s="1"/>
  <c r="Z756" i="3"/>
  <c r="AD756" i="3" s="1"/>
  <c r="Z731" i="3"/>
  <c r="AD731" i="3" s="1"/>
  <c r="Z727" i="3"/>
  <c r="AD727" i="3" s="1"/>
  <c r="Z725" i="3"/>
  <c r="AD725" i="3" s="1"/>
  <c r="Z724" i="3"/>
  <c r="AD724" i="3" s="1"/>
  <c r="Z699" i="3"/>
  <c r="AD699" i="3" s="1"/>
  <c r="Z695" i="3"/>
  <c r="AD695" i="3" s="1"/>
  <c r="Z691" i="3"/>
  <c r="AD691" i="3" s="1"/>
  <c r="Z689" i="3"/>
  <c r="AD689" i="3" s="1"/>
  <c r="Z688" i="3"/>
  <c r="AD688" i="3" s="1"/>
  <c r="Z663" i="3"/>
  <c r="AD663" i="3" s="1"/>
  <c r="Z659" i="3"/>
  <c r="AD659" i="3" s="1"/>
  <c r="Z657" i="3"/>
  <c r="AD657" i="3" s="1"/>
  <c r="Z656" i="3"/>
  <c r="AD656" i="3" s="1"/>
  <c r="Z631" i="3"/>
  <c r="AD631" i="3" s="1"/>
  <c r="Z627" i="3"/>
  <c r="AD627" i="3" s="1"/>
  <c r="Z625" i="3"/>
  <c r="AD625" i="3" s="1"/>
  <c r="Z624" i="3"/>
  <c r="AD624" i="3" s="1"/>
  <c r="Z599" i="3"/>
  <c r="AD599" i="3" s="1"/>
  <c r="Z595" i="3"/>
  <c r="AD595" i="3" s="1"/>
  <c r="Z593" i="3"/>
  <c r="AD593" i="3" s="1"/>
  <c r="Z592" i="3"/>
  <c r="AD592" i="3" s="1"/>
  <c r="Z571" i="3"/>
  <c r="AD571" i="3" s="1"/>
  <c r="Z567" i="3"/>
  <c r="AD567" i="3" s="1"/>
  <c r="Z565" i="3"/>
  <c r="AD565" i="3" s="1"/>
  <c r="Z564" i="3"/>
  <c r="AD564" i="3" s="1"/>
  <c r="Z539" i="3"/>
  <c r="AD539" i="3" s="1"/>
  <c r="Z535" i="3"/>
  <c r="AD535" i="3" s="1"/>
  <c r="Z533" i="3"/>
  <c r="AD533" i="3" s="1"/>
  <c r="Z532" i="3"/>
  <c r="AD532" i="3" s="1"/>
  <c r="Z507" i="3"/>
  <c r="AD507" i="3" s="1"/>
  <c r="Z503" i="3"/>
  <c r="AD503" i="3" s="1"/>
  <c r="Z501" i="3"/>
  <c r="AD501" i="3" s="1"/>
  <c r="Z500" i="3"/>
  <c r="AD500" i="3" s="1"/>
  <c r="Z475" i="3"/>
  <c r="AD475" i="3" s="1"/>
  <c r="Z471" i="3"/>
  <c r="AD471" i="3" s="1"/>
  <c r="Z469" i="3"/>
  <c r="AD469" i="3" s="1"/>
  <c r="Z468" i="3"/>
  <c r="AD468" i="3" s="1"/>
  <c r="Z443" i="3"/>
  <c r="AD443" i="3" s="1"/>
  <c r="Z439" i="3"/>
  <c r="AD439" i="3" s="1"/>
  <c r="Z437" i="3"/>
  <c r="AD437" i="3" s="1"/>
  <c r="Z436" i="3"/>
  <c r="AD436" i="3" s="1"/>
  <c r="Z411" i="3"/>
  <c r="AD411" i="3" s="1"/>
  <c r="Z407" i="3"/>
  <c r="AD407" i="3" s="1"/>
  <c r="Z405" i="3"/>
  <c r="AD405" i="3" s="1"/>
  <c r="Z404" i="3"/>
  <c r="AD404" i="3" s="1"/>
  <c r="Z379" i="3"/>
  <c r="AD379" i="3" s="1"/>
  <c r="Z375" i="3"/>
  <c r="AD375" i="3" s="1"/>
  <c r="Z373" i="3"/>
  <c r="AD373" i="3" s="1"/>
  <c r="Z372" i="3"/>
  <c r="AD372" i="3" s="1"/>
  <c r="Z347" i="3"/>
  <c r="AD347" i="3" s="1"/>
  <c r="Z343" i="3"/>
  <c r="AD343" i="3" s="1"/>
  <c r="Z341" i="3"/>
  <c r="AD341" i="3" s="1"/>
  <c r="Z340" i="3"/>
  <c r="AD340" i="3" s="1"/>
  <c r="Z315" i="3"/>
  <c r="AD315" i="3" s="1"/>
  <c r="Z311" i="3"/>
  <c r="AD311" i="3" s="1"/>
  <c r="Z309" i="3"/>
  <c r="Z308" i="3"/>
  <c r="AD308" i="3" s="1"/>
  <c r="Z283" i="3"/>
  <c r="AD283" i="3" s="1"/>
  <c r="Z279" i="3"/>
  <c r="AD279" i="3" s="1"/>
  <c r="Z277" i="3"/>
  <c r="AD277" i="3" s="1"/>
  <c r="Z276" i="3"/>
  <c r="AD276" i="3" s="1"/>
  <c r="Z251" i="3"/>
  <c r="AD251" i="3" s="1"/>
  <c r="Z247" i="3"/>
  <c r="AD247" i="3" s="1"/>
  <c r="Z245" i="3"/>
  <c r="AD245" i="3" s="1"/>
  <c r="Z244" i="3"/>
  <c r="AD244" i="3" s="1"/>
  <c r="Z243" i="3"/>
  <c r="AD243" i="3" s="1"/>
  <c r="Z241" i="3"/>
  <c r="AD241" i="3" s="1"/>
  <c r="Z239" i="3"/>
  <c r="AD239" i="3" s="1"/>
  <c r="Z237" i="3"/>
  <c r="AD237" i="3" s="1"/>
  <c r="Z236" i="3"/>
  <c r="AD236" i="3" s="1"/>
  <c r="Z210" i="3"/>
  <c r="AD210" i="3" s="1"/>
  <c r="Z206" i="3"/>
  <c r="AD206" i="3" s="1"/>
  <c r="Z204" i="3"/>
  <c r="AD204" i="3" s="1"/>
  <c r="Z203" i="3"/>
  <c r="AD203" i="3" s="1"/>
  <c r="Z181" i="3"/>
  <c r="AD181" i="3" s="1"/>
  <c r="Z177" i="3"/>
  <c r="AD177" i="3" s="1"/>
  <c r="Z175" i="3"/>
  <c r="AD175" i="3" s="1"/>
  <c r="Z174" i="3"/>
  <c r="AD174" i="3" s="1"/>
  <c r="Z149" i="3"/>
  <c r="AD149" i="3" s="1"/>
  <c r="AE149" i="3" s="1"/>
  <c r="Z145" i="3"/>
  <c r="AD145" i="3" s="1"/>
  <c r="Z143" i="3"/>
  <c r="AD143" i="3" s="1"/>
  <c r="AE143" i="3" s="1"/>
  <c r="Z142" i="3"/>
  <c r="AD142" i="3" s="1"/>
  <c r="Z117" i="3"/>
  <c r="AD117" i="3" s="1"/>
  <c r="AE117" i="3" s="1"/>
  <c r="Z111" i="3"/>
  <c r="Z109" i="3"/>
  <c r="Z108" i="3"/>
  <c r="AD108" i="3" s="1"/>
  <c r="Z83" i="3"/>
  <c r="AD83" i="3" s="1"/>
  <c r="AE83" i="3" s="1"/>
  <c r="Z79" i="3"/>
  <c r="AD79" i="3" s="1"/>
  <c r="Z77" i="3"/>
  <c r="AD77" i="3" s="1"/>
  <c r="AE77" i="3" s="1"/>
  <c r="Z76" i="3"/>
  <c r="Z51" i="3"/>
  <c r="AD51" i="3" s="1"/>
  <c r="AE51" i="3" s="1"/>
  <c r="Z47" i="3"/>
  <c r="AD47" i="3" s="1"/>
  <c r="Z45" i="3"/>
  <c r="AD45" i="3" s="1"/>
  <c r="AE45" i="3" s="1"/>
  <c r="Z44" i="3"/>
  <c r="AD44" i="3" s="1"/>
  <c r="Z22" i="3"/>
  <c r="AD22" i="3" s="1"/>
  <c r="AE22" i="3" s="1"/>
  <c r="Z21" i="3"/>
  <c r="AD21" i="3" s="1"/>
  <c r="Z20" i="3"/>
  <c r="AD20" i="3" s="1"/>
  <c r="AE20" i="3" s="1"/>
  <c r="Z19" i="3"/>
  <c r="AD19" i="3" s="1"/>
  <c r="AD10" i="3"/>
  <c r="AE10" i="3" s="1"/>
  <c r="AD267" i="3"/>
  <c r="AG267" i="3" s="1"/>
  <c r="AD67" i="3"/>
  <c r="AE67" i="3" s="1"/>
  <c r="AD63" i="3"/>
  <c r="AE63" i="3" s="1"/>
  <c r="AD59" i="3"/>
  <c r="AF59" i="3" s="1"/>
  <c r="AB2" i="3"/>
  <c r="AA12" i="3"/>
  <c r="AE12" i="3"/>
  <c r="AF4" i="3"/>
  <c r="AE4" i="3"/>
  <c r="AF1720" i="3"/>
  <c r="AG1720" i="3"/>
  <c r="AE1720" i="3"/>
  <c r="AB1712" i="3"/>
  <c r="AC1712" i="3" s="1"/>
  <c r="AA1710" i="3"/>
  <c r="AE1710" i="3"/>
  <c r="AA1709" i="3"/>
  <c r="AE1709" i="3"/>
  <c r="AA1706" i="3"/>
  <c r="AE1706" i="3"/>
  <c r="AB1705" i="3"/>
  <c r="AC1705" i="3" s="1"/>
  <c r="AB1704" i="3"/>
  <c r="AC1704" i="3" s="1"/>
  <c r="AB1700" i="3"/>
  <c r="AC1700" i="3" s="1"/>
  <c r="AF1608" i="3"/>
  <c r="AE1608" i="3"/>
  <c r="AG1608" i="3"/>
  <c r="AF1604" i="3"/>
  <c r="AG1604" i="3"/>
  <c r="AE1604" i="3"/>
  <c r="AA1602" i="3"/>
  <c r="AE1602" i="3"/>
  <c r="AA1601" i="3"/>
  <c r="AE1601" i="3"/>
  <c r="AA1600" i="3"/>
  <c r="AE1600" i="3"/>
  <c r="AA1592" i="3"/>
  <c r="AE1592" i="3"/>
  <c r="AA1584" i="3"/>
  <c r="AE1584" i="3"/>
  <c r="AE1528" i="3"/>
  <c r="AF1528" i="3"/>
  <c r="AG1528" i="3"/>
  <c r="AE1524" i="3"/>
  <c r="AF1524" i="3"/>
  <c r="AG1524" i="3"/>
  <c r="AE1522" i="3"/>
  <c r="AF1522" i="3"/>
  <c r="AG1522" i="3"/>
  <c r="AF1521" i="3"/>
  <c r="AE1521" i="3"/>
  <c r="AG1521" i="3"/>
  <c r="AE1516" i="3"/>
  <c r="AF1516" i="3"/>
  <c r="AG1516" i="3"/>
  <c r="AE1514" i="3"/>
  <c r="AF1514" i="3"/>
  <c r="AG1514" i="3"/>
  <c r="AF1513" i="3"/>
  <c r="AE1513" i="3"/>
  <c r="AG1513" i="3"/>
  <c r="AE1508" i="3"/>
  <c r="AF1508" i="3"/>
  <c r="AG1508" i="3"/>
  <c r="AE1506" i="3"/>
  <c r="AF1506" i="3"/>
  <c r="AG1506" i="3"/>
  <c r="AF1505" i="3"/>
  <c r="AE1505" i="3"/>
  <c r="AG1505" i="3"/>
  <c r="AE1500" i="3"/>
  <c r="AF1500" i="3"/>
  <c r="AG1500" i="3"/>
  <c r="AE1498" i="3"/>
  <c r="AF1498" i="3"/>
  <c r="AG1498" i="3"/>
  <c r="AF1497" i="3"/>
  <c r="AE1497" i="3"/>
  <c r="AG1497" i="3"/>
  <c r="AE1496" i="3"/>
  <c r="AF1496" i="3"/>
  <c r="AG1496" i="3"/>
  <c r="AE1488" i="3"/>
  <c r="AF1488" i="3"/>
  <c r="AG1488" i="3"/>
  <c r="AE1456" i="3"/>
  <c r="AF1456" i="3"/>
  <c r="AG1456" i="3"/>
  <c r="AF1452" i="3"/>
  <c r="AE1452" i="3"/>
  <c r="AG1452" i="3"/>
  <c r="AE1450" i="3"/>
  <c r="AF1450" i="3"/>
  <c r="AG1450" i="3"/>
  <c r="AF1449" i="3"/>
  <c r="AE1449" i="3"/>
  <c r="AG1449" i="3"/>
  <c r="AE1448" i="3"/>
  <c r="AF1448" i="3"/>
  <c r="AG1448" i="3"/>
  <c r="AF1431" i="3"/>
  <c r="AE1431" i="3"/>
  <c r="AG1431" i="3"/>
  <c r="AE1415" i="3"/>
  <c r="AF1415" i="3"/>
  <c r="AG1415" i="3"/>
  <c r="AA1391" i="3"/>
  <c r="AE1391" i="3"/>
  <c r="AA1387" i="3"/>
  <c r="AE1387" i="3"/>
  <c r="AA1385" i="3"/>
  <c r="AE1385" i="3"/>
  <c r="AA1384" i="3"/>
  <c r="AE1384" i="3"/>
  <c r="AA1383" i="3"/>
  <c r="AE1383" i="3"/>
  <c r="AF1355" i="3"/>
  <c r="AE1355" i="3"/>
  <c r="AG1355" i="3"/>
  <c r="AE1351" i="3"/>
  <c r="AG1351" i="3"/>
  <c r="AF1351" i="3"/>
  <c r="AF1349" i="3"/>
  <c r="AG1349" i="3"/>
  <c r="AE1349" i="3"/>
  <c r="AE1348" i="3"/>
  <c r="AF1348" i="3"/>
  <c r="AG1348" i="3"/>
  <c r="AF1339" i="3"/>
  <c r="AE1339" i="3"/>
  <c r="AG1339" i="3"/>
  <c r="AF1335" i="3"/>
  <c r="AE1335" i="3"/>
  <c r="AG1335" i="3"/>
  <c r="AF1333" i="3"/>
  <c r="AE1333" i="3"/>
  <c r="AG1333" i="3"/>
  <c r="AF1332" i="3"/>
  <c r="AE1332" i="3"/>
  <c r="AG1332" i="3"/>
  <c r="AF1323" i="3"/>
  <c r="AE1323" i="3"/>
  <c r="AG1323" i="3"/>
  <c r="AF1319" i="3"/>
  <c r="AE1319" i="3"/>
  <c r="AG1319" i="3"/>
  <c r="AF1317" i="3"/>
  <c r="AE1317" i="3"/>
  <c r="AG1317" i="3"/>
  <c r="AF1316" i="3"/>
  <c r="AE1316" i="3"/>
  <c r="AG1316" i="3"/>
  <c r="AF1307" i="3"/>
  <c r="AE1307" i="3"/>
  <c r="AG1307" i="3"/>
  <c r="AF1303" i="3"/>
  <c r="AE1303" i="3"/>
  <c r="AG1303" i="3"/>
  <c r="AE1301" i="3"/>
  <c r="AF1301" i="3"/>
  <c r="AG1301" i="3"/>
  <c r="AE1300" i="3"/>
  <c r="AF1300" i="3"/>
  <c r="AG1300" i="3"/>
  <c r="AF1291" i="3"/>
  <c r="AE1291" i="3"/>
  <c r="AG1291" i="3"/>
  <c r="AF1287" i="3"/>
  <c r="AE1287" i="3"/>
  <c r="AG1287" i="3"/>
  <c r="AF1285" i="3"/>
  <c r="AE1285" i="3"/>
  <c r="AG1285" i="3"/>
  <c r="AF1284" i="3"/>
  <c r="AE1284" i="3"/>
  <c r="AG1284" i="3"/>
  <c r="AF1283" i="3"/>
  <c r="AE1283" i="3"/>
  <c r="AG1283" i="3"/>
  <c r="AA1273" i="3"/>
  <c r="AE1273" i="3"/>
  <c r="AA1271" i="3"/>
  <c r="AE1271" i="3"/>
  <c r="AA1270" i="3"/>
  <c r="AE1270" i="3"/>
  <c r="AE1261" i="3"/>
  <c r="AF1261" i="3"/>
  <c r="AG1261" i="3"/>
  <c r="AA1257" i="3"/>
  <c r="AE1257" i="3"/>
  <c r="AA1255" i="3"/>
  <c r="AE1255" i="3"/>
  <c r="AA1254" i="3"/>
  <c r="AE1254" i="3"/>
  <c r="AA1245" i="3"/>
  <c r="AE1245" i="3"/>
  <c r="AA1241" i="3"/>
  <c r="AE1241" i="3"/>
  <c r="AA1239" i="3"/>
  <c r="AE1239" i="3"/>
  <c r="AA1238" i="3"/>
  <c r="AE1238" i="3"/>
  <c r="AA1229" i="3"/>
  <c r="AE1229" i="3"/>
  <c r="AA1225" i="3"/>
  <c r="AE1225" i="3"/>
  <c r="AA1223" i="3"/>
  <c r="AE1223" i="3"/>
  <c r="AA1222" i="3"/>
  <c r="AE1222" i="3"/>
  <c r="AA1213" i="3"/>
  <c r="AE1213" i="3"/>
  <c r="AA1209" i="3"/>
  <c r="AE1209" i="3"/>
  <c r="AA1207" i="3"/>
  <c r="AE1207" i="3"/>
  <c r="AA1206" i="3"/>
  <c r="AE1206" i="3"/>
  <c r="AA1205" i="3"/>
  <c r="AE1205" i="3"/>
  <c r="AA1189" i="3"/>
  <c r="AE1189" i="3"/>
  <c r="AA1165" i="3"/>
  <c r="AE1165" i="3"/>
  <c r="AA1161" i="3"/>
  <c r="AE1161" i="3"/>
  <c r="AA1159" i="3"/>
  <c r="AE1159" i="3"/>
  <c r="AA1158" i="3"/>
  <c r="AE1158" i="3"/>
  <c r="AA1157" i="3"/>
  <c r="AE1157" i="3"/>
  <c r="AA1133" i="3"/>
  <c r="AE1133" i="3"/>
  <c r="AA1129" i="3"/>
  <c r="AE1129" i="3"/>
  <c r="AA1127" i="3"/>
  <c r="AE1127" i="3"/>
  <c r="AA1126" i="3"/>
  <c r="AE1126" i="3"/>
  <c r="AA1125" i="3"/>
  <c r="AE1125" i="3"/>
  <c r="AA1101" i="3"/>
  <c r="AE1101" i="3"/>
  <c r="AA1097" i="3"/>
  <c r="AE1097" i="3"/>
  <c r="AA1095" i="3"/>
  <c r="AE1095" i="3"/>
  <c r="AA1094" i="3"/>
  <c r="AE1094" i="3"/>
  <c r="AA1093" i="3"/>
  <c r="AE1093" i="3"/>
  <c r="AA1069" i="3"/>
  <c r="AE1069" i="3"/>
  <c r="AA1065" i="3"/>
  <c r="AE1065" i="3"/>
  <c r="AA1063" i="3"/>
  <c r="AE1063" i="3"/>
  <c r="AA1062" i="3"/>
  <c r="AE1062" i="3"/>
  <c r="AA1061" i="3"/>
  <c r="AE1061" i="3"/>
  <c r="AA1037" i="3"/>
  <c r="AE1037" i="3"/>
  <c r="AG1033" i="3"/>
  <c r="AF1033" i="3"/>
  <c r="AE1033" i="3"/>
  <c r="AG1031" i="3"/>
  <c r="AF1031" i="3"/>
  <c r="AE1031" i="3"/>
  <c r="AG1030" i="3"/>
  <c r="AE1030" i="3"/>
  <c r="AF1030" i="3"/>
  <c r="AG1029" i="3"/>
  <c r="AF1029" i="3"/>
  <c r="AE1029" i="3"/>
  <c r="AG1005" i="3"/>
  <c r="AF1005" i="3"/>
  <c r="AE1005" i="3"/>
  <c r="AG1001" i="3"/>
  <c r="AF1001" i="3"/>
  <c r="AE1001" i="3"/>
  <c r="AG999" i="3"/>
  <c r="AF999" i="3"/>
  <c r="AE999" i="3"/>
  <c r="AG998" i="3"/>
  <c r="AE998" i="3"/>
  <c r="AF998" i="3"/>
  <c r="AG997" i="3"/>
  <c r="AF997" i="3"/>
  <c r="AE997" i="3"/>
  <c r="AA973" i="3"/>
  <c r="AE973" i="3"/>
  <c r="AA969" i="3"/>
  <c r="AE969" i="3"/>
  <c r="AA967" i="3"/>
  <c r="AE967" i="3"/>
  <c r="AF966" i="3"/>
  <c r="AG966" i="3"/>
  <c r="AE966" i="3"/>
  <c r="AF965" i="3"/>
  <c r="AG965" i="3"/>
  <c r="AE965" i="3"/>
  <c r="AA941" i="3"/>
  <c r="AE941" i="3"/>
  <c r="AA937" i="3"/>
  <c r="AE937" i="3"/>
  <c r="AA935" i="3"/>
  <c r="AE935" i="3"/>
  <c r="AA934" i="3"/>
  <c r="AE934" i="3"/>
  <c r="AA933" i="3"/>
  <c r="AE933" i="3"/>
  <c r="AA905" i="3"/>
  <c r="AE905" i="3"/>
  <c r="AA901" i="3"/>
  <c r="AE901" i="3"/>
  <c r="AA899" i="3"/>
  <c r="AE899" i="3"/>
  <c r="AG898" i="3"/>
  <c r="AE898" i="3"/>
  <c r="AF898" i="3"/>
  <c r="AG897" i="3"/>
  <c r="AF897" i="3"/>
  <c r="AE897" i="3"/>
  <c r="AA873" i="3"/>
  <c r="AE873" i="3"/>
  <c r="AA869" i="3"/>
  <c r="AE869" i="3"/>
  <c r="AA867" i="3"/>
  <c r="AE867" i="3"/>
  <c r="AA866" i="3"/>
  <c r="AE866" i="3"/>
  <c r="AA865" i="3"/>
  <c r="AE865" i="3"/>
  <c r="AF842" i="3"/>
  <c r="AE842" i="3"/>
  <c r="AG842" i="3"/>
  <c r="AA839" i="3"/>
  <c r="AE839" i="3"/>
  <c r="AA837" i="3"/>
  <c r="AE837" i="3"/>
  <c r="AA836" i="3"/>
  <c r="AE836" i="3"/>
  <c r="AA835" i="3"/>
  <c r="AE835" i="3"/>
  <c r="AA811" i="3"/>
  <c r="AE811" i="3"/>
  <c r="AA807" i="3"/>
  <c r="AE807" i="3"/>
  <c r="AG805" i="3"/>
  <c r="AE805" i="3"/>
  <c r="AF805" i="3"/>
  <c r="AG804" i="3"/>
  <c r="AF804" i="3"/>
  <c r="AE804" i="3"/>
  <c r="AA803" i="3"/>
  <c r="AE803" i="3"/>
  <c r="AF779" i="3"/>
  <c r="AE779" i="3"/>
  <c r="AG779" i="3"/>
  <c r="AF775" i="3"/>
  <c r="AE775" i="3"/>
  <c r="AG775" i="3"/>
  <c r="AE773" i="3"/>
  <c r="AF773" i="3"/>
  <c r="AG773" i="3"/>
  <c r="AE772" i="3"/>
  <c r="AF772" i="3"/>
  <c r="AG772" i="3"/>
  <c r="AE771" i="3"/>
  <c r="AF771" i="3"/>
  <c r="AG771" i="3"/>
  <c r="AE747" i="3"/>
  <c r="AF747" i="3"/>
  <c r="AG747" i="3"/>
  <c r="AE743" i="3"/>
  <c r="AF743" i="3"/>
  <c r="AG743" i="3"/>
  <c r="AE741" i="3"/>
  <c r="AF741" i="3"/>
  <c r="AG741" i="3"/>
  <c r="AE740" i="3"/>
  <c r="AF740" i="3"/>
  <c r="AG740" i="3"/>
  <c r="AE739" i="3"/>
  <c r="AF739" i="3"/>
  <c r="AG739" i="3"/>
  <c r="AE715" i="3"/>
  <c r="AF715" i="3"/>
  <c r="AG715" i="3"/>
  <c r="AA711" i="3"/>
  <c r="AE711" i="3"/>
  <c r="AA709" i="3"/>
  <c r="AE709" i="3"/>
  <c r="AE708" i="3"/>
  <c r="AF708" i="3"/>
  <c r="AG708" i="3"/>
  <c r="AA707" i="3"/>
  <c r="AE707" i="3"/>
  <c r="AA679" i="3"/>
  <c r="AE679" i="3"/>
  <c r="AE675" i="3"/>
  <c r="AF675" i="3"/>
  <c r="AG675" i="3"/>
  <c r="AA673" i="3"/>
  <c r="AE673" i="3"/>
  <c r="AA672" i="3"/>
  <c r="AE672" i="3"/>
  <c r="AA671" i="3"/>
  <c r="AE671" i="3"/>
  <c r="AF647" i="3"/>
  <c r="AE647" i="3"/>
  <c r="AG647" i="3"/>
  <c r="AA643" i="3"/>
  <c r="AE643" i="3"/>
  <c r="AA641" i="3"/>
  <c r="AE641" i="3"/>
  <c r="AA640" i="3"/>
  <c r="AE640" i="3"/>
  <c r="AA639" i="3"/>
  <c r="AE639" i="3"/>
  <c r="AA615" i="3"/>
  <c r="AE615" i="3"/>
  <c r="AA611" i="3"/>
  <c r="AE611" i="3"/>
  <c r="AF609" i="3"/>
  <c r="AG609" i="3"/>
  <c r="AE609" i="3"/>
  <c r="AF608" i="3"/>
  <c r="AG608" i="3"/>
  <c r="AE608" i="3"/>
  <c r="AF607" i="3"/>
  <c r="AG607" i="3"/>
  <c r="AE607" i="3"/>
  <c r="AA584" i="3"/>
  <c r="AE584" i="3"/>
  <c r="AA581" i="3"/>
  <c r="AE581" i="3"/>
  <c r="AA579" i="3"/>
  <c r="AE579" i="3"/>
  <c r="AA578" i="3"/>
  <c r="AE578" i="3"/>
  <c r="AF555" i="3"/>
  <c r="AE555" i="3"/>
  <c r="AG555" i="3"/>
  <c r="AF551" i="3"/>
  <c r="AE551" i="3"/>
  <c r="AG551" i="3"/>
  <c r="AE549" i="3"/>
  <c r="AF549" i="3"/>
  <c r="AG549" i="3"/>
  <c r="AA548" i="3"/>
  <c r="AE548" i="3"/>
  <c r="AF547" i="3"/>
  <c r="AE547" i="3"/>
  <c r="AG547" i="3"/>
  <c r="AA523" i="3"/>
  <c r="AE523" i="3"/>
  <c r="AA519" i="3"/>
  <c r="AE519" i="3"/>
  <c r="AA517" i="3"/>
  <c r="AE517" i="3"/>
  <c r="AA516" i="3"/>
  <c r="AE516" i="3"/>
  <c r="AA515" i="3"/>
  <c r="AE515" i="3"/>
  <c r="AA491" i="3"/>
  <c r="AE491" i="3"/>
  <c r="AA487" i="3"/>
  <c r="AE487" i="3"/>
  <c r="AA485" i="3"/>
  <c r="AE485" i="3"/>
  <c r="AA484" i="3"/>
  <c r="AE484" i="3"/>
  <c r="AA483" i="3"/>
  <c r="AE483" i="3"/>
  <c r="AA459" i="3"/>
  <c r="AE459" i="3"/>
  <c r="AA455" i="3"/>
  <c r="AE455" i="3"/>
  <c r="AA453" i="3"/>
  <c r="AE453" i="3"/>
  <c r="AA452" i="3"/>
  <c r="AE452" i="3"/>
  <c r="AA451" i="3"/>
  <c r="AE451" i="3"/>
  <c r="AF427" i="3"/>
  <c r="AE427" i="3"/>
  <c r="AG427" i="3"/>
  <c r="AF423" i="3"/>
  <c r="AE423" i="3"/>
  <c r="AG423" i="3"/>
  <c r="AF421" i="3"/>
  <c r="AE421" i="3"/>
  <c r="AG421" i="3"/>
  <c r="AF420" i="3"/>
  <c r="AE420" i="3"/>
  <c r="AG420" i="3"/>
  <c r="AF419" i="3"/>
  <c r="AE419" i="3"/>
  <c r="AG419" i="3"/>
  <c r="AF395" i="3"/>
  <c r="AG395" i="3"/>
  <c r="AE395" i="3"/>
  <c r="AA391" i="3"/>
  <c r="AE391" i="3"/>
  <c r="AA389" i="3"/>
  <c r="AE389" i="3"/>
  <c r="AA388" i="3"/>
  <c r="AE388" i="3"/>
  <c r="AA387" i="3"/>
  <c r="AE387" i="3"/>
  <c r="AA363" i="3"/>
  <c r="AE363" i="3"/>
  <c r="AA359" i="3"/>
  <c r="AE359" i="3"/>
  <c r="AF357" i="3"/>
  <c r="AE357" i="3"/>
  <c r="AF356" i="3"/>
  <c r="AE356" i="3"/>
  <c r="AA355" i="3"/>
  <c r="AE355" i="3"/>
  <c r="AF331" i="3"/>
  <c r="AE331" i="3"/>
  <c r="AG331" i="3"/>
  <c r="AA327" i="3"/>
  <c r="AE327" i="3"/>
  <c r="AE325" i="3"/>
  <c r="AF325" i="3"/>
  <c r="AE324" i="3"/>
  <c r="AF324" i="3"/>
  <c r="AG324" i="3"/>
  <c r="AE323" i="3"/>
  <c r="AF323" i="3"/>
  <c r="AA299" i="3"/>
  <c r="AE299" i="3"/>
  <c r="AE295" i="3"/>
  <c r="AF295" i="3"/>
  <c r="AF293" i="3"/>
  <c r="AE293" i="3"/>
  <c r="AG293" i="3"/>
  <c r="AF292" i="3"/>
  <c r="AE292" i="3"/>
  <c r="AF291" i="3"/>
  <c r="AE291" i="3"/>
  <c r="AG291" i="3"/>
  <c r="AF263" i="3"/>
  <c r="AG263" i="3"/>
  <c r="AF261" i="3"/>
  <c r="AG261" i="3"/>
  <c r="AF260" i="3"/>
  <c r="AG260" i="3"/>
  <c r="AF259" i="3"/>
  <c r="AG259" i="3"/>
  <c r="AA226" i="3"/>
  <c r="AE226" i="3"/>
  <c r="AA222" i="3"/>
  <c r="AE222" i="3"/>
  <c r="AA220" i="3"/>
  <c r="AE220" i="3"/>
  <c r="AA219" i="3"/>
  <c r="AE219" i="3"/>
  <c r="AA218" i="3"/>
  <c r="AE218" i="3"/>
  <c r="AA196" i="3"/>
  <c r="AE196" i="3"/>
  <c r="AA193" i="3"/>
  <c r="AE193" i="3"/>
  <c r="AA191" i="3"/>
  <c r="AE191" i="3"/>
  <c r="AA190" i="3"/>
  <c r="AE190" i="3"/>
  <c r="AA189" i="3"/>
  <c r="AE189" i="3"/>
  <c r="AE165" i="3"/>
  <c r="AF165" i="3"/>
  <c r="AA161" i="3"/>
  <c r="AE161" i="3"/>
  <c r="AA159" i="3"/>
  <c r="AE159" i="3"/>
  <c r="AA158" i="3"/>
  <c r="AE158" i="3"/>
  <c r="AA157" i="3"/>
  <c r="AE157" i="3"/>
  <c r="AA133" i="3"/>
  <c r="AE133" i="3"/>
  <c r="AA129" i="3"/>
  <c r="AE129" i="3"/>
  <c r="AA127" i="3"/>
  <c r="AE127" i="3"/>
  <c r="AA126" i="3"/>
  <c r="AE126" i="3"/>
  <c r="AA125" i="3"/>
  <c r="AE125" i="3"/>
  <c r="AA99" i="3"/>
  <c r="AE99" i="3"/>
  <c r="AA95" i="3"/>
  <c r="AE95" i="3"/>
  <c r="AA93" i="3"/>
  <c r="AE93" i="3"/>
  <c r="AA92" i="3"/>
  <c r="AE92" i="3"/>
  <c r="AA91" i="3"/>
  <c r="AE91" i="3"/>
  <c r="AF61" i="3"/>
  <c r="AE61" i="3"/>
  <c r="AF60" i="3"/>
  <c r="AE60" i="3"/>
  <c r="AA35" i="3"/>
  <c r="AE35" i="3"/>
  <c r="AA31" i="3"/>
  <c r="AE31" i="3"/>
  <c r="AA29" i="3"/>
  <c r="AE29" i="3"/>
  <c r="AA28" i="3"/>
  <c r="AE28" i="3"/>
  <c r="AA27" i="3"/>
  <c r="AE27" i="3"/>
  <c r="AA17" i="3"/>
  <c r="AE17" i="3"/>
  <c r="AA16" i="3"/>
  <c r="AE16" i="3"/>
  <c r="AG4" i="3"/>
  <c r="AG6" i="3"/>
  <c r="AE9" i="3"/>
  <c r="AG10" i="3"/>
  <c r="AG11" i="3"/>
  <c r="AF8" i="3"/>
  <c r="AE75" i="3"/>
  <c r="AE59" i="3"/>
  <c r="AG61" i="3"/>
  <c r="AG63" i="3"/>
  <c r="AG67" i="3"/>
  <c r="AG165" i="3"/>
  <c r="AE259" i="3"/>
  <c r="AE261" i="3"/>
  <c r="AE263" i="3"/>
  <c r="AE267" i="3"/>
  <c r="AG295" i="3"/>
  <c r="AG325" i="3"/>
  <c r="AG356" i="3"/>
  <c r="AA13" i="3"/>
  <c r="AE13" i="3"/>
  <c r="AA7" i="3"/>
  <c r="AE7" i="3"/>
  <c r="AE5" i="3"/>
  <c r="AF5" i="3"/>
  <c r="AE3" i="3"/>
  <c r="AF3" i="3"/>
  <c r="AB1732" i="3"/>
  <c r="AC1732" i="3" s="1"/>
  <c r="AB1730" i="3"/>
  <c r="AC1730" i="3" s="1"/>
  <c r="AB1728" i="3"/>
  <c r="AC1728" i="3" s="1"/>
  <c r="AF1692" i="3"/>
  <c r="AG1692" i="3"/>
  <c r="AE1692" i="3"/>
  <c r="AB1688" i="3"/>
  <c r="AC1688" i="3" s="1"/>
  <c r="AB1686" i="3"/>
  <c r="AC1686" i="3" s="1"/>
  <c r="AB1685" i="3"/>
  <c r="AC1685" i="3" s="1"/>
  <c r="AB1676" i="3"/>
  <c r="AC1676" i="3" s="1"/>
  <c r="AB1674" i="3"/>
  <c r="AC1674" i="3" s="1"/>
  <c r="AB1673" i="3"/>
  <c r="AC1673" i="3" s="1"/>
  <c r="AB1670" i="3"/>
  <c r="AC1670" i="3" s="1"/>
  <c r="AB1669" i="3"/>
  <c r="AC1669" i="3" s="1"/>
  <c r="AB1660" i="3"/>
  <c r="AC1660" i="3" s="1"/>
  <c r="AF1658" i="3"/>
  <c r="AG1658" i="3"/>
  <c r="AE1658" i="3"/>
  <c r="AB1657" i="3"/>
  <c r="AC1657" i="3" s="1"/>
  <c r="AF1652" i="3"/>
  <c r="AE1652" i="3"/>
  <c r="AG1652" i="3"/>
  <c r="AF1650" i="3"/>
  <c r="AG1650" i="3"/>
  <c r="AE1650" i="3"/>
  <c r="AE1649" i="3"/>
  <c r="AF1649" i="3"/>
  <c r="AG1649" i="3"/>
  <c r="AF1648" i="3"/>
  <c r="AE1648" i="3"/>
  <c r="AG1648" i="3"/>
  <c r="AF1640" i="3"/>
  <c r="AE1640" i="3"/>
  <c r="AG1640" i="3"/>
  <c r="AF1632" i="3"/>
  <c r="AG1632" i="3"/>
  <c r="AE1632" i="3"/>
  <c r="AF1624" i="3"/>
  <c r="AG1624" i="3"/>
  <c r="AE1624" i="3"/>
  <c r="AF1616" i="3"/>
  <c r="AE1616" i="3"/>
  <c r="AG1616" i="3"/>
  <c r="AA1576" i="3"/>
  <c r="AE1576" i="3"/>
  <c r="AA1572" i="3"/>
  <c r="AE1572" i="3"/>
  <c r="AF1570" i="3"/>
  <c r="AE1570" i="3"/>
  <c r="AG1570" i="3"/>
  <c r="AF1569" i="3"/>
  <c r="AE1569" i="3"/>
  <c r="AG1569" i="3"/>
  <c r="AE1564" i="3"/>
  <c r="AG1564" i="3"/>
  <c r="AF1564" i="3"/>
  <c r="AE1562" i="3"/>
  <c r="AF1562" i="3"/>
  <c r="AG1562" i="3"/>
  <c r="AF1561" i="3"/>
  <c r="AG1561" i="3"/>
  <c r="AE1561" i="3"/>
  <c r="AE1560" i="3"/>
  <c r="AG1560" i="3"/>
  <c r="AF1560" i="3"/>
  <c r="AE1552" i="3"/>
  <c r="AF1552" i="3"/>
  <c r="AG1552" i="3"/>
  <c r="AA1544" i="3"/>
  <c r="AE1544" i="3"/>
  <c r="AA1536" i="3"/>
  <c r="AE1536" i="3"/>
  <c r="AA1480" i="3"/>
  <c r="AE1480" i="3"/>
  <c r="AE1476" i="3"/>
  <c r="AF1476" i="3"/>
  <c r="AG1476" i="3"/>
  <c r="AA1474" i="3"/>
  <c r="AE1474" i="3"/>
  <c r="AA1473" i="3"/>
  <c r="AE1473" i="3"/>
  <c r="AF1472" i="3"/>
  <c r="AG1472" i="3"/>
  <c r="AE1472" i="3"/>
  <c r="AE1464" i="3"/>
  <c r="AF1464" i="3"/>
  <c r="AG1464" i="3"/>
  <c r="AE1440" i="3"/>
  <c r="AF1440" i="3"/>
  <c r="AG1440" i="3"/>
  <c r="AE1435" i="3"/>
  <c r="AF1435" i="3"/>
  <c r="AG1435" i="3"/>
  <c r="AF1433" i="3"/>
  <c r="AG1433" i="3"/>
  <c r="AE1433" i="3"/>
  <c r="AE1432" i="3"/>
  <c r="AF1432" i="3"/>
  <c r="AG1432" i="3"/>
  <c r="AE1423" i="3"/>
  <c r="AG1423" i="3"/>
  <c r="AF1423" i="3"/>
  <c r="AA1419" i="3"/>
  <c r="AE1419" i="3"/>
  <c r="AA1417" i="3"/>
  <c r="AE1417" i="3"/>
  <c r="AA1416" i="3"/>
  <c r="AE1416" i="3"/>
  <c r="AF1407" i="3"/>
  <c r="AG1407" i="3"/>
  <c r="AE1407" i="3"/>
  <c r="AF1403" i="3"/>
  <c r="AG1403" i="3"/>
  <c r="AE1403" i="3"/>
  <c r="AA1401" i="3"/>
  <c r="AE1401" i="3"/>
  <c r="AA1400" i="3"/>
  <c r="AE1400" i="3"/>
  <c r="AA1399" i="3"/>
  <c r="AE1399" i="3"/>
  <c r="AA1375" i="3"/>
  <c r="AE1375" i="3"/>
  <c r="AA1371" i="3"/>
  <c r="AE1371" i="3"/>
  <c r="AA1369" i="3"/>
  <c r="AE1369" i="3"/>
  <c r="AA1367" i="3"/>
  <c r="AE1367" i="3"/>
  <c r="AA1365" i="3"/>
  <c r="AE1365" i="3"/>
  <c r="AA1364" i="3"/>
  <c r="AE1364" i="3"/>
  <c r="AA1363" i="3"/>
  <c r="AE1363" i="3"/>
  <c r="AE1347" i="3"/>
  <c r="AF1347" i="3"/>
  <c r="AG1347" i="3"/>
  <c r="AF1331" i="3"/>
  <c r="AE1331" i="3"/>
  <c r="AG1331" i="3"/>
  <c r="AF1315" i="3"/>
  <c r="AE1315" i="3"/>
  <c r="AG1315" i="3"/>
  <c r="AE1299" i="3"/>
  <c r="AF1299" i="3"/>
  <c r="AG1299" i="3"/>
  <c r="AA1269" i="3"/>
  <c r="AE1269" i="3"/>
  <c r="AA1253" i="3"/>
  <c r="AE1253" i="3"/>
  <c r="AA1237" i="3"/>
  <c r="AE1237" i="3"/>
  <c r="AA1221" i="3"/>
  <c r="AE1221" i="3"/>
  <c r="AA1197" i="3"/>
  <c r="AE1197" i="3"/>
  <c r="AA1193" i="3"/>
  <c r="AE1193" i="3"/>
  <c r="AA1191" i="3"/>
  <c r="AE1191" i="3"/>
  <c r="AA1190" i="3"/>
  <c r="AE1190" i="3"/>
  <c r="AA1181" i="3"/>
  <c r="AE1181" i="3"/>
  <c r="AA1177" i="3"/>
  <c r="AE1177" i="3"/>
  <c r="AA1175" i="3"/>
  <c r="AE1175" i="3"/>
  <c r="AA1174" i="3"/>
  <c r="AE1174" i="3"/>
  <c r="AA1173" i="3"/>
  <c r="AE1173" i="3"/>
  <c r="AA1149" i="3"/>
  <c r="AE1149" i="3"/>
  <c r="AA1145" i="3"/>
  <c r="AE1145" i="3"/>
  <c r="AA1143" i="3"/>
  <c r="AE1143" i="3"/>
  <c r="AA1142" i="3"/>
  <c r="AE1142" i="3"/>
  <c r="AA1141" i="3"/>
  <c r="AE1141" i="3"/>
  <c r="AA1117" i="3"/>
  <c r="AE1117" i="3"/>
  <c r="AA1113" i="3"/>
  <c r="AE1113" i="3"/>
  <c r="AA1111" i="3"/>
  <c r="AE1111" i="3"/>
  <c r="AA1110" i="3"/>
  <c r="AE1110" i="3"/>
  <c r="AA1109" i="3"/>
  <c r="AE1109" i="3"/>
  <c r="AA1085" i="3"/>
  <c r="AE1085" i="3"/>
  <c r="AA1081" i="3"/>
  <c r="AE1081" i="3"/>
  <c r="AA1079" i="3"/>
  <c r="AE1079" i="3"/>
  <c r="AA1078" i="3"/>
  <c r="AE1078" i="3"/>
  <c r="AA1077" i="3"/>
  <c r="AE1077" i="3"/>
  <c r="AA1053" i="3"/>
  <c r="AE1053" i="3"/>
  <c r="AA1049" i="3"/>
  <c r="AE1049" i="3"/>
  <c r="AA1047" i="3"/>
  <c r="AE1047" i="3"/>
  <c r="AA1046" i="3"/>
  <c r="AE1046" i="3"/>
  <c r="AA1045" i="3"/>
  <c r="AE1045" i="3"/>
  <c r="AG1021" i="3"/>
  <c r="AF1021" i="3"/>
  <c r="AE1021" i="3"/>
  <c r="AA1017" i="3"/>
  <c r="AE1017" i="3"/>
  <c r="AG1015" i="3"/>
  <c r="AF1015" i="3"/>
  <c r="AE1015" i="3"/>
  <c r="AG1014" i="3"/>
  <c r="AE1014" i="3"/>
  <c r="AF1014" i="3"/>
  <c r="AG1013" i="3"/>
  <c r="AF1013" i="3"/>
  <c r="AE1013" i="3"/>
  <c r="AA989" i="3"/>
  <c r="AE989" i="3"/>
  <c r="AA985" i="3"/>
  <c r="AE985" i="3"/>
  <c r="AA983" i="3"/>
  <c r="AE983" i="3"/>
  <c r="AF982" i="3"/>
  <c r="AG982" i="3"/>
  <c r="AE982" i="3"/>
  <c r="AF981" i="3"/>
  <c r="AG981" i="3"/>
  <c r="AE981" i="3"/>
  <c r="AA957" i="3"/>
  <c r="AE957" i="3"/>
  <c r="AA953" i="3"/>
  <c r="AE953" i="3"/>
  <c r="AA951" i="3"/>
  <c r="AE951" i="3"/>
  <c r="AA950" i="3"/>
  <c r="AE950" i="3"/>
  <c r="AA949" i="3"/>
  <c r="AE949" i="3"/>
  <c r="AA925" i="3"/>
  <c r="AE925" i="3"/>
  <c r="AA921" i="3"/>
  <c r="AE921" i="3"/>
  <c r="AA919" i="3"/>
  <c r="AE919" i="3"/>
  <c r="AA918" i="3"/>
  <c r="AE918" i="3"/>
  <c r="AA917" i="3"/>
  <c r="AE917" i="3"/>
  <c r="AG915" i="3"/>
  <c r="AF915" i="3"/>
  <c r="AE915" i="3"/>
  <c r="AG914" i="3"/>
  <c r="AE914" i="3"/>
  <c r="AF914" i="3"/>
  <c r="AG913" i="3"/>
  <c r="AF913" i="3"/>
  <c r="AE913" i="3"/>
  <c r="AF889" i="3"/>
  <c r="AG889" i="3"/>
  <c r="AE889" i="3"/>
  <c r="AA885" i="3"/>
  <c r="AE885" i="3"/>
  <c r="AA883" i="3"/>
  <c r="AE883" i="3"/>
  <c r="AA882" i="3"/>
  <c r="AE882" i="3"/>
  <c r="AA881" i="3"/>
  <c r="AE881" i="3"/>
  <c r="AA857" i="3"/>
  <c r="AE857" i="3"/>
  <c r="AA853" i="3"/>
  <c r="AE853" i="3"/>
  <c r="AA851" i="3"/>
  <c r="AE851" i="3"/>
  <c r="AA850" i="3"/>
  <c r="AE850" i="3"/>
  <c r="AA849" i="3"/>
  <c r="AE849" i="3"/>
  <c r="AG827" i="3"/>
  <c r="AE827" i="3"/>
  <c r="AF827" i="3"/>
  <c r="AG823" i="3"/>
  <c r="AE823" i="3"/>
  <c r="AF823" i="3"/>
  <c r="AG821" i="3"/>
  <c r="AE821" i="3"/>
  <c r="AF821" i="3"/>
  <c r="AG820" i="3"/>
  <c r="AF820" i="3"/>
  <c r="AE820" i="3"/>
  <c r="AG819" i="3"/>
  <c r="AE819" i="3"/>
  <c r="AF819" i="3"/>
  <c r="AG795" i="3"/>
  <c r="AE795" i="3"/>
  <c r="AF795" i="3"/>
  <c r="AA791" i="3"/>
  <c r="AE791" i="3"/>
  <c r="AA789" i="3"/>
  <c r="AE789" i="3"/>
  <c r="AA788" i="3"/>
  <c r="AE788" i="3"/>
  <c r="AA787" i="3"/>
  <c r="AE787" i="3"/>
  <c r="AE763" i="3"/>
  <c r="AF763" i="3"/>
  <c r="AG763" i="3"/>
  <c r="AE759" i="3"/>
  <c r="AF759" i="3"/>
  <c r="AG759" i="3"/>
  <c r="AE757" i="3"/>
  <c r="AF757" i="3"/>
  <c r="AG757" i="3"/>
  <c r="AE756" i="3"/>
  <c r="AF756" i="3"/>
  <c r="AG756" i="3"/>
  <c r="AE755" i="3"/>
  <c r="AF755" i="3"/>
  <c r="AG755" i="3"/>
  <c r="AA731" i="3"/>
  <c r="AE731" i="3"/>
  <c r="AA727" i="3"/>
  <c r="AE727" i="3"/>
  <c r="AA725" i="3"/>
  <c r="AE725" i="3"/>
  <c r="AE724" i="3"/>
  <c r="AF724" i="3"/>
  <c r="AG724" i="3"/>
  <c r="AE723" i="3"/>
  <c r="AF723" i="3"/>
  <c r="AG723" i="3"/>
  <c r="AF699" i="3"/>
  <c r="AE699" i="3"/>
  <c r="AG699" i="3"/>
  <c r="AE695" i="3"/>
  <c r="AF695" i="3"/>
  <c r="AG695" i="3"/>
  <c r="AE691" i="3"/>
  <c r="AF691" i="3"/>
  <c r="AG691" i="3"/>
  <c r="AA689" i="3"/>
  <c r="AE689" i="3"/>
  <c r="AA688" i="3"/>
  <c r="AE688" i="3"/>
  <c r="AA687" i="3"/>
  <c r="AE687" i="3"/>
  <c r="AA663" i="3"/>
  <c r="AE663" i="3"/>
  <c r="AA659" i="3"/>
  <c r="AE659" i="3"/>
  <c r="AA657" i="3"/>
  <c r="AE657" i="3"/>
  <c r="AA656" i="3"/>
  <c r="AE656" i="3"/>
  <c r="AA655" i="3"/>
  <c r="AE655" i="3"/>
  <c r="AA631" i="3"/>
  <c r="AE631" i="3"/>
  <c r="AA627" i="3"/>
  <c r="AE627" i="3"/>
  <c r="AA625" i="3"/>
  <c r="AE625" i="3"/>
  <c r="AA624" i="3"/>
  <c r="AE624" i="3"/>
  <c r="AA623" i="3"/>
  <c r="AE623" i="3"/>
  <c r="AF599" i="3"/>
  <c r="AG599" i="3"/>
  <c r="AE599" i="3"/>
  <c r="AA595" i="3"/>
  <c r="AE595" i="3"/>
  <c r="AA593" i="3"/>
  <c r="AE593" i="3"/>
  <c r="AA592" i="3"/>
  <c r="AE592" i="3"/>
  <c r="AA591" i="3"/>
  <c r="AE591" i="3"/>
  <c r="AA571" i="3"/>
  <c r="AE571" i="3"/>
  <c r="AF567" i="3"/>
  <c r="AG567" i="3"/>
  <c r="AE567" i="3"/>
  <c r="AF565" i="3"/>
  <c r="AG565" i="3"/>
  <c r="AE565" i="3"/>
  <c r="AF564" i="3"/>
  <c r="AG564" i="3"/>
  <c r="AE564" i="3"/>
  <c r="AF563" i="3"/>
  <c r="AG563" i="3"/>
  <c r="AE563" i="3"/>
  <c r="AF539" i="3"/>
  <c r="AE539" i="3"/>
  <c r="AG539" i="3"/>
  <c r="AF535" i="3"/>
  <c r="AE535" i="3"/>
  <c r="AG535" i="3"/>
  <c r="AF533" i="3"/>
  <c r="AE533" i="3"/>
  <c r="AG533" i="3"/>
  <c r="AF532" i="3"/>
  <c r="AE532" i="3"/>
  <c r="AG532" i="3"/>
  <c r="AF531" i="3"/>
  <c r="AE531" i="3"/>
  <c r="AG531" i="3"/>
  <c r="AA507" i="3"/>
  <c r="AE507" i="3"/>
  <c r="AA503" i="3"/>
  <c r="AE503" i="3"/>
  <c r="AA501" i="3"/>
  <c r="AE501" i="3"/>
  <c r="AE500" i="3"/>
  <c r="AG500" i="3"/>
  <c r="AF500" i="3"/>
  <c r="AF499" i="3"/>
  <c r="AE499" i="3"/>
  <c r="AG499" i="3"/>
  <c r="AA475" i="3"/>
  <c r="AE475" i="3"/>
  <c r="AA471" i="3"/>
  <c r="AE471" i="3"/>
  <c r="AA469" i="3"/>
  <c r="AE469" i="3"/>
  <c r="AA468" i="3"/>
  <c r="AE468" i="3"/>
  <c r="AA467" i="3"/>
  <c r="AE467" i="3"/>
  <c r="AF443" i="3"/>
  <c r="AG443" i="3"/>
  <c r="AE443" i="3"/>
  <c r="AF439" i="3"/>
  <c r="AG439" i="3"/>
  <c r="AE439" i="3"/>
  <c r="AA437" i="3"/>
  <c r="AE437" i="3"/>
  <c r="AA436" i="3"/>
  <c r="AE436" i="3"/>
  <c r="AF435" i="3"/>
  <c r="AE435" i="3"/>
  <c r="AG435" i="3"/>
  <c r="AF411" i="3"/>
  <c r="AE411" i="3"/>
  <c r="AG411" i="3"/>
  <c r="AF407" i="3"/>
  <c r="AE407" i="3"/>
  <c r="AG407" i="3"/>
  <c r="AA405" i="3"/>
  <c r="AE405" i="3"/>
  <c r="AA404" i="3"/>
  <c r="AE404" i="3"/>
  <c r="AA403" i="3"/>
  <c r="AE403" i="3"/>
  <c r="AA379" i="3"/>
  <c r="AE379" i="3"/>
  <c r="AF375" i="3"/>
  <c r="AG375" i="3"/>
  <c r="AF373" i="3"/>
  <c r="AG373" i="3"/>
  <c r="AA372" i="3"/>
  <c r="AE372" i="3"/>
  <c r="AG371" i="3"/>
  <c r="AE371" i="3"/>
  <c r="AF347" i="3"/>
  <c r="AG347" i="3"/>
  <c r="AE347" i="3"/>
  <c r="AA343" i="3"/>
  <c r="AE343" i="3"/>
  <c r="AF341" i="3"/>
  <c r="AE341" i="3"/>
  <c r="AG341" i="3"/>
  <c r="AF340" i="3"/>
  <c r="AE340" i="3"/>
  <c r="AF339" i="3"/>
  <c r="AE339" i="3"/>
  <c r="AG339" i="3"/>
  <c r="AA315" i="3"/>
  <c r="AE315" i="3"/>
  <c r="AE311" i="3"/>
  <c r="AF311" i="3"/>
  <c r="AA308" i="3"/>
  <c r="AE308" i="3"/>
  <c r="AA307" i="3"/>
  <c r="AE307" i="3"/>
  <c r="AF283" i="3"/>
  <c r="AE283" i="3"/>
  <c r="AG283" i="3"/>
  <c r="AF279" i="3"/>
  <c r="AE279" i="3"/>
  <c r="AG279" i="3"/>
  <c r="AF277" i="3"/>
  <c r="AE277" i="3"/>
  <c r="AG277" i="3"/>
  <c r="AE276" i="3"/>
  <c r="AG276" i="3"/>
  <c r="AF276" i="3"/>
  <c r="AF275" i="3"/>
  <c r="AE275" i="3"/>
  <c r="AG275" i="3"/>
  <c r="AF251" i="3"/>
  <c r="AG251" i="3"/>
  <c r="AA247" i="3"/>
  <c r="AE247" i="3"/>
  <c r="AA245" i="3"/>
  <c r="AE245" i="3"/>
  <c r="AA244" i="3"/>
  <c r="AE244" i="3"/>
  <c r="AA243" i="3"/>
  <c r="AE243" i="3"/>
  <c r="AA241" i="3"/>
  <c r="AE241" i="3"/>
  <c r="AA239" i="3"/>
  <c r="AE239" i="3"/>
  <c r="AA237" i="3"/>
  <c r="AE237" i="3"/>
  <c r="AA236" i="3"/>
  <c r="AE236" i="3"/>
  <c r="AA235" i="3"/>
  <c r="AE235" i="3"/>
  <c r="AA210" i="3"/>
  <c r="AE210" i="3"/>
  <c r="AA206" i="3"/>
  <c r="AE206" i="3"/>
  <c r="AE204" i="3"/>
  <c r="AA203" i="3"/>
  <c r="AE203" i="3"/>
  <c r="AA202" i="3"/>
  <c r="AE202" i="3"/>
  <c r="AE181" i="3"/>
  <c r="AA177" i="3"/>
  <c r="AE177" i="3"/>
  <c r="AE175" i="3"/>
  <c r="AF174" i="3"/>
  <c r="AE174" i="3"/>
  <c r="AF173" i="3"/>
  <c r="AE173" i="3"/>
  <c r="AG173" i="3"/>
  <c r="AA149" i="3"/>
  <c r="AA145" i="3"/>
  <c r="AE145" i="3"/>
  <c r="AA143" i="3"/>
  <c r="AA142" i="3"/>
  <c r="AE142" i="3"/>
  <c r="AA141" i="3"/>
  <c r="AE141" i="3"/>
  <c r="AA117" i="3"/>
  <c r="AA108" i="3"/>
  <c r="AE108" i="3"/>
  <c r="AA107" i="3"/>
  <c r="AE107" i="3"/>
  <c r="AA83" i="3"/>
  <c r="AA79" i="3"/>
  <c r="AE79" i="3"/>
  <c r="AA77" i="3"/>
  <c r="AA51" i="3"/>
  <c r="AA47" i="3"/>
  <c r="AE47" i="3"/>
  <c r="AA45" i="3"/>
  <c r="AA44" i="3"/>
  <c r="AE44" i="3"/>
  <c r="AA43" i="3"/>
  <c r="AE43" i="3"/>
  <c r="AA22" i="3"/>
  <c r="AA21" i="3"/>
  <c r="AE21" i="3"/>
  <c r="AA20" i="3"/>
  <c r="AA19" i="3"/>
  <c r="AE19" i="3"/>
  <c r="AA18" i="3"/>
  <c r="AE18" i="3"/>
  <c r="AG3" i="3"/>
  <c r="AG5" i="3"/>
  <c r="AG8" i="3"/>
  <c r="AG9" i="3"/>
  <c r="AE11" i="3"/>
  <c r="AF6" i="3"/>
  <c r="AF10" i="3"/>
  <c r="AF67" i="3"/>
  <c r="AG75" i="3"/>
  <c r="AG59" i="3"/>
  <c r="AG60" i="3"/>
  <c r="AG174" i="3"/>
  <c r="AE251" i="3"/>
  <c r="AE260" i="3"/>
  <c r="AG292" i="3"/>
  <c r="AG311" i="3"/>
  <c r="AG323" i="3"/>
  <c r="AG340" i="3"/>
  <c r="AG357" i="3"/>
  <c r="AE373" i="3"/>
  <c r="AE375" i="3"/>
  <c r="AB1720" i="3"/>
  <c r="AC1720" i="3" s="1"/>
  <c r="AA1720" i="3"/>
  <c r="AB1692" i="3"/>
  <c r="AC1692" i="3" s="1"/>
  <c r="AA1692" i="3"/>
  <c r="AB1440" i="3"/>
  <c r="AC1440" i="3" s="1"/>
  <c r="AA1440" i="3"/>
  <c r="AB1423" i="3"/>
  <c r="AC1423" i="3" s="1"/>
  <c r="AA1423" i="3"/>
  <c r="AB1407" i="3"/>
  <c r="AC1407" i="3" s="1"/>
  <c r="AA1407" i="3"/>
  <c r="AB1347" i="3"/>
  <c r="AC1347" i="3" s="1"/>
  <c r="AA1347" i="3"/>
  <c r="AB1331" i="3"/>
  <c r="AC1331" i="3" s="1"/>
  <c r="AA1331" i="3"/>
  <c r="AB1315" i="3"/>
  <c r="AC1315" i="3" s="1"/>
  <c r="AA1315" i="3"/>
  <c r="AB1299" i="3"/>
  <c r="AC1299" i="3" s="1"/>
  <c r="AA1299" i="3"/>
  <c r="AB1021" i="3"/>
  <c r="AC1021" i="3" s="1"/>
  <c r="AA1021" i="3"/>
  <c r="AB889" i="3"/>
  <c r="AC889" i="3" s="1"/>
  <c r="AA889" i="3"/>
  <c r="AB827" i="3"/>
  <c r="AC827" i="3" s="1"/>
  <c r="AA827" i="3"/>
  <c r="AB795" i="3"/>
  <c r="AC795" i="3" s="1"/>
  <c r="AA795" i="3"/>
  <c r="AB763" i="3"/>
  <c r="AC763" i="3" s="1"/>
  <c r="AA763" i="3"/>
  <c r="AB699" i="3"/>
  <c r="AC699" i="3" s="1"/>
  <c r="AA699" i="3"/>
  <c r="AB599" i="3"/>
  <c r="AC599" i="3" s="1"/>
  <c r="AA599" i="3"/>
  <c r="AB539" i="3"/>
  <c r="AC539" i="3" s="1"/>
  <c r="AA539" i="3"/>
  <c r="AB443" i="3"/>
  <c r="AC443" i="3" s="1"/>
  <c r="AA443" i="3"/>
  <c r="AB411" i="3"/>
  <c r="AC411" i="3" s="1"/>
  <c r="AA411" i="3"/>
  <c r="AB347" i="3"/>
  <c r="AC347" i="3" s="1"/>
  <c r="AA347" i="3"/>
  <c r="AB283" i="3"/>
  <c r="AC283" i="3" s="1"/>
  <c r="AA283" i="3"/>
  <c r="AB251" i="3"/>
  <c r="AC251" i="3" s="1"/>
  <c r="AA251" i="3"/>
  <c r="AB1608" i="3"/>
  <c r="AC1608" i="3" s="1"/>
  <c r="AA1608" i="3"/>
  <c r="AB1528" i="3"/>
  <c r="AC1528" i="3" s="1"/>
  <c r="AA1528" i="3"/>
  <c r="AB1456" i="3"/>
  <c r="AC1456" i="3" s="1"/>
  <c r="AA1456" i="3"/>
  <c r="AB1431" i="3"/>
  <c r="AC1431" i="3" s="1"/>
  <c r="AA1431" i="3"/>
  <c r="AB1415" i="3"/>
  <c r="AC1415" i="3" s="1"/>
  <c r="AA1415" i="3"/>
  <c r="AB1355" i="3"/>
  <c r="AC1355" i="3" s="1"/>
  <c r="AA1355" i="3"/>
  <c r="AB1339" i="3"/>
  <c r="AC1339" i="3" s="1"/>
  <c r="AA1339" i="3"/>
  <c r="AB1323" i="3"/>
  <c r="AC1323" i="3" s="1"/>
  <c r="AA1323" i="3"/>
  <c r="AB1307" i="3"/>
  <c r="AC1307" i="3" s="1"/>
  <c r="AA1307" i="3"/>
  <c r="AB1291" i="3"/>
  <c r="AC1291" i="3" s="1"/>
  <c r="AA1291" i="3"/>
  <c r="AB1261" i="3"/>
  <c r="AC1261" i="3" s="1"/>
  <c r="AA1261" i="3"/>
  <c r="AB1005" i="3"/>
  <c r="AC1005" i="3" s="1"/>
  <c r="AA1005" i="3"/>
  <c r="AB842" i="3"/>
  <c r="AC842" i="3" s="1"/>
  <c r="AA842" i="3"/>
  <c r="AB779" i="3"/>
  <c r="AC779" i="3" s="1"/>
  <c r="AA779" i="3"/>
  <c r="AB747" i="3"/>
  <c r="AC747" i="3" s="1"/>
  <c r="AA747" i="3"/>
  <c r="AB715" i="3"/>
  <c r="AC715" i="3" s="1"/>
  <c r="AA715" i="3"/>
  <c r="AB647" i="3"/>
  <c r="AC647" i="3" s="1"/>
  <c r="AA647" i="3"/>
  <c r="AB555" i="3"/>
  <c r="AC555" i="3" s="1"/>
  <c r="AA555" i="3"/>
  <c r="AB427" i="3"/>
  <c r="AC427" i="3" s="1"/>
  <c r="AA427" i="3"/>
  <c r="AB395" i="3"/>
  <c r="AC395" i="3" s="1"/>
  <c r="AA395" i="3"/>
  <c r="AB331" i="3"/>
  <c r="AC331" i="3" s="1"/>
  <c r="AA331" i="3"/>
  <c r="AB267" i="3"/>
  <c r="AC267" i="3" s="1"/>
  <c r="AA267" i="3"/>
  <c r="AB165" i="3"/>
  <c r="AC165" i="3" s="1"/>
  <c r="AA165" i="3"/>
  <c r="AB67" i="3"/>
  <c r="AC67" i="3" s="1"/>
  <c r="AA67" i="3"/>
  <c r="AB11" i="3"/>
  <c r="AC11" i="3" s="1"/>
  <c r="AA11" i="3"/>
  <c r="AB9" i="3"/>
  <c r="AC9" i="3" s="1"/>
  <c r="AA9" i="3"/>
  <c r="AB5" i="3"/>
  <c r="AC5" i="3" s="1"/>
  <c r="AA5" i="3"/>
  <c r="AB1658" i="3"/>
  <c r="AC1658" i="3" s="1"/>
  <c r="AA1658" i="3"/>
  <c r="AB1650" i="3"/>
  <c r="AC1650" i="3" s="1"/>
  <c r="AA1650" i="3"/>
  <c r="AB1648" i="3"/>
  <c r="AC1648" i="3" s="1"/>
  <c r="AA1648" i="3"/>
  <c r="AB1640" i="3"/>
  <c r="AC1640" i="3" s="1"/>
  <c r="AA1640" i="3"/>
  <c r="AB1624" i="3"/>
  <c r="AC1624" i="3" s="1"/>
  <c r="AA1624" i="3"/>
  <c r="AB1570" i="3"/>
  <c r="AC1570" i="3" s="1"/>
  <c r="AA1570" i="3"/>
  <c r="AB1562" i="3"/>
  <c r="AC1562" i="3" s="1"/>
  <c r="AA1562" i="3"/>
  <c r="AB1560" i="3"/>
  <c r="AC1560" i="3" s="1"/>
  <c r="AA1560" i="3"/>
  <c r="AB1522" i="3"/>
  <c r="AC1522" i="3" s="1"/>
  <c r="AA1522" i="3"/>
  <c r="AB1516" i="3"/>
  <c r="AC1516" i="3" s="1"/>
  <c r="AA1516" i="3"/>
  <c r="AB1514" i="3"/>
  <c r="AC1514" i="3" s="1"/>
  <c r="AA1514" i="3"/>
  <c r="AB1508" i="3"/>
  <c r="AC1508" i="3" s="1"/>
  <c r="AA1508" i="3"/>
  <c r="AB1506" i="3"/>
  <c r="AC1506" i="3" s="1"/>
  <c r="AA1506" i="3"/>
  <c r="AB1500" i="3"/>
  <c r="AC1500" i="3" s="1"/>
  <c r="AA1500" i="3"/>
  <c r="AB1497" i="3"/>
  <c r="AC1497" i="3" s="1"/>
  <c r="AA1497" i="3"/>
  <c r="AB1488" i="3"/>
  <c r="AC1488" i="3" s="1"/>
  <c r="AA1488" i="3"/>
  <c r="AB1476" i="3"/>
  <c r="AC1476" i="3" s="1"/>
  <c r="AA1476" i="3"/>
  <c r="AB1464" i="3"/>
  <c r="AC1464" i="3" s="1"/>
  <c r="AA1464" i="3"/>
  <c r="AB1452" i="3"/>
  <c r="AC1452" i="3" s="1"/>
  <c r="AA1452" i="3"/>
  <c r="AB1449" i="3"/>
  <c r="AC1449" i="3" s="1"/>
  <c r="AA1449" i="3"/>
  <c r="AB1433" i="3"/>
  <c r="AC1433" i="3" s="1"/>
  <c r="AA1433" i="3"/>
  <c r="AB1349" i="3"/>
  <c r="AC1349" i="3" s="1"/>
  <c r="AA1349" i="3"/>
  <c r="AB1335" i="3"/>
  <c r="AC1335" i="3" s="1"/>
  <c r="AA1335" i="3"/>
  <c r="AB1333" i="3"/>
  <c r="AC1333" i="3" s="1"/>
  <c r="AA1333" i="3"/>
  <c r="AB1316" i="3"/>
  <c r="AC1316" i="3" s="1"/>
  <c r="AA1316" i="3"/>
  <c r="AB1303" i="3"/>
  <c r="AC1303" i="3" s="1"/>
  <c r="AA1303" i="3"/>
  <c r="AB1301" i="3"/>
  <c r="AC1301" i="3" s="1"/>
  <c r="AA1301" i="3"/>
  <c r="AB1287" i="3"/>
  <c r="AC1287" i="3" s="1"/>
  <c r="AA1287" i="3"/>
  <c r="AB1284" i="3"/>
  <c r="AC1284" i="3" s="1"/>
  <c r="AA1284" i="3"/>
  <c r="AC2" i="3"/>
  <c r="AB10" i="3"/>
  <c r="AC10" i="3" s="1"/>
  <c r="AA10" i="3"/>
  <c r="AB8" i="3"/>
  <c r="AC8" i="3" s="1"/>
  <c r="AA8" i="3"/>
  <c r="AB6" i="3"/>
  <c r="AC6" i="3" s="1"/>
  <c r="AA6" i="3"/>
  <c r="AB4" i="3"/>
  <c r="AC4" i="3" s="1"/>
  <c r="AA4" i="3"/>
  <c r="Z15" i="3"/>
  <c r="AD15" i="3" s="1"/>
  <c r="Z1724" i="3"/>
  <c r="AD1724" i="3" s="1"/>
  <c r="Z1722" i="3"/>
  <c r="AD1722" i="3" s="1"/>
  <c r="Z1721" i="3"/>
  <c r="AD1721" i="3" s="1"/>
  <c r="Z1716" i="3"/>
  <c r="AD1716" i="3" s="1"/>
  <c r="Z1696" i="3"/>
  <c r="AD1696" i="3" s="1"/>
  <c r="Z1694" i="3"/>
  <c r="AD1694" i="3" s="1"/>
  <c r="Z1693" i="3"/>
  <c r="AD1693" i="3" s="1"/>
  <c r="Z1684" i="3"/>
  <c r="AD1684" i="3" s="1"/>
  <c r="Z1680" i="3"/>
  <c r="AD1680" i="3" s="1"/>
  <c r="Z1668" i="3"/>
  <c r="AD1668" i="3" s="1"/>
  <c r="Z1664" i="3"/>
  <c r="AD1664" i="3" s="1"/>
  <c r="Z1656" i="3"/>
  <c r="AD1656" i="3" s="1"/>
  <c r="Z1644" i="3"/>
  <c r="AD1644" i="3" s="1"/>
  <c r="Z1642" i="3"/>
  <c r="AD1642" i="3" s="1"/>
  <c r="Z1641" i="3"/>
  <c r="AD1641" i="3" s="1"/>
  <c r="Z1636" i="3"/>
  <c r="AD1636" i="3" s="1"/>
  <c r="Z1634" i="3"/>
  <c r="AD1634" i="3" s="1"/>
  <c r="Z1633" i="3"/>
  <c r="AD1633" i="3" s="1"/>
  <c r="Z1628" i="3"/>
  <c r="AD1628" i="3" s="1"/>
  <c r="Z1626" i="3"/>
  <c r="AD1626" i="3" s="1"/>
  <c r="Z1625" i="3"/>
  <c r="AD1625" i="3" s="1"/>
  <c r="Z1620" i="3"/>
  <c r="AD1620" i="3" s="1"/>
  <c r="Z1618" i="3"/>
  <c r="AD1618" i="3" s="1"/>
  <c r="Z1617" i="3"/>
  <c r="AD1617" i="3" s="1"/>
  <c r="Z1612" i="3"/>
  <c r="AD1612" i="3" s="1"/>
  <c r="Z1610" i="3"/>
  <c r="AD1610" i="3" s="1"/>
  <c r="Z1609" i="3"/>
  <c r="AD1609" i="3" s="1"/>
  <c r="Z1596" i="3"/>
  <c r="AD1596" i="3" s="1"/>
  <c r="Z1594" i="3"/>
  <c r="AD1594" i="3" s="1"/>
  <c r="Z1593" i="3"/>
  <c r="AD1593" i="3" s="1"/>
  <c r="Z1588" i="3"/>
  <c r="AD1588" i="3" s="1"/>
  <c r="Z1586" i="3"/>
  <c r="AD1586" i="3" s="1"/>
  <c r="Z1585" i="3"/>
  <c r="AD1585" i="3" s="1"/>
  <c r="Z1580" i="3"/>
  <c r="AD1580" i="3" s="1"/>
  <c r="Z1578" i="3"/>
  <c r="AD1578" i="3" s="1"/>
  <c r="Z1577" i="3"/>
  <c r="AD1577" i="3" s="1"/>
  <c r="Z1568" i="3"/>
  <c r="AD1568" i="3" s="1"/>
  <c r="Z1556" i="3"/>
  <c r="AD1556" i="3" s="1"/>
  <c r="Z1554" i="3"/>
  <c r="AD1554" i="3" s="1"/>
  <c r="Z1553" i="3"/>
  <c r="AD1553" i="3" s="1"/>
  <c r="Z1548" i="3"/>
  <c r="AD1548" i="3" s="1"/>
  <c r="Z1546" i="3"/>
  <c r="AD1546" i="3" s="1"/>
  <c r="Z1545" i="3"/>
  <c r="AD1545" i="3" s="1"/>
  <c r="Z1540" i="3"/>
  <c r="AD1540" i="3" s="1"/>
  <c r="Z1538" i="3"/>
  <c r="AD1538" i="3" s="1"/>
  <c r="Z1537" i="3"/>
  <c r="AD1537" i="3" s="1"/>
  <c r="Z1532" i="3"/>
  <c r="AD1532" i="3" s="1"/>
  <c r="Z1530" i="3"/>
  <c r="AD1530" i="3" s="1"/>
  <c r="Z1529" i="3"/>
  <c r="AD1529" i="3" s="1"/>
  <c r="Z1520" i="3"/>
  <c r="AD1520" i="3" s="1"/>
  <c r="Z1512" i="3"/>
  <c r="AD1512" i="3" s="1"/>
  <c r="Z1504" i="3"/>
  <c r="AD1504" i="3" s="1"/>
  <c r="Z1492" i="3"/>
  <c r="AD1492" i="3" s="1"/>
  <c r="Z1490" i="3"/>
  <c r="AD1490" i="3" s="1"/>
  <c r="Z1489" i="3"/>
  <c r="AD1489" i="3" s="1"/>
  <c r="Z1484" i="3"/>
  <c r="AD1484" i="3" s="1"/>
  <c r="Z1482" i="3"/>
  <c r="AD1482" i="3" s="1"/>
  <c r="Z1481" i="3"/>
  <c r="AD1481" i="3" s="1"/>
  <c r="Z1468" i="3"/>
  <c r="AD1468" i="3" s="1"/>
  <c r="Z1466" i="3"/>
  <c r="AD1466" i="3" s="1"/>
  <c r="Z1465" i="3"/>
  <c r="AD1465" i="3" s="1"/>
  <c r="Z1460" i="3"/>
  <c r="AD1460" i="3" s="1"/>
  <c r="Z1458" i="3"/>
  <c r="AD1458" i="3" s="1"/>
  <c r="Z1457" i="3"/>
  <c r="AD1457" i="3" s="1"/>
  <c r="Z1444" i="3"/>
  <c r="AD1444" i="3" s="1"/>
  <c r="Z1442" i="3"/>
  <c r="AD1442" i="3" s="1"/>
  <c r="Z1441" i="3"/>
  <c r="AD1441" i="3" s="1"/>
  <c r="Z1427" i="3"/>
  <c r="AD1427" i="3" s="1"/>
  <c r="Z1425" i="3"/>
  <c r="AD1425" i="3" s="1"/>
  <c r="Z1424" i="3"/>
  <c r="AD1424" i="3" s="1"/>
  <c r="Z1411" i="3"/>
  <c r="AD1411" i="3" s="1"/>
  <c r="Z1409" i="3"/>
  <c r="AD1409" i="3" s="1"/>
  <c r="Z1408" i="3"/>
  <c r="AD1408" i="3" s="1"/>
  <c r="Z1395" i="3"/>
  <c r="AD1395" i="3" s="1"/>
  <c r="Z1393" i="3"/>
  <c r="AD1393" i="3" s="1"/>
  <c r="Z1392" i="3"/>
  <c r="AD1392" i="3" s="1"/>
  <c r="Z1379" i="3"/>
  <c r="AD1379" i="3" s="1"/>
  <c r="Z1377" i="3"/>
  <c r="AD1377" i="3" s="1"/>
  <c r="Z1376" i="3"/>
  <c r="AD1376" i="3" s="1"/>
  <c r="Z1359" i="3"/>
  <c r="AD1359" i="3" s="1"/>
  <c r="Z1357" i="3"/>
  <c r="AD1357" i="3" s="1"/>
  <c r="Z1356" i="3"/>
  <c r="AD1356" i="3" s="1"/>
  <c r="Z1343" i="3"/>
  <c r="AD1343" i="3" s="1"/>
  <c r="Z1341" i="3"/>
  <c r="AD1341" i="3" s="1"/>
  <c r="Z1340" i="3"/>
  <c r="AD1340" i="3" s="1"/>
  <c r="Z1327" i="3"/>
  <c r="AD1327" i="3" s="1"/>
  <c r="Z1325" i="3"/>
  <c r="AD1325" i="3" s="1"/>
  <c r="Z1324" i="3"/>
  <c r="AD1324" i="3" s="1"/>
  <c r="Z1311" i="3"/>
  <c r="AD1311" i="3" s="1"/>
  <c r="Z1309" i="3"/>
  <c r="AD1309" i="3" s="1"/>
  <c r="Z1308" i="3"/>
  <c r="AD1308" i="3" s="1"/>
  <c r="Z1295" i="3"/>
  <c r="AD1295" i="3" s="1"/>
  <c r="Z1293" i="3"/>
  <c r="AD1293" i="3" s="1"/>
  <c r="Z1292" i="3"/>
  <c r="AD1292" i="3" s="1"/>
  <c r="Z1279" i="3"/>
  <c r="AD1279" i="3" s="1"/>
  <c r="Z1277" i="3"/>
  <c r="AD1277" i="3" s="1"/>
  <c r="Z1265" i="3"/>
  <c r="AD1265" i="3" s="1"/>
  <c r="Z1263" i="3"/>
  <c r="AD1263" i="3" s="1"/>
  <c r="Z1262" i="3"/>
  <c r="AD1262" i="3" s="1"/>
  <c r="Z1249" i="3"/>
  <c r="AD1249" i="3" s="1"/>
  <c r="Z1247" i="3"/>
  <c r="AD1247" i="3" s="1"/>
  <c r="Z1246" i="3"/>
  <c r="AD1246" i="3" s="1"/>
  <c r="Z1233" i="3"/>
  <c r="AD1233" i="3" s="1"/>
  <c r="Z1231" i="3"/>
  <c r="AD1231" i="3" s="1"/>
  <c r="Z1230" i="3"/>
  <c r="AD1230" i="3" s="1"/>
  <c r="Z1217" i="3"/>
  <c r="AD1217" i="3" s="1"/>
  <c r="Z1215" i="3"/>
  <c r="AD1215" i="3" s="1"/>
  <c r="Z1214" i="3"/>
  <c r="AD1214" i="3" s="1"/>
  <c r="Z1201" i="3"/>
  <c r="AD1201" i="3" s="1"/>
  <c r="Z1199" i="3"/>
  <c r="AD1199" i="3" s="1"/>
  <c r="Z1198" i="3"/>
  <c r="AD1198" i="3" s="1"/>
  <c r="Z1185" i="3"/>
  <c r="AD1185" i="3" s="1"/>
  <c r="Z1183" i="3"/>
  <c r="AD1183" i="3" s="1"/>
  <c r="Z1182" i="3"/>
  <c r="AD1182" i="3" s="1"/>
  <c r="Z1169" i="3"/>
  <c r="AD1169" i="3" s="1"/>
  <c r="Z1167" i="3"/>
  <c r="AD1167" i="3" s="1"/>
  <c r="Z1166" i="3"/>
  <c r="AD1166" i="3" s="1"/>
  <c r="Z1153" i="3"/>
  <c r="AD1153" i="3" s="1"/>
  <c r="Z1151" i="3"/>
  <c r="AD1151" i="3" s="1"/>
  <c r="Z1150" i="3"/>
  <c r="AD1150" i="3" s="1"/>
  <c r="Z1137" i="3"/>
  <c r="AD1137" i="3" s="1"/>
  <c r="Z1135" i="3"/>
  <c r="AD1135" i="3" s="1"/>
  <c r="Z1134" i="3"/>
  <c r="AD1134" i="3" s="1"/>
  <c r="Z1121" i="3"/>
  <c r="AD1121" i="3" s="1"/>
  <c r="Z1119" i="3"/>
  <c r="AD1119" i="3" s="1"/>
  <c r="Z1118" i="3"/>
  <c r="AD1118" i="3" s="1"/>
  <c r="Z1105" i="3"/>
  <c r="AD1105" i="3" s="1"/>
  <c r="Z1103" i="3"/>
  <c r="AD1103" i="3" s="1"/>
  <c r="Z1102" i="3"/>
  <c r="AD1102" i="3" s="1"/>
  <c r="Z1089" i="3"/>
  <c r="AD1089" i="3" s="1"/>
  <c r="Z1087" i="3"/>
  <c r="AD1087" i="3" s="1"/>
  <c r="Z1086" i="3"/>
  <c r="AD1086" i="3" s="1"/>
  <c r="Z1073" i="3"/>
  <c r="AD1073" i="3" s="1"/>
  <c r="Z1071" i="3"/>
  <c r="AD1071" i="3" s="1"/>
  <c r="Z1070" i="3"/>
  <c r="AD1070" i="3" s="1"/>
  <c r="Z1057" i="3"/>
  <c r="AD1057" i="3" s="1"/>
  <c r="Z1055" i="3"/>
  <c r="AD1055" i="3" s="1"/>
  <c r="Z1054" i="3"/>
  <c r="AD1054" i="3" s="1"/>
  <c r="Z1041" i="3"/>
  <c r="AD1041" i="3" s="1"/>
  <c r="Z1039" i="3"/>
  <c r="AD1039" i="3" s="1"/>
  <c r="Z1038" i="3"/>
  <c r="AD1038" i="3" s="1"/>
  <c r="Z1025" i="3"/>
  <c r="AD1025" i="3" s="1"/>
  <c r="Z1023" i="3"/>
  <c r="AD1023" i="3" s="1"/>
  <c r="Z1022" i="3"/>
  <c r="AD1022" i="3" s="1"/>
  <c r="Z1009" i="3"/>
  <c r="AD1009" i="3" s="1"/>
  <c r="Z1007" i="3"/>
  <c r="AD1007" i="3" s="1"/>
  <c r="Z1006" i="3"/>
  <c r="AD1006" i="3" s="1"/>
  <c r="Z993" i="3"/>
  <c r="AD993" i="3" s="1"/>
  <c r="Z991" i="3"/>
  <c r="AD991" i="3" s="1"/>
  <c r="Z990" i="3"/>
  <c r="AD990" i="3" s="1"/>
  <c r="Z977" i="3"/>
  <c r="AD977" i="3" s="1"/>
  <c r="Z975" i="3"/>
  <c r="AD975" i="3" s="1"/>
  <c r="Z974" i="3"/>
  <c r="AD974" i="3" s="1"/>
  <c r="Z961" i="3"/>
  <c r="AD961" i="3" s="1"/>
  <c r="Z959" i="3"/>
  <c r="AD959" i="3" s="1"/>
  <c r="Z958" i="3"/>
  <c r="AD958" i="3" s="1"/>
  <c r="Z945" i="3"/>
  <c r="AD945" i="3" s="1"/>
  <c r="Z943" i="3"/>
  <c r="AD943" i="3" s="1"/>
  <c r="Z942" i="3"/>
  <c r="AD942" i="3" s="1"/>
  <c r="Z929" i="3"/>
  <c r="AD929" i="3" s="1"/>
  <c r="Z927" i="3"/>
  <c r="AD927" i="3" s="1"/>
  <c r="Z926" i="3"/>
  <c r="AD926" i="3" s="1"/>
  <c r="Z909" i="3"/>
  <c r="AD909" i="3" s="1"/>
  <c r="Z907" i="3"/>
  <c r="AD907" i="3" s="1"/>
  <c r="Z906" i="3"/>
  <c r="AD906" i="3" s="1"/>
  <c r="Z893" i="3"/>
  <c r="AD893" i="3" s="1"/>
  <c r="Z891" i="3"/>
  <c r="AD891" i="3" s="1"/>
  <c r="Z890" i="3"/>
  <c r="AD890" i="3" s="1"/>
  <c r="Z877" i="3"/>
  <c r="AD877" i="3" s="1"/>
  <c r="Z875" i="3"/>
  <c r="AD875" i="3" s="1"/>
  <c r="Z874" i="3"/>
  <c r="AD874" i="3" s="1"/>
  <c r="Z861" i="3"/>
  <c r="AD861" i="3" s="1"/>
  <c r="Z859" i="3"/>
  <c r="AD859" i="3" s="1"/>
  <c r="Z858" i="3"/>
  <c r="AD858" i="3" s="1"/>
  <c r="Z845" i="3"/>
  <c r="AD845" i="3" s="1"/>
  <c r="Z843" i="3"/>
  <c r="AD843" i="3" s="1"/>
  <c r="Z831" i="3"/>
  <c r="AD831" i="3" s="1"/>
  <c r="Z829" i="3"/>
  <c r="AD829" i="3" s="1"/>
  <c r="Z828" i="3"/>
  <c r="AD828" i="3" s="1"/>
  <c r="Z815" i="3"/>
  <c r="AD815" i="3" s="1"/>
  <c r="Z813" i="3"/>
  <c r="AD813" i="3" s="1"/>
  <c r="Z812" i="3"/>
  <c r="AD812" i="3" s="1"/>
  <c r="Z799" i="3"/>
  <c r="AD799" i="3" s="1"/>
  <c r="Z797" i="3"/>
  <c r="AD797" i="3" s="1"/>
  <c r="Z796" i="3"/>
  <c r="AD796" i="3" s="1"/>
  <c r="Z783" i="3"/>
  <c r="AD783" i="3" s="1"/>
  <c r="Z781" i="3"/>
  <c r="AD781" i="3" s="1"/>
  <c r="Z780" i="3"/>
  <c r="AD780" i="3" s="1"/>
  <c r="Z767" i="3"/>
  <c r="AD767" i="3" s="1"/>
  <c r="Z765" i="3"/>
  <c r="AD765" i="3" s="1"/>
  <c r="Z764" i="3"/>
  <c r="AD764" i="3" s="1"/>
  <c r="Z751" i="3"/>
  <c r="AD751" i="3" s="1"/>
  <c r="Z749" i="3"/>
  <c r="AD749" i="3" s="1"/>
  <c r="Z748" i="3"/>
  <c r="AD748" i="3" s="1"/>
  <c r="Z735" i="3"/>
  <c r="AD735" i="3" s="1"/>
  <c r="Z733" i="3"/>
  <c r="AD733" i="3" s="1"/>
  <c r="Z732" i="3"/>
  <c r="AD732" i="3" s="1"/>
  <c r="Z719" i="3"/>
  <c r="AD719" i="3" s="1"/>
  <c r="Z717" i="3"/>
  <c r="AD717" i="3" s="1"/>
  <c r="Z716" i="3"/>
  <c r="AD716" i="3" s="1"/>
  <c r="Z703" i="3"/>
  <c r="AD703" i="3" s="1"/>
  <c r="Z701" i="3"/>
  <c r="AD701" i="3" s="1"/>
  <c r="Z700" i="3"/>
  <c r="AD700" i="3" s="1"/>
  <c r="Z683" i="3"/>
  <c r="AD683" i="3" s="1"/>
  <c r="Z681" i="3"/>
  <c r="AD681" i="3" s="1"/>
  <c r="Z680" i="3"/>
  <c r="AD680" i="3" s="1"/>
  <c r="Z667" i="3"/>
  <c r="AD667" i="3" s="1"/>
  <c r="Z665" i="3"/>
  <c r="AD665" i="3" s="1"/>
  <c r="Z664" i="3"/>
  <c r="AD664" i="3" s="1"/>
  <c r="Z651" i="3"/>
  <c r="AD651" i="3" s="1"/>
  <c r="Z649" i="3"/>
  <c r="AD649" i="3" s="1"/>
  <c r="Z648" i="3"/>
  <c r="AD648" i="3" s="1"/>
  <c r="Z635" i="3"/>
  <c r="AD635" i="3" s="1"/>
  <c r="Z633" i="3"/>
  <c r="AD633" i="3" s="1"/>
  <c r="Z632" i="3"/>
  <c r="AD632" i="3" s="1"/>
  <c r="Z619" i="3"/>
  <c r="AD619" i="3" s="1"/>
  <c r="Z617" i="3"/>
  <c r="AD617" i="3" s="1"/>
  <c r="Z616" i="3"/>
  <c r="AD616" i="3" s="1"/>
  <c r="Z603" i="3"/>
  <c r="AD603" i="3" s="1"/>
  <c r="Z601" i="3"/>
  <c r="AD601" i="3" s="1"/>
  <c r="Z600" i="3"/>
  <c r="AD600" i="3" s="1"/>
  <c r="Z587" i="3"/>
  <c r="AD587" i="3" s="1"/>
  <c r="Z585" i="3"/>
  <c r="AD585" i="3" s="1"/>
  <c r="Z576" i="3"/>
  <c r="AD576" i="3" s="1"/>
  <c r="Z574" i="3"/>
  <c r="AD574" i="3" s="1"/>
  <c r="Z573" i="3"/>
  <c r="AD573" i="3" s="1"/>
  <c r="Z572" i="3"/>
  <c r="AD572" i="3" s="1"/>
  <c r="Z559" i="3"/>
  <c r="AD559" i="3" s="1"/>
  <c r="Z557" i="3"/>
  <c r="AD557" i="3" s="1"/>
  <c r="Z556" i="3"/>
  <c r="AD556" i="3" s="1"/>
  <c r="Z543" i="3"/>
  <c r="AD543" i="3" s="1"/>
  <c r="Z541" i="3"/>
  <c r="AD541" i="3" s="1"/>
  <c r="Z540" i="3"/>
  <c r="AD540" i="3" s="1"/>
  <c r="Z527" i="3"/>
  <c r="AD527" i="3" s="1"/>
  <c r="Z525" i="3"/>
  <c r="AD525" i="3" s="1"/>
  <c r="Z524" i="3"/>
  <c r="AD524" i="3" s="1"/>
  <c r="Z511" i="3"/>
  <c r="AD511" i="3" s="1"/>
  <c r="Z509" i="3"/>
  <c r="AD509" i="3" s="1"/>
  <c r="Z508" i="3"/>
  <c r="AD508" i="3" s="1"/>
  <c r="Z495" i="3"/>
  <c r="AD495" i="3" s="1"/>
  <c r="Z493" i="3"/>
  <c r="AD493" i="3" s="1"/>
  <c r="Z492" i="3"/>
  <c r="AD492" i="3" s="1"/>
  <c r="Z479" i="3"/>
  <c r="AD479" i="3" s="1"/>
  <c r="Z477" i="3"/>
  <c r="AD477" i="3" s="1"/>
  <c r="Z476" i="3"/>
  <c r="AD476" i="3" s="1"/>
  <c r="Z463" i="3"/>
  <c r="AD463" i="3" s="1"/>
  <c r="Z461" i="3"/>
  <c r="AD461" i="3" s="1"/>
  <c r="Z460" i="3"/>
  <c r="AD460" i="3" s="1"/>
  <c r="Z447" i="3"/>
  <c r="AD447" i="3" s="1"/>
  <c r="Z445" i="3"/>
  <c r="AD445" i="3" s="1"/>
  <c r="Z444" i="3"/>
  <c r="AD444" i="3" s="1"/>
  <c r="Z431" i="3"/>
  <c r="AD431" i="3" s="1"/>
  <c r="Z429" i="3"/>
  <c r="AD429" i="3" s="1"/>
  <c r="Z428" i="3"/>
  <c r="AD428" i="3" s="1"/>
  <c r="Z415" i="3"/>
  <c r="AD415" i="3" s="1"/>
  <c r="Z413" i="3"/>
  <c r="AD413" i="3" s="1"/>
  <c r="Z412" i="3"/>
  <c r="AD412" i="3" s="1"/>
  <c r="Z399" i="3"/>
  <c r="AD399" i="3" s="1"/>
  <c r="Z397" i="3"/>
  <c r="AD397" i="3" s="1"/>
  <c r="Z396" i="3"/>
  <c r="AD396" i="3" s="1"/>
  <c r="Z383" i="3"/>
  <c r="AD383" i="3" s="1"/>
  <c r="Z381" i="3"/>
  <c r="AD381" i="3" s="1"/>
  <c r="Z380" i="3"/>
  <c r="AD380" i="3" s="1"/>
  <c r="Z367" i="3"/>
  <c r="AD367" i="3" s="1"/>
  <c r="Z365" i="3"/>
  <c r="AD365" i="3" s="1"/>
  <c r="Z364" i="3"/>
  <c r="AD364" i="3" s="1"/>
  <c r="Z351" i="3"/>
  <c r="AD351" i="3" s="1"/>
  <c r="Z349" i="3"/>
  <c r="AD349" i="3" s="1"/>
  <c r="Z348" i="3"/>
  <c r="AD348" i="3" s="1"/>
  <c r="Z335" i="3"/>
  <c r="AD335" i="3" s="1"/>
  <c r="Z333" i="3"/>
  <c r="AD333" i="3" s="1"/>
  <c r="Z332" i="3"/>
  <c r="AD332" i="3" s="1"/>
  <c r="Z319" i="3"/>
  <c r="AD319" i="3" s="1"/>
  <c r="Z317" i="3"/>
  <c r="AD317" i="3" s="1"/>
  <c r="Z316" i="3"/>
  <c r="AD316" i="3" s="1"/>
  <c r="Z303" i="3"/>
  <c r="AD303" i="3" s="1"/>
  <c r="Z301" i="3"/>
  <c r="AD301" i="3" s="1"/>
  <c r="Z300" i="3"/>
  <c r="AD300" i="3" s="1"/>
  <c r="Z287" i="3"/>
  <c r="AD287" i="3" s="1"/>
  <c r="Z285" i="3"/>
  <c r="AD285" i="3" s="1"/>
  <c r="Z284" i="3"/>
  <c r="AD284" i="3" s="1"/>
  <c r="Z271" i="3"/>
  <c r="AD271" i="3" s="1"/>
  <c r="Z269" i="3"/>
  <c r="AD269" i="3" s="1"/>
  <c r="Z268" i="3"/>
  <c r="AD268" i="3" s="1"/>
  <c r="Z255" i="3"/>
  <c r="AD255" i="3" s="1"/>
  <c r="Z253" i="3"/>
  <c r="AD253" i="3" s="1"/>
  <c r="Z252" i="3"/>
  <c r="AD252" i="3" s="1"/>
  <c r="Z230" i="3"/>
  <c r="AD230" i="3" s="1"/>
  <c r="Z228" i="3"/>
  <c r="AD228" i="3" s="1"/>
  <c r="Z227" i="3"/>
  <c r="AD227" i="3" s="1"/>
  <c r="Z214" i="3"/>
  <c r="AD214" i="3" s="1"/>
  <c r="Z212" i="3"/>
  <c r="AD212" i="3" s="1"/>
  <c r="Z211" i="3"/>
  <c r="AD211" i="3" s="1"/>
  <c r="Z198" i="3"/>
  <c r="AD198" i="3" s="1"/>
  <c r="Z197" i="3"/>
  <c r="AD197" i="3" s="1"/>
  <c r="Z185" i="3"/>
  <c r="AD185" i="3" s="1"/>
  <c r="Z183" i="3"/>
  <c r="AD183" i="3" s="1"/>
  <c r="Z182" i="3"/>
  <c r="AD182" i="3" s="1"/>
  <c r="Z169" i="3"/>
  <c r="AD169" i="3" s="1"/>
  <c r="Z167" i="3"/>
  <c r="AD167" i="3" s="1"/>
  <c r="Z166" i="3"/>
  <c r="AD166" i="3" s="1"/>
  <c r="Z153" i="3"/>
  <c r="AD153" i="3" s="1"/>
  <c r="Z151" i="3"/>
  <c r="AD151" i="3" s="1"/>
  <c r="Z150" i="3"/>
  <c r="AD150" i="3" s="1"/>
  <c r="Z137" i="3"/>
  <c r="AD137" i="3" s="1"/>
  <c r="Z135" i="3"/>
  <c r="AD135" i="3" s="1"/>
  <c r="Z134" i="3"/>
  <c r="AD134" i="3" s="1"/>
  <c r="Z121" i="3"/>
  <c r="AD121" i="3" s="1"/>
  <c r="Z119" i="3"/>
  <c r="AD119" i="3" s="1"/>
  <c r="Z118" i="3"/>
  <c r="AD118" i="3" s="1"/>
  <c r="Z103" i="3"/>
  <c r="AD103" i="3" s="1"/>
  <c r="Z101" i="3"/>
  <c r="AD101" i="3" s="1"/>
  <c r="Z100" i="3"/>
  <c r="AD100" i="3" s="1"/>
  <c r="Z87" i="3"/>
  <c r="AD87" i="3" s="1"/>
  <c r="Z85" i="3"/>
  <c r="AD85" i="3" s="1"/>
  <c r="Z84" i="3"/>
  <c r="AD84" i="3" s="1"/>
  <c r="Z71" i="3"/>
  <c r="AD71" i="3" s="1"/>
  <c r="Z69" i="3"/>
  <c r="AD69" i="3" s="1"/>
  <c r="Z68" i="3"/>
  <c r="AD68" i="3" s="1"/>
  <c r="Z55" i="3"/>
  <c r="AD55" i="3" s="1"/>
  <c r="Z53" i="3"/>
  <c r="AD53" i="3" s="1"/>
  <c r="Z52" i="3"/>
  <c r="AD52" i="3" s="1"/>
  <c r="Z39" i="3"/>
  <c r="AD39" i="3" s="1"/>
  <c r="Z37" i="3"/>
  <c r="AD37" i="3" s="1"/>
  <c r="Z36" i="3"/>
  <c r="AD36" i="3" s="1"/>
  <c r="Z23" i="3"/>
  <c r="AD23" i="3" s="1"/>
  <c r="AA2" i="3"/>
  <c r="AA1705" i="3"/>
  <c r="AA1685" i="3"/>
  <c r="AA1673" i="3"/>
  <c r="AA1669" i="3"/>
  <c r="AB3" i="3"/>
  <c r="AC3" i="3" s="1"/>
  <c r="AA3" i="3"/>
  <c r="AB1652" i="3"/>
  <c r="AC1652" i="3" s="1"/>
  <c r="AA1652" i="3"/>
  <c r="AB1649" i="3"/>
  <c r="AC1649" i="3" s="1"/>
  <c r="AA1649" i="3"/>
  <c r="AB1632" i="3"/>
  <c r="AC1632" i="3" s="1"/>
  <c r="AA1632" i="3"/>
  <c r="AB1616" i="3"/>
  <c r="AC1616" i="3" s="1"/>
  <c r="AA1616" i="3"/>
  <c r="AB1604" i="3"/>
  <c r="AC1604" i="3" s="1"/>
  <c r="AA1604" i="3"/>
  <c r="AB1569" i="3"/>
  <c r="AC1569" i="3" s="1"/>
  <c r="AA1569" i="3"/>
  <c r="AB1564" i="3"/>
  <c r="AC1564" i="3" s="1"/>
  <c r="AA1564" i="3"/>
  <c r="AB1561" i="3"/>
  <c r="AC1561" i="3" s="1"/>
  <c r="AA1561" i="3"/>
  <c r="AB1552" i="3"/>
  <c r="AC1552" i="3" s="1"/>
  <c r="AA1552" i="3"/>
  <c r="AB1524" i="3"/>
  <c r="AC1524" i="3" s="1"/>
  <c r="AA1524" i="3"/>
  <c r="AB1521" i="3"/>
  <c r="AC1521" i="3" s="1"/>
  <c r="AA1521" i="3"/>
  <c r="AB1513" i="3"/>
  <c r="AC1513" i="3" s="1"/>
  <c r="AA1513" i="3"/>
  <c r="AB1505" i="3"/>
  <c r="AC1505" i="3" s="1"/>
  <c r="AA1505" i="3"/>
  <c r="AB1498" i="3"/>
  <c r="AC1498" i="3" s="1"/>
  <c r="AA1498" i="3"/>
  <c r="AB1496" i="3"/>
  <c r="AC1496" i="3" s="1"/>
  <c r="AA1496" i="3"/>
  <c r="AB1472" i="3"/>
  <c r="AC1472" i="3" s="1"/>
  <c r="AA1472" i="3"/>
  <c r="AB1450" i="3"/>
  <c r="AC1450" i="3" s="1"/>
  <c r="AA1450" i="3"/>
  <c r="AB1448" i="3"/>
  <c r="AC1448" i="3" s="1"/>
  <c r="AA1448" i="3"/>
  <c r="AB1435" i="3"/>
  <c r="AC1435" i="3" s="1"/>
  <c r="AA1435" i="3"/>
  <c r="AB1432" i="3"/>
  <c r="AC1432" i="3" s="1"/>
  <c r="AA1432" i="3"/>
  <c r="AB1403" i="3"/>
  <c r="AC1403" i="3" s="1"/>
  <c r="AA1403" i="3"/>
  <c r="AB1351" i="3"/>
  <c r="AC1351" i="3" s="1"/>
  <c r="AA1351" i="3"/>
  <c r="AB1348" i="3"/>
  <c r="AC1348" i="3" s="1"/>
  <c r="AA1348" i="3"/>
  <c r="AB1332" i="3"/>
  <c r="AC1332" i="3" s="1"/>
  <c r="AA1332" i="3"/>
  <c r="AB1319" i="3"/>
  <c r="AC1319" i="3" s="1"/>
  <c r="AA1319" i="3"/>
  <c r="AB1317" i="3"/>
  <c r="AC1317" i="3" s="1"/>
  <c r="AA1317" i="3"/>
  <c r="AB1300" i="3"/>
  <c r="AC1300" i="3" s="1"/>
  <c r="AA1300" i="3"/>
  <c r="AB1285" i="3"/>
  <c r="AC1285" i="3" s="1"/>
  <c r="AA1285" i="3"/>
  <c r="AB1283" i="3"/>
  <c r="AC1283" i="3" s="1"/>
  <c r="AA1283" i="3"/>
  <c r="AB1033" i="3"/>
  <c r="AC1033" i="3" s="1"/>
  <c r="AA1033" i="3"/>
  <c r="AB1031" i="3"/>
  <c r="AC1031" i="3" s="1"/>
  <c r="AA1031" i="3"/>
  <c r="AB1030" i="3"/>
  <c r="AC1030" i="3" s="1"/>
  <c r="AA1030" i="3"/>
  <c r="AB1029" i="3"/>
  <c r="AC1029" i="3" s="1"/>
  <c r="AA1029" i="3"/>
  <c r="AB1015" i="3"/>
  <c r="AC1015" i="3" s="1"/>
  <c r="AA1015" i="3"/>
  <c r="AB1014" i="3"/>
  <c r="AC1014" i="3" s="1"/>
  <c r="AA1014" i="3"/>
  <c r="AB1013" i="3"/>
  <c r="AC1013" i="3" s="1"/>
  <c r="AA1013" i="3"/>
  <c r="AB1001" i="3"/>
  <c r="AC1001" i="3" s="1"/>
  <c r="AA1001" i="3"/>
  <c r="AB999" i="3"/>
  <c r="AC999" i="3" s="1"/>
  <c r="AA999" i="3"/>
  <c r="AB998" i="3"/>
  <c r="AC998" i="3" s="1"/>
  <c r="AA998" i="3"/>
  <c r="AB997" i="3"/>
  <c r="AC997" i="3" s="1"/>
  <c r="AA997" i="3"/>
  <c r="AB982" i="3"/>
  <c r="AC982" i="3" s="1"/>
  <c r="AA982" i="3"/>
  <c r="AB981" i="3"/>
  <c r="AC981" i="3" s="1"/>
  <c r="AA981" i="3"/>
  <c r="AB966" i="3"/>
  <c r="AC966" i="3" s="1"/>
  <c r="AA966" i="3"/>
  <c r="AB965" i="3"/>
  <c r="AC965" i="3" s="1"/>
  <c r="AA965" i="3"/>
  <c r="AB915" i="3"/>
  <c r="AC915" i="3" s="1"/>
  <c r="AA915" i="3"/>
  <c r="AB914" i="3"/>
  <c r="AC914" i="3" s="1"/>
  <c r="AA914" i="3"/>
  <c r="AB913" i="3"/>
  <c r="AC913" i="3" s="1"/>
  <c r="AA913" i="3"/>
  <c r="AB898" i="3"/>
  <c r="AC898" i="3" s="1"/>
  <c r="AA898" i="3"/>
  <c r="AB897" i="3"/>
  <c r="AC897" i="3" s="1"/>
  <c r="AA897" i="3"/>
  <c r="AB823" i="3"/>
  <c r="AC823" i="3" s="1"/>
  <c r="AA823" i="3"/>
  <c r="AB821" i="3"/>
  <c r="AC821" i="3" s="1"/>
  <c r="AA821" i="3"/>
  <c r="AB820" i="3"/>
  <c r="AC820" i="3" s="1"/>
  <c r="AA820" i="3"/>
  <c r="AB819" i="3"/>
  <c r="AC819" i="3" s="1"/>
  <c r="AA819" i="3"/>
  <c r="AB805" i="3"/>
  <c r="AC805" i="3" s="1"/>
  <c r="AA805" i="3"/>
  <c r="AB804" i="3"/>
  <c r="AC804" i="3" s="1"/>
  <c r="AA804" i="3"/>
  <c r="AB775" i="3"/>
  <c r="AC775" i="3" s="1"/>
  <c r="AA775" i="3"/>
  <c r="AB773" i="3"/>
  <c r="AC773" i="3" s="1"/>
  <c r="AA773" i="3"/>
  <c r="AB772" i="3"/>
  <c r="AC772" i="3" s="1"/>
  <c r="AA772" i="3"/>
  <c r="AB771" i="3"/>
  <c r="AC771" i="3" s="1"/>
  <c r="AA771" i="3"/>
  <c r="AB759" i="3"/>
  <c r="AC759" i="3" s="1"/>
  <c r="AA759" i="3"/>
  <c r="AB757" i="3"/>
  <c r="AC757" i="3" s="1"/>
  <c r="AA757" i="3"/>
  <c r="AB756" i="3"/>
  <c r="AC756" i="3" s="1"/>
  <c r="AA756" i="3"/>
  <c r="AB755" i="3"/>
  <c r="AC755" i="3" s="1"/>
  <c r="AA755" i="3"/>
  <c r="AB743" i="3"/>
  <c r="AC743" i="3" s="1"/>
  <c r="AA743" i="3"/>
  <c r="AB741" i="3"/>
  <c r="AC741" i="3" s="1"/>
  <c r="AA741" i="3"/>
  <c r="AB740" i="3"/>
  <c r="AC740" i="3" s="1"/>
  <c r="AA740" i="3"/>
  <c r="AB739" i="3"/>
  <c r="AC739" i="3" s="1"/>
  <c r="AA739" i="3"/>
  <c r="AB724" i="3"/>
  <c r="AC724" i="3" s="1"/>
  <c r="AA724" i="3"/>
  <c r="AB723" i="3"/>
  <c r="AC723" i="3" s="1"/>
  <c r="AA723" i="3"/>
  <c r="AB708" i="3"/>
  <c r="AC708" i="3" s="1"/>
  <c r="AA708" i="3"/>
  <c r="AB695" i="3"/>
  <c r="AC695" i="3" s="1"/>
  <c r="AA695" i="3"/>
  <c r="AB691" i="3"/>
  <c r="AC691" i="3" s="1"/>
  <c r="AA691" i="3"/>
  <c r="AB675" i="3"/>
  <c r="AC675" i="3" s="1"/>
  <c r="AA675" i="3"/>
  <c r="AB609" i="3"/>
  <c r="AC609" i="3" s="1"/>
  <c r="AA609" i="3"/>
  <c r="AB608" i="3"/>
  <c r="AC608" i="3" s="1"/>
  <c r="AA608" i="3"/>
  <c r="AB607" i="3"/>
  <c r="AC607" i="3" s="1"/>
  <c r="AA607" i="3"/>
  <c r="AB567" i="3"/>
  <c r="AC567" i="3" s="1"/>
  <c r="AA567" i="3"/>
  <c r="AB565" i="3"/>
  <c r="AC565" i="3" s="1"/>
  <c r="AA565" i="3"/>
  <c r="AB564" i="3"/>
  <c r="AC564" i="3" s="1"/>
  <c r="AA564" i="3"/>
  <c r="AB563" i="3"/>
  <c r="AC563" i="3" s="1"/>
  <c r="AA563" i="3"/>
  <c r="AB551" i="3"/>
  <c r="AC551" i="3" s="1"/>
  <c r="AA551" i="3"/>
  <c r="AB549" i="3"/>
  <c r="AC549" i="3" s="1"/>
  <c r="AA549" i="3"/>
  <c r="AB547" i="3"/>
  <c r="AC547" i="3" s="1"/>
  <c r="AA547" i="3"/>
  <c r="AB535" i="3"/>
  <c r="AC535" i="3" s="1"/>
  <c r="AA535" i="3"/>
  <c r="AB533" i="3"/>
  <c r="AC533" i="3" s="1"/>
  <c r="AA533" i="3"/>
  <c r="AB532" i="3"/>
  <c r="AC532" i="3" s="1"/>
  <c r="AA532" i="3"/>
  <c r="AB531" i="3"/>
  <c r="AC531" i="3" s="1"/>
  <c r="AA531" i="3"/>
  <c r="AB500" i="3"/>
  <c r="AC500" i="3" s="1"/>
  <c r="AA500" i="3"/>
  <c r="AB499" i="3"/>
  <c r="AC499" i="3" s="1"/>
  <c r="AA499" i="3"/>
  <c r="AB439" i="3"/>
  <c r="AC439" i="3" s="1"/>
  <c r="AA439" i="3"/>
  <c r="AB435" i="3"/>
  <c r="AC435" i="3" s="1"/>
  <c r="AA435" i="3"/>
  <c r="AB423" i="3"/>
  <c r="AC423" i="3" s="1"/>
  <c r="AA423" i="3"/>
  <c r="AB421" i="3"/>
  <c r="AC421" i="3" s="1"/>
  <c r="AA421" i="3"/>
  <c r="AB420" i="3"/>
  <c r="AC420" i="3" s="1"/>
  <c r="AA420" i="3"/>
  <c r="AB419" i="3"/>
  <c r="AC419" i="3" s="1"/>
  <c r="AA419" i="3"/>
  <c r="AB407" i="3"/>
  <c r="AC407" i="3" s="1"/>
  <c r="AA407" i="3"/>
  <c r="AB375" i="3"/>
  <c r="AC375" i="3" s="1"/>
  <c r="AA375" i="3"/>
  <c r="AB373" i="3"/>
  <c r="AC373" i="3" s="1"/>
  <c r="AA373" i="3"/>
  <c r="AB371" i="3"/>
  <c r="AC371" i="3" s="1"/>
  <c r="AA371" i="3"/>
  <c r="AB357" i="3"/>
  <c r="AC357" i="3" s="1"/>
  <c r="AA357" i="3"/>
  <c r="AB356" i="3"/>
  <c r="AC356" i="3" s="1"/>
  <c r="AA356" i="3"/>
  <c r="AB341" i="3"/>
  <c r="AC341" i="3" s="1"/>
  <c r="AA341" i="3"/>
  <c r="AB340" i="3"/>
  <c r="AC340" i="3" s="1"/>
  <c r="AA340" i="3"/>
  <c r="AB339" i="3"/>
  <c r="AC339" i="3" s="1"/>
  <c r="AA339" i="3"/>
  <c r="AB325" i="3"/>
  <c r="AC325" i="3" s="1"/>
  <c r="AA325" i="3"/>
  <c r="AB324" i="3"/>
  <c r="AC324" i="3" s="1"/>
  <c r="AA324" i="3"/>
  <c r="AB323" i="3"/>
  <c r="AC323" i="3" s="1"/>
  <c r="AA323" i="3"/>
  <c r="AB311" i="3"/>
  <c r="AC311" i="3" s="1"/>
  <c r="AA311" i="3"/>
  <c r="AB309" i="3"/>
  <c r="AC309" i="3" s="1"/>
  <c r="AA309" i="3"/>
  <c r="AB295" i="3"/>
  <c r="AC295" i="3" s="1"/>
  <c r="AA295" i="3"/>
  <c r="AB293" i="3"/>
  <c r="AC293" i="3" s="1"/>
  <c r="AA293" i="3"/>
  <c r="AB292" i="3"/>
  <c r="AC292" i="3" s="1"/>
  <c r="AA292" i="3"/>
  <c r="AB291" i="3"/>
  <c r="AC291" i="3" s="1"/>
  <c r="AA291" i="3"/>
  <c r="AB279" i="3"/>
  <c r="AC279" i="3" s="1"/>
  <c r="AA279" i="3"/>
  <c r="AB277" i="3"/>
  <c r="AC277" i="3" s="1"/>
  <c r="AA277" i="3"/>
  <c r="AB276" i="3"/>
  <c r="AC276" i="3" s="1"/>
  <c r="AA276" i="3"/>
  <c r="AB275" i="3"/>
  <c r="AC275" i="3" s="1"/>
  <c r="AA275" i="3"/>
  <c r="AB263" i="3"/>
  <c r="AC263" i="3" s="1"/>
  <c r="AA263" i="3"/>
  <c r="AB261" i="3"/>
  <c r="AC261" i="3" s="1"/>
  <c r="AA261" i="3"/>
  <c r="AB260" i="3"/>
  <c r="AC260" i="3" s="1"/>
  <c r="AA260" i="3"/>
  <c r="AB259" i="3"/>
  <c r="AC259" i="3" s="1"/>
  <c r="AA259" i="3"/>
  <c r="AB174" i="3"/>
  <c r="AC174" i="3" s="1"/>
  <c r="AA174" i="3"/>
  <c r="AB173" i="3"/>
  <c r="AC173" i="3" s="1"/>
  <c r="AA173" i="3"/>
  <c r="AB111" i="3"/>
  <c r="AC111" i="3" s="1"/>
  <c r="AA111" i="3"/>
  <c r="AB109" i="3"/>
  <c r="AC109" i="3" s="1"/>
  <c r="AA109" i="3"/>
  <c r="AB76" i="3"/>
  <c r="AC76" i="3" s="1"/>
  <c r="AA76" i="3"/>
  <c r="AB75" i="3"/>
  <c r="AC75" i="3" s="1"/>
  <c r="AA75" i="3"/>
  <c r="AB63" i="3"/>
  <c r="AC63" i="3" s="1"/>
  <c r="AA63" i="3"/>
  <c r="AB61" i="3"/>
  <c r="AC61" i="3" s="1"/>
  <c r="AA61" i="3"/>
  <c r="AB60" i="3"/>
  <c r="AC60" i="3" s="1"/>
  <c r="AA60" i="3"/>
  <c r="AB59" i="3"/>
  <c r="AC59" i="3" s="1"/>
  <c r="AA59" i="3"/>
  <c r="AA1732" i="3"/>
  <c r="AA1730" i="3"/>
  <c r="AA1728" i="3"/>
  <c r="AA1712" i="3"/>
  <c r="AA1704" i="3"/>
  <c r="AA1700" i="3"/>
  <c r="AA1688" i="3"/>
  <c r="AA1686" i="3"/>
  <c r="AA1676" i="3"/>
  <c r="AA1674" i="3"/>
  <c r="AA1670" i="3"/>
  <c r="AA1660" i="3"/>
  <c r="AA1657" i="3"/>
  <c r="Z14" i="3"/>
  <c r="AD14" i="3" s="1"/>
  <c r="Z1726" i="3"/>
  <c r="AD1726" i="3" s="1"/>
  <c r="Z1725" i="3"/>
  <c r="AD1725" i="3" s="1"/>
  <c r="Z1718" i="3"/>
  <c r="AD1718" i="3" s="1"/>
  <c r="Z1717" i="3"/>
  <c r="AD1717" i="3" s="1"/>
  <c r="Z1714" i="3"/>
  <c r="AD1714" i="3" s="1"/>
  <c r="Z1713" i="3"/>
  <c r="AD1713" i="3" s="1"/>
  <c r="Z1708" i="3"/>
  <c r="AD1708" i="3" s="1"/>
  <c r="Z1702" i="3"/>
  <c r="AD1702" i="3" s="1"/>
  <c r="Z1701" i="3"/>
  <c r="AD1701" i="3" s="1"/>
  <c r="Z1698" i="3"/>
  <c r="AD1698" i="3" s="1"/>
  <c r="Z1697" i="3"/>
  <c r="AD1697" i="3" s="1"/>
  <c r="Z1690" i="3"/>
  <c r="AD1690" i="3" s="1"/>
  <c r="Z1689" i="3"/>
  <c r="AD1689" i="3" s="1"/>
  <c r="Z1682" i="3"/>
  <c r="AD1682" i="3" s="1"/>
  <c r="Z1681" i="3"/>
  <c r="AD1681" i="3" s="1"/>
  <c r="Z1678" i="3"/>
  <c r="AD1678" i="3" s="1"/>
  <c r="Z1677" i="3"/>
  <c r="AD1677" i="3" s="1"/>
  <c r="Z1672" i="3"/>
  <c r="AD1672" i="3" s="1"/>
  <c r="Z1666" i="3"/>
  <c r="AD1666" i="3" s="1"/>
  <c r="Z1665" i="3"/>
  <c r="AD1665" i="3" s="1"/>
  <c r="Z1662" i="3"/>
  <c r="AD1662" i="3" s="1"/>
  <c r="Z1661" i="3"/>
  <c r="AD1661" i="3" s="1"/>
  <c r="Z1654" i="3"/>
  <c r="AD1654" i="3" s="1"/>
  <c r="Z1653" i="3"/>
  <c r="AD1653" i="3" s="1"/>
  <c r="Z1646" i="3"/>
  <c r="AD1646" i="3" s="1"/>
  <c r="Z1645" i="3"/>
  <c r="AD1645" i="3" s="1"/>
  <c r="Z1638" i="3"/>
  <c r="AD1638" i="3" s="1"/>
  <c r="Z1637" i="3"/>
  <c r="AD1637" i="3" s="1"/>
  <c r="Z1630" i="3"/>
  <c r="AD1630" i="3" s="1"/>
  <c r="Z1629" i="3"/>
  <c r="AD1629" i="3" s="1"/>
  <c r="Z1622" i="3"/>
  <c r="AD1622" i="3" s="1"/>
  <c r="Z1621" i="3"/>
  <c r="AD1621" i="3" s="1"/>
  <c r="Z1614" i="3"/>
  <c r="AD1614" i="3" s="1"/>
  <c r="Z1613" i="3"/>
  <c r="AD1613" i="3" s="1"/>
  <c r="Z1606" i="3"/>
  <c r="AD1606" i="3" s="1"/>
  <c r="Z1605" i="3"/>
  <c r="AD1605" i="3" s="1"/>
  <c r="Z1598" i="3"/>
  <c r="AD1598" i="3" s="1"/>
  <c r="Z1597" i="3"/>
  <c r="AD1597" i="3" s="1"/>
  <c r="Z1590" i="3"/>
  <c r="AD1590" i="3" s="1"/>
  <c r="Z1589" i="3"/>
  <c r="AD1589" i="3" s="1"/>
  <c r="Z1582" i="3"/>
  <c r="AD1582" i="3" s="1"/>
  <c r="Z1581" i="3"/>
  <c r="AD1581" i="3" s="1"/>
  <c r="Z1574" i="3"/>
  <c r="AD1574" i="3" s="1"/>
  <c r="Z1573" i="3"/>
  <c r="AD1573" i="3" s="1"/>
  <c r="Z1566" i="3"/>
  <c r="AD1566" i="3" s="1"/>
  <c r="Z1565" i="3"/>
  <c r="AD1565" i="3" s="1"/>
  <c r="Z1558" i="3"/>
  <c r="AD1558" i="3" s="1"/>
  <c r="Z1557" i="3"/>
  <c r="AD1557" i="3" s="1"/>
  <c r="Z1550" i="3"/>
  <c r="AD1550" i="3" s="1"/>
  <c r="Z1549" i="3"/>
  <c r="AD1549" i="3" s="1"/>
  <c r="Z1542" i="3"/>
  <c r="AD1542" i="3" s="1"/>
  <c r="Z1541" i="3"/>
  <c r="AD1541" i="3" s="1"/>
  <c r="Z1534" i="3"/>
  <c r="AD1534" i="3" s="1"/>
  <c r="Z1533" i="3"/>
  <c r="AD1533" i="3" s="1"/>
  <c r="Z1526" i="3"/>
  <c r="AD1526" i="3" s="1"/>
  <c r="Z1525" i="3"/>
  <c r="AD1525" i="3" s="1"/>
  <c r="Z1518" i="3"/>
  <c r="AD1518" i="3" s="1"/>
  <c r="Z1517" i="3"/>
  <c r="AD1517" i="3" s="1"/>
  <c r="Z1510" i="3"/>
  <c r="AD1510" i="3" s="1"/>
  <c r="Z1509" i="3"/>
  <c r="AD1509" i="3" s="1"/>
  <c r="Z1502" i="3"/>
  <c r="AD1502" i="3" s="1"/>
  <c r="Z1501" i="3"/>
  <c r="AD1501" i="3" s="1"/>
  <c r="Z1494" i="3"/>
  <c r="AD1494" i="3" s="1"/>
  <c r="Z1493" i="3"/>
  <c r="AD1493" i="3" s="1"/>
  <c r="Z1486" i="3"/>
  <c r="AD1486" i="3" s="1"/>
  <c r="Z1485" i="3"/>
  <c r="AD1485" i="3" s="1"/>
  <c r="Z1478" i="3"/>
  <c r="AD1478" i="3" s="1"/>
  <c r="Z1477" i="3"/>
  <c r="AD1477" i="3" s="1"/>
  <c r="Z1470" i="3"/>
  <c r="AD1470" i="3" s="1"/>
  <c r="Z1469" i="3"/>
  <c r="AD1469" i="3" s="1"/>
  <c r="Z1462" i="3"/>
  <c r="AD1462" i="3" s="1"/>
  <c r="Z1461" i="3"/>
  <c r="AD1461" i="3" s="1"/>
  <c r="Z1454" i="3"/>
  <c r="AD1454" i="3" s="1"/>
  <c r="Z1453" i="3"/>
  <c r="AD1453" i="3" s="1"/>
  <c r="Z1446" i="3"/>
  <c r="AD1446" i="3" s="1"/>
  <c r="Z1445" i="3"/>
  <c r="AD1445" i="3" s="1"/>
  <c r="Z1438" i="3"/>
  <c r="AD1438" i="3" s="1"/>
  <c r="Z1437" i="3"/>
  <c r="AD1437" i="3" s="1"/>
  <c r="Z1436" i="3"/>
  <c r="AD1436" i="3" s="1"/>
  <c r="Z1429" i="3"/>
  <c r="AD1429" i="3" s="1"/>
  <c r="Z1428" i="3"/>
  <c r="AD1428" i="3" s="1"/>
  <c r="Z1421" i="3"/>
  <c r="AD1421" i="3" s="1"/>
  <c r="Z1420" i="3"/>
  <c r="AD1420" i="3" s="1"/>
  <c r="Z1413" i="3"/>
  <c r="AD1413" i="3" s="1"/>
  <c r="Z1412" i="3"/>
  <c r="AD1412" i="3" s="1"/>
  <c r="Z1405" i="3"/>
  <c r="AD1405" i="3" s="1"/>
  <c r="Z1404" i="3"/>
  <c r="AD1404" i="3" s="1"/>
  <c r="Z1397" i="3"/>
  <c r="AD1397" i="3" s="1"/>
  <c r="Z1396" i="3"/>
  <c r="AD1396" i="3" s="1"/>
  <c r="Z1389" i="3"/>
  <c r="AD1389" i="3" s="1"/>
  <c r="Z1388" i="3"/>
  <c r="AD1388" i="3" s="1"/>
  <c r="Z1381" i="3"/>
  <c r="AD1381" i="3" s="1"/>
  <c r="Z1380" i="3"/>
  <c r="AD1380" i="3" s="1"/>
  <c r="Z1373" i="3"/>
  <c r="AD1373" i="3" s="1"/>
  <c r="Z1372" i="3"/>
  <c r="AD1372" i="3" s="1"/>
  <c r="Z1368" i="3"/>
  <c r="AD1368" i="3" s="1"/>
  <c r="Z1361" i="3"/>
  <c r="AD1361" i="3" s="1"/>
  <c r="Z1360" i="3"/>
  <c r="AD1360" i="3" s="1"/>
  <c r="Z1353" i="3"/>
  <c r="AD1353" i="3" s="1"/>
  <c r="Z1352" i="3"/>
  <c r="AD1352" i="3" s="1"/>
  <c r="Z1345" i="3"/>
  <c r="AD1345" i="3" s="1"/>
  <c r="Z1344" i="3"/>
  <c r="AD1344" i="3" s="1"/>
  <c r="Z1337" i="3"/>
  <c r="AD1337" i="3" s="1"/>
  <c r="Z1336" i="3"/>
  <c r="AD1336" i="3" s="1"/>
  <c r="Z1329" i="3"/>
  <c r="AD1329" i="3" s="1"/>
  <c r="Z1328" i="3"/>
  <c r="AD1328" i="3" s="1"/>
  <c r="Z1321" i="3"/>
  <c r="AD1321" i="3" s="1"/>
  <c r="Z1320" i="3"/>
  <c r="AD1320" i="3" s="1"/>
  <c r="Z1313" i="3"/>
  <c r="AD1313" i="3" s="1"/>
  <c r="Z1312" i="3"/>
  <c r="AD1312" i="3" s="1"/>
  <c r="Z1305" i="3"/>
  <c r="AD1305" i="3" s="1"/>
  <c r="Z1304" i="3"/>
  <c r="AD1304" i="3" s="1"/>
  <c r="Z1297" i="3"/>
  <c r="AD1297" i="3" s="1"/>
  <c r="Z1296" i="3"/>
  <c r="AD1296" i="3" s="1"/>
  <c r="Z1289" i="3"/>
  <c r="AD1289" i="3" s="1"/>
  <c r="Z1288" i="3"/>
  <c r="AD1288" i="3" s="1"/>
  <c r="Z1281" i="3"/>
  <c r="AD1281" i="3" s="1"/>
  <c r="Z1280" i="3"/>
  <c r="AD1280" i="3" s="1"/>
  <c r="Z1275" i="3"/>
  <c r="AD1275" i="3" s="1"/>
  <c r="Z1274" i="3"/>
  <c r="AD1274" i="3" s="1"/>
  <c r="Z1267" i="3"/>
  <c r="AD1267" i="3" s="1"/>
  <c r="Z1266" i="3"/>
  <c r="AD1266" i="3" s="1"/>
  <c r="Z1259" i="3"/>
  <c r="AD1259" i="3" s="1"/>
  <c r="Z1258" i="3"/>
  <c r="AD1258" i="3" s="1"/>
  <c r="Z1251" i="3"/>
  <c r="AD1251" i="3" s="1"/>
  <c r="Z1250" i="3"/>
  <c r="AD1250" i="3" s="1"/>
  <c r="Z1243" i="3"/>
  <c r="AD1243" i="3" s="1"/>
  <c r="Z1242" i="3"/>
  <c r="AD1242" i="3" s="1"/>
  <c r="Z1235" i="3"/>
  <c r="AD1235" i="3" s="1"/>
  <c r="Z1234" i="3"/>
  <c r="AD1234" i="3" s="1"/>
  <c r="Z1227" i="3"/>
  <c r="AD1227" i="3" s="1"/>
  <c r="Z1226" i="3"/>
  <c r="AD1226" i="3" s="1"/>
  <c r="Z1219" i="3"/>
  <c r="AD1219" i="3" s="1"/>
  <c r="Z1218" i="3"/>
  <c r="AD1218" i="3" s="1"/>
  <c r="Z1211" i="3"/>
  <c r="AD1211" i="3" s="1"/>
  <c r="Z1210" i="3"/>
  <c r="AD1210" i="3" s="1"/>
  <c r="Z1203" i="3"/>
  <c r="AD1203" i="3" s="1"/>
  <c r="Z1202" i="3"/>
  <c r="AD1202" i="3" s="1"/>
  <c r="Z1195" i="3"/>
  <c r="AD1195" i="3" s="1"/>
  <c r="Z1194" i="3"/>
  <c r="AD1194" i="3" s="1"/>
  <c r="Z1187" i="3"/>
  <c r="AD1187" i="3" s="1"/>
  <c r="Z1186" i="3"/>
  <c r="AD1186" i="3" s="1"/>
  <c r="Z1179" i="3"/>
  <c r="AD1179" i="3" s="1"/>
  <c r="Z1178" i="3"/>
  <c r="AD1178" i="3" s="1"/>
  <c r="Z1171" i="3"/>
  <c r="AD1171" i="3" s="1"/>
  <c r="Z1170" i="3"/>
  <c r="AD1170" i="3" s="1"/>
  <c r="Z1163" i="3"/>
  <c r="AD1163" i="3" s="1"/>
  <c r="Z1162" i="3"/>
  <c r="AD1162" i="3" s="1"/>
  <c r="Z1155" i="3"/>
  <c r="AD1155" i="3" s="1"/>
  <c r="Z1154" i="3"/>
  <c r="AD1154" i="3" s="1"/>
  <c r="Z1147" i="3"/>
  <c r="AD1147" i="3" s="1"/>
  <c r="Z1146" i="3"/>
  <c r="AD1146" i="3" s="1"/>
  <c r="Z1139" i="3"/>
  <c r="AD1139" i="3" s="1"/>
  <c r="Z1138" i="3"/>
  <c r="AD1138" i="3" s="1"/>
  <c r="Z1131" i="3"/>
  <c r="AD1131" i="3" s="1"/>
  <c r="Z1130" i="3"/>
  <c r="AD1130" i="3" s="1"/>
  <c r="Z1123" i="3"/>
  <c r="AD1123" i="3" s="1"/>
  <c r="Z1122" i="3"/>
  <c r="AD1122" i="3" s="1"/>
  <c r="Z1115" i="3"/>
  <c r="AD1115" i="3" s="1"/>
  <c r="Z1114" i="3"/>
  <c r="AD1114" i="3" s="1"/>
  <c r="Z1107" i="3"/>
  <c r="AD1107" i="3" s="1"/>
  <c r="Z1106" i="3"/>
  <c r="AD1106" i="3" s="1"/>
  <c r="Z1099" i="3"/>
  <c r="AD1099" i="3" s="1"/>
  <c r="Z1098" i="3"/>
  <c r="AD1098" i="3" s="1"/>
  <c r="Z1091" i="3"/>
  <c r="AD1091" i="3" s="1"/>
  <c r="Z1090" i="3"/>
  <c r="AD1090" i="3" s="1"/>
  <c r="Z1083" i="3"/>
  <c r="AD1083" i="3" s="1"/>
  <c r="Z1082" i="3"/>
  <c r="AD1082" i="3" s="1"/>
  <c r="Z1075" i="3"/>
  <c r="AD1075" i="3" s="1"/>
  <c r="Z1074" i="3"/>
  <c r="AD1074" i="3" s="1"/>
  <c r="Z1067" i="3"/>
  <c r="AD1067" i="3" s="1"/>
  <c r="Z1066" i="3"/>
  <c r="AD1066" i="3" s="1"/>
  <c r="Z1059" i="3"/>
  <c r="AD1059" i="3" s="1"/>
  <c r="Z1058" i="3"/>
  <c r="AD1058" i="3" s="1"/>
  <c r="Z1051" i="3"/>
  <c r="AD1051" i="3" s="1"/>
  <c r="Z1050" i="3"/>
  <c r="AD1050" i="3" s="1"/>
  <c r="Z1043" i="3"/>
  <c r="AD1043" i="3" s="1"/>
  <c r="Z1042" i="3"/>
  <c r="AD1042" i="3" s="1"/>
  <c r="Z1035" i="3"/>
  <c r="AD1035" i="3" s="1"/>
  <c r="Z1034" i="3"/>
  <c r="AD1034" i="3" s="1"/>
  <c r="Z1027" i="3"/>
  <c r="AD1027" i="3" s="1"/>
  <c r="Z1026" i="3"/>
  <c r="AD1026" i="3" s="1"/>
  <c r="Z1019" i="3"/>
  <c r="AD1019" i="3" s="1"/>
  <c r="Z1018" i="3"/>
  <c r="AD1018" i="3" s="1"/>
  <c r="Z1011" i="3"/>
  <c r="AD1011" i="3" s="1"/>
  <c r="Z1010" i="3"/>
  <c r="AD1010" i="3" s="1"/>
  <c r="Z1003" i="3"/>
  <c r="AD1003" i="3" s="1"/>
  <c r="Z1002" i="3"/>
  <c r="AD1002" i="3" s="1"/>
  <c r="Z995" i="3"/>
  <c r="AD995" i="3" s="1"/>
  <c r="Z994" i="3"/>
  <c r="AD994" i="3" s="1"/>
  <c r="Z987" i="3"/>
  <c r="AD987" i="3" s="1"/>
  <c r="Z986" i="3"/>
  <c r="AD986" i="3" s="1"/>
  <c r="Z979" i="3"/>
  <c r="AD979" i="3" s="1"/>
  <c r="Z978" i="3"/>
  <c r="AD978" i="3" s="1"/>
  <c r="Z971" i="3"/>
  <c r="AD971" i="3" s="1"/>
  <c r="Z970" i="3"/>
  <c r="AD970" i="3" s="1"/>
  <c r="Z963" i="3"/>
  <c r="AD963" i="3" s="1"/>
  <c r="Z962" i="3"/>
  <c r="AD962" i="3" s="1"/>
  <c r="Z955" i="3"/>
  <c r="AD955" i="3" s="1"/>
  <c r="Z954" i="3"/>
  <c r="AD954" i="3" s="1"/>
  <c r="Z947" i="3"/>
  <c r="AD947" i="3" s="1"/>
  <c r="Z946" i="3"/>
  <c r="AD946" i="3" s="1"/>
  <c r="Z939" i="3"/>
  <c r="AD939" i="3" s="1"/>
  <c r="Z938" i="3"/>
  <c r="AD938" i="3" s="1"/>
  <c r="Z931" i="3"/>
  <c r="AD931" i="3" s="1"/>
  <c r="Z930" i="3"/>
  <c r="AD930" i="3" s="1"/>
  <c r="Z923" i="3"/>
  <c r="AD923" i="3" s="1"/>
  <c r="Z922" i="3"/>
  <c r="AD922" i="3" s="1"/>
  <c r="Z911" i="3"/>
  <c r="AD911" i="3" s="1"/>
  <c r="Z910" i="3"/>
  <c r="AD910" i="3" s="1"/>
  <c r="Z903" i="3"/>
  <c r="AD903" i="3" s="1"/>
  <c r="Z902" i="3"/>
  <c r="AD902" i="3" s="1"/>
  <c r="Z895" i="3"/>
  <c r="AD895" i="3" s="1"/>
  <c r="Z894" i="3"/>
  <c r="AD894" i="3" s="1"/>
  <c r="Z887" i="3"/>
  <c r="AD887" i="3" s="1"/>
  <c r="Z886" i="3"/>
  <c r="AD886" i="3" s="1"/>
  <c r="Z879" i="3"/>
  <c r="AD879" i="3" s="1"/>
  <c r="Z878" i="3"/>
  <c r="AD878" i="3" s="1"/>
  <c r="Z871" i="3"/>
  <c r="AD871" i="3" s="1"/>
  <c r="Z870" i="3"/>
  <c r="AD870" i="3" s="1"/>
  <c r="Z863" i="3"/>
  <c r="AD863" i="3" s="1"/>
  <c r="Z862" i="3"/>
  <c r="AD862" i="3" s="1"/>
  <c r="Z855" i="3"/>
  <c r="AD855" i="3" s="1"/>
  <c r="Z854" i="3"/>
  <c r="AD854" i="3" s="1"/>
  <c r="Z847" i="3"/>
  <c r="AD847" i="3" s="1"/>
  <c r="Z846" i="3"/>
  <c r="AD846" i="3" s="1"/>
  <c r="Z841" i="3"/>
  <c r="AD841" i="3" s="1"/>
  <c r="Z840" i="3"/>
  <c r="AD840" i="3" s="1"/>
  <c r="Z833" i="3"/>
  <c r="AD833" i="3" s="1"/>
  <c r="Z832" i="3"/>
  <c r="AD832" i="3" s="1"/>
  <c r="Z825" i="3"/>
  <c r="AD825" i="3" s="1"/>
  <c r="Z824" i="3"/>
  <c r="AD824" i="3" s="1"/>
  <c r="Z817" i="3"/>
  <c r="AD817" i="3" s="1"/>
  <c r="Z816" i="3"/>
  <c r="AD816" i="3" s="1"/>
  <c r="Z809" i="3"/>
  <c r="AD809" i="3" s="1"/>
  <c r="Z808" i="3"/>
  <c r="AD808" i="3" s="1"/>
  <c r="Z801" i="3"/>
  <c r="AD801" i="3" s="1"/>
  <c r="Z800" i="3"/>
  <c r="AD800" i="3" s="1"/>
  <c r="Z793" i="3"/>
  <c r="AD793" i="3" s="1"/>
  <c r="Z792" i="3"/>
  <c r="AD792" i="3" s="1"/>
  <c r="Z785" i="3"/>
  <c r="AD785" i="3" s="1"/>
  <c r="Z784" i="3"/>
  <c r="AD784" i="3" s="1"/>
  <c r="Z777" i="3"/>
  <c r="AD777" i="3" s="1"/>
  <c r="Z776" i="3"/>
  <c r="AD776" i="3" s="1"/>
  <c r="Z769" i="3"/>
  <c r="AD769" i="3" s="1"/>
  <c r="Z768" i="3"/>
  <c r="AD768" i="3" s="1"/>
  <c r="Z761" i="3"/>
  <c r="AD761" i="3" s="1"/>
  <c r="Z760" i="3"/>
  <c r="AD760" i="3" s="1"/>
  <c r="Z753" i="3"/>
  <c r="AD753" i="3" s="1"/>
  <c r="Z752" i="3"/>
  <c r="AD752" i="3" s="1"/>
  <c r="Z745" i="3"/>
  <c r="AD745" i="3" s="1"/>
  <c r="Z744" i="3"/>
  <c r="AD744" i="3" s="1"/>
  <c r="Z737" i="3"/>
  <c r="AD737" i="3" s="1"/>
  <c r="Z736" i="3"/>
  <c r="AD736" i="3" s="1"/>
  <c r="Z729" i="3"/>
  <c r="AD729" i="3" s="1"/>
  <c r="Z728" i="3"/>
  <c r="AD728" i="3" s="1"/>
  <c r="Z721" i="3"/>
  <c r="AD721" i="3" s="1"/>
  <c r="Z720" i="3"/>
  <c r="AD720" i="3" s="1"/>
  <c r="Z713" i="3"/>
  <c r="AD713" i="3" s="1"/>
  <c r="Z712" i="3"/>
  <c r="AD712" i="3" s="1"/>
  <c r="Z705" i="3"/>
  <c r="AD705" i="3" s="1"/>
  <c r="Z704" i="3"/>
  <c r="AD704" i="3" s="1"/>
  <c r="Z697" i="3"/>
  <c r="AD697" i="3" s="1"/>
  <c r="Z696" i="3"/>
  <c r="AD696" i="3" s="1"/>
  <c r="Z693" i="3"/>
  <c r="AD693" i="3" s="1"/>
  <c r="Z692" i="3"/>
  <c r="AD692" i="3" s="1"/>
  <c r="Z685" i="3"/>
  <c r="AD685" i="3" s="1"/>
  <c r="Z684" i="3"/>
  <c r="AD684" i="3" s="1"/>
  <c r="Z677" i="3"/>
  <c r="AD677" i="3" s="1"/>
  <c r="Z676" i="3"/>
  <c r="AD676" i="3" s="1"/>
  <c r="Z669" i="3"/>
  <c r="AD669" i="3" s="1"/>
  <c r="Z668" i="3"/>
  <c r="AD668" i="3" s="1"/>
  <c r="Z661" i="3"/>
  <c r="AD661" i="3" s="1"/>
  <c r="Z660" i="3"/>
  <c r="AD660" i="3" s="1"/>
  <c r="Z653" i="3"/>
  <c r="AD653" i="3" s="1"/>
  <c r="Z652" i="3"/>
  <c r="AD652" i="3" s="1"/>
  <c r="Z645" i="3"/>
  <c r="AD645" i="3" s="1"/>
  <c r="Z644" i="3"/>
  <c r="AD644" i="3" s="1"/>
  <c r="Z637" i="3"/>
  <c r="AD637" i="3" s="1"/>
  <c r="Z636" i="3"/>
  <c r="AD636" i="3" s="1"/>
  <c r="Z629" i="3"/>
  <c r="AD629" i="3" s="1"/>
  <c r="Z628" i="3"/>
  <c r="AD628" i="3" s="1"/>
  <c r="Z621" i="3"/>
  <c r="AD621" i="3" s="1"/>
  <c r="Z620" i="3"/>
  <c r="AD620" i="3" s="1"/>
  <c r="Z613" i="3"/>
  <c r="AD613" i="3" s="1"/>
  <c r="Z612" i="3"/>
  <c r="AD612" i="3" s="1"/>
  <c r="Z605" i="3"/>
  <c r="AD605" i="3" s="1"/>
  <c r="Z604" i="3"/>
  <c r="AD604" i="3" s="1"/>
  <c r="Z597" i="3"/>
  <c r="AD597" i="3" s="1"/>
  <c r="Z596" i="3"/>
  <c r="AD596" i="3" s="1"/>
  <c r="Z589" i="3"/>
  <c r="AD589" i="3" s="1"/>
  <c r="Z588" i="3"/>
  <c r="AD588" i="3" s="1"/>
  <c r="Z583" i="3"/>
  <c r="AD583" i="3" s="1"/>
  <c r="Z582" i="3"/>
  <c r="AD582" i="3" s="1"/>
  <c r="Z577" i="3"/>
  <c r="AD577" i="3" s="1"/>
  <c r="Z569" i="3"/>
  <c r="AD569" i="3" s="1"/>
  <c r="Z568" i="3"/>
  <c r="AD568" i="3" s="1"/>
  <c r="Z561" i="3"/>
  <c r="AD561" i="3" s="1"/>
  <c r="Z560" i="3"/>
  <c r="AD560" i="3" s="1"/>
  <c r="Z553" i="3"/>
  <c r="AD553" i="3" s="1"/>
  <c r="Z552" i="3"/>
  <c r="AD552" i="3" s="1"/>
  <c r="Z545" i="3"/>
  <c r="AD545" i="3" s="1"/>
  <c r="Z544" i="3"/>
  <c r="AD544" i="3" s="1"/>
  <c r="Z537" i="3"/>
  <c r="AD537" i="3" s="1"/>
  <c r="Z536" i="3"/>
  <c r="AD536" i="3" s="1"/>
  <c r="Z529" i="3"/>
  <c r="AD529" i="3" s="1"/>
  <c r="Z528" i="3"/>
  <c r="AD528" i="3" s="1"/>
  <c r="Z521" i="3"/>
  <c r="AD521" i="3" s="1"/>
  <c r="Z520" i="3"/>
  <c r="AD520" i="3" s="1"/>
  <c r="Z513" i="3"/>
  <c r="AD513" i="3" s="1"/>
  <c r="Z512" i="3"/>
  <c r="AD512" i="3" s="1"/>
  <c r="Z505" i="3"/>
  <c r="AD505" i="3" s="1"/>
  <c r="Z504" i="3"/>
  <c r="AD504" i="3" s="1"/>
  <c r="Z497" i="3"/>
  <c r="AD497" i="3" s="1"/>
  <c r="Z496" i="3"/>
  <c r="AD496" i="3" s="1"/>
  <c r="Z489" i="3"/>
  <c r="AD489" i="3" s="1"/>
  <c r="Z488" i="3"/>
  <c r="AD488" i="3" s="1"/>
  <c r="Z481" i="3"/>
  <c r="AD481" i="3" s="1"/>
  <c r="Z480" i="3"/>
  <c r="AD480" i="3" s="1"/>
  <c r="Z473" i="3"/>
  <c r="AD473" i="3" s="1"/>
  <c r="Z472" i="3"/>
  <c r="AD472" i="3" s="1"/>
  <c r="Z465" i="3"/>
  <c r="AD465" i="3" s="1"/>
  <c r="Z464" i="3"/>
  <c r="AD464" i="3" s="1"/>
  <c r="Z457" i="3"/>
  <c r="AD457" i="3" s="1"/>
  <c r="Z456" i="3"/>
  <c r="AD456" i="3" s="1"/>
  <c r="Z449" i="3"/>
  <c r="AD449" i="3" s="1"/>
  <c r="Z448" i="3"/>
  <c r="AD448" i="3" s="1"/>
  <c r="Z441" i="3"/>
  <c r="AD441" i="3" s="1"/>
  <c r="Z440" i="3"/>
  <c r="AD440" i="3" s="1"/>
  <c r="Z433" i="3"/>
  <c r="AD433" i="3" s="1"/>
  <c r="Z432" i="3"/>
  <c r="AD432" i="3" s="1"/>
  <c r="Z425" i="3"/>
  <c r="AD425" i="3" s="1"/>
  <c r="Z424" i="3"/>
  <c r="AD424" i="3" s="1"/>
  <c r="Z417" i="3"/>
  <c r="AD417" i="3" s="1"/>
  <c r="Z416" i="3"/>
  <c r="AD416" i="3" s="1"/>
  <c r="Z409" i="3"/>
  <c r="AD409" i="3" s="1"/>
  <c r="Z408" i="3"/>
  <c r="AD408" i="3" s="1"/>
  <c r="Z401" i="3"/>
  <c r="AD401" i="3" s="1"/>
  <c r="Z400" i="3"/>
  <c r="AD400" i="3" s="1"/>
  <c r="Z393" i="3"/>
  <c r="AD393" i="3" s="1"/>
  <c r="Z392" i="3"/>
  <c r="AD392" i="3" s="1"/>
  <c r="Z385" i="3"/>
  <c r="AD385" i="3" s="1"/>
  <c r="Z384" i="3"/>
  <c r="AD384" i="3" s="1"/>
  <c r="Z377" i="3"/>
  <c r="AD377" i="3" s="1"/>
  <c r="Z376" i="3"/>
  <c r="AD376" i="3" s="1"/>
  <c r="Z369" i="3"/>
  <c r="AD369" i="3" s="1"/>
  <c r="Z368" i="3"/>
  <c r="AD368" i="3" s="1"/>
  <c r="Z361" i="3"/>
  <c r="AD361" i="3" s="1"/>
  <c r="Z360" i="3"/>
  <c r="AD360" i="3" s="1"/>
  <c r="Z353" i="3"/>
  <c r="AD353" i="3" s="1"/>
  <c r="Z352" i="3"/>
  <c r="AD352" i="3" s="1"/>
  <c r="Z345" i="3"/>
  <c r="AD345" i="3" s="1"/>
  <c r="Z344" i="3"/>
  <c r="AD344" i="3" s="1"/>
  <c r="Z337" i="3"/>
  <c r="AD337" i="3" s="1"/>
  <c r="Z336" i="3"/>
  <c r="AD336" i="3" s="1"/>
  <c r="Z329" i="3"/>
  <c r="AD329" i="3" s="1"/>
  <c r="Z328" i="3"/>
  <c r="AD328" i="3" s="1"/>
  <c r="Z321" i="3"/>
  <c r="AD321" i="3" s="1"/>
  <c r="Z320" i="3"/>
  <c r="AD320" i="3" s="1"/>
  <c r="Z313" i="3"/>
  <c r="AD313" i="3" s="1"/>
  <c r="Z312" i="3"/>
  <c r="AD312" i="3" s="1"/>
  <c r="Z305" i="3"/>
  <c r="AD305" i="3" s="1"/>
  <c r="Z304" i="3"/>
  <c r="AD304" i="3" s="1"/>
  <c r="Z297" i="3"/>
  <c r="AD297" i="3" s="1"/>
  <c r="Z296" i="3"/>
  <c r="AD296" i="3" s="1"/>
  <c r="Z289" i="3"/>
  <c r="AD289" i="3" s="1"/>
  <c r="Z288" i="3"/>
  <c r="AD288" i="3" s="1"/>
  <c r="Z281" i="3"/>
  <c r="AD281" i="3" s="1"/>
  <c r="Z280" i="3"/>
  <c r="AD280" i="3" s="1"/>
  <c r="Z273" i="3"/>
  <c r="AD273" i="3" s="1"/>
  <c r="Z272" i="3"/>
  <c r="AD272" i="3" s="1"/>
  <c r="Z265" i="3"/>
  <c r="AD265" i="3" s="1"/>
  <c r="Z264" i="3"/>
  <c r="AD264" i="3" s="1"/>
  <c r="Z257" i="3"/>
  <c r="AD257" i="3" s="1"/>
  <c r="Z256" i="3"/>
  <c r="AD256" i="3" s="1"/>
  <c r="Z249" i="3"/>
  <c r="AD249" i="3" s="1"/>
  <c r="Z248" i="3"/>
  <c r="AD248" i="3" s="1"/>
  <c r="Z240" i="3"/>
  <c r="AD240" i="3" s="1"/>
  <c r="Z232" i="3"/>
  <c r="AD232" i="3" s="1"/>
  <c r="Z231" i="3"/>
  <c r="AD231" i="3" s="1"/>
  <c r="Z224" i="3"/>
  <c r="AD224" i="3" s="1"/>
  <c r="Z223" i="3"/>
  <c r="AD223" i="3" s="1"/>
  <c r="Z216" i="3"/>
  <c r="AD216" i="3" s="1"/>
  <c r="Z215" i="3"/>
  <c r="AD215" i="3" s="1"/>
  <c r="Z208" i="3"/>
  <c r="AD208" i="3" s="1"/>
  <c r="Z207" i="3"/>
  <c r="AD207" i="3" s="1"/>
  <c r="Z200" i="3"/>
  <c r="AD200" i="3" s="1"/>
  <c r="Z199" i="3"/>
  <c r="AD199" i="3" s="1"/>
  <c r="Z194" i="3"/>
  <c r="AD194" i="3" s="1"/>
  <c r="Z187" i="3"/>
  <c r="AD187" i="3" s="1"/>
  <c r="Z186" i="3"/>
  <c r="AD186" i="3" s="1"/>
  <c r="Z179" i="3"/>
  <c r="AD179" i="3" s="1"/>
  <c r="Z178" i="3"/>
  <c r="AD178" i="3" s="1"/>
  <c r="Z171" i="3"/>
  <c r="AD171" i="3" s="1"/>
  <c r="Z170" i="3"/>
  <c r="AD170" i="3" s="1"/>
  <c r="Z163" i="3"/>
  <c r="AD163" i="3" s="1"/>
  <c r="Z162" i="3"/>
  <c r="AD162" i="3" s="1"/>
  <c r="Z155" i="3"/>
  <c r="AD155" i="3" s="1"/>
  <c r="Z154" i="3"/>
  <c r="AD154" i="3" s="1"/>
  <c r="Z147" i="3"/>
  <c r="AD147" i="3" s="1"/>
  <c r="Z146" i="3"/>
  <c r="AD146" i="3" s="1"/>
  <c r="Z139" i="3"/>
  <c r="AD139" i="3" s="1"/>
  <c r="Z138" i="3"/>
  <c r="AD138" i="3" s="1"/>
  <c r="Z131" i="3"/>
  <c r="AD131" i="3" s="1"/>
  <c r="Z130" i="3"/>
  <c r="AD130" i="3" s="1"/>
  <c r="Z123" i="3"/>
  <c r="AD123" i="3" s="1"/>
  <c r="Z122" i="3"/>
  <c r="AD122" i="3" s="1"/>
  <c r="Z115" i="3"/>
  <c r="AD115" i="3" s="1"/>
  <c r="Z114" i="3"/>
  <c r="AD114" i="3" s="1"/>
  <c r="Z113" i="3"/>
  <c r="AD113" i="3" s="1"/>
  <c r="Z112" i="3"/>
  <c r="AD112" i="3" s="1"/>
  <c r="Z105" i="3"/>
  <c r="AD105" i="3" s="1"/>
  <c r="Z104" i="3"/>
  <c r="AD104" i="3" s="1"/>
  <c r="Z97" i="3"/>
  <c r="AD97" i="3" s="1"/>
  <c r="Z96" i="3"/>
  <c r="AD96" i="3" s="1"/>
  <c r="Z89" i="3"/>
  <c r="AD89" i="3" s="1"/>
  <c r="Z88" i="3"/>
  <c r="AD88" i="3" s="1"/>
  <c r="Z81" i="3"/>
  <c r="AD81" i="3" s="1"/>
  <c r="Z80" i="3"/>
  <c r="AD80" i="3" s="1"/>
  <c r="Z73" i="3"/>
  <c r="AD73" i="3" s="1"/>
  <c r="Z72" i="3"/>
  <c r="AD72" i="3" s="1"/>
  <c r="Z65" i="3"/>
  <c r="AD65" i="3" s="1"/>
  <c r="Z64" i="3"/>
  <c r="AD64" i="3" s="1"/>
  <c r="Z57" i="3"/>
  <c r="AD57" i="3" s="1"/>
  <c r="Z56" i="3"/>
  <c r="AD56" i="3" s="1"/>
  <c r="Z49" i="3"/>
  <c r="AD49" i="3" s="1"/>
  <c r="Z48" i="3"/>
  <c r="AD48" i="3" s="1"/>
  <c r="Z41" i="3"/>
  <c r="AD41" i="3" s="1"/>
  <c r="Z40" i="3"/>
  <c r="AD40" i="3" s="1"/>
  <c r="Z33" i="3"/>
  <c r="AD33" i="3" s="1"/>
  <c r="Z32" i="3"/>
  <c r="AD32" i="3" s="1"/>
  <c r="Z25" i="3"/>
  <c r="AD25" i="3" s="1"/>
  <c r="Z24" i="3"/>
  <c r="AD24" i="3" s="1"/>
  <c r="Z1731" i="3"/>
  <c r="AD1731" i="3" s="1"/>
  <c r="Z1729" i="3"/>
  <c r="AD1729" i="3" s="1"/>
  <c r="Z1727" i="3"/>
  <c r="AD1727" i="3" s="1"/>
  <c r="Z1723" i="3"/>
  <c r="AD1723" i="3" s="1"/>
  <c r="Z1719" i="3"/>
  <c r="AD1719" i="3" s="1"/>
  <c r="Z1715" i="3"/>
  <c r="AD1715" i="3" s="1"/>
  <c r="Z1711" i="3"/>
  <c r="AD1711" i="3" s="1"/>
  <c r="Z1707" i="3"/>
  <c r="AD1707" i="3" s="1"/>
  <c r="Z1703" i="3"/>
  <c r="AD1703" i="3" s="1"/>
  <c r="Z1699" i="3"/>
  <c r="AD1699" i="3" s="1"/>
  <c r="Z1695" i="3"/>
  <c r="AD1695" i="3" s="1"/>
  <c r="Z1691" i="3"/>
  <c r="AD1691" i="3" s="1"/>
  <c r="Z1687" i="3"/>
  <c r="AD1687" i="3" s="1"/>
  <c r="Z1683" i="3"/>
  <c r="AD1683" i="3" s="1"/>
  <c r="Z1679" i="3"/>
  <c r="AD1679" i="3" s="1"/>
  <c r="Z1675" i="3"/>
  <c r="AD1675" i="3" s="1"/>
  <c r="Z1671" i="3"/>
  <c r="AD1671" i="3" s="1"/>
  <c r="Z1667" i="3"/>
  <c r="AD1667" i="3" s="1"/>
  <c r="Z1663" i="3"/>
  <c r="AD1663" i="3" s="1"/>
  <c r="Z1659" i="3"/>
  <c r="AD1659" i="3" s="1"/>
  <c r="Z1655" i="3"/>
  <c r="AD1655" i="3" s="1"/>
  <c r="Z1651" i="3"/>
  <c r="AD1651" i="3" s="1"/>
  <c r="Z1647" i="3"/>
  <c r="AD1647" i="3" s="1"/>
  <c r="Z1643" i="3"/>
  <c r="AD1643" i="3" s="1"/>
  <c r="Z1639" i="3"/>
  <c r="AD1639" i="3" s="1"/>
  <c r="Z1635" i="3"/>
  <c r="AD1635" i="3" s="1"/>
  <c r="Z1631" i="3"/>
  <c r="AD1631" i="3" s="1"/>
  <c r="Z1627" i="3"/>
  <c r="AD1627" i="3" s="1"/>
  <c r="Z1623" i="3"/>
  <c r="AD1623" i="3" s="1"/>
  <c r="Z1619" i="3"/>
  <c r="AD1619" i="3" s="1"/>
  <c r="Z1615" i="3"/>
  <c r="AD1615" i="3" s="1"/>
  <c r="Z1611" i="3"/>
  <c r="AD1611" i="3" s="1"/>
  <c r="Z1607" i="3"/>
  <c r="AD1607" i="3" s="1"/>
  <c r="Z1603" i="3"/>
  <c r="AD1603" i="3" s="1"/>
  <c r="Z1599" i="3"/>
  <c r="AD1599" i="3" s="1"/>
  <c r="Z1595" i="3"/>
  <c r="AD1595" i="3" s="1"/>
  <c r="Z1591" i="3"/>
  <c r="AD1591" i="3" s="1"/>
  <c r="Z1587" i="3"/>
  <c r="AD1587" i="3" s="1"/>
  <c r="Z1583" i="3"/>
  <c r="AD1583" i="3" s="1"/>
  <c r="Z1579" i="3"/>
  <c r="AD1579" i="3" s="1"/>
  <c r="Z1575" i="3"/>
  <c r="AD1575" i="3" s="1"/>
  <c r="Z1571" i="3"/>
  <c r="AD1571" i="3" s="1"/>
  <c r="Z1567" i="3"/>
  <c r="AD1567" i="3" s="1"/>
  <c r="Z1563" i="3"/>
  <c r="AD1563" i="3" s="1"/>
  <c r="Z1559" i="3"/>
  <c r="AD1559" i="3" s="1"/>
  <c r="Z1555" i="3"/>
  <c r="AD1555" i="3" s="1"/>
  <c r="Z1551" i="3"/>
  <c r="AD1551" i="3" s="1"/>
  <c r="Z1547" i="3"/>
  <c r="AD1547" i="3" s="1"/>
  <c r="Z1543" i="3"/>
  <c r="AD1543" i="3" s="1"/>
  <c r="Z1539" i="3"/>
  <c r="AD1539" i="3" s="1"/>
  <c r="Z1535" i="3"/>
  <c r="AD1535" i="3" s="1"/>
  <c r="Z1531" i="3"/>
  <c r="AD1531" i="3" s="1"/>
  <c r="Z1527" i="3"/>
  <c r="AD1527" i="3" s="1"/>
  <c r="Z1523" i="3"/>
  <c r="AD1523" i="3" s="1"/>
  <c r="Z1519" i="3"/>
  <c r="AD1519" i="3" s="1"/>
  <c r="Z1515" i="3"/>
  <c r="AD1515" i="3" s="1"/>
  <c r="Z1511" i="3"/>
  <c r="AD1511" i="3" s="1"/>
  <c r="Z1507" i="3"/>
  <c r="AD1507" i="3" s="1"/>
  <c r="Z1503" i="3"/>
  <c r="AD1503" i="3" s="1"/>
  <c r="Z1499" i="3"/>
  <c r="AD1499" i="3" s="1"/>
  <c r="Z1495" i="3"/>
  <c r="AD1495" i="3" s="1"/>
  <c r="Z1491" i="3"/>
  <c r="AD1491" i="3" s="1"/>
  <c r="Z1487" i="3"/>
  <c r="AD1487" i="3" s="1"/>
  <c r="Z1483" i="3"/>
  <c r="AD1483" i="3" s="1"/>
  <c r="Z1479" i="3"/>
  <c r="AD1479" i="3" s="1"/>
  <c r="Z1475" i="3"/>
  <c r="AD1475" i="3" s="1"/>
  <c r="Z1471" i="3"/>
  <c r="AD1471" i="3" s="1"/>
  <c r="Z1467" i="3"/>
  <c r="AD1467" i="3" s="1"/>
  <c r="Z1463" i="3"/>
  <c r="AD1463" i="3" s="1"/>
  <c r="Z1459" i="3"/>
  <c r="AD1459" i="3" s="1"/>
  <c r="Z1455" i="3"/>
  <c r="AD1455" i="3" s="1"/>
  <c r="Z1451" i="3"/>
  <c r="AD1451" i="3" s="1"/>
  <c r="Z1447" i="3"/>
  <c r="AD1447" i="3" s="1"/>
  <c r="Z1443" i="3"/>
  <c r="AD1443" i="3" s="1"/>
  <c r="Z1439" i="3"/>
  <c r="AD1439" i="3" s="1"/>
  <c r="Z1434" i="3"/>
  <c r="AD1434" i="3" s="1"/>
  <c r="Z1430" i="3"/>
  <c r="AD1430" i="3" s="1"/>
  <c r="Z1426" i="3"/>
  <c r="AD1426" i="3" s="1"/>
  <c r="Z1422" i="3"/>
  <c r="AD1422" i="3" s="1"/>
  <c r="Z1418" i="3"/>
  <c r="AD1418" i="3" s="1"/>
  <c r="Z1414" i="3"/>
  <c r="AD1414" i="3" s="1"/>
  <c r="Z1410" i="3"/>
  <c r="AD1410" i="3" s="1"/>
  <c r="Z1406" i="3"/>
  <c r="AD1406" i="3" s="1"/>
  <c r="Z1402" i="3"/>
  <c r="AD1402" i="3" s="1"/>
  <c r="Z1398" i="3"/>
  <c r="AD1398" i="3" s="1"/>
  <c r="Z1394" i="3"/>
  <c r="AD1394" i="3" s="1"/>
  <c r="Z1390" i="3"/>
  <c r="AD1390" i="3" s="1"/>
  <c r="Z1386" i="3"/>
  <c r="AD1386" i="3" s="1"/>
  <c r="Z1382" i="3"/>
  <c r="AD1382" i="3" s="1"/>
  <c r="Z1378" i="3"/>
  <c r="AD1378" i="3" s="1"/>
  <c r="Z1374" i="3"/>
  <c r="AD1374" i="3" s="1"/>
  <c r="Z1370" i="3"/>
  <c r="AD1370" i="3" s="1"/>
  <c r="Z1366" i="3"/>
  <c r="AD1366" i="3" s="1"/>
  <c r="Z1362" i="3"/>
  <c r="AD1362" i="3" s="1"/>
  <c r="Z1358" i="3"/>
  <c r="AD1358" i="3" s="1"/>
  <c r="Z1354" i="3"/>
  <c r="AD1354" i="3" s="1"/>
  <c r="Z1350" i="3"/>
  <c r="AD1350" i="3" s="1"/>
  <c r="Z1346" i="3"/>
  <c r="AD1346" i="3" s="1"/>
  <c r="Z1342" i="3"/>
  <c r="AD1342" i="3" s="1"/>
  <c r="Z1338" i="3"/>
  <c r="AD1338" i="3" s="1"/>
  <c r="Z1334" i="3"/>
  <c r="AD1334" i="3" s="1"/>
  <c r="Z1330" i="3"/>
  <c r="AD1330" i="3" s="1"/>
  <c r="Z1326" i="3"/>
  <c r="AD1326" i="3" s="1"/>
  <c r="Z1322" i="3"/>
  <c r="AD1322" i="3" s="1"/>
  <c r="Z1318" i="3"/>
  <c r="AD1318" i="3" s="1"/>
  <c r="Z1314" i="3"/>
  <c r="AD1314" i="3" s="1"/>
  <c r="Z1310" i="3"/>
  <c r="AD1310" i="3" s="1"/>
  <c r="Z1306" i="3"/>
  <c r="AD1306" i="3" s="1"/>
  <c r="Z1302" i="3"/>
  <c r="AD1302" i="3" s="1"/>
  <c r="Z1298" i="3"/>
  <c r="AD1298" i="3" s="1"/>
  <c r="Z1294" i="3"/>
  <c r="AD1294" i="3" s="1"/>
  <c r="Z1290" i="3"/>
  <c r="AD1290" i="3" s="1"/>
  <c r="Z1286" i="3"/>
  <c r="AD1286" i="3" s="1"/>
  <c r="Z1282" i="3"/>
  <c r="AD1282" i="3" s="1"/>
  <c r="Z1278" i="3"/>
  <c r="AD1278" i="3" s="1"/>
  <c r="Z1272" i="3"/>
  <c r="AD1272" i="3" s="1"/>
  <c r="Z1268" i="3"/>
  <c r="AD1268" i="3" s="1"/>
  <c r="Z1264" i="3"/>
  <c r="AD1264" i="3" s="1"/>
  <c r="Z1260" i="3"/>
  <c r="AD1260" i="3" s="1"/>
  <c r="Z1256" i="3"/>
  <c r="AD1256" i="3" s="1"/>
  <c r="Z1252" i="3"/>
  <c r="AD1252" i="3" s="1"/>
  <c r="Z1248" i="3"/>
  <c r="AD1248" i="3" s="1"/>
  <c r="Z1244" i="3"/>
  <c r="AD1244" i="3" s="1"/>
  <c r="Z1240" i="3"/>
  <c r="AD1240" i="3" s="1"/>
  <c r="Z1236" i="3"/>
  <c r="AD1236" i="3" s="1"/>
  <c r="Z1232" i="3"/>
  <c r="AD1232" i="3" s="1"/>
  <c r="Z1228" i="3"/>
  <c r="AD1228" i="3" s="1"/>
  <c r="Z1224" i="3"/>
  <c r="AD1224" i="3" s="1"/>
  <c r="Z1220" i="3"/>
  <c r="AD1220" i="3" s="1"/>
  <c r="Z1216" i="3"/>
  <c r="AD1216" i="3" s="1"/>
  <c r="Z1212" i="3"/>
  <c r="AD1212" i="3" s="1"/>
  <c r="Z1208" i="3"/>
  <c r="AD1208" i="3" s="1"/>
  <c r="Z1204" i="3"/>
  <c r="AD1204" i="3" s="1"/>
  <c r="Z1200" i="3"/>
  <c r="AD1200" i="3" s="1"/>
  <c r="Z1196" i="3"/>
  <c r="AD1196" i="3" s="1"/>
  <c r="Z1192" i="3"/>
  <c r="AD1192" i="3" s="1"/>
  <c r="Z1188" i="3"/>
  <c r="AD1188" i="3" s="1"/>
  <c r="Z1184" i="3"/>
  <c r="AD1184" i="3" s="1"/>
  <c r="Z1180" i="3"/>
  <c r="AD1180" i="3" s="1"/>
  <c r="Z1176" i="3"/>
  <c r="AD1176" i="3" s="1"/>
  <c r="Z1172" i="3"/>
  <c r="AD1172" i="3" s="1"/>
  <c r="Z1168" i="3"/>
  <c r="AD1168" i="3" s="1"/>
  <c r="Z1164" i="3"/>
  <c r="AD1164" i="3" s="1"/>
  <c r="Z1160" i="3"/>
  <c r="AD1160" i="3" s="1"/>
  <c r="Z1156" i="3"/>
  <c r="AD1156" i="3" s="1"/>
  <c r="Z1152" i="3"/>
  <c r="AD1152" i="3" s="1"/>
  <c r="Z1148" i="3"/>
  <c r="AD1148" i="3" s="1"/>
  <c r="Z1144" i="3"/>
  <c r="AD1144" i="3" s="1"/>
  <c r="Z1140" i="3"/>
  <c r="AD1140" i="3" s="1"/>
  <c r="Z1136" i="3"/>
  <c r="AD1136" i="3" s="1"/>
  <c r="Z1132" i="3"/>
  <c r="AD1132" i="3" s="1"/>
  <c r="Z1128" i="3"/>
  <c r="AD1128" i="3" s="1"/>
  <c r="Z1124" i="3"/>
  <c r="AD1124" i="3" s="1"/>
  <c r="Z1120" i="3"/>
  <c r="AD1120" i="3" s="1"/>
  <c r="Z1116" i="3"/>
  <c r="AD1116" i="3" s="1"/>
  <c r="Z1112" i="3"/>
  <c r="AD1112" i="3" s="1"/>
  <c r="Z1108" i="3"/>
  <c r="AD1108" i="3" s="1"/>
  <c r="Z1104" i="3"/>
  <c r="AD1104" i="3" s="1"/>
  <c r="Z1100" i="3"/>
  <c r="AD1100" i="3" s="1"/>
  <c r="Z1096" i="3"/>
  <c r="AD1096" i="3" s="1"/>
  <c r="Z1092" i="3"/>
  <c r="AD1092" i="3" s="1"/>
  <c r="Z1088" i="3"/>
  <c r="AD1088" i="3" s="1"/>
  <c r="Z1084" i="3"/>
  <c r="AD1084" i="3" s="1"/>
  <c r="Z1080" i="3"/>
  <c r="AD1080" i="3" s="1"/>
  <c r="Z1076" i="3"/>
  <c r="AD1076" i="3" s="1"/>
  <c r="Z1072" i="3"/>
  <c r="AD1072" i="3" s="1"/>
  <c r="Z1068" i="3"/>
  <c r="AD1068" i="3" s="1"/>
  <c r="Z1064" i="3"/>
  <c r="AD1064" i="3" s="1"/>
  <c r="Z1060" i="3"/>
  <c r="AD1060" i="3" s="1"/>
  <c r="Z1056" i="3"/>
  <c r="AD1056" i="3" s="1"/>
  <c r="Z1052" i="3"/>
  <c r="AD1052" i="3" s="1"/>
  <c r="Z1048" i="3"/>
  <c r="AD1048" i="3" s="1"/>
  <c r="Z1044" i="3"/>
  <c r="AD1044" i="3" s="1"/>
  <c r="Z1040" i="3"/>
  <c r="AD1040" i="3" s="1"/>
  <c r="Z1036" i="3"/>
  <c r="AD1036" i="3" s="1"/>
  <c r="Z1032" i="3"/>
  <c r="AD1032" i="3" s="1"/>
  <c r="Z1028" i="3"/>
  <c r="AD1028" i="3" s="1"/>
  <c r="Z1024" i="3"/>
  <c r="AD1024" i="3" s="1"/>
  <c r="Z1020" i="3"/>
  <c r="AD1020" i="3" s="1"/>
  <c r="Z1016" i="3"/>
  <c r="AD1016" i="3" s="1"/>
  <c r="Z1012" i="3"/>
  <c r="AD1012" i="3" s="1"/>
  <c r="Z1008" i="3"/>
  <c r="AD1008" i="3" s="1"/>
  <c r="Z1004" i="3"/>
  <c r="AD1004" i="3" s="1"/>
  <c r="Z1000" i="3"/>
  <c r="AD1000" i="3" s="1"/>
  <c r="Z996" i="3"/>
  <c r="AD996" i="3" s="1"/>
  <c r="Z992" i="3"/>
  <c r="AD992" i="3" s="1"/>
  <c r="Z988" i="3"/>
  <c r="AD988" i="3" s="1"/>
  <c r="Z984" i="3"/>
  <c r="AD984" i="3" s="1"/>
  <c r="Z980" i="3"/>
  <c r="AD980" i="3" s="1"/>
  <c r="Z976" i="3"/>
  <c r="AD976" i="3" s="1"/>
  <c r="Z972" i="3"/>
  <c r="AD972" i="3" s="1"/>
  <c r="Z968" i="3"/>
  <c r="AD968" i="3" s="1"/>
  <c r="Z964" i="3"/>
  <c r="AD964" i="3" s="1"/>
  <c r="Z960" i="3"/>
  <c r="AD960" i="3" s="1"/>
  <c r="Z956" i="3"/>
  <c r="AD956" i="3" s="1"/>
  <c r="Z952" i="3"/>
  <c r="AD952" i="3" s="1"/>
  <c r="Z948" i="3"/>
  <c r="AD948" i="3" s="1"/>
  <c r="Z944" i="3"/>
  <c r="AD944" i="3" s="1"/>
  <c r="Z940" i="3"/>
  <c r="AD940" i="3" s="1"/>
  <c r="Z936" i="3"/>
  <c r="AD936" i="3" s="1"/>
  <c r="Z932" i="3"/>
  <c r="AD932" i="3" s="1"/>
  <c r="Z928" i="3"/>
  <c r="AD928" i="3" s="1"/>
  <c r="Z924" i="3"/>
  <c r="AD924" i="3" s="1"/>
  <c r="Z920" i="3"/>
  <c r="AD920" i="3" s="1"/>
  <c r="Z916" i="3"/>
  <c r="AD916" i="3" s="1"/>
  <c r="Z912" i="3"/>
  <c r="AD912" i="3" s="1"/>
  <c r="Z908" i="3"/>
  <c r="AD908" i="3" s="1"/>
  <c r="Z904" i="3"/>
  <c r="AD904" i="3" s="1"/>
  <c r="Z900" i="3"/>
  <c r="AD900" i="3" s="1"/>
  <c r="Z896" i="3"/>
  <c r="AD896" i="3" s="1"/>
  <c r="Z892" i="3"/>
  <c r="AD892" i="3" s="1"/>
  <c r="Z888" i="3"/>
  <c r="AD888" i="3" s="1"/>
  <c r="Z884" i="3"/>
  <c r="AD884" i="3" s="1"/>
  <c r="Z880" i="3"/>
  <c r="AD880" i="3" s="1"/>
  <c r="Z876" i="3"/>
  <c r="AD876" i="3" s="1"/>
  <c r="Z872" i="3"/>
  <c r="AD872" i="3" s="1"/>
  <c r="Z868" i="3"/>
  <c r="AD868" i="3" s="1"/>
  <c r="Z864" i="3"/>
  <c r="AD864" i="3" s="1"/>
  <c r="Z860" i="3"/>
  <c r="AD860" i="3" s="1"/>
  <c r="Z856" i="3"/>
  <c r="AD856" i="3" s="1"/>
  <c r="Z852" i="3"/>
  <c r="AD852" i="3" s="1"/>
  <c r="Z848" i="3"/>
  <c r="AD848" i="3" s="1"/>
  <c r="Z844" i="3"/>
  <c r="AD844" i="3" s="1"/>
  <c r="Z838" i="3"/>
  <c r="AD838" i="3" s="1"/>
  <c r="Z834" i="3"/>
  <c r="AD834" i="3" s="1"/>
  <c r="Z830" i="3"/>
  <c r="AD830" i="3" s="1"/>
  <c r="Z826" i="3"/>
  <c r="AD826" i="3" s="1"/>
  <c r="Z822" i="3"/>
  <c r="AD822" i="3" s="1"/>
  <c r="Z818" i="3"/>
  <c r="AD818" i="3" s="1"/>
  <c r="Z814" i="3"/>
  <c r="AD814" i="3" s="1"/>
  <c r="Z810" i="3"/>
  <c r="AD810" i="3" s="1"/>
  <c r="Z806" i="3"/>
  <c r="AD806" i="3" s="1"/>
  <c r="Z802" i="3"/>
  <c r="AD802" i="3" s="1"/>
  <c r="Z798" i="3"/>
  <c r="AD798" i="3" s="1"/>
  <c r="Z794" i="3"/>
  <c r="AD794" i="3" s="1"/>
  <c r="Z790" i="3"/>
  <c r="AD790" i="3" s="1"/>
  <c r="Z786" i="3"/>
  <c r="AD786" i="3" s="1"/>
  <c r="Z782" i="3"/>
  <c r="AD782" i="3" s="1"/>
  <c r="Z778" i="3"/>
  <c r="AD778" i="3" s="1"/>
  <c r="Z774" i="3"/>
  <c r="AD774" i="3" s="1"/>
  <c r="Z770" i="3"/>
  <c r="AD770" i="3" s="1"/>
  <c r="Z766" i="3"/>
  <c r="AD766" i="3" s="1"/>
  <c r="Z762" i="3"/>
  <c r="AD762" i="3" s="1"/>
  <c r="Z758" i="3"/>
  <c r="AD758" i="3" s="1"/>
  <c r="Z754" i="3"/>
  <c r="AD754" i="3" s="1"/>
  <c r="Z750" i="3"/>
  <c r="AD750" i="3" s="1"/>
  <c r="Z746" i="3"/>
  <c r="AD746" i="3" s="1"/>
  <c r="Z742" i="3"/>
  <c r="AD742" i="3" s="1"/>
  <c r="Z738" i="3"/>
  <c r="AD738" i="3" s="1"/>
  <c r="Z734" i="3"/>
  <c r="AD734" i="3" s="1"/>
  <c r="Z730" i="3"/>
  <c r="AD730" i="3" s="1"/>
  <c r="Z726" i="3"/>
  <c r="AD726" i="3" s="1"/>
  <c r="Z722" i="3"/>
  <c r="AD722" i="3" s="1"/>
  <c r="Z718" i="3"/>
  <c r="AD718" i="3" s="1"/>
  <c r="Z714" i="3"/>
  <c r="AD714" i="3" s="1"/>
  <c r="Z710" i="3"/>
  <c r="AD710" i="3" s="1"/>
  <c r="Z706" i="3"/>
  <c r="AD706" i="3" s="1"/>
  <c r="Z702" i="3"/>
  <c r="AD702" i="3" s="1"/>
  <c r="Z698" i="3"/>
  <c r="AD698" i="3" s="1"/>
  <c r="Z694" i="3"/>
  <c r="AD694" i="3" s="1"/>
  <c r="Z690" i="3"/>
  <c r="AD690" i="3" s="1"/>
  <c r="Z686" i="3"/>
  <c r="AD686" i="3" s="1"/>
  <c r="Z682" i="3"/>
  <c r="AD682" i="3" s="1"/>
  <c r="Z678" i="3"/>
  <c r="AD678" i="3" s="1"/>
  <c r="Z674" i="3"/>
  <c r="AD674" i="3" s="1"/>
  <c r="Z670" i="3"/>
  <c r="AD670" i="3" s="1"/>
  <c r="Z666" i="3"/>
  <c r="AD666" i="3" s="1"/>
  <c r="Z662" i="3"/>
  <c r="AD662" i="3" s="1"/>
  <c r="Z658" i="3"/>
  <c r="AD658" i="3" s="1"/>
  <c r="Z654" i="3"/>
  <c r="AD654" i="3" s="1"/>
  <c r="Z650" i="3"/>
  <c r="AD650" i="3" s="1"/>
  <c r="Z646" i="3"/>
  <c r="AD646" i="3" s="1"/>
  <c r="Z642" i="3"/>
  <c r="AD642" i="3" s="1"/>
  <c r="Z638" i="3"/>
  <c r="AD638" i="3" s="1"/>
  <c r="Z634" i="3"/>
  <c r="AD634" i="3" s="1"/>
  <c r="Z630" i="3"/>
  <c r="AD630" i="3" s="1"/>
  <c r="Z626" i="3"/>
  <c r="AD626" i="3" s="1"/>
  <c r="Z622" i="3"/>
  <c r="AD622" i="3" s="1"/>
  <c r="Z618" i="3"/>
  <c r="AD618" i="3" s="1"/>
  <c r="Z614" i="3"/>
  <c r="AD614" i="3" s="1"/>
  <c r="Z610" i="3"/>
  <c r="AD610" i="3" s="1"/>
  <c r="Z606" i="3"/>
  <c r="AD606" i="3" s="1"/>
  <c r="Z602" i="3"/>
  <c r="AD602" i="3" s="1"/>
  <c r="Z598" i="3"/>
  <c r="AD598" i="3" s="1"/>
  <c r="Z594" i="3"/>
  <c r="AD594" i="3" s="1"/>
  <c r="Z590" i="3"/>
  <c r="AD590" i="3" s="1"/>
  <c r="Z586" i="3"/>
  <c r="AD586" i="3" s="1"/>
  <c r="Z580" i="3"/>
  <c r="AD580" i="3" s="1"/>
  <c r="Z575" i="3"/>
  <c r="AD575" i="3" s="1"/>
  <c r="Z570" i="3"/>
  <c r="AD570" i="3" s="1"/>
  <c r="Z566" i="3"/>
  <c r="AD566" i="3" s="1"/>
  <c r="Z562" i="3"/>
  <c r="AD562" i="3" s="1"/>
  <c r="Z558" i="3"/>
  <c r="AD558" i="3" s="1"/>
  <c r="Z554" i="3"/>
  <c r="AD554" i="3" s="1"/>
  <c r="Z550" i="3"/>
  <c r="AD550" i="3" s="1"/>
  <c r="Z546" i="3"/>
  <c r="AD546" i="3" s="1"/>
  <c r="Z542" i="3"/>
  <c r="AD542" i="3" s="1"/>
  <c r="Z538" i="3"/>
  <c r="AD538" i="3" s="1"/>
  <c r="Z534" i="3"/>
  <c r="AD534" i="3" s="1"/>
  <c r="Z530" i="3"/>
  <c r="AD530" i="3" s="1"/>
  <c r="Z526" i="3"/>
  <c r="AD526" i="3" s="1"/>
  <c r="Z522" i="3"/>
  <c r="AD522" i="3" s="1"/>
  <c r="Z518" i="3"/>
  <c r="AD518" i="3" s="1"/>
  <c r="Z514" i="3"/>
  <c r="AD514" i="3" s="1"/>
  <c r="Z510" i="3"/>
  <c r="AD510" i="3" s="1"/>
  <c r="Z506" i="3"/>
  <c r="AD506" i="3" s="1"/>
  <c r="Z502" i="3"/>
  <c r="AD502" i="3" s="1"/>
  <c r="Z498" i="3"/>
  <c r="AD498" i="3" s="1"/>
  <c r="Z494" i="3"/>
  <c r="AD494" i="3" s="1"/>
  <c r="Z490" i="3"/>
  <c r="AD490" i="3" s="1"/>
  <c r="Z486" i="3"/>
  <c r="AD486" i="3" s="1"/>
  <c r="Z482" i="3"/>
  <c r="AD482" i="3" s="1"/>
  <c r="Z478" i="3"/>
  <c r="AD478" i="3" s="1"/>
  <c r="Z474" i="3"/>
  <c r="AD474" i="3" s="1"/>
  <c r="Z470" i="3"/>
  <c r="AD470" i="3" s="1"/>
  <c r="Z466" i="3"/>
  <c r="AD466" i="3" s="1"/>
  <c r="Z462" i="3"/>
  <c r="AD462" i="3" s="1"/>
  <c r="Z458" i="3"/>
  <c r="AD458" i="3" s="1"/>
  <c r="Z454" i="3"/>
  <c r="AD454" i="3" s="1"/>
  <c r="Z450" i="3"/>
  <c r="AD450" i="3" s="1"/>
  <c r="Z446" i="3"/>
  <c r="AD446" i="3" s="1"/>
  <c r="Z442" i="3"/>
  <c r="AD442" i="3" s="1"/>
  <c r="Z438" i="3"/>
  <c r="AD438" i="3" s="1"/>
  <c r="Z434" i="3"/>
  <c r="AD434" i="3" s="1"/>
  <c r="Z430" i="3"/>
  <c r="AD430" i="3" s="1"/>
  <c r="Z426" i="3"/>
  <c r="AD426" i="3" s="1"/>
  <c r="Z422" i="3"/>
  <c r="AD422" i="3" s="1"/>
  <c r="Z418" i="3"/>
  <c r="AD418" i="3" s="1"/>
  <c r="Z414" i="3"/>
  <c r="AD414" i="3" s="1"/>
  <c r="Z410" i="3"/>
  <c r="AD410" i="3" s="1"/>
  <c r="Z406" i="3"/>
  <c r="AD406" i="3" s="1"/>
  <c r="Z402" i="3"/>
  <c r="AD402" i="3" s="1"/>
  <c r="Z398" i="3"/>
  <c r="AD398" i="3" s="1"/>
  <c r="Z394" i="3"/>
  <c r="AD394" i="3" s="1"/>
  <c r="Z390" i="3"/>
  <c r="AD390" i="3" s="1"/>
  <c r="Z386" i="3"/>
  <c r="AD386" i="3" s="1"/>
  <c r="Z382" i="3"/>
  <c r="AD382" i="3" s="1"/>
  <c r="Z378" i="3"/>
  <c r="AD378" i="3" s="1"/>
  <c r="Z374" i="3"/>
  <c r="AD374" i="3" s="1"/>
  <c r="Z370" i="3"/>
  <c r="AD370" i="3" s="1"/>
  <c r="Z366" i="3"/>
  <c r="AD366" i="3" s="1"/>
  <c r="Z362" i="3"/>
  <c r="AD362" i="3" s="1"/>
  <c r="Z358" i="3"/>
  <c r="AD358" i="3" s="1"/>
  <c r="Z354" i="3"/>
  <c r="AD354" i="3" s="1"/>
  <c r="Z350" i="3"/>
  <c r="AD350" i="3" s="1"/>
  <c r="Z346" i="3"/>
  <c r="AD346" i="3" s="1"/>
  <c r="Z342" i="3"/>
  <c r="AD342" i="3" s="1"/>
  <c r="Z338" i="3"/>
  <c r="AD338" i="3" s="1"/>
  <c r="Z334" i="3"/>
  <c r="AD334" i="3" s="1"/>
  <c r="Z330" i="3"/>
  <c r="AD330" i="3" s="1"/>
  <c r="Z326" i="3"/>
  <c r="AD326" i="3" s="1"/>
  <c r="Z322" i="3"/>
  <c r="AD322" i="3" s="1"/>
  <c r="Z318" i="3"/>
  <c r="AD318" i="3" s="1"/>
  <c r="Z314" i="3"/>
  <c r="AD314" i="3" s="1"/>
  <c r="Z310" i="3"/>
  <c r="AD310" i="3" s="1"/>
  <c r="Z306" i="3"/>
  <c r="AD306" i="3" s="1"/>
  <c r="Z302" i="3"/>
  <c r="AD302" i="3" s="1"/>
  <c r="Z298" i="3"/>
  <c r="AD298" i="3" s="1"/>
  <c r="Z294" i="3"/>
  <c r="AD294" i="3" s="1"/>
  <c r="Z290" i="3"/>
  <c r="AD290" i="3" s="1"/>
  <c r="Z286" i="3"/>
  <c r="AD286" i="3" s="1"/>
  <c r="Z282" i="3"/>
  <c r="AD282" i="3" s="1"/>
  <c r="Z278" i="3"/>
  <c r="AD278" i="3" s="1"/>
  <c r="Z274" i="3"/>
  <c r="AD274" i="3" s="1"/>
  <c r="Z270" i="3"/>
  <c r="AD270" i="3" s="1"/>
  <c r="Z266" i="3"/>
  <c r="AD266" i="3" s="1"/>
  <c r="Z262" i="3"/>
  <c r="AD262" i="3" s="1"/>
  <c r="Z258" i="3"/>
  <c r="AD258" i="3" s="1"/>
  <c r="Z254" i="3"/>
  <c r="AD254" i="3" s="1"/>
  <c r="Z250" i="3"/>
  <c r="AD250" i="3" s="1"/>
  <c r="Z246" i="3"/>
  <c r="AD246" i="3" s="1"/>
  <c r="Z242" i="3"/>
  <c r="AD242" i="3" s="1"/>
  <c r="Z238" i="3"/>
  <c r="AD238" i="3" s="1"/>
  <c r="Z234" i="3"/>
  <c r="AD234" i="3" s="1"/>
  <c r="Z233" i="3"/>
  <c r="AD233" i="3" s="1"/>
  <c r="Z229" i="3"/>
  <c r="AD229" i="3" s="1"/>
  <c r="Z225" i="3"/>
  <c r="AD225" i="3" s="1"/>
  <c r="Z221" i="3"/>
  <c r="AD221" i="3" s="1"/>
  <c r="Z217" i="3"/>
  <c r="AD217" i="3" s="1"/>
  <c r="Z213" i="3"/>
  <c r="AD213" i="3" s="1"/>
  <c r="Z209" i="3"/>
  <c r="AD209" i="3" s="1"/>
  <c r="Z205" i="3"/>
  <c r="AD205" i="3" s="1"/>
  <c r="Z201" i="3"/>
  <c r="AD201" i="3" s="1"/>
  <c r="Z195" i="3"/>
  <c r="AD195" i="3" s="1"/>
  <c r="Z192" i="3"/>
  <c r="AD192" i="3" s="1"/>
  <c r="Z188" i="3"/>
  <c r="AD188" i="3" s="1"/>
  <c r="Z184" i="3"/>
  <c r="AD184" i="3" s="1"/>
  <c r="Z180" i="3"/>
  <c r="AD180" i="3" s="1"/>
  <c r="Z176" i="3"/>
  <c r="AD176" i="3" s="1"/>
  <c r="Z172" i="3"/>
  <c r="AD172" i="3" s="1"/>
  <c r="Z168" i="3"/>
  <c r="AD168" i="3" s="1"/>
  <c r="Z164" i="3"/>
  <c r="AD164" i="3" s="1"/>
  <c r="Z160" i="3"/>
  <c r="AD160" i="3" s="1"/>
  <c r="Z156" i="3"/>
  <c r="AD156" i="3" s="1"/>
  <c r="Z152" i="3"/>
  <c r="AD152" i="3" s="1"/>
  <c r="Z148" i="3"/>
  <c r="AD148" i="3" s="1"/>
  <c r="Z144" i="3"/>
  <c r="AD144" i="3" s="1"/>
  <c r="Z140" i="3"/>
  <c r="AD140" i="3" s="1"/>
  <c r="Z136" i="3"/>
  <c r="AD136" i="3" s="1"/>
  <c r="Z132" i="3"/>
  <c r="AD132" i="3" s="1"/>
  <c r="Z128" i="3"/>
  <c r="AD128" i="3" s="1"/>
  <c r="Z124" i="3"/>
  <c r="AD124" i="3" s="1"/>
  <c r="Z120" i="3"/>
  <c r="AD120" i="3" s="1"/>
  <c r="Z116" i="3"/>
  <c r="AD116" i="3" s="1"/>
  <c r="Z110" i="3"/>
  <c r="AD110" i="3" s="1"/>
  <c r="Z106" i="3"/>
  <c r="AD106" i="3" s="1"/>
  <c r="Z102" i="3"/>
  <c r="AD102" i="3" s="1"/>
  <c r="Z98" i="3"/>
  <c r="AD98" i="3" s="1"/>
  <c r="Z94" i="3"/>
  <c r="AD94" i="3" s="1"/>
  <c r="Z90" i="3"/>
  <c r="AD90" i="3" s="1"/>
  <c r="Z86" i="3"/>
  <c r="AD86" i="3" s="1"/>
  <c r="Z82" i="3"/>
  <c r="AD82" i="3" s="1"/>
  <c r="Z78" i="3"/>
  <c r="AD78" i="3" s="1"/>
  <c r="Z74" i="3"/>
  <c r="AD74" i="3" s="1"/>
  <c r="Z70" i="3"/>
  <c r="AD70" i="3" s="1"/>
  <c r="Z66" i="3"/>
  <c r="AD66" i="3" s="1"/>
  <c r="Z62" i="3"/>
  <c r="AD62" i="3" s="1"/>
  <c r="Z58" i="3"/>
  <c r="AD58" i="3" s="1"/>
  <c r="Z54" i="3"/>
  <c r="AD54" i="3" s="1"/>
  <c r="Z50" i="3"/>
  <c r="AD50" i="3" s="1"/>
  <c r="Z46" i="3"/>
  <c r="AD46" i="3" s="1"/>
  <c r="Z42" i="3"/>
  <c r="AD42" i="3" s="1"/>
  <c r="Z38" i="3"/>
  <c r="AD38" i="3" s="1"/>
  <c r="Z34" i="3"/>
  <c r="AD34" i="3" s="1"/>
  <c r="Z30" i="3"/>
  <c r="AD30" i="3" s="1"/>
  <c r="Z26" i="3"/>
  <c r="AD26" i="3" s="1"/>
  <c r="AF267" i="3" l="1"/>
  <c r="AF63" i="3"/>
  <c r="AA175" i="3"/>
  <c r="AA181" i="3"/>
  <c r="AA204" i="3"/>
  <c r="AF76" i="3"/>
  <c r="AD76" i="3"/>
  <c r="AD111" i="3"/>
  <c r="AG111" i="3" s="1"/>
  <c r="AD309" i="3"/>
  <c r="AG309" i="3" s="1"/>
  <c r="AD109" i="3"/>
  <c r="AG109" i="3" s="1"/>
  <c r="AA26" i="3"/>
  <c r="AE26" i="3"/>
  <c r="AA42" i="3"/>
  <c r="AE42" i="3"/>
  <c r="AA50" i="3"/>
  <c r="AE50" i="3"/>
  <c r="AE66" i="3"/>
  <c r="AG66" i="3"/>
  <c r="AF66" i="3"/>
  <c r="AA82" i="3"/>
  <c r="AE82" i="3"/>
  <c r="AA98" i="3"/>
  <c r="AE98" i="3"/>
  <c r="AA116" i="3"/>
  <c r="AE116" i="3"/>
  <c r="AA132" i="3"/>
  <c r="AE132" i="3"/>
  <c r="AA140" i="3"/>
  <c r="AE140" i="3"/>
  <c r="AA156" i="3"/>
  <c r="AE156" i="3"/>
  <c r="AF172" i="3"/>
  <c r="AE172" i="3"/>
  <c r="AG172" i="3"/>
  <c r="AA188" i="3"/>
  <c r="AE188" i="3"/>
  <c r="AA205" i="3"/>
  <c r="AE205" i="3"/>
  <c r="AA221" i="3"/>
  <c r="AE221" i="3"/>
  <c r="AA234" i="3"/>
  <c r="AE234" i="3"/>
  <c r="AF250" i="3"/>
  <c r="AG250" i="3"/>
  <c r="AE250" i="3"/>
  <c r="AG266" i="3"/>
  <c r="AF266" i="3"/>
  <c r="AE266" i="3"/>
  <c r="AF290" i="3"/>
  <c r="AE290" i="3"/>
  <c r="AG290" i="3"/>
  <c r="AE306" i="3"/>
  <c r="AF306" i="3"/>
  <c r="AG306" i="3"/>
  <c r="AE322" i="3"/>
  <c r="AF322" i="3"/>
  <c r="AG322" i="3"/>
  <c r="AF338" i="3"/>
  <c r="AE338" i="3"/>
  <c r="AG338" i="3"/>
  <c r="AA30" i="3"/>
  <c r="AE30" i="3"/>
  <c r="AA38" i="3"/>
  <c r="AE38" i="3"/>
  <c r="AA46" i="3"/>
  <c r="AE46" i="3"/>
  <c r="AA54" i="3"/>
  <c r="AE54" i="3"/>
  <c r="AE62" i="3"/>
  <c r="AG62" i="3"/>
  <c r="AF62" i="3"/>
  <c r="AE70" i="3"/>
  <c r="AG70" i="3"/>
  <c r="AF70" i="3"/>
  <c r="AA78" i="3"/>
  <c r="AE78" i="3"/>
  <c r="AA86" i="3"/>
  <c r="AE86" i="3"/>
  <c r="AA94" i="3"/>
  <c r="AE94" i="3"/>
  <c r="AA102" i="3"/>
  <c r="AE102" i="3"/>
  <c r="AF110" i="3"/>
  <c r="AE110" i="3"/>
  <c r="AG110" i="3"/>
  <c r="AF120" i="3"/>
  <c r="AE120" i="3"/>
  <c r="AG120" i="3"/>
  <c r="AA128" i="3"/>
  <c r="AE128" i="3"/>
  <c r="AA136" i="3"/>
  <c r="AE136" i="3"/>
  <c r="AF144" i="3"/>
  <c r="AE144" i="3"/>
  <c r="AG144" i="3"/>
  <c r="AA152" i="3"/>
  <c r="AE152" i="3"/>
  <c r="AA160" i="3"/>
  <c r="AE160" i="3"/>
  <c r="AA168" i="3"/>
  <c r="AE168" i="3"/>
  <c r="AA176" i="3"/>
  <c r="AE176" i="3"/>
  <c r="AA184" i="3"/>
  <c r="AE184" i="3"/>
  <c r="AA192" i="3"/>
  <c r="AE192" i="3"/>
  <c r="AA201" i="3"/>
  <c r="AE201" i="3"/>
  <c r="AA209" i="3"/>
  <c r="AE209" i="3"/>
  <c r="AA217" i="3"/>
  <c r="AE217" i="3"/>
  <c r="AA225" i="3"/>
  <c r="AE225" i="3"/>
  <c r="AA233" i="3"/>
  <c r="AE233" i="3"/>
  <c r="AA238" i="3"/>
  <c r="AE238" i="3"/>
  <c r="AA246" i="3"/>
  <c r="AE246" i="3"/>
  <c r="AA254" i="3"/>
  <c r="AE254" i="3"/>
  <c r="AF262" i="3"/>
  <c r="AG262" i="3"/>
  <c r="AE262" i="3"/>
  <c r="AG270" i="3"/>
  <c r="AF270" i="3"/>
  <c r="AE270" i="3"/>
  <c r="AE278" i="3"/>
  <c r="AG278" i="3"/>
  <c r="AF278" i="3"/>
  <c r="AF286" i="3"/>
  <c r="AE286" i="3"/>
  <c r="AG286" i="3"/>
  <c r="AA294" i="3"/>
  <c r="AE294" i="3"/>
  <c r="AE302" i="3"/>
  <c r="AF302" i="3"/>
  <c r="AG302" i="3"/>
  <c r="AE310" i="3"/>
  <c r="AF310" i="3"/>
  <c r="AG310" i="3"/>
  <c r="AA318" i="3"/>
  <c r="AE318" i="3"/>
  <c r="AE326" i="3"/>
  <c r="AF326" i="3"/>
  <c r="AG326" i="3"/>
  <c r="AA334" i="3"/>
  <c r="AE334" i="3"/>
  <c r="AF342" i="3"/>
  <c r="AE342" i="3"/>
  <c r="AG342" i="3"/>
  <c r="AF350" i="3"/>
  <c r="AG350" i="3"/>
  <c r="AE350" i="3"/>
  <c r="AF358" i="3"/>
  <c r="AE358" i="3"/>
  <c r="AG358" i="3"/>
  <c r="AF366" i="3"/>
  <c r="AG366" i="3"/>
  <c r="AE366" i="3"/>
  <c r="AF374" i="3"/>
  <c r="AG374" i="3"/>
  <c r="AE374" i="3"/>
  <c r="AA382" i="3"/>
  <c r="AE382" i="3"/>
  <c r="AA390" i="3"/>
  <c r="AE390" i="3"/>
  <c r="AF398" i="3"/>
  <c r="AG398" i="3"/>
  <c r="AE398" i="3"/>
  <c r="AA406" i="3"/>
  <c r="AE406" i="3"/>
  <c r="AF414" i="3"/>
  <c r="AE414" i="3"/>
  <c r="AG414" i="3"/>
  <c r="AF422" i="3"/>
  <c r="AE422" i="3"/>
  <c r="AG422" i="3"/>
  <c r="AF430" i="3"/>
  <c r="AE430" i="3"/>
  <c r="AG430" i="3"/>
  <c r="AA438" i="3"/>
  <c r="AE438" i="3"/>
  <c r="AF446" i="3"/>
  <c r="AG446" i="3"/>
  <c r="AE446" i="3"/>
  <c r="AA454" i="3"/>
  <c r="AE454" i="3"/>
  <c r="AA462" i="3"/>
  <c r="AE462" i="3"/>
  <c r="AF470" i="3"/>
  <c r="AE470" i="3"/>
  <c r="AG470" i="3"/>
  <c r="AA478" i="3"/>
  <c r="AE478" i="3"/>
  <c r="AA486" i="3"/>
  <c r="AE486" i="3"/>
  <c r="AA494" i="3"/>
  <c r="AE494" i="3"/>
  <c r="AA502" i="3"/>
  <c r="AE502" i="3"/>
  <c r="AA510" i="3"/>
  <c r="AE510" i="3"/>
  <c r="AA518" i="3"/>
  <c r="AE518" i="3"/>
  <c r="AA526" i="3"/>
  <c r="AE526" i="3"/>
  <c r="AF534" i="3"/>
  <c r="AE534" i="3"/>
  <c r="AG534" i="3"/>
  <c r="AF542" i="3"/>
  <c r="AE542" i="3"/>
  <c r="AG542" i="3"/>
  <c r="AA550" i="3"/>
  <c r="AE550" i="3"/>
  <c r="AA558" i="3"/>
  <c r="AE558" i="3"/>
  <c r="AF566" i="3"/>
  <c r="AG566" i="3"/>
  <c r="AE566" i="3"/>
  <c r="AA575" i="3"/>
  <c r="AE575" i="3"/>
  <c r="AF586" i="3"/>
  <c r="AG586" i="3"/>
  <c r="AE586" i="3"/>
  <c r="AA594" i="3"/>
  <c r="AE594" i="3"/>
  <c r="AF602" i="3"/>
  <c r="AG602" i="3"/>
  <c r="AE602" i="3"/>
  <c r="AF610" i="3"/>
  <c r="AG610" i="3"/>
  <c r="AE610" i="3"/>
  <c r="AA618" i="3"/>
  <c r="AE618" i="3"/>
  <c r="AA626" i="3"/>
  <c r="AE626" i="3"/>
  <c r="AA634" i="3"/>
  <c r="AE634" i="3"/>
  <c r="AA642" i="3"/>
  <c r="AE642" i="3"/>
  <c r="AF650" i="3"/>
  <c r="AE650" i="3"/>
  <c r="AG650" i="3"/>
  <c r="AA658" i="3"/>
  <c r="AE658" i="3"/>
  <c r="AA666" i="3"/>
  <c r="AE666" i="3"/>
  <c r="AA674" i="3"/>
  <c r="AE674" i="3"/>
  <c r="AA682" i="3"/>
  <c r="AE682" i="3"/>
  <c r="AA690" i="3"/>
  <c r="AE690" i="3"/>
  <c r="AF698" i="3"/>
  <c r="AE698" i="3"/>
  <c r="AG698" i="3"/>
  <c r="AF706" i="3"/>
  <c r="AE706" i="3"/>
  <c r="AG706" i="3"/>
  <c r="AA714" i="3"/>
  <c r="AE714" i="3"/>
  <c r="AA722" i="3"/>
  <c r="AE722" i="3"/>
  <c r="AF730" i="3"/>
  <c r="AE730" i="3"/>
  <c r="AG730" i="3"/>
  <c r="AE738" i="3"/>
  <c r="AF738" i="3"/>
  <c r="AG738" i="3"/>
  <c r="AE746" i="3"/>
  <c r="AF746" i="3"/>
  <c r="AG746" i="3"/>
  <c r="AE754" i="3"/>
  <c r="AF754" i="3"/>
  <c r="AG754" i="3"/>
  <c r="AE762" i="3"/>
  <c r="AF762" i="3"/>
  <c r="AG762" i="3"/>
  <c r="AE770" i="3"/>
  <c r="AF770" i="3"/>
  <c r="AG770" i="3"/>
  <c r="AF778" i="3"/>
  <c r="AE778" i="3"/>
  <c r="AG778" i="3"/>
  <c r="AA786" i="3"/>
  <c r="AE786" i="3"/>
  <c r="AG794" i="3"/>
  <c r="AF794" i="3"/>
  <c r="AE794" i="3"/>
  <c r="AA802" i="3"/>
  <c r="AE802" i="3"/>
  <c r="AA810" i="3"/>
  <c r="AE810" i="3"/>
  <c r="AG818" i="3"/>
  <c r="AF818" i="3"/>
  <c r="AE818" i="3"/>
  <c r="AG826" i="3"/>
  <c r="AF826" i="3"/>
  <c r="AE826" i="3"/>
  <c r="AG834" i="3"/>
  <c r="AF834" i="3"/>
  <c r="AE834" i="3"/>
  <c r="AF844" i="3"/>
  <c r="AE844" i="3"/>
  <c r="AG844" i="3"/>
  <c r="AF852" i="3"/>
  <c r="AG852" i="3"/>
  <c r="AE852" i="3"/>
  <c r="AA860" i="3"/>
  <c r="AE860" i="3"/>
  <c r="AA868" i="3"/>
  <c r="AE868" i="3"/>
  <c r="AA876" i="3"/>
  <c r="AE876" i="3"/>
  <c r="AA884" i="3"/>
  <c r="AE884" i="3"/>
  <c r="AG892" i="3"/>
  <c r="AE892" i="3"/>
  <c r="AF892" i="3"/>
  <c r="AA900" i="3"/>
  <c r="AE900" i="3"/>
  <c r="AA908" i="3"/>
  <c r="AE908" i="3"/>
  <c r="AG916" i="3"/>
  <c r="AE916" i="3"/>
  <c r="AF916" i="3"/>
  <c r="AA924" i="3"/>
  <c r="AE924" i="3"/>
  <c r="AA932" i="3"/>
  <c r="AE932" i="3"/>
  <c r="AA940" i="3"/>
  <c r="AE940" i="3"/>
  <c r="AA948" i="3"/>
  <c r="AE948" i="3"/>
  <c r="AA956" i="3"/>
  <c r="AE956" i="3"/>
  <c r="AF964" i="3"/>
  <c r="AG964" i="3"/>
  <c r="AE964" i="3"/>
  <c r="AA972" i="3"/>
  <c r="AE972" i="3"/>
  <c r="AA980" i="3"/>
  <c r="AE980" i="3"/>
  <c r="AA988" i="3"/>
  <c r="AE988" i="3"/>
  <c r="AA996" i="3"/>
  <c r="AE996" i="3"/>
  <c r="AG1004" i="3"/>
  <c r="AE1004" i="3"/>
  <c r="AF1004" i="3"/>
  <c r="AG1012" i="3"/>
  <c r="AE1012" i="3"/>
  <c r="AF1012" i="3"/>
  <c r="AG1020" i="3"/>
  <c r="AE1020" i="3"/>
  <c r="AF1020" i="3"/>
  <c r="AA1028" i="3"/>
  <c r="AE1028" i="3"/>
  <c r="AA1036" i="3"/>
  <c r="AE1036" i="3"/>
  <c r="AA1044" i="3"/>
  <c r="AE1044" i="3"/>
  <c r="AA1052" i="3"/>
  <c r="AE1052" i="3"/>
  <c r="AF1060" i="3"/>
  <c r="AE1060" i="3"/>
  <c r="AG1060" i="3"/>
  <c r="AA1068" i="3"/>
  <c r="AE1068" i="3"/>
  <c r="AA1076" i="3"/>
  <c r="AE1076" i="3"/>
  <c r="AA1084" i="3"/>
  <c r="AE1084" i="3"/>
  <c r="AA1092" i="3"/>
  <c r="AE1092" i="3"/>
  <c r="AA1100" i="3"/>
  <c r="AE1100" i="3"/>
  <c r="AA1108" i="3"/>
  <c r="AE1108" i="3"/>
  <c r="AA1116" i="3"/>
  <c r="AE1116" i="3"/>
  <c r="AA1124" i="3"/>
  <c r="AE1124" i="3"/>
  <c r="AA1132" i="3"/>
  <c r="AE1132" i="3"/>
  <c r="AA1140" i="3"/>
  <c r="AE1140" i="3"/>
  <c r="AA1148" i="3"/>
  <c r="AE1148" i="3"/>
  <c r="AA1156" i="3"/>
  <c r="AE1156" i="3"/>
  <c r="AA1164" i="3"/>
  <c r="AE1164" i="3"/>
  <c r="AA1172" i="3"/>
  <c r="AE1172" i="3"/>
  <c r="AA1180" i="3"/>
  <c r="AE1180" i="3"/>
  <c r="AA1188" i="3"/>
  <c r="AE1188" i="3"/>
  <c r="AA1196" i="3"/>
  <c r="AE1196" i="3"/>
  <c r="AA1204" i="3"/>
  <c r="AE1204" i="3"/>
  <c r="AA1212" i="3"/>
  <c r="AE1212" i="3"/>
  <c r="AA1220" i="3"/>
  <c r="AE1220" i="3"/>
  <c r="AA1228" i="3"/>
  <c r="AE1228" i="3"/>
  <c r="AA1236" i="3"/>
  <c r="AE1236" i="3"/>
  <c r="AA1244" i="3"/>
  <c r="AE1244" i="3"/>
  <c r="AA1252" i="3"/>
  <c r="AE1252" i="3"/>
  <c r="AE1260" i="3"/>
  <c r="AF1260" i="3"/>
  <c r="AG1260" i="3"/>
  <c r="AA1268" i="3"/>
  <c r="AE1268" i="3"/>
  <c r="AF1278" i="3"/>
  <c r="AE1278" i="3"/>
  <c r="AG1278" i="3"/>
  <c r="AF1286" i="3"/>
  <c r="AE1286" i="3"/>
  <c r="AG1286" i="3"/>
  <c r="AE1294" i="3"/>
  <c r="AF1294" i="3"/>
  <c r="AG1294" i="3"/>
  <c r="AA1302" i="3"/>
  <c r="AE1302" i="3"/>
  <c r="AF1310" i="3"/>
  <c r="AE1310" i="3"/>
  <c r="AG1310" i="3"/>
  <c r="AF1318" i="3"/>
  <c r="AE1318" i="3"/>
  <c r="AG1318" i="3"/>
  <c r="AF1326" i="3"/>
  <c r="AE1326" i="3"/>
  <c r="AG1326" i="3"/>
  <c r="AF1334" i="3"/>
  <c r="AE1334" i="3"/>
  <c r="AG1334" i="3"/>
  <c r="AE1342" i="3"/>
  <c r="AF1342" i="3"/>
  <c r="AG1342" i="3"/>
  <c r="AE1350" i="3"/>
  <c r="AF1350" i="3"/>
  <c r="AG1350" i="3"/>
  <c r="AE1358" i="3"/>
  <c r="AG1358" i="3"/>
  <c r="AF1358" i="3"/>
  <c r="AA1366" i="3"/>
  <c r="AE1366" i="3"/>
  <c r="AA1374" i="3"/>
  <c r="AE1374" i="3"/>
  <c r="AA1382" i="3"/>
  <c r="AE1382" i="3"/>
  <c r="AA1390" i="3"/>
  <c r="AE1390" i="3"/>
  <c r="AA1398" i="3"/>
  <c r="AE1398" i="3"/>
  <c r="AE1406" i="3"/>
  <c r="AG1406" i="3"/>
  <c r="AF1406" i="3"/>
  <c r="AA1414" i="3"/>
  <c r="AE1414" i="3"/>
  <c r="AF1422" i="3"/>
  <c r="AE1422" i="3"/>
  <c r="AG1422" i="3"/>
  <c r="AE1430" i="3"/>
  <c r="AF1430" i="3"/>
  <c r="AG1430" i="3"/>
  <c r="AA1439" i="3"/>
  <c r="AE1439" i="3"/>
  <c r="AF1447" i="3"/>
  <c r="AG1447" i="3"/>
  <c r="AE1447" i="3"/>
  <c r="AA1455" i="3"/>
  <c r="AE1455" i="3"/>
  <c r="AF1463" i="3"/>
  <c r="AG1463" i="3"/>
  <c r="AE1463" i="3"/>
  <c r="AE1471" i="3"/>
  <c r="AF1471" i="3"/>
  <c r="AG1471" i="3"/>
  <c r="AF1479" i="3"/>
  <c r="AG1479" i="3"/>
  <c r="AE1479" i="3"/>
  <c r="AF1487" i="3"/>
  <c r="AG1487" i="3"/>
  <c r="AE1487" i="3"/>
  <c r="AF1495" i="3"/>
  <c r="AG1495" i="3"/>
  <c r="AE1495" i="3"/>
  <c r="AF1503" i="3"/>
  <c r="AG1503" i="3"/>
  <c r="AE1503" i="3"/>
  <c r="AF1511" i="3"/>
  <c r="AG1511" i="3"/>
  <c r="AE1511" i="3"/>
  <c r="AF1519" i="3"/>
  <c r="AG1519" i="3"/>
  <c r="AE1519" i="3"/>
  <c r="AF1527" i="3"/>
  <c r="AG1527" i="3"/>
  <c r="AE1527" i="3"/>
  <c r="AA1535" i="3"/>
  <c r="AE1535" i="3"/>
  <c r="AF1543" i="3"/>
  <c r="AE1543" i="3"/>
  <c r="AG1543" i="3"/>
  <c r="AE1551" i="3"/>
  <c r="AF1551" i="3"/>
  <c r="AG1551" i="3"/>
  <c r="AA1559" i="3"/>
  <c r="AE1559" i="3"/>
  <c r="AF1567" i="3"/>
  <c r="AE1567" i="3"/>
  <c r="AG1567" i="3"/>
  <c r="AA1575" i="3"/>
  <c r="AE1575" i="3"/>
  <c r="AA1583" i="3"/>
  <c r="AE1583" i="3"/>
  <c r="AA1591" i="3"/>
  <c r="AE1591" i="3"/>
  <c r="AE1599" i="3"/>
  <c r="AF1599" i="3"/>
  <c r="AG1599" i="3"/>
  <c r="AE1607" i="3"/>
  <c r="AF1607" i="3"/>
  <c r="AG1607" i="3"/>
  <c r="AE1615" i="3"/>
  <c r="AF1615" i="3"/>
  <c r="AG1615" i="3"/>
  <c r="AE1623" i="3"/>
  <c r="AF1623" i="3"/>
  <c r="AG1623" i="3"/>
  <c r="AE1631" i="3"/>
  <c r="AF1631" i="3"/>
  <c r="AG1631" i="3"/>
  <c r="AA1639" i="3"/>
  <c r="AE1639" i="3"/>
  <c r="AE1647" i="3"/>
  <c r="AF1647" i="3"/>
  <c r="AG1647" i="3"/>
  <c r="AE1655" i="3"/>
  <c r="AF1655" i="3"/>
  <c r="AG1655" i="3"/>
  <c r="AE1663" i="3"/>
  <c r="AF1663" i="3"/>
  <c r="AG1663" i="3"/>
  <c r="AE1671" i="3"/>
  <c r="AF1671" i="3"/>
  <c r="AG1671" i="3"/>
  <c r="AE1679" i="3"/>
  <c r="AF1679" i="3"/>
  <c r="AG1679" i="3"/>
  <c r="AF1687" i="3"/>
  <c r="AG1687" i="3"/>
  <c r="AE1687" i="3"/>
  <c r="AE1695" i="3"/>
  <c r="AF1695" i="3"/>
  <c r="AG1695" i="3"/>
  <c r="AF1703" i="3"/>
  <c r="AE1703" i="3"/>
  <c r="AG1703" i="3"/>
  <c r="AE1711" i="3"/>
  <c r="AF1711" i="3"/>
  <c r="AG1711" i="3"/>
  <c r="AE1719" i="3"/>
  <c r="AF1719" i="3"/>
  <c r="AG1719" i="3"/>
  <c r="AE1727" i="3"/>
  <c r="AF1727" i="3"/>
  <c r="AG1727" i="3"/>
  <c r="AF1731" i="3"/>
  <c r="AG1731" i="3"/>
  <c r="AE1731" i="3"/>
  <c r="AA25" i="3"/>
  <c r="AE25" i="3"/>
  <c r="AA33" i="3"/>
  <c r="AE33" i="3"/>
  <c r="AA41" i="3"/>
  <c r="AE41" i="3"/>
  <c r="AA49" i="3"/>
  <c r="AE49" i="3"/>
  <c r="AF57" i="3"/>
  <c r="AG57" i="3"/>
  <c r="AE57" i="3"/>
  <c r="AE65" i="3"/>
  <c r="AF65" i="3"/>
  <c r="AG65" i="3"/>
  <c r="AA73" i="3"/>
  <c r="AE73" i="3"/>
  <c r="AA81" i="3"/>
  <c r="AE81" i="3"/>
  <c r="AA89" i="3"/>
  <c r="AE89" i="3"/>
  <c r="AA97" i="3"/>
  <c r="AE97" i="3"/>
  <c r="AA105" i="3"/>
  <c r="AE105" i="3"/>
  <c r="AF113" i="3"/>
  <c r="AE113" i="3"/>
  <c r="AG113" i="3"/>
  <c r="AA115" i="3"/>
  <c r="AE115" i="3"/>
  <c r="AF123" i="3"/>
  <c r="AE123" i="3"/>
  <c r="AG123" i="3"/>
  <c r="AA131" i="3"/>
  <c r="AE131" i="3"/>
  <c r="AA139" i="3"/>
  <c r="AE139" i="3"/>
  <c r="AA147" i="3"/>
  <c r="AE147" i="3"/>
  <c r="AA155" i="3"/>
  <c r="AE155" i="3"/>
  <c r="AA163" i="3"/>
  <c r="AE163" i="3"/>
  <c r="AF171" i="3"/>
  <c r="AE171" i="3"/>
  <c r="AG171" i="3"/>
  <c r="AA179" i="3"/>
  <c r="AE179" i="3"/>
  <c r="AA187" i="3"/>
  <c r="AE187" i="3"/>
  <c r="AA199" i="3"/>
  <c r="AE199" i="3"/>
  <c r="AA207" i="3"/>
  <c r="AE207" i="3"/>
  <c r="AA215" i="3"/>
  <c r="AE215" i="3"/>
  <c r="AA223" i="3"/>
  <c r="AE223" i="3"/>
  <c r="AA231" i="3"/>
  <c r="AE231" i="3"/>
  <c r="AA240" i="3"/>
  <c r="AE240" i="3"/>
  <c r="AA249" i="3"/>
  <c r="AE249" i="3"/>
  <c r="AF257" i="3"/>
  <c r="AG257" i="3"/>
  <c r="AE257" i="3"/>
  <c r="AG265" i="3"/>
  <c r="AE265" i="3"/>
  <c r="AF265" i="3"/>
  <c r="AF273" i="3"/>
  <c r="AE273" i="3"/>
  <c r="AG273" i="3"/>
  <c r="AA281" i="3"/>
  <c r="AE281" i="3"/>
  <c r="AF289" i="3"/>
  <c r="AE289" i="3"/>
  <c r="AG289" i="3"/>
  <c r="AE297" i="3"/>
  <c r="AF297" i="3"/>
  <c r="AG297" i="3"/>
  <c r="AA305" i="3"/>
  <c r="AE305" i="3"/>
  <c r="AA313" i="3"/>
  <c r="AE313" i="3"/>
  <c r="AE321" i="3"/>
  <c r="AF321" i="3"/>
  <c r="AG321" i="3"/>
  <c r="AA329" i="3"/>
  <c r="AE329" i="3"/>
  <c r="AF337" i="3"/>
  <c r="AE337" i="3"/>
  <c r="AG337" i="3"/>
  <c r="AE345" i="3"/>
  <c r="AF345" i="3"/>
  <c r="AG345" i="3"/>
  <c r="AF353" i="3"/>
  <c r="AG353" i="3"/>
  <c r="AE353" i="3"/>
  <c r="AF361" i="3"/>
  <c r="AG361" i="3"/>
  <c r="AE361" i="3"/>
  <c r="AG369" i="3"/>
  <c r="AE369" i="3"/>
  <c r="AF369" i="3"/>
  <c r="AF377" i="3"/>
  <c r="AG377" i="3"/>
  <c r="AE377" i="3"/>
  <c r="AA385" i="3"/>
  <c r="AE385" i="3"/>
  <c r="AA393" i="3"/>
  <c r="AE393" i="3"/>
  <c r="AF401" i="3"/>
  <c r="AE401" i="3"/>
  <c r="AG401" i="3"/>
  <c r="AF409" i="3"/>
  <c r="AE409" i="3"/>
  <c r="AG409" i="3"/>
  <c r="AF417" i="3"/>
  <c r="AE417" i="3"/>
  <c r="AG417" i="3"/>
  <c r="AF425" i="3"/>
  <c r="AE425" i="3"/>
  <c r="AG425" i="3"/>
  <c r="AF433" i="3"/>
  <c r="AE433" i="3"/>
  <c r="AG433" i="3"/>
  <c r="AF441" i="3"/>
  <c r="AG441" i="3"/>
  <c r="AE441" i="3"/>
  <c r="AF449" i="3"/>
  <c r="AG449" i="3"/>
  <c r="AE449" i="3"/>
  <c r="AA457" i="3"/>
  <c r="AE457" i="3"/>
  <c r="AA465" i="3"/>
  <c r="AE465" i="3"/>
  <c r="AA473" i="3"/>
  <c r="AE473" i="3"/>
  <c r="AA481" i="3"/>
  <c r="AE481" i="3"/>
  <c r="AA489" i="3"/>
  <c r="AE489" i="3"/>
  <c r="AA497" i="3"/>
  <c r="AE497" i="3"/>
  <c r="AF505" i="3"/>
  <c r="AE505" i="3"/>
  <c r="AG505" i="3"/>
  <c r="AA513" i="3"/>
  <c r="AE513" i="3"/>
  <c r="AA521" i="3"/>
  <c r="AE521" i="3"/>
  <c r="AF529" i="3"/>
  <c r="AE529" i="3"/>
  <c r="AG529" i="3"/>
  <c r="AF537" i="3"/>
  <c r="AE537" i="3"/>
  <c r="AG537" i="3"/>
  <c r="AF545" i="3"/>
  <c r="AE545" i="3"/>
  <c r="AG545" i="3"/>
  <c r="AF553" i="3"/>
  <c r="AE553" i="3"/>
  <c r="AG553" i="3"/>
  <c r="AF561" i="3"/>
  <c r="AG561" i="3"/>
  <c r="AE561" i="3"/>
  <c r="AA569" i="3"/>
  <c r="AE569" i="3"/>
  <c r="AA582" i="3"/>
  <c r="AE582" i="3"/>
  <c r="AA588" i="3"/>
  <c r="AE588" i="3"/>
  <c r="AA596" i="3"/>
  <c r="AE596" i="3"/>
  <c r="AF604" i="3"/>
  <c r="AG604" i="3"/>
  <c r="AE604" i="3"/>
  <c r="AA612" i="3"/>
  <c r="AE612" i="3"/>
  <c r="AA620" i="3"/>
  <c r="AE620" i="3"/>
  <c r="AA628" i="3"/>
  <c r="AE628" i="3"/>
  <c r="AA636" i="3"/>
  <c r="AE636" i="3"/>
  <c r="AA644" i="3"/>
  <c r="AE644" i="3"/>
  <c r="AA652" i="3"/>
  <c r="AE652" i="3"/>
  <c r="AA660" i="3"/>
  <c r="AE660" i="3"/>
  <c r="AA668" i="3"/>
  <c r="AE668" i="3"/>
  <c r="AE676" i="3"/>
  <c r="AF676" i="3"/>
  <c r="AG676" i="3"/>
  <c r="AA684" i="3"/>
  <c r="AE684" i="3"/>
  <c r="AE692" i="3"/>
  <c r="AF692" i="3"/>
  <c r="AG692" i="3"/>
  <c r="AE696" i="3"/>
  <c r="AF696" i="3"/>
  <c r="AG696" i="3"/>
  <c r="AA704" i="3"/>
  <c r="AE704" i="3"/>
  <c r="AA712" i="3"/>
  <c r="AE712" i="3"/>
  <c r="AA720" i="3"/>
  <c r="AE720" i="3"/>
  <c r="AA728" i="3"/>
  <c r="AE728" i="3"/>
  <c r="AA736" i="3"/>
  <c r="AE736" i="3"/>
  <c r="AE744" i="3"/>
  <c r="AF744" i="3"/>
  <c r="AG744" i="3"/>
  <c r="AE752" i="3"/>
  <c r="AF752" i="3"/>
  <c r="AG752" i="3"/>
  <c r="AE760" i="3"/>
  <c r="AF760" i="3"/>
  <c r="AG760" i="3"/>
  <c r="AE768" i="3"/>
  <c r="AF768" i="3"/>
  <c r="AG768" i="3"/>
  <c r="AF776" i="3"/>
  <c r="AE776" i="3"/>
  <c r="AG776" i="3"/>
  <c r="AF784" i="3"/>
  <c r="AE784" i="3"/>
  <c r="AG784" i="3"/>
  <c r="AA792" i="3"/>
  <c r="AE792" i="3"/>
  <c r="AA800" i="3"/>
  <c r="AE800" i="3"/>
  <c r="AA808" i="3"/>
  <c r="AE808" i="3"/>
  <c r="AA816" i="3"/>
  <c r="AE816" i="3"/>
  <c r="AG824" i="3"/>
  <c r="AF824" i="3"/>
  <c r="AE824" i="3"/>
  <c r="AG832" i="3"/>
  <c r="AF832" i="3"/>
  <c r="AE832" i="3"/>
  <c r="AA840" i="3"/>
  <c r="AE840" i="3"/>
  <c r="AF846" i="3"/>
  <c r="AE846" i="3"/>
  <c r="AG846" i="3"/>
  <c r="AA854" i="3"/>
  <c r="AE854" i="3"/>
  <c r="AA862" i="3"/>
  <c r="AE862" i="3"/>
  <c r="AA870" i="3"/>
  <c r="AE870" i="3"/>
  <c r="AA878" i="3"/>
  <c r="AE878" i="3"/>
  <c r="AA886" i="3"/>
  <c r="AE886" i="3"/>
  <c r="AG894" i="3"/>
  <c r="AE894" i="3"/>
  <c r="AF894" i="3"/>
  <c r="AA902" i="3"/>
  <c r="AE902" i="3"/>
  <c r="AG910" i="3"/>
  <c r="AE910" i="3"/>
  <c r="AF910" i="3"/>
  <c r="AA922" i="3"/>
  <c r="AE922" i="3"/>
  <c r="AA930" i="3"/>
  <c r="AE930" i="3"/>
  <c r="AA938" i="3"/>
  <c r="AE938" i="3"/>
  <c r="AA946" i="3"/>
  <c r="AE946" i="3"/>
  <c r="AA954" i="3"/>
  <c r="AE954" i="3"/>
  <c r="AF962" i="3"/>
  <c r="AG962" i="3"/>
  <c r="AE962" i="3"/>
  <c r="AA970" i="3"/>
  <c r="AE970" i="3"/>
  <c r="AA978" i="3"/>
  <c r="AE978" i="3"/>
  <c r="AA986" i="3"/>
  <c r="AE986" i="3"/>
  <c r="AA994" i="3"/>
  <c r="AE994" i="3"/>
  <c r="AG1002" i="3"/>
  <c r="AE1002" i="3"/>
  <c r="AF1002" i="3"/>
  <c r="AG1010" i="3"/>
  <c r="AE1010" i="3"/>
  <c r="AF1010" i="3"/>
  <c r="AG1018" i="3"/>
  <c r="AE1018" i="3"/>
  <c r="AF1018" i="3"/>
  <c r="AG1026" i="3"/>
  <c r="AE1026" i="3"/>
  <c r="AF1026" i="3"/>
  <c r="AA1034" i="3"/>
  <c r="AE1034" i="3"/>
  <c r="AA1042" i="3"/>
  <c r="AE1042" i="3"/>
  <c r="AA1050" i="3"/>
  <c r="AE1050" i="3"/>
  <c r="AA1058" i="3"/>
  <c r="AE1058" i="3"/>
  <c r="AG1066" i="3"/>
  <c r="AE1066" i="3"/>
  <c r="AF1066" i="3"/>
  <c r="AA1074" i="3"/>
  <c r="AE1074" i="3"/>
  <c r="AA1082" i="3"/>
  <c r="AE1082" i="3"/>
  <c r="AA1090" i="3"/>
  <c r="AE1090" i="3"/>
  <c r="AA1098" i="3"/>
  <c r="AE1098" i="3"/>
  <c r="AA1106" i="3"/>
  <c r="AE1106" i="3"/>
  <c r="AA1114" i="3"/>
  <c r="AE1114" i="3"/>
  <c r="AA1122" i="3"/>
  <c r="AE1122" i="3"/>
  <c r="AA1130" i="3"/>
  <c r="AE1130" i="3"/>
  <c r="AA1138" i="3"/>
  <c r="AE1138" i="3"/>
  <c r="AA1146" i="3"/>
  <c r="AE1146" i="3"/>
  <c r="AA1154" i="3"/>
  <c r="AE1154" i="3"/>
  <c r="AA1162" i="3"/>
  <c r="AE1162" i="3"/>
  <c r="AA1170" i="3"/>
  <c r="AE1170" i="3"/>
  <c r="AA1178" i="3"/>
  <c r="AE1178" i="3"/>
  <c r="AA1186" i="3"/>
  <c r="AE1186" i="3"/>
  <c r="AA1194" i="3"/>
  <c r="AE1194" i="3"/>
  <c r="AA1202" i="3"/>
  <c r="AE1202" i="3"/>
  <c r="AA1210" i="3"/>
  <c r="AE1210" i="3"/>
  <c r="AA1218" i="3"/>
  <c r="AE1218" i="3"/>
  <c r="AA1226" i="3"/>
  <c r="AE1226" i="3"/>
  <c r="AA1234" i="3"/>
  <c r="AE1234" i="3"/>
  <c r="AA1242" i="3"/>
  <c r="AE1242" i="3"/>
  <c r="AA1250" i="3"/>
  <c r="AE1250" i="3"/>
  <c r="AA1258" i="3"/>
  <c r="AE1258" i="3"/>
  <c r="AA1266" i="3"/>
  <c r="AE1266" i="3"/>
  <c r="AA1274" i="3"/>
  <c r="AE1274" i="3"/>
  <c r="AF1280" i="3"/>
  <c r="AE1280" i="3"/>
  <c r="AG1280" i="3"/>
  <c r="AF1288" i="3"/>
  <c r="AE1288" i="3"/>
  <c r="AG1288" i="3"/>
  <c r="AE1296" i="3"/>
  <c r="AF1296" i="3"/>
  <c r="AG1296" i="3"/>
  <c r="AF1304" i="3"/>
  <c r="AE1304" i="3"/>
  <c r="AG1304" i="3"/>
  <c r="AF1312" i="3"/>
  <c r="AE1312" i="3"/>
  <c r="AG1312" i="3"/>
  <c r="AF1320" i="3"/>
  <c r="AE1320" i="3"/>
  <c r="AG1320" i="3"/>
  <c r="AF1328" i="3"/>
  <c r="AE1328" i="3"/>
  <c r="AG1328" i="3"/>
  <c r="AF1336" i="3"/>
  <c r="AE1336" i="3"/>
  <c r="AG1336" i="3"/>
  <c r="AE1344" i="3"/>
  <c r="AF1344" i="3"/>
  <c r="AG1344" i="3"/>
  <c r="AA1352" i="3"/>
  <c r="AE1352" i="3"/>
  <c r="AA1360" i="3"/>
  <c r="AE1360" i="3"/>
  <c r="AA1368" i="3"/>
  <c r="AE1368" i="3"/>
  <c r="AA1373" i="3"/>
  <c r="AE1373" i="3"/>
  <c r="AA1381" i="3"/>
  <c r="AE1381" i="3"/>
  <c r="AA1389" i="3"/>
  <c r="AE1389" i="3"/>
  <c r="AA1397" i="3"/>
  <c r="AE1397" i="3"/>
  <c r="AF1405" i="3"/>
  <c r="AE1405" i="3"/>
  <c r="AG1405" i="3"/>
  <c r="AE1413" i="3"/>
  <c r="AG1413" i="3"/>
  <c r="AF1413" i="3"/>
  <c r="AA1421" i="3"/>
  <c r="AE1421" i="3"/>
  <c r="AF1429" i="3"/>
  <c r="AG1429" i="3"/>
  <c r="AE1429" i="3"/>
  <c r="AE1437" i="3"/>
  <c r="AF1437" i="3"/>
  <c r="AG1437" i="3"/>
  <c r="AF1445" i="3"/>
  <c r="AE1445" i="3"/>
  <c r="AG1445" i="3"/>
  <c r="AE1453" i="3"/>
  <c r="AG1453" i="3"/>
  <c r="AF1453" i="3"/>
  <c r="AF1461" i="3"/>
  <c r="AE1461" i="3"/>
  <c r="AG1461" i="3"/>
  <c r="AE1469" i="3"/>
  <c r="AF1469" i="3"/>
  <c r="AG1469" i="3"/>
  <c r="AF1477" i="3"/>
  <c r="AE1477" i="3"/>
  <c r="AG1477" i="3"/>
  <c r="AA1485" i="3"/>
  <c r="AE1485" i="3"/>
  <c r="AF1493" i="3"/>
  <c r="AE1493" i="3"/>
  <c r="AG1493" i="3"/>
  <c r="AF1501" i="3"/>
  <c r="AE1501" i="3"/>
  <c r="AG1501" i="3"/>
  <c r="AF1509" i="3"/>
  <c r="AE1509" i="3"/>
  <c r="AG1509" i="3"/>
  <c r="AF1517" i="3"/>
  <c r="AE1517" i="3"/>
  <c r="AG1517" i="3"/>
  <c r="AF1525" i="3"/>
  <c r="AE1525" i="3"/>
  <c r="AG1525" i="3"/>
  <c r="AF1533" i="3"/>
  <c r="AE1533" i="3"/>
  <c r="AG1533" i="3"/>
  <c r="AF1541" i="3"/>
  <c r="AG1541" i="3"/>
  <c r="AE1541" i="3"/>
  <c r="AF1549" i="3"/>
  <c r="AG1549" i="3"/>
  <c r="AE1549" i="3"/>
  <c r="AF1557" i="3"/>
  <c r="AE1557" i="3"/>
  <c r="AG1557" i="3"/>
  <c r="AF1565" i="3"/>
  <c r="AG1565" i="3"/>
  <c r="AE1565" i="3"/>
  <c r="AA1573" i="3"/>
  <c r="AE1573" i="3"/>
  <c r="AF1581" i="3"/>
  <c r="AG1581" i="3"/>
  <c r="AE1581" i="3"/>
  <c r="AE1589" i="3"/>
  <c r="AF1589" i="3"/>
  <c r="AG1589" i="3"/>
  <c r="AA1597" i="3"/>
  <c r="AE1597" i="3"/>
  <c r="AA1605" i="3"/>
  <c r="AE1605" i="3"/>
  <c r="AE1613" i="3"/>
  <c r="AF1613" i="3"/>
  <c r="AG1613" i="3"/>
  <c r="AF1621" i="3"/>
  <c r="AE1621" i="3"/>
  <c r="AG1621" i="3"/>
  <c r="AE1629" i="3"/>
  <c r="AF1629" i="3"/>
  <c r="AG1629" i="3"/>
  <c r="AE1637" i="3"/>
  <c r="AF1637" i="3"/>
  <c r="AG1637" i="3"/>
  <c r="AE1645" i="3"/>
  <c r="AF1645" i="3"/>
  <c r="AG1645" i="3"/>
  <c r="AE1653" i="3"/>
  <c r="AF1653" i="3"/>
  <c r="AG1653" i="3"/>
  <c r="AE1661" i="3"/>
  <c r="AF1661" i="3"/>
  <c r="AG1661" i="3"/>
  <c r="AE1665" i="3"/>
  <c r="AF1665" i="3"/>
  <c r="AG1665" i="3"/>
  <c r="AF1672" i="3"/>
  <c r="AE1672" i="3"/>
  <c r="AG1672" i="3"/>
  <c r="AF1678" i="3"/>
  <c r="AG1678" i="3"/>
  <c r="AE1678" i="3"/>
  <c r="AF1682" i="3"/>
  <c r="AG1682" i="3"/>
  <c r="AE1682" i="3"/>
  <c r="AE1690" i="3"/>
  <c r="AF1690" i="3"/>
  <c r="AG1690" i="3"/>
  <c r="AF1698" i="3"/>
  <c r="AE1698" i="3"/>
  <c r="AG1698" i="3"/>
  <c r="AE1702" i="3"/>
  <c r="AF1702" i="3"/>
  <c r="AG1702" i="3"/>
  <c r="AE1713" i="3"/>
  <c r="AF1713" i="3"/>
  <c r="AG1713" i="3"/>
  <c r="AE1717" i="3"/>
  <c r="AF1717" i="3"/>
  <c r="AG1717" i="3"/>
  <c r="AE1725" i="3"/>
  <c r="AF1725" i="3"/>
  <c r="AG1725" i="3"/>
  <c r="AA14" i="3"/>
  <c r="AE14" i="3"/>
  <c r="AA36" i="3"/>
  <c r="AE36" i="3"/>
  <c r="AA39" i="3"/>
  <c r="AE39" i="3"/>
  <c r="AA53" i="3"/>
  <c r="AE53" i="3"/>
  <c r="AE68" i="3"/>
  <c r="AG68" i="3"/>
  <c r="AF68" i="3"/>
  <c r="AE71" i="3"/>
  <c r="AF71" i="3"/>
  <c r="AG71" i="3"/>
  <c r="AA85" i="3"/>
  <c r="AE85" i="3"/>
  <c r="AA100" i="3"/>
  <c r="AE100" i="3"/>
  <c r="AA103" i="3"/>
  <c r="AE103" i="3"/>
  <c r="AF119" i="3"/>
  <c r="AE119" i="3"/>
  <c r="AG119" i="3"/>
  <c r="AA134" i="3"/>
  <c r="AE134" i="3"/>
  <c r="AA137" i="3"/>
  <c r="AE137" i="3"/>
  <c r="AA151" i="3"/>
  <c r="AE151" i="3"/>
  <c r="AE166" i="3"/>
  <c r="AF166" i="3"/>
  <c r="AG166" i="3"/>
  <c r="AA169" i="3"/>
  <c r="AE169" i="3"/>
  <c r="AA183" i="3"/>
  <c r="AE183" i="3"/>
  <c r="AA197" i="3"/>
  <c r="AE197" i="3"/>
  <c r="AA211" i="3"/>
  <c r="AE211" i="3"/>
  <c r="AA214" i="3"/>
  <c r="AE214" i="3"/>
  <c r="AA228" i="3"/>
  <c r="AE228" i="3"/>
  <c r="AA252" i="3"/>
  <c r="AE252" i="3"/>
  <c r="AF255" i="3"/>
  <c r="AG255" i="3"/>
  <c r="AE255" i="3"/>
  <c r="AG269" i="3"/>
  <c r="AE269" i="3"/>
  <c r="AF269" i="3"/>
  <c r="AF284" i="3"/>
  <c r="AE284" i="3"/>
  <c r="AG284" i="3"/>
  <c r="AF287" i="3"/>
  <c r="AE287" i="3"/>
  <c r="AG287" i="3"/>
  <c r="AE301" i="3"/>
  <c r="AF301" i="3"/>
  <c r="AG301" i="3"/>
  <c r="AE316" i="3"/>
  <c r="AF316" i="3"/>
  <c r="AG316" i="3"/>
  <c r="AA319" i="3"/>
  <c r="AE319" i="3"/>
  <c r="AE333" i="3"/>
  <c r="AF333" i="3"/>
  <c r="AG333" i="3"/>
  <c r="AF348" i="3"/>
  <c r="AG348" i="3"/>
  <c r="AE348" i="3"/>
  <c r="AF351" i="3"/>
  <c r="AG351" i="3"/>
  <c r="AE351" i="3"/>
  <c r="AA365" i="3"/>
  <c r="AE365" i="3"/>
  <c r="AA380" i="3"/>
  <c r="AE380" i="3"/>
  <c r="AA383" i="3"/>
  <c r="AE383" i="3"/>
  <c r="AF397" i="3"/>
  <c r="AG397" i="3"/>
  <c r="AE397" i="3"/>
  <c r="AF412" i="3"/>
  <c r="AE412" i="3"/>
  <c r="AG412" i="3"/>
  <c r="AF415" i="3"/>
  <c r="AE415" i="3"/>
  <c r="AG415" i="3"/>
  <c r="AF429" i="3"/>
  <c r="AE429" i="3"/>
  <c r="AG429" i="3"/>
  <c r="AF444" i="3"/>
  <c r="AG444" i="3"/>
  <c r="AE444" i="3"/>
  <c r="AF447" i="3"/>
  <c r="AG447" i="3"/>
  <c r="AE447" i="3"/>
  <c r="AA461" i="3"/>
  <c r="AE461" i="3"/>
  <c r="AF476" i="3"/>
  <c r="AG476" i="3"/>
  <c r="AE476" i="3"/>
  <c r="AA479" i="3"/>
  <c r="AE479" i="3"/>
  <c r="AA493" i="3"/>
  <c r="AE493" i="3"/>
  <c r="AA508" i="3"/>
  <c r="AE508" i="3"/>
  <c r="AA511" i="3"/>
  <c r="AE511" i="3"/>
  <c r="AA525" i="3"/>
  <c r="AE525" i="3"/>
  <c r="AF540" i="3"/>
  <c r="AE540" i="3"/>
  <c r="AG540" i="3"/>
  <c r="AF543" i="3"/>
  <c r="AE543" i="3"/>
  <c r="AG543" i="3"/>
  <c r="AF557" i="3"/>
  <c r="AE557" i="3"/>
  <c r="AG557" i="3"/>
  <c r="AF572" i="3"/>
  <c r="AG572" i="3"/>
  <c r="AE572" i="3"/>
  <c r="AA574" i="3"/>
  <c r="AE574" i="3"/>
  <c r="AF585" i="3"/>
  <c r="AG585" i="3"/>
  <c r="AE585" i="3"/>
  <c r="AF600" i="3"/>
  <c r="AG600" i="3"/>
  <c r="AE600" i="3"/>
  <c r="AF603" i="3"/>
  <c r="AG603" i="3"/>
  <c r="AE603" i="3"/>
  <c r="AE617" i="3"/>
  <c r="AF617" i="3"/>
  <c r="AG617" i="3"/>
  <c r="AA632" i="3"/>
  <c r="AE632" i="3"/>
  <c r="AA635" i="3"/>
  <c r="AE635" i="3"/>
  <c r="AF649" i="3"/>
  <c r="AE649" i="3"/>
  <c r="AG649" i="3"/>
  <c r="AA664" i="3"/>
  <c r="AE664" i="3"/>
  <c r="AA667" i="3"/>
  <c r="AE667" i="3"/>
  <c r="AA681" i="3"/>
  <c r="AE681" i="3"/>
  <c r="AA700" i="3"/>
  <c r="AE700" i="3"/>
  <c r="AF703" i="3"/>
  <c r="AE703" i="3"/>
  <c r="AG703" i="3"/>
  <c r="AA717" i="3"/>
  <c r="AE717" i="3"/>
  <c r="AA732" i="3"/>
  <c r="AE732" i="3"/>
  <c r="AA735" i="3"/>
  <c r="AE735" i="3"/>
  <c r="AE749" i="3"/>
  <c r="AF749" i="3"/>
  <c r="AG749" i="3"/>
  <c r="AE764" i="3"/>
  <c r="AF764" i="3"/>
  <c r="AG764" i="3"/>
  <c r="AE767" i="3"/>
  <c r="AF767" i="3"/>
  <c r="AG767" i="3"/>
  <c r="AF781" i="3"/>
  <c r="AE781" i="3"/>
  <c r="AG781" i="3"/>
  <c r="AA796" i="3"/>
  <c r="AE796" i="3"/>
  <c r="AA799" i="3"/>
  <c r="AE799" i="3"/>
  <c r="AA813" i="3"/>
  <c r="AE813" i="3"/>
  <c r="AG828" i="3"/>
  <c r="AF828" i="3"/>
  <c r="AE828" i="3"/>
  <c r="AG831" i="3"/>
  <c r="AE831" i="3"/>
  <c r="AF831" i="3"/>
  <c r="AF845" i="3"/>
  <c r="AE845" i="3"/>
  <c r="AG845" i="3"/>
  <c r="AA859" i="3"/>
  <c r="AE859" i="3"/>
  <c r="AA874" i="3"/>
  <c r="AE874" i="3"/>
  <c r="AA877" i="3"/>
  <c r="AE877" i="3"/>
  <c r="AG891" i="3"/>
  <c r="AF891" i="3"/>
  <c r="AE891" i="3"/>
  <c r="AA906" i="3"/>
  <c r="AE906" i="3"/>
  <c r="AG909" i="3"/>
  <c r="AF909" i="3"/>
  <c r="AE909" i="3"/>
  <c r="AA927" i="3"/>
  <c r="AE927" i="3"/>
  <c r="AA942" i="3"/>
  <c r="AE942" i="3"/>
  <c r="AA945" i="3"/>
  <c r="AE945" i="3"/>
  <c r="AA959" i="3"/>
  <c r="AE959" i="3"/>
  <c r="AA974" i="3"/>
  <c r="AE974" i="3"/>
  <c r="AA977" i="3"/>
  <c r="AE977" i="3"/>
  <c r="AA991" i="3"/>
  <c r="AE991" i="3"/>
  <c r="AG1006" i="3"/>
  <c r="AE1006" i="3"/>
  <c r="AF1006" i="3"/>
  <c r="AG1009" i="3"/>
  <c r="AF1009" i="3"/>
  <c r="AE1009" i="3"/>
  <c r="AG1023" i="3"/>
  <c r="AF1023" i="3"/>
  <c r="AE1023" i="3"/>
  <c r="AA1038" i="3"/>
  <c r="AE1038" i="3"/>
  <c r="AG1041" i="3"/>
  <c r="AF1041" i="3"/>
  <c r="AE1041" i="3"/>
  <c r="AF1055" i="3"/>
  <c r="AE1055" i="3"/>
  <c r="AG1055" i="3"/>
  <c r="AA1070" i="3"/>
  <c r="AE1070" i="3"/>
  <c r="AA1073" i="3"/>
  <c r="AE1073" i="3"/>
  <c r="AA1087" i="3"/>
  <c r="AE1087" i="3"/>
  <c r="AA1102" i="3"/>
  <c r="AE1102" i="3"/>
  <c r="AA1105" i="3"/>
  <c r="AE1105" i="3"/>
  <c r="AA1119" i="3"/>
  <c r="AE1119" i="3"/>
  <c r="AA1134" i="3"/>
  <c r="AE1134" i="3"/>
  <c r="AA1137" i="3"/>
  <c r="AE1137" i="3"/>
  <c r="AA1151" i="3"/>
  <c r="AE1151" i="3"/>
  <c r="AA1166" i="3"/>
  <c r="AE1166" i="3"/>
  <c r="AA1169" i="3"/>
  <c r="AE1169" i="3"/>
  <c r="AA1183" i="3"/>
  <c r="AE1183" i="3"/>
  <c r="AA1198" i="3"/>
  <c r="AE1198" i="3"/>
  <c r="AA1201" i="3"/>
  <c r="AE1201" i="3"/>
  <c r="AA1215" i="3"/>
  <c r="AE1215" i="3"/>
  <c r="AA1230" i="3"/>
  <c r="AE1230" i="3"/>
  <c r="AA1233" i="3"/>
  <c r="AE1233" i="3"/>
  <c r="AA1247" i="3"/>
  <c r="AE1247" i="3"/>
  <c r="AE1262" i="3"/>
  <c r="AF1262" i="3"/>
  <c r="AG1262" i="3"/>
  <c r="AA1265" i="3"/>
  <c r="AE1265" i="3"/>
  <c r="AF1279" i="3"/>
  <c r="AE1279" i="3"/>
  <c r="AG1279" i="3"/>
  <c r="AE1293" i="3"/>
  <c r="AF1293" i="3"/>
  <c r="AG1293" i="3"/>
  <c r="AF1308" i="3"/>
  <c r="AE1308" i="3"/>
  <c r="AG1308" i="3"/>
  <c r="AF1311" i="3"/>
  <c r="AE1311" i="3"/>
  <c r="AG1311" i="3"/>
  <c r="AF1325" i="3"/>
  <c r="AE1325" i="3"/>
  <c r="AG1325" i="3"/>
  <c r="AF1340" i="3"/>
  <c r="AE1340" i="3"/>
  <c r="AG1340" i="3"/>
  <c r="AE1343" i="3"/>
  <c r="AF1343" i="3"/>
  <c r="AG1343" i="3"/>
  <c r="AF1357" i="3"/>
  <c r="AE1357" i="3"/>
  <c r="AG1357" i="3"/>
  <c r="AA1376" i="3"/>
  <c r="AE1376" i="3"/>
  <c r="AA1379" i="3"/>
  <c r="AE1379" i="3"/>
  <c r="AA1393" i="3"/>
  <c r="AE1393" i="3"/>
  <c r="AE1408" i="3"/>
  <c r="AF1408" i="3"/>
  <c r="AG1408" i="3"/>
  <c r="AA1411" i="3"/>
  <c r="AE1411" i="3"/>
  <c r="AE1425" i="3"/>
  <c r="AF1425" i="3"/>
  <c r="AG1425" i="3"/>
  <c r="AF1441" i="3"/>
  <c r="AE1441" i="3"/>
  <c r="AG1441" i="3"/>
  <c r="AE1444" i="3"/>
  <c r="AF1444" i="3"/>
  <c r="AG1444" i="3"/>
  <c r="AF1458" i="3"/>
  <c r="AG1458" i="3"/>
  <c r="AE1458" i="3"/>
  <c r="AA1465" i="3"/>
  <c r="AE1465" i="3"/>
  <c r="AF1468" i="3"/>
  <c r="AG1468" i="3"/>
  <c r="AE1468" i="3"/>
  <c r="AE1482" i="3"/>
  <c r="AF1482" i="3"/>
  <c r="AG1482" i="3"/>
  <c r="AF1489" i="3"/>
  <c r="AE1489" i="3"/>
  <c r="AG1489" i="3"/>
  <c r="AE1492" i="3"/>
  <c r="AF1492" i="3"/>
  <c r="AG1492" i="3"/>
  <c r="AE1512" i="3"/>
  <c r="AF1512" i="3"/>
  <c r="AG1512" i="3"/>
  <c r="AF1529" i="3"/>
  <c r="AE1529" i="3"/>
  <c r="AG1529" i="3"/>
  <c r="AE1532" i="3"/>
  <c r="AF1532" i="3"/>
  <c r="AG1532" i="3"/>
  <c r="AA1538" i="3"/>
  <c r="AE1538" i="3"/>
  <c r="AA1545" i="3"/>
  <c r="AE1545" i="3"/>
  <c r="AE1548" i="3"/>
  <c r="AF1548" i="3"/>
  <c r="AG1548" i="3"/>
  <c r="AE1554" i="3"/>
  <c r="AG1554" i="3"/>
  <c r="AF1554" i="3"/>
  <c r="AA1568" i="3"/>
  <c r="AE1568" i="3"/>
  <c r="AF1578" i="3"/>
  <c r="AG1578" i="3"/>
  <c r="AE1578" i="3"/>
  <c r="AE1585" i="3"/>
  <c r="AF1585" i="3"/>
  <c r="AG1585" i="3"/>
  <c r="AF1588" i="3"/>
  <c r="AG1588" i="3"/>
  <c r="AE1588" i="3"/>
  <c r="AE1594" i="3"/>
  <c r="AF1594" i="3"/>
  <c r="AG1594" i="3"/>
  <c r="AE1609" i="3"/>
  <c r="AF1609" i="3"/>
  <c r="AG1609" i="3"/>
  <c r="AF1612" i="3"/>
  <c r="AE1612" i="3"/>
  <c r="AG1612" i="3"/>
  <c r="AA1618" i="3"/>
  <c r="AE1618" i="3"/>
  <c r="AE1625" i="3"/>
  <c r="AF1625" i="3"/>
  <c r="AG1625" i="3"/>
  <c r="AF1628" i="3"/>
  <c r="AG1628" i="3"/>
  <c r="AE1628" i="3"/>
  <c r="AF1634" i="3"/>
  <c r="AE1634" i="3"/>
  <c r="AG1634" i="3"/>
  <c r="AE1641" i="3"/>
  <c r="AF1641" i="3"/>
  <c r="AG1641" i="3"/>
  <c r="AF1644" i="3"/>
  <c r="AE1644" i="3"/>
  <c r="AG1644" i="3"/>
  <c r="AF1664" i="3"/>
  <c r="AE1664" i="3"/>
  <c r="AG1664" i="3"/>
  <c r="AF1680" i="3"/>
  <c r="AE1680" i="3"/>
  <c r="AG1680" i="3"/>
  <c r="AE1693" i="3"/>
  <c r="AF1693" i="3"/>
  <c r="AG1693" i="3"/>
  <c r="AA1696" i="3"/>
  <c r="AE1696" i="3"/>
  <c r="AE1721" i="3"/>
  <c r="AF1721" i="3"/>
  <c r="AG1721" i="3"/>
  <c r="AF1724" i="3"/>
  <c r="AG1724" i="3"/>
  <c r="AE1724" i="3"/>
  <c r="AE1657" i="3"/>
  <c r="AF1657" i="3"/>
  <c r="AG1657" i="3"/>
  <c r="AF1728" i="3"/>
  <c r="AG1728" i="3"/>
  <c r="AE1728" i="3"/>
  <c r="AE1730" i="3"/>
  <c r="AF1730" i="3"/>
  <c r="AG1730" i="3"/>
  <c r="AE1732" i="3"/>
  <c r="AF1732" i="3"/>
  <c r="AG1732" i="3"/>
  <c r="AA34" i="3"/>
  <c r="AE34" i="3"/>
  <c r="AF58" i="3"/>
  <c r="AG58" i="3"/>
  <c r="AE58" i="3"/>
  <c r="AF74" i="3"/>
  <c r="AG74" i="3"/>
  <c r="AE74" i="3"/>
  <c r="AA90" i="3"/>
  <c r="AE90" i="3"/>
  <c r="AA106" i="3"/>
  <c r="AE106" i="3"/>
  <c r="AA124" i="3"/>
  <c r="AE124" i="3"/>
  <c r="AA148" i="3"/>
  <c r="AE148" i="3"/>
  <c r="AE164" i="3"/>
  <c r="AF164" i="3"/>
  <c r="AG164" i="3"/>
  <c r="AA180" i="3"/>
  <c r="AE180" i="3"/>
  <c r="AA195" i="3"/>
  <c r="AE195" i="3"/>
  <c r="AA213" i="3"/>
  <c r="AE213" i="3"/>
  <c r="AA229" i="3"/>
  <c r="AE229" i="3"/>
  <c r="AA242" i="3"/>
  <c r="AE242" i="3"/>
  <c r="AF258" i="3"/>
  <c r="AG258" i="3"/>
  <c r="AE258" i="3"/>
  <c r="AE274" i="3"/>
  <c r="AG274" i="3"/>
  <c r="AF274" i="3"/>
  <c r="AA282" i="3"/>
  <c r="AE282" i="3"/>
  <c r="AE298" i="3"/>
  <c r="AF298" i="3"/>
  <c r="AG298" i="3"/>
  <c r="AF314" i="3"/>
  <c r="AE314" i="3"/>
  <c r="AG314" i="3"/>
  <c r="AF330" i="3"/>
  <c r="AE330" i="3"/>
  <c r="AG330" i="3"/>
  <c r="AE346" i="3"/>
  <c r="AF346" i="3"/>
  <c r="AG346" i="3"/>
  <c r="AF354" i="3"/>
  <c r="AG354" i="3"/>
  <c r="AE354" i="3"/>
  <c r="AA362" i="3"/>
  <c r="AE362" i="3"/>
  <c r="AG370" i="3"/>
  <c r="AE370" i="3"/>
  <c r="AF370" i="3"/>
  <c r="AF378" i="3"/>
  <c r="AG378" i="3"/>
  <c r="AE378" i="3"/>
  <c r="AA386" i="3"/>
  <c r="AE386" i="3"/>
  <c r="AA394" i="3"/>
  <c r="AE394" i="3"/>
  <c r="AF402" i="3"/>
  <c r="AE402" i="3"/>
  <c r="AG402" i="3"/>
  <c r="AF410" i="3"/>
  <c r="AE410" i="3"/>
  <c r="AG410" i="3"/>
  <c r="AF418" i="3"/>
  <c r="AE418" i="3"/>
  <c r="AG418" i="3"/>
  <c r="AF426" i="3"/>
  <c r="AE426" i="3"/>
  <c r="AG426" i="3"/>
  <c r="AF434" i="3"/>
  <c r="AE434" i="3"/>
  <c r="AG434" i="3"/>
  <c r="AF442" i="3"/>
  <c r="AG442" i="3"/>
  <c r="AE442" i="3"/>
  <c r="AA450" i="3"/>
  <c r="AE450" i="3"/>
  <c r="AF458" i="3"/>
  <c r="AG458" i="3"/>
  <c r="AE458" i="3"/>
  <c r="AA466" i="3"/>
  <c r="AE466" i="3"/>
  <c r="AA474" i="3"/>
  <c r="AE474" i="3"/>
  <c r="AA482" i="3"/>
  <c r="AE482" i="3"/>
  <c r="AA490" i="3"/>
  <c r="AE490" i="3"/>
  <c r="AE498" i="3"/>
  <c r="AG498" i="3"/>
  <c r="AF498" i="3"/>
  <c r="AE506" i="3"/>
  <c r="AG506" i="3"/>
  <c r="AF506" i="3"/>
  <c r="AA514" i="3"/>
  <c r="AE514" i="3"/>
  <c r="AA522" i="3"/>
  <c r="AE522" i="3"/>
  <c r="AF530" i="3"/>
  <c r="AE530" i="3"/>
  <c r="AG530" i="3"/>
  <c r="AF538" i="3"/>
  <c r="AE538" i="3"/>
  <c r="AG538" i="3"/>
  <c r="AF546" i="3"/>
  <c r="AE546" i="3"/>
  <c r="AG546" i="3"/>
  <c r="AF554" i="3"/>
  <c r="AE554" i="3"/>
  <c r="AG554" i="3"/>
  <c r="AF562" i="3"/>
  <c r="AG562" i="3"/>
  <c r="AE562" i="3"/>
  <c r="AA570" i="3"/>
  <c r="AE570" i="3"/>
  <c r="AA580" i="3"/>
  <c r="AE580" i="3"/>
  <c r="AA590" i="3"/>
  <c r="AE590" i="3"/>
  <c r="AA598" i="3"/>
  <c r="AE598" i="3"/>
  <c r="AF606" i="3"/>
  <c r="AG606" i="3"/>
  <c r="AE606" i="3"/>
  <c r="AA614" i="3"/>
  <c r="AE614" i="3"/>
  <c r="AA622" i="3"/>
  <c r="AE622" i="3"/>
  <c r="AA630" i="3"/>
  <c r="AE630" i="3"/>
  <c r="AA638" i="3"/>
  <c r="AE638" i="3"/>
  <c r="AF646" i="3"/>
  <c r="AE646" i="3"/>
  <c r="AG646" i="3"/>
  <c r="AE654" i="3"/>
  <c r="AF654" i="3"/>
  <c r="AG654" i="3"/>
  <c r="AA662" i="3"/>
  <c r="AE662" i="3"/>
  <c r="AA670" i="3"/>
  <c r="AE670" i="3"/>
  <c r="AF678" i="3"/>
  <c r="AE678" i="3"/>
  <c r="AG678" i="3"/>
  <c r="AA686" i="3"/>
  <c r="AE686" i="3"/>
  <c r="AA694" i="3"/>
  <c r="AE694" i="3"/>
  <c r="AF702" i="3"/>
  <c r="AE702" i="3"/>
  <c r="AG702" i="3"/>
  <c r="AA710" i="3"/>
  <c r="AE710" i="3"/>
  <c r="AA718" i="3"/>
  <c r="AE718" i="3"/>
  <c r="AF726" i="3"/>
  <c r="AE726" i="3"/>
  <c r="AG726" i="3"/>
  <c r="AF734" i="3"/>
  <c r="AE734" i="3"/>
  <c r="AG734" i="3"/>
  <c r="AE742" i="3"/>
  <c r="AF742" i="3"/>
  <c r="AG742" i="3"/>
  <c r="AE750" i="3"/>
  <c r="AF750" i="3"/>
  <c r="AG750" i="3"/>
  <c r="AE758" i="3"/>
  <c r="AF758" i="3"/>
  <c r="AG758" i="3"/>
  <c r="AE766" i="3"/>
  <c r="AF766" i="3"/>
  <c r="AG766" i="3"/>
  <c r="AF774" i="3"/>
  <c r="AE774" i="3"/>
  <c r="AG774" i="3"/>
  <c r="AF782" i="3"/>
  <c r="AE782" i="3"/>
  <c r="AG782" i="3"/>
  <c r="AA790" i="3"/>
  <c r="AE790" i="3"/>
  <c r="AA798" i="3"/>
  <c r="AE798" i="3"/>
  <c r="AG806" i="3"/>
  <c r="AF806" i="3"/>
  <c r="AE806" i="3"/>
  <c r="AA814" i="3"/>
  <c r="AE814" i="3"/>
  <c r="AG822" i="3"/>
  <c r="AF822" i="3"/>
  <c r="AE822" i="3"/>
  <c r="AG830" i="3"/>
  <c r="AF830" i="3"/>
  <c r="AE830" i="3"/>
  <c r="AA838" i="3"/>
  <c r="AE838" i="3"/>
  <c r="AG848" i="3"/>
  <c r="AE848" i="3"/>
  <c r="AF848" i="3"/>
  <c r="AA856" i="3"/>
  <c r="AE856" i="3"/>
  <c r="AA864" i="3"/>
  <c r="AE864" i="3"/>
  <c r="AF872" i="3"/>
  <c r="AG872" i="3"/>
  <c r="AE872" i="3"/>
  <c r="AA880" i="3"/>
  <c r="AE880" i="3"/>
  <c r="AF888" i="3"/>
  <c r="AG888" i="3"/>
  <c r="AE888" i="3"/>
  <c r="AG896" i="3"/>
  <c r="AE896" i="3"/>
  <c r="AF896" i="3"/>
  <c r="AA904" i="3"/>
  <c r="AE904" i="3"/>
  <c r="AG912" i="3"/>
  <c r="AE912" i="3"/>
  <c r="AF912" i="3"/>
  <c r="AA920" i="3"/>
  <c r="AE920" i="3"/>
  <c r="AA928" i="3"/>
  <c r="AE928" i="3"/>
  <c r="AA936" i="3"/>
  <c r="AE936" i="3"/>
  <c r="AA944" i="3"/>
  <c r="AE944" i="3"/>
  <c r="AA952" i="3"/>
  <c r="AE952" i="3"/>
  <c r="AA960" i="3"/>
  <c r="AE960" i="3"/>
  <c r="AA968" i="3"/>
  <c r="AE968" i="3"/>
  <c r="AA976" i="3"/>
  <c r="AE976" i="3"/>
  <c r="AA984" i="3"/>
  <c r="AE984" i="3"/>
  <c r="AA992" i="3"/>
  <c r="AE992" i="3"/>
  <c r="AG1000" i="3"/>
  <c r="AE1000" i="3"/>
  <c r="AF1000" i="3"/>
  <c r="AG1008" i="3"/>
  <c r="AE1008" i="3"/>
  <c r="AF1008" i="3"/>
  <c r="AA1016" i="3"/>
  <c r="AE1016" i="3"/>
  <c r="AG1024" i="3"/>
  <c r="AE1024" i="3"/>
  <c r="AF1024" i="3"/>
  <c r="AG1032" i="3"/>
  <c r="AE1032" i="3"/>
  <c r="AF1032" i="3"/>
  <c r="AG1040" i="3"/>
  <c r="AE1040" i="3"/>
  <c r="AF1040" i="3"/>
  <c r="AA1048" i="3"/>
  <c r="AE1048" i="3"/>
  <c r="AA1056" i="3"/>
  <c r="AE1056" i="3"/>
  <c r="AA1064" i="3"/>
  <c r="AE1064" i="3"/>
  <c r="AA1072" i="3"/>
  <c r="AE1072" i="3"/>
  <c r="AA1080" i="3"/>
  <c r="AE1080" i="3"/>
  <c r="AA1088" i="3"/>
  <c r="AE1088" i="3"/>
  <c r="AA1096" i="3"/>
  <c r="AE1096" i="3"/>
  <c r="AA1104" i="3"/>
  <c r="AE1104" i="3"/>
  <c r="AA1112" i="3"/>
  <c r="AE1112" i="3"/>
  <c r="AA1120" i="3"/>
  <c r="AE1120" i="3"/>
  <c r="AA1128" i="3"/>
  <c r="AE1128" i="3"/>
  <c r="AA1136" i="3"/>
  <c r="AE1136" i="3"/>
  <c r="AA1144" i="3"/>
  <c r="AE1144" i="3"/>
  <c r="AA1152" i="3"/>
  <c r="AE1152" i="3"/>
  <c r="AA1160" i="3"/>
  <c r="AE1160" i="3"/>
  <c r="AA1168" i="3"/>
  <c r="AE1168" i="3"/>
  <c r="AA1176" i="3"/>
  <c r="AE1176" i="3"/>
  <c r="AA1184" i="3"/>
  <c r="AE1184" i="3"/>
  <c r="AA1192" i="3"/>
  <c r="AE1192" i="3"/>
  <c r="AA1200" i="3"/>
  <c r="AE1200" i="3"/>
  <c r="AA1208" i="3"/>
  <c r="AE1208" i="3"/>
  <c r="AA1216" i="3"/>
  <c r="AE1216" i="3"/>
  <c r="AA1224" i="3"/>
  <c r="AE1224" i="3"/>
  <c r="AA1232" i="3"/>
  <c r="AE1232" i="3"/>
  <c r="AA1240" i="3"/>
  <c r="AE1240" i="3"/>
  <c r="AA1248" i="3"/>
  <c r="AE1248" i="3"/>
  <c r="AA1256" i="3"/>
  <c r="AE1256" i="3"/>
  <c r="AE1264" i="3"/>
  <c r="AF1264" i="3"/>
  <c r="AG1264" i="3"/>
  <c r="AA1272" i="3"/>
  <c r="AE1272" i="3"/>
  <c r="AF1282" i="3"/>
  <c r="AE1282" i="3"/>
  <c r="AG1282" i="3"/>
  <c r="AF1290" i="3"/>
  <c r="AE1290" i="3"/>
  <c r="AG1290" i="3"/>
  <c r="AE1298" i="3"/>
  <c r="AF1298" i="3"/>
  <c r="AG1298" i="3"/>
  <c r="AF1306" i="3"/>
  <c r="AE1306" i="3"/>
  <c r="AG1306" i="3"/>
  <c r="AF1314" i="3"/>
  <c r="AE1314" i="3"/>
  <c r="AG1314" i="3"/>
  <c r="AF1322" i="3"/>
  <c r="AE1322" i="3"/>
  <c r="AG1322" i="3"/>
  <c r="AF1330" i="3"/>
  <c r="AE1330" i="3"/>
  <c r="AG1330" i="3"/>
  <c r="AF1338" i="3"/>
  <c r="AE1338" i="3"/>
  <c r="AG1338" i="3"/>
  <c r="AE1346" i="3"/>
  <c r="AF1346" i="3"/>
  <c r="AG1346" i="3"/>
  <c r="AF1354" i="3"/>
  <c r="AE1354" i="3"/>
  <c r="AG1354" i="3"/>
  <c r="AA1362" i="3"/>
  <c r="AE1362" i="3"/>
  <c r="AA1370" i="3"/>
  <c r="AE1370" i="3"/>
  <c r="AA1378" i="3"/>
  <c r="AE1378" i="3"/>
  <c r="AA1386" i="3"/>
  <c r="AE1386" i="3"/>
  <c r="AA1394" i="3"/>
  <c r="AE1394" i="3"/>
  <c r="AA1402" i="3"/>
  <c r="AE1402" i="3"/>
  <c r="AA1410" i="3"/>
  <c r="AE1410" i="3"/>
  <c r="AA1418" i="3"/>
  <c r="AE1418" i="3"/>
  <c r="AF1426" i="3"/>
  <c r="AE1426" i="3"/>
  <c r="AG1426" i="3"/>
  <c r="AF1434" i="3"/>
  <c r="AG1434" i="3"/>
  <c r="AE1434" i="3"/>
  <c r="AF1443" i="3"/>
  <c r="AG1443" i="3"/>
  <c r="AE1443" i="3"/>
  <c r="AF1451" i="3"/>
  <c r="AE1451" i="3"/>
  <c r="AG1451" i="3"/>
  <c r="AE1459" i="3"/>
  <c r="AF1459" i="3"/>
  <c r="AG1459" i="3"/>
  <c r="AF1467" i="3"/>
  <c r="AG1467" i="3"/>
  <c r="AE1467" i="3"/>
  <c r="AF1475" i="3"/>
  <c r="AG1475" i="3"/>
  <c r="AE1475" i="3"/>
  <c r="AF1483" i="3"/>
  <c r="AE1483" i="3"/>
  <c r="AG1483" i="3"/>
  <c r="AA1491" i="3"/>
  <c r="AE1491" i="3"/>
  <c r="AF1499" i="3"/>
  <c r="AG1499" i="3"/>
  <c r="AE1499" i="3"/>
  <c r="AF1507" i="3"/>
  <c r="AG1507" i="3"/>
  <c r="AE1507" i="3"/>
  <c r="AF1515" i="3"/>
  <c r="AG1515" i="3"/>
  <c r="AE1515" i="3"/>
  <c r="AF1523" i="3"/>
  <c r="AG1523" i="3"/>
  <c r="AE1523" i="3"/>
  <c r="AF1531" i="3"/>
  <c r="AG1531" i="3"/>
  <c r="AE1531" i="3"/>
  <c r="AA1539" i="3"/>
  <c r="AE1539" i="3"/>
  <c r="AF1547" i="3"/>
  <c r="AE1547" i="3"/>
  <c r="AG1547" i="3"/>
  <c r="AF1555" i="3"/>
  <c r="AG1555" i="3"/>
  <c r="AE1555" i="3"/>
  <c r="AF1563" i="3"/>
  <c r="AE1563" i="3"/>
  <c r="AG1563" i="3"/>
  <c r="AE1571" i="3"/>
  <c r="AF1571" i="3"/>
  <c r="AG1571" i="3"/>
  <c r="AE1579" i="3"/>
  <c r="AF1579" i="3"/>
  <c r="AG1579" i="3"/>
  <c r="AA1587" i="3"/>
  <c r="AE1587" i="3"/>
  <c r="AA1595" i="3"/>
  <c r="AE1595" i="3"/>
  <c r="AE1603" i="3"/>
  <c r="AF1603" i="3"/>
  <c r="AG1603" i="3"/>
  <c r="AE1611" i="3"/>
  <c r="AF1611" i="3"/>
  <c r="AG1611" i="3"/>
  <c r="AF1619" i="3"/>
  <c r="AG1619" i="3"/>
  <c r="AE1619" i="3"/>
  <c r="AE1627" i="3"/>
  <c r="AF1627" i="3"/>
  <c r="AG1627" i="3"/>
  <c r="AE1635" i="3"/>
  <c r="AF1635" i="3"/>
  <c r="AG1635" i="3"/>
  <c r="AE1643" i="3"/>
  <c r="AF1643" i="3"/>
  <c r="AG1643" i="3"/>
  <c r="AE1651" i="3"/>
  <c r="AF1651" i="3"/>
  <c r="AG1651" i="3"/>
  <c r="AE1659" i="3"/>
  <c r="AF1659" i="3"/>
  <c r="AG1659" i="3"/>
  <c r="AE1667" i="3"/>
  <c r="AF1667" i="3"/>
  <c r="AG1667" i="3"/>
  <c r="AE1675" i="3"/>
  <c r="AF1675" i="3"/>
  <c r="AG1675" i="3"/>
  <c r="AF1683" i="3"/>
  <c r="AG1683" i="3"/>
  <c r="AE1683" i="3"/>
  <c r="AF1691" i="3"/>
  <c r="AG1691" i="3"/>
  <c r="AE1691" i="3"/>
  <c r="AF1699" i="3"/>
  <c r="AE1699" i="3"/>
  <c r="AG1699" i="3"/>
  <c r="AA1707" i="3"/>
  <c r="AE1707" i="3"/>
  <c r="AA1715" i="3"/>
  <c r="AE1715" i="3"/>
  <c r="AE1723" i="3"/>
  <c r="AF1723" i="3"/>
  <c r="AG1723" i="3"/>
  <c r="AE1729" i="3"/>
  <c r="AF1729" i="3"/>
  <c r="AG1729" i="3"/>
  <c r="AA24" i="3"/>
  <c r="AE24" i="3"/>
  <c r="AA32" i="3"/>
  <c r="AE32" i="3"/>
  <c r="AA40" i="3"/>
  <c r="AE40" i="3"/>
  <c r="AA48" i="3"/>
  <c r="AE48" i="3"/>
  <c r="AF56" i="3"/>
  <c r="AG56" i="3"/>
  <c r="AE56" i="3"/>
  <c r="AE64" i="3"/>
  <c r="AG64" i="3"/>
  <c r="AF64" i="3"/>
  <c r="AE72" i="3"/>
  <c r="AG72" i="3"/>
  <c r="AF72" i="3"/>
  <c r="AA80" i="3"/>
  <c r="AE80" i="3"/>
  <c r="AA88" i="3"/>
  <c r="AE88" i="3"/>
  <c r="AA96" i="3"/>
  <c r="AE96" i="3"/>
  <c r="AA104" i="3"/>
  <c r="AE104" i="3"/>
  <c r="AF112" i="3"/>
  <c r="AE112" i="3"/>
  <c r="AG112" i="3"/>
  <c r="AF114" i="3"/>
  <c r="AE114" i="3"/>
  <c r="AG114" i="3"/>
  <c r="AF122" i="3"/>
  <c r="AE122" i="3"/>
  <c r="AG122" i="3"/>
  <c r="AA130" i="3"/>
  <c r="AE130" i="3"/>
  <c r="AA138" i="3"/>
  <c r="AE138" i="3"/>
  <c r="AA146" i="3"/>
  <c r="AE146" i="3"/>
  <c r="AA154" i="3"/>
  <c r="AE154" i="3"/>
  <c r="AA162" i="3"/>
  <c r="AE162" i="3"/>
  <c r="AF170" i="3"/>
  <c r="AE170" i="3"/>
  <c r="AG170" i="3"/>
  <c r="AA178" i="3"/>
  <c r="AE178" i="3"/>
  <c r="AA186" i="3"/>
  <c r="AE186" i="3"/>
  <c r="AA194" i="3"/>
  <c r="AE194" i="3"/>
  <c r="AF200" i="3"/>
  <c r="AG200" i="3"/>
  <c r="AE200" i="3"/>
  <c r="AA208" i="3"/>
  <c r="AE208" i="3"/>
  <c r="AA216" i="3"/>
  <c r="AE216" i="3"/>
  <c r="AA224" i="3"/>
  <c r="AE224" i="3"/>
  <c r="AA232" i="3"/>
  <c r="AE232" i="3"/>
  <c r="AA248" i="3"/>
  <c r="AE248" i="3"/>
  <c r="AF256" i="3"/>
  <c r="AG256" i="3"/>
  <c r="AE256" i="3"/>
  <c r="AG264" i="3"/>
  <c r="AF264" i="3"/>
  <c r="AE264" i="3"/>
  <c r="AE272" i="3"/>
  <c r="AG272" i="3"/>
  <c r="AF272" i="3"/>
  <c r="AF280" i="3"/>
  <c r="AE280" i="3"/>
  <c r="AG280" i="3"/>
  <c r="AF288" i="3"/>
  <c r="AE288" i="3"/>
  <c r="AG288" i="3"/>
  <c r="AE296" i="3"/>
  <c r="AF296" i="3"/>
  <c r="AG296" i="3"/>
  <c r="AF304" i="3"/>
  <c r="AE304" i="3"/>
  <c r="AG304" i="3"/>
  <c r="AE312" i="3"/>
  <c r="AF312" i="3"/>
  <c r="AG312" i="3"/>
  <c r="AE320" i="3"/>
  <c r="AF320" i="3"/>
  <c r="AG320" i="3"/>
  <c r="AA328" i="3"/>
  <c r="AE328" i="3"/>
  <c r="AF336" i="3"/>
  <c r="AE336" i="3"/>
  <c r="AG336" i="3"/>
  <c r="AE344" i="3"/>
  <c r="AF344" i="3"/>
  <c r="AG344" i="3"/>
  <c r="AF352" i="3"/>
  <c r="AG352" i="3"/>
  <c r="AE352" i="3"/>
  <c r="AF360" i="3"/>
  <c r="AG360" i="3"/>
  <c r="AE360" i="3"/>
  <c r="AF368" i="3"/>
  <c r="AG368" i="3"/>
  <c r="AE368" i="3"/>
  <c r="AF376" i="3"/>
  <c r="AG376" i="3"/>
  <c r="AE376" i="3"/>
  <c r="AF384" i="3"/>
  <c r="AG384" i="3"/>
  <c r="AE384" i="3"/>
  <c r="AA392" i="3"/>
  <c r="AE392" i="3"/>
  <c r="AF400" i="3"/>
  <c r="AE400" i="3"/>
  <c r="AG400" i="3"/>
  <c r="AF408" i="3"/>
  <c r="AE408" i="3"/>
  <c r="AG408" i="3"/>
  <c r="AF416" i="3"/>
  <c r="AE416" i="3"/>
  <c r="AG416" i="3"/>
  <c r="AF424" i="3"/>
  <c r="AE424" i="3"/>
  <c r="AG424" i="3"/>
  <c r="AF432" i="3"/>
  <c r="AE432" i="3"/>
  <c r="AG432" i="3"/>
  <c r="AF440" i="3"/>
  <c r="AG440" i="3"/>
  <c r="AE440" i="3"/>
  <c r="AF448" i="3"/>
  <c r="AG448" i="3"/>
  <c r="AE448" i="3"/>
  <c r="AA456" i="3"/>
  <c r="AE456" i="3"/>
  <c r="AA464" i="3"/>
  <c r="AE464" i="3"/>
  <c r="AA472" i="3"/>
  <c r="AE472" i="3"/>
  <c r="AA480" i="3"/>
  <c r="AE480" i="3"/>
  <c r="AA488" i="3"/>
  <c r="AE488" i="3"/>
  <c r="AA496" i="3"/>
  <c r="AE496" i="3"/>
  <c r="AA504" i="3"/>
  <c r="AE504" i="3"/>
  <c r="AA512" i="3"/>
  <c r="AE512" i="3"/>
  <c r="AA520" i="3"/>
  <c r="AE520" i="3"/>
  <c r="AA528" i="3"/>
  <c r="AE528" i="3"/>
  <c r="AF536" i="3"/>
  <c r="AE536" i="3"/>
  <c r="AG536" i="3"/>
  <c r="AF544" i="3"/>
  <c r="AE544" i="3"/>
  <c r="AG544" i="3"/>
  <c r="AF552" i="3"/>
  <c r="AE552" i="3"/>
  <c r="AG552" i="3"/>
  <c r="AF560" i="3"/>
  <c r="AG560" i="3"/>
  <c r="AE560" i="3"/>
  <c r="AA568" i="3"/>
  <c r="AE568" i="3"/>
  <c r="AA577" i="3"/>
  <c r="AE577" i="3"/>
  <c r="AA583" i="3"/>
  <c r="AE583" i="3"/>
  <c r="AA589" i="3"/>
  <c r="AE589" i="3"/>
  <c r="AA597" i="3"/>
  <c r="AE597" i="3"/>
  <c r="AF605" i="3"/>
  <c r="AG605" i="3"/>
  <c r="AE605" i="3"/>
  <c r="AA613" i="3"/>
  <c r="AE613" i="3"/>
  <c r="AA621" i="3"/>
  <c r="AE621" i="3"/>
  <c r="AA629" i="3"/>
  <c r="AE629" i="3"/>
  <c r="AA637" i="3"/>
  <c r="AE637" i="3"/>
  <c r="AF645" i="3"/>
  <c r="AE645" i="3"/>
  <c r="AG645" i="3"/>
  <c r="AE653" i="3"/>
  <c r="AF653" i="3"/>
  <c r="AG653" i="3"/>
  <c r="AA661" i="3"/>
  <c r="AE661" i="3"/>
  <c r="AA669" i="3"/>
  <c r="AE669" i="3"/>
  <c r="AA677" i="3"/>
  <c r="AE677" i="3"/>
  <c r="AA685" i="3"/>
  <c r="AE685" i="3"/>
  <c r="AA693" i="3"/>
  <c r="AE693" i="3"/>
  <c r="AA697" i="3"/>
  <c r="AE697" i="3"/>
  <c r="AA705" i="3"/>
  <c r="AE705" i="3"/>
  <c r="AA713" i="3"/>
  <c r="AE713" i="3"/>
  <c r="AA721" i="3"/>
  <c r="AE721" i="3"/>
  <c r="AF729" i="3"/>
  <c r="AE729" i="3"/>
  <c r="AG729" i="3"/>
  <c r="AA737" i="3"/>
  <c r="AE737" i="3"/>
  <c r="AE745" i="3"/>
  <c r="AF745" i="3"/>
  <c r="AG745" i="3"/>
  <c r="AE753" i="3"/>
  <c r="AF753" i="3"/>
  <c r="AG753" i="3"/>
  <c r="AE761" i="3"/>
  <c r="AF761" i="3"/>
  <c r="AG761" i="3"/>
  <c r="AE769" i="3"/>
  <c r="AF769" i="3"/>
  <c r="AG769" i="3"/>
  <c r="AF777" i="3"/>
  <c r="AE777" i="3"/>
  <c r="AG777" i="3"/>
  <c r="AF785" i="3"/>
  <c r="AE785" i="3"/>
  <c r="AG785" i="3"/>
  <c r="AG793" i="3"/>
  <c r="AE793" i="3"/>
  <c r="AF793" i="3"/>
  <c r="AA801" i="3"/>
  <c r="AE801" i="3"/>
  <c r="AA809" i="3"/>
  <c r="AE809" i="3"/>
  <c r="AG817" i="3"/>
  <c r="AE817" i="3"/>
  <c r="AF817" i="3"/>
  <c r="AG825" i="3"/>
  <c r="AE825" i="3"/>
  <c r="AF825" i="3"/>
  <c r="AG833" i="3"/>
  <c r="AE833" i="3"/>
  <c r="AF833" i="3"/>
  <c r="AA841" i="3"/>
  <c r="AE841" i="3"/>
  <c r="AA847" i="3"/>
  <c r="AE847" i="3"/>
  <c r="AA855" i="3"/>
  <c r="AE855" i="3"/>
  <c r="AA863" i="3"/>
  <c r="AE863" i="3"/>
  <c r="AF871" i="3"/>
  <c r="AG871" i="3"/>
  <c r="AE871" i="3"/>
  <c r="AA879" i="3"/>
  <c r="AE879" i="3"/>
  <c r="AF887" i="3"/>
  <c r="AG887" i="3"/>
  <c r="AE887" i="3"/>
  <c r="AG895" i="3"/>
  <c r="AF895" i="3"/>
  <c r="AE895" i="3"/>
  <c r="AA903" i="3"/>
  <c r="AE903" i="3"/>
  <c r="AG911" i="3"/>
  <c r="AF911" i="3"/>
  <c r="AE911" i="3"/>
  <c r="AA923" i="3"/>
  <c r="AE923" i="3"/>
  <c r="AA931" i="3"/>
  <c r="AE931" i="3"/>
  <c r="AA939" i="3"/>
  <c r="AE939" i="3"/>
  <c r="AA947" i="3"/>
  <c r="AE947" i="3"/>
  <c r="AA955" i="3"/>
  <c r="AE955" i="3"/>
  <c r="AF963" i="3"/>
  <c r="AG963" i="3"/>
  <c r="AE963" i="3"/>
  <c r="AA971" i="3"/>
  <c r="AE971" i="3"/>
  <c r="AA979" i="3"/>
  <c r="AE979" i="3"/>
  <c r="AA987" i="3"/>
  <c r="AE987" i="3"/>
  <c r="AF995" i="3"/>
  <c r="AG995" i="3"/>
  <c r="AE995" i="3"/>
  <c r="AG1003" i="3"/>
  <c r="AF1003" i="3"/>
  <c r="AE1003" i="3"/>
  <c r="AG1011" i="3"/>
  <c r="AF1011" i="3"/>
  <c r="AE1011" i="3"/>
  <c r="AG1019" i="3"/>
  <c r="AF1019" i="3"/>
  <c r="AE1019" i="3"/>
  <c r="AA1027" i="3"/>
  <c r="AE1027" i="3"/>
  <c r="AA1035" i="3"/>
  <c r="AE1035" i="3"/>
  <c r="AA1043" i="3"/>
  <c r="AE1043" i="3"/>
  <c r="AA1051" i="3"/>
  <c r="AE1051" i="3"/>
  <c r="AA1059" i="3"/>
  <c r="AE1059" i="3"/>
  <c r="AA1067" i="3"/>
  <c r="AE1067" i="3"/>
  <c r="AA1075" i="3"/>
  <c r="AE1075" i="3"/>
  <c r="AA1083" i="3"/>
  <c r="AE1083" i="3"/>
  <c r="AA1091" i="3"/>
  <c r="AE1091" i="3"/>
  <c r="AA1099" i="3"/>
  <c r="AE1099" i="3"/>
  <c r="AA1107" i="3"/>
  <c r="AE1107" i="3"/>
  <c r="AA1115" i="3"/>
  <c r="AE1115" i="3"/>
  <c r="AA1123" i="3"/>
  <c r="AE1123" i="3"/>
  <c r="AA1131" i="3"/>
  <c r="AE1131" i="3"/>
  <c r="AA1139" i="3"/>
  <c r="AE1139" i="3"/>
  <c r="AA1147" i="3"/>
  <c r="AE1147" i="3"/>
  <c r="AA1155" i="3"/>
  <c r="AE1155" i="3"/>
  <c r="AA1163" i="3"/>
  <c r="AE1163" i="3"/>
  <c r="AA1171" i="3"/>
  <c r="AE1171" i="3"/>
  <c r="AA1179" i="3"/>
  <c r="AE1179" i="3"/>
  <c r="AA1187" i="3"/>
  <c r="AE1187" i="3"/>
  <c r="AA1195" i="3"/>
  <c r="AE1195" i="3"/>
  <c r="AA1203" i="3"/>
  <c r="AE1203" i="3"/>
  <c r="AA1211" i="3"/>
  <c r="AE1211" i="3"/>
  <c r="AA1219" i="3"/>
  <c r="AE1219" i="3"/>
  <c r="AA1227" i="3"/>
  <c r="AE1227" i="3"/>
  <c r="AA1235" i="3"/>
  <c r="AE1235" i="3"/>
  <c r="AA1243" i="3"/>
  <c r="AE1243" i="3"/>
  <c r="AA1251" i="3"/>
  <c r="AE1251" i="3"/>
  <c r="AE1259" i="3"/>
  <c r="AF1259" i="3"/>
  <c r="AG1259" i="3"/>
  <c r="AA1267" i="3"/>
  <c r="AE1267" i="3"/>
  <c r="AA1275" i="3"/>
  <c r="AE1275" i="3"/>
  <c r="AF1281" i="3"/>
  <c r="AE1281" i="3"/>
  <c r="AG1281" i="3"/>
  <c r="AF1289" i="3"/>
  <c r="AE1289" i="3"/>
  <c r="AG1289" i="3"/>
  <c r="AE1297" i="3"/>
  <c r="AF1297" i="3"/>
  <c r="AG1297" i="3"/>
  <c r="AF1305" i="3"/>
  <c r="AE1305" i="3"/>
  <c r="AG1305" i="3"/>
  <c r="AF1313" i="3"/>
  <c r="AE1313" i="3"/>
  <c r="AG1313" i="3"/>
  <c r="AF1321" i="3"/>
  <c r="AE1321" i="3"/>
  <c r="AG1321" i="3"/>
  <c r="AF1329" i="3"/>
  <c r="AE1329" i="3"/>
  <c r="AG1329" i="3"/>
  <c r="AF1337" i="3"/>
  <c r="AE1337" i="3"/>
  <c r="AG1337" i="3"/>
  <c r="AE1345" i="3"/>
  <c r="AF1345" i="3"/>
  <c r="AG1345" i="3"/>
  <c r="AE1353" i="3"/>
  <c r="AF1353" i="3"/>
  <c r="AG1353" i="3"/>
  <c r="AA1361" i="3"/>
  <c r="AE1361" i="3"/>
  <c r="AA1372" i="3"/>
  <c r="AE1372" i="3"/>
  <c r="AA1380" i="3"/>
  <c r="AE1380" i="3"/>
  <c r="AA1388" i="3"/>
  <c r="AE1388" i="3"/>
  <c r="AA1396" i="3"/>
  <c r="AE1396" i="3"/>
  <c r="AE1404" i="3"/>
  <c r="AF1404" i="3"/>
  <c r="AG1404" i="3"/>
  <c r="AA1412" i="3"/>
  <c r="AE1412" i="3"/>
  <c r="AA1420" i="3"/>
  <c r="AE1420" i="3"/>
  <c r="AF1428" i="3"/>
  <c r="AE1428" i="3"/>
  <c r="AG1428" i="3"/>
  <c r="AF1436" i="3"/>
  <c r="AE1436" i="3"/>
  <c r="AG1436" i="3"/>
  <c r="AF1438" i="3"/>
  <c r="AG1438" i="3"/>
  <c r="AE1438" i="3"/>
  <c r="AE1446" i="3"/>
  <c r="AF1446" i="3"/>
  <c r="AG1446" i="3"/>
  <c r="AF1454" i="3"/>
  <c r="AG1454" i="3"/>
  <c r="AE1454" i="3"/>
  <c r="AE1462" i="3"/>
  <c r="AF1462" i="3"/>
  <c r="AG1462" i="3"/>
  <c r="AF1470" i="3"/>
  <c r="AE1470" i="3"/>
  <c r="AG1470" i="3"/>
  <c r="AE1478" i="3"/>
  <c r="AF1478" i="3"/>
  <c r="AG1478" i="3"/>
  <c r="AA1486" i="3"/>
  <c r="AE1486" i="3"/>
  <c r="AE1494" i="3"/>
  <c r="AF1494" i="3"/>
  <c r="AG1494" i="3"/>
  <c r="AE1502" i="3"/>
  <c r="AF1502" i="3"/>
  <c r="AG1502" i="3"/>
  <c r="AE1510" i="3"/>
  <c r="AF1510" i="3"/>
  <c r="AG1510" i="3"/>
  <c r="AE1518" i="3"/>
  <c r="AF1518" i="3"/>
  <c r="AG1518" i="3"/>
  <c r="AE1526" i="3"/>
  <c r="AF1526" i="3"/>
  <c r="AG1526" i="3"/>
  <c r="AE1534" i="3"/>
  <c r="AF1534" i="3"/>
  <c r="AG1534" i="3"/>
  <c r="AE1542" i="3"/>
  <c r="AF1542" i="3"/>
  <c r="AG1542" i="3"/>
  <c r="AE1550" i="3"/>
  <c r="AF1550" i="3"/>
  <c r="AG1550" i="3"/>
  <c r="AA1558" i="3"/>
  <c r="AE1558" i="3"/>
  <c r="AE1566" i="3"/>
  <c r="AF1566" i="3"/>
  <c r="AG1566" i="3"/>
  <c r="AA1574" i="3"/>
  <c r="AE1574" i="3"/>
  <c r="AE1582" i="3"/>
  <c r="AF1582" i="3"/>
  <c r="AG1582" i="3"/>
  <c r="AA1590" i="3"/>
  <c r="AE1590" i="3"/>
  <c r="AA1598" i="3"/>
  <c r="AE1598" i="3"/>
  <c r="AA1606" i="3"/>
  <c r="AE1606" i="3"/>
  <c r="AF1614" i="3"/>
  <c r="AG1614" i="3"/>
  <c r="AE1614" i="3"/>
  <c r="AA1622" i="3"/>
  <c r="AE1622" i="3"/>
  <c r="AF1630" i="3"/>
  <c r="AE1630" i="3"/>
  <c r="AG1630" i="3"/>
  <c r="AA1638" i="3"/>
  <c r="AE1638" i="3"/>
  <c r="AF1646" i="3"/>
  <c r="AG1646" i="3"/>
  <c r="AE1646" i="3"/>
  <c r="AF1654" i="3"/>
  <c r="AG1654" i="3"/>
  <c r="AE1654" i="3"/>
  <c r="AF1662" i="3"/>
  <c r="AG1662" i="3"/>
  <c r="AE1662" i="3"/>
  <c r="AF1666" i="3"/>
  <c r="AG1666" i="3"/>
  <c r="AE1666" i="3"/>
  <c r="AE1677" i="3"/>
  <c r="AF1677" i="3"/>
  <c r="AG1677" i="3"/>
  <c r="AE1681" i="3"/>
  <c r="AF1681" i="3"/>
  <c r="AG1681" i="3"/>
  <c r="AF1689" i="3"/>
  <c r="AE1689" i="3"/>
  <c r="AG1689" i="3"/>
  <c r="AE1697" i="3"/>
  <c r="AF1697" i="3"/>
  <c r="AG1697" i="3"/>
  <c r="AF1701" i="3"/>
  <c r="AG1701" i="3"/>
  <c r="AE1701" i="3"/>
  <c r="AA1708" i="3"/>
  <c r="AE1708" i="3"/>
  <c r="AF1714" i="3"/>
  <c r="AG1714" i="3"/>
  <c r="AE1714" i="3"/>
  <c r="AF1718" i="3"/>
  <c r="AE1718" i="3"/>
  <c r="AG1718" i="3"/>
  <c r="AF1726" i="3"/>
  <c r="AE1726" i="3"/>
  <c r="AG1726" i="3"/>
  <c r="AA23" i="3"/>
  <c r="AE23" i="3"/>
  <c r="AA37" i="3"/>
  <c r="AE37" i="3"/>
  <c r="AF52" i="3"/>
  <c r="AE52" i="3"/>
  <c r="AG52" i="3"/>
  <c r="AA55" i="3"/>
  <c r="AE55" i="3"/>
  <c r="AE69" i="3"/>
  <c r="AF69" i="3"/>
  <c r="AG69" i="3"/>
  <c r="AA84" i="3"/>
  <c r="AE84" i="3"/>
  <c r="AA87" i="3"/>
  <c r="AE87" i="3"/>
  <c r="AA101" i="3"/>
  <c r="AE101" i="3"/>
  <c r="AA118" i="3"/>
  <c r="AE118" i="3"/>
  <c r="AF121" i="3"/>
  <c r="AE121" i="3"/>
  <c r="AG121" i="3"/>
  <c r="AA135" i="3"/>
  <c r="AE135" i="3"/>
  <c r="AA150" i="3"/>
  <c r="AE150" i="3"/>
  <c r="AA153" i="3"/>
  <c r="AE153" i="3"/>
  <c r="AA167" i="3"/>
  <c r="AE167" i="3"/>
  <c r="AA182" i="3"/>
  <c r="AE182" i="3"/>
  <c r="AA185" i="3"/>
  <c r="AE185" i="3"/>
  <c r="AA198" i="3"/>
  <c r="AE198" i="3"/>
  <c r="AA212" i="3"/>
  <c r="AE212" i="3"/>
  <c r="AA227" i="3"/>
  <c r="AE227" i="3"/>
  <c r="AA230" i="3"/>
  <c r="AE230" i="3"/>
  <c r="AF253" i="3"/>
  <c r="AG253" i="3"/>
  <c r="AE253" i="3"/>
  <c r="AG268" i="3"/>
  <c r="AF268" i="3"/>
  <c r="AE268" i="3"/>
  <c r="AE271" i="3"/>
  <c r="AG271" i="3"/>
  <c r="AF271" i="3"/>
  <c r="AF285" i="3"/>
  <c r="AE285" i="3"/>
  <c r="AG285" i="3"/>
  <c r="AA300" i="3"/>
  <c r="AE300" i="3"/>
  <c r="AA303" i="3"/>
  <c r="AE303" i="3"/>
  <c r="AE317" i="3"/>
  <c r="AF317" i="3"/>
  <c r="AG317" i="3"/>
  <c r="AA332" i="3"/>
  <c r="AE332" i="3"/>
  <c r="AF335" i="3"/>
  <c r="AE335" i="3"/>
  <c r="AG335" i="3"/>
  <c r="AF349" i="3"/>
  <c r="AG349" i="3"/>
  <c r="AE349" i="3"/>
  <c r="AA364" i="3"/>
  <c r="AE364" i="3"/>
  <c r="AF367" i="3"/>
  <c r="AG367" i="3"/>
  <c r="AE367" i="3"/>
  <c r="AA381" i="3"/>
  <c r="AE381" i="3"/>
  <c r="AA396" i="3"/>
  <c r="AE396" i="3"/>
  <c r="AF399" i="3"/>
  <c r="AG399" i="3"/>
  <c r="AE399" i="3"/>
  <c r="AF413" i="3"/>
  <c r="AE413" i="3"/>
  <c r="AG413" i="3"/>
  <c r="AF428" i="3"/>
  <c r="AE428" i="3"/>
  <c r="AG428" i="3"/>
  <c r="AF431" i="3"/>
  <c r="AE431" i="3"/>
  <c r="AG431" i="3"/>
  <c r="AF445" i="3"/>
  <c r="AG445" i="3"/>
  <c r="AE445" i="3"/>
  <c r="AA460" i="3"/>
  <c r="AE460" i="3"/>
  <c r="AA463" i="3"/>
  <c r="AE463" i="3"/>
  <c r="AA477" i="3"/>
  <c r="AE477" i="3"/>
  <c r="AA492" i="3"/>
  <c r="AE492" i="3"/>
  <c r="AA495" i="3"/>
  <c r="AE495" i="3"/>
  <c r="AA509" i="3"/>
  <c r="AE509" i="3"/>
  <c r="AA524" i="3"/>
  <c r="AE524" i="3"/>
  <c r="AA527" i="3"/>
  <c r="AE527" i="3"/>
  <c r="AF541" i="3"/>
  <c r="AE541" i="3"/>
  <c r="AG541" i="3"/>
  <c r="AF556" i="3"/>
  <c r="AE556" i="3"/>
  <c r="AG556" i="3"/>
  <c r="AF559" i="3"/>
  <c r="AG559" i="3"/>
  <c r="AE559" i="3"/>
  <c r="AA573" i="3"/>
  <c r="AE573" i="3"/>
  <c r="AA576" i="3"/>
  <c r="AE576" i="3"/>
  <c r="AF587" i="3"/>
  <c r="AG587" i="3"/>
  <c r="AE587" i="3"/>
  <c r="AF601" i="3"/>
  <c r="AG601" i="3"/>
  <c r="AE601" i="3"/>
  <c r="AA616" i="3"/>
  <c r="AE616" i="3"/>
  <c r="AA619" i="3"/>
  <c r="AE619" i="3"/>
  <c r="AA633" i="3"/>
  <c r="AE633" i="3"/>
  <c r="AF648" i="3"/>
  <c r="AE648" i="3"/>
  <c r="AG648" i="3"/>
  <c r="AF651" i="3"/>
  <c r="AE651" i="3"/>
  <c r="AG651" i="3"/>
  <c r="AA665" i="3"/>
  <c r="AE665" i="3"/>
  <c r="AA680" i="3"/>
  <c r="AE680" i="3"/>
  <c r="AF683" i="3"/>
  <c r="AE683" i="3"/>
  <c r="AG683" i="3"/>
  <c r="AA701" i="3"/>
  <c r="AE701" i="3"/>
  <c r="AA716" i="3"/>
  <c r="AE716" i="3"/>
  <c r="AF719" i="3"/>
  <c r="AE719" i="3"/>
  <c r="AG719" i="3"/>
  <c r="AF733" i="3"/>
  <c r="AE733" i="3"/>
  <c r="AG733" i="3"/>
  <c r="AE748" i="3"/>
  <c r="AF748" i="3"/>
  <c r="AG748" i="3"/>
  <c r="AE751" i="3"/>
  <c r="AF751" i="3"/>
  <c r="AG751" i="3"/>
  <c r="AE765" i="3"/>
  <c r="AF765" i="3"/>
  <c r="AG765" i="3"/>
  <c r="AF780" i="3"/>
  <c r="AE780" i="3"/>
  <c r="AG780" i="3"/>
  <c r="AF783" i="3"/>
  <c r="AE783" i="3"/>
  <c r="AG783" i="3"/>
  <c r="AA797" i="3"/>
  <c r="AE797" i="3"/>
  <c r="AA812" i="3"/>
  <c r="AE812" i="3"/>
  <c r="AA815" i="3"/>
  <c r="AE815" i="3"/>
  <c r="AG829" i="3"/>
  <c r="AE829" i="3"/>
  <c r="AF829" i="3"/>
  <c r="AF843" i="3"/>
  <c r="AE843" i="3"/>
  <c r="AG843" i="3"/>
  <c r="AA858" i="3"/>
  <c r="AE858" i="3"/>
  <c r="AA861" i="3"/>
  <c r="AE861" i="3"/>
  <c r="AA875" i="3"/>
  <c r="AE875" i="3"/>
  <c r="AA890" i="3"/>
  <c r="AE890" i="3"/>
  <c r="AG893" i="3"/>
  <c r="AF893" i="3"/>
  <c r="AE893" i="3"/>
  <c r="AA907" i="3"/>
  <c r="AE907" i="3"/>
  <c r="AA926" i="3"/>
  <c r="AE926" i="3"/>
  <c r="AA929" i="3"/>
  <c r="AE929" i="3"/>
  <c r="AA943" i="3"/>
  <c r="AE943" i="3"/>
  <c r="AA958" i="3"/>
  <c r="AE958" i="3"/>
  <c r="AA961" i="3"/>
  <c r="AE961" i="3"/>
  <c r="AA975" i="3"/>
  <c r="AE975" i="3"/>
  <c r="AA990" i="3"/>
  <c r="AE990" i="3"/>
  <c r="AA993" i="3"/>
  <c r="AE993" i="3"/>
  <c r="AG1007" i="3"/>
  <c r="AF1007" i="3"/>
  <c r="AE1007" i="3"/>
  <c r="AG1022" i="3"/>
  <c r="AE1022" i="3"/>
  <c r="AF1022" i="3"/>
  <c r="AG1025" i="3"/>
  <c r="AF1025" i="3"/>
  <c r="AE1025" i="3"/>
  <c r="AA1039" i="3"/>
  <c r="AE1039" i="3"/>
  <c r="AA1054" i="3"/>
  <c r="AE1054" i="3"/>
  <c r="AA1057" i="3"/>
  <c r="AE1057" i="3"/>
  <c r="AA1071" i="3"/>
  <c r="AE1071" i="3"/>
  <c r="AA1086" i="3"/>
  <c r="AE1086" i="3"/>
  <c r="AA1089" i="3"/>
  <c r="AE1089" i="3"/>
  <c r="AA1103" i="3"/>
  <c r="AE1103" i="3"/>
  <c r="AA1118" i="3"/>
  <c r="AE1118" i="3"/>
  <c r="AE1121" i="3"/>
  <c r="AG1121" i="3"/>
  <c r="AF1121" i="3"/>
  <c r="AA1135" i="3"/>
  <c r="AE1135" i="3"/>
  <c r="AA1150" i="3"/>
  <c r="AE1150" i="3"/>
  <c r="AA1153" i="3"/>
  <c r="AE1153" i="3"/>
  <c r="AA1167" i="3"/>
  <c r="AE1167" i="3"/>
  <c r="AA1182" i="3"/>
  <c r="AE1182" i="3"/>
  <c r="AA1185" i="3"/>
  <c r="AE1185" i="3"/>
  <c r="AA1199" i="3"/>
  <c r="AE1199" i="3"/>
  <c r="AA1214" i="3"/>
  <c r="AE1214" i="3"/>
  <c r="AA1217" i="3"/>
  <c r="AE1217" i="3"/>
  <c r="AA1231" i="3"/>
  <c r="AE1231" i="3"/>
  <c r="AA1246" i="3"/>
  <c r="AE1246" i="3"/>
  <c r="AA1249" i="3"/>
  <c r="AE1249" i="3"/>
  <c r="AE1263" i="3"/>
  <c r="AF1263" i="3"/>
  <c r="AG1263" i="3"/>
  <c r="AF1277" i="3"/>
  <c r="AE1277" i="3"/>
  <c r="AG1277" i="3"/>
  <c r="AA1292" i="3"/>
  <c r="AE1292" i="3"/>
  <c r="AE1295" i="3"/>
  <c r="AF1295" i="3"/>
  <c r="AG1295" i="3"/>
  <c r="AF1309" i="3"/>
  <c r="AE1309" i="3"/>
  <c r="AG1309" i="3"/>
  <c r="AF1324" i="3"/>
  <c r="AE1324" i="3"/>
  <c r="AG1324" i="3"/>
  <c r="AF1327" i="3"/>
  <c r="AE1327" i="3"/>
  <c r="AG1327" i="3"/>
  <c r="AA1341" i="3"/>
  <c r="AE1341" i="3"/>
  <c r="AA1356" i="3"/>
  <c r="AE1356" i="3"/>
  <c r="AF1359" i="3"/>
  <c r="AG1359" i="3"/>
  <c r="AE1359" i="3"/>
  <c r="AA1377" i="3"/>
  <c r="AE1377" i="3"/>
  <c r="AA1392" i="3"/>
  <c r="AE1392" i="3"/>
  <c r="AA1395" i="3"/>
  <c r="AE1395" i="3"/>
  <c r="AA1409" i="3"/>
  <c r="AE1409" i="3"/>
  <c r="AF1424" i="3"/>
  <c r="AG1424" i="3"/>
  <c r="AE1424" i="3"/>
  <c r="AF1427" i="3"/>
  <c r="AE1427" i="3"/>
  <c r="AG1427" i="3"/>
  <c r="AE1442" i="3"/>
  <c r="AF1442" i="3"/>
  <c r="AG1442" i="3"/>
  <c r="AE1457" i="3"/>
  <c r="AF1457" i="3"/>
  <c r="AG1457" i="3"/>
  <c r="AA1460" i="3"/>
  <c r="AE1460" i="3"/>
  <c r="AE1466" i="3"/>
  <c r="AF1466" i="3"/>
  <c r="AG1466" i="3"/>
  <c r="AF1481" i="3"/>
  <c r="AG1481" i="3"/>
  <c r="AE1481" i="3"/>
  <c r="AE1484" i="3"/>
  <c r="AF1484" i="3"/>
  <c r="AG1484" i="3"/>
  <c r="AE1490" i="3"/>
  <c r="AF1490" i="3"/>
  <c r="AG1490" i="3"/>
  <c r="AE1504" i="3"/>
  <c r="AF1504" i="3"/>
  <c r="AG1504" i="3"/>
  <c r="AE1520" i="3"/>
  <c r="AF1520" i="3"/>
  <c r="AG1520" i="3"/>
  <c r="AE1530" i="3"/>
  <c r="AF1530" i="3"/>
  <c r="AG1530" i="3"/>
  <c r="AA1537" i="3"/>
  <c r="AE1537" i="3"/>
  <c r="AA1540" i="3"/>
  <c r="AE1540" i="3"/>
  <c r="AA1546" i="3"/>
  <c r="AE1546" i="3"/>
  <c r="AF1553" i="3"/>
  <c r="AE1553" i="3"/>
  <c r="AG1553" i="3"/>
  <c r="AE1556" i="3"/>
  <c r="AF1556" i="3"/>
  <c r="AG1556" i="3"/>
  <c r="AF1577" i="3"/>
  <c r="AE1577" i="3"/>
  <c r="AG1577" i="3"/>
  <c r="AE1580" i="3"/>
  <c r="AF1580" i="3"/>
  <c r="AG1580" i="3"/>
  <c r="AF1586" i="3"/>
  <c r="AG1586" i="3"/>
  <c r="AE1586" i="3"/>
  <c r="AA1593" i="3"/>
  <c r="AE1593" i="3"/>
  <c r="AA1596" i="3"/>
  <c r="AE1596" i="3"/>
  <c r="AF1610" i="3"/>
  <c r="AG1610" i="3"/>
  <c r="AE1610" i="3"/>
  <c r="AE1617" i="3"/>
  <c r="AF1617" i="3"/>
  <c r="AG1617" i="3"/>
  <c r="AE1620" i="3"/>
  <c r="AF1620" i="3"/>
  <c r="AG1620" i="3"/>
  <c r="AF1626" i="3"/>
  <c r="AE1626" i="3"/>
  <c r="AG1626" i="3"/>
  <c r="AE1633" i="3"/>
  <c r="AF1633" i="3"/>
  <c r="AG1633" i="3"/>
  <c r="AF1636" i="3"/>
  <c r="AG1636" i="3"/>
  <c r="AE1636" i="3"/>
  <c r="AF1642" i="3"/>
  <c r="AG1642" i="3"/>
  <c r="AE1642" i="3"/>
  <c r="AF1656" i="3"/>
  <c r="AE1656" i="3"/>
  <c r="AG1656" i="3"/>
  <c r="AF1668" i="3"/>
  <c r="AE1668" i="3"/>
  <c r="AG1668" i="3"/>
  <c r="AE1684" i="3"/>
  <c r="AF1684" i="3"/>
  <c r="AG1684" i="3"/>
  <c r="AF1694" i="3"/>
  <c r="AE1694" i="3"/>
  <c r="AG1694" i="3"/>
  <c r="AF1716" i="3"/>
  <c r="AG1716" i="3"/>
  <c r="AE1716" i="3"/>
  <c r="AF1722" i="3"/>
  <c r="AE1722" i="3"/>
  <c r="AG1722" i="3"/>
  <c r="AF15" i="3"/>
  <c r="AE15" i="3"/>
  <c r="AG15" i="3"/>
  <c r="AF1660" i="3"/>
  <c r="AE1660" i="3"/>
  <c r="AG1660" i="3"/>
  <c r="AE1669" i="3"/>
  <c r="AF1669" i="3"/>
  <c r="AG1669" i="3"/>
  <c r="AF1670" i="3"/>
  <c r="AG1670" i="3"/>
  <c r="AE1670" i="3"/>
  <c r="AE1673" i="3"/>
  <c r="AF1673" i="3"/>
  <c r="AG1673" i="3"/>
  <c r="AF1674" i="3"/>
  <c r="AG1674" i="3"/>
  <c r="AE1674" i="3"/>
  <c r="AF1676" i="3"/>
  <c r="AE1676" i="3"/>
  <c r="AG1676" i="3"/>
  <c r="AF1685" i="3"/>
  <c r="AE1685" i="3"/>
  <c r="AG1685" i="3"/>
  <c r="AE1686" i="3"/>
  <c r="AF1686" i="3"/>
  <c r="AG1686" i="3"/>
  <c r="AE1688" i="3"/>
  <c r="AF1688" i="3"/>
  <c r="AG1688" i="3"/>
  <c r="AE1700" i="3"/>
  <c r="AF1700" i="3"/>
  <c r="AG1700" i="3"/>
  <c r="AE1704" i="3"/>
  <c r="AF1704" i="3"/>
  <c r="AG1704" i="3"/>
  <c r="AF1705" i="3"/>
  <c r="AG1705" i="3"/>
  <c r="AE1705" i="3"/>
  <c r="AF1712" i="3"/>
  <c r="AE1712" i="3"/>
  <c r="AG1712" i="3"/>
  <c r="AF2" i="3"/>
  <c r="AB62" i="3"/>
  <c r="AC62" i="3" s="1"/>
  <c r="AA62" i="3"/>
  <c r="AB110" i="3"/>
  <c r="AC110" i="3" s="1"/>
  <c r="AA110" i="3"/>
  <c r="AB58" i="3"/>
  <c r="AC58" i="3" s="1"/>
  <c r="AA58" i="3"/>
  <c r="AB66" i="3"/>
  <c r="AC66" i="3" s="1"/>
  <c r="AA66" i="3"/>
  <c r="AB74" i="3"/>
  <c r="AC74" i="3" s="1"/>
  <c r="AA74" i="3"/>
  <c r="AB164" i="3"/>
  <c r="AC164" i="3" s="1"/>
  <c r="AA164" i="3"/>
  <c r="AB172" i="3"/>
  <c r="AC172" i="3" s="1"/>
  <c r="AA172" i="3"/>
  <c r="AB250" i="3"/>
  <c r="AC250" i="3" s="1"/>
  <c r="AA250" i="3"/>
  <c r="AB258" i="3"/>
  <c r="AC258" i="3" s="1"/>
  <c r="AA258" i="3"/>
  <c r="AB266" i="3"/>
  <c r="AC266" i="3" s="1"/>
  <c r="AA266" i="3"/>
  <c r="AB274" i="3"/>
  <c r="AC274" i="3" s="1"/>
  <c r="AA274" i="3"/>
  <c r="AB290" i="3"/>
  <c r="AC290" i="3" s="1"/>
  <c r="AA290" i="3"/>
  <c r="AB298" i="3"/>
  <c r="AC298" i="3" s="1"/>
  <c r="AA298" i="3"/>
  <c r="AB306" i="3"/>
  <c r="AC306" i="3" s="1"/>
  <c r="AA306" i="3"/>
  <c r="AB314" i="3"/>
  <c r="AC314" i="3" s="1"/>
  <c r="AA314" i="3"/>
  <c r="AB322" i="3"/>
  <c r="AC322" i="3" s="1"/>
  <c r="AA322" i="3"/>
  <c r="AB330" i="3"/>
  <c r="AC330" i="3" s="1"/>
  <c r="AA330" i="3"/>
  <c r="AB338" i="3"/>
  <c r="AC338" i="3" s="1"/>
  <c r="AA338" i="3"/>
  <c r="AB346" i="3"/>
  <c r="AC346" i="3" s="1"/>
  <c r="AA346" i="3"/>
  <c r="AB354" i="3"/>
  <c r="AC354" i="3" s="1"/>
  <c r="AA354" i="3"/>
  <c r="AB370" i="3"/>
  <c r="AC370" i="3" s="1"/>
  <c r="AA370" i="3"/>
  <c r="AB378" i="3"/>
  <c r="AC378" i="3" s="1"/>
  <c r="AA378" i="3"/>
  <c r="AB402" i="3"/>
  <c r="AC402" i="3" s="1"/>
  <c r="AA402" i="3"/>
  <c r="AB410" i="3"/>
  <c r="AC410" i="3" s="1"/>
  <c r="AA410" i="3"/>
  <c r="AB418" i="3"/>
  <c r="AC418" i="3" s="1"/>
  <c r="AA418" i="3"/>
  <c r="AB426" i="3"/>
  <c r="AC426" i="3" s="1"/>
  <c r="AA426" i="3"/>
  <c r="AB434" i="3"/>
  <c r="AC434" i="3" s="1"/>
  <c r="AA434" i="3"/>
  <c r="AB442" i="3"/>
  <c r="AC442" i="3" s="1"/>
  <c r="AA442" i="3"/>
  <c r="AB458" i="3"/>
  <c r="AC458" i="3" s="1"/>
  <c r="AA458" i="3"/>
  <c r="AB498" i="3"/>
  <c r="AC498" i="3" s="1"/>
  <c r="AA498" i="3"/>
  <c r="AB506" i="3"/>
  <c r="AC506" i="3" s="1"/>
  <c r="AA506" i="3"/>
  <c r="AB530" i="3"/>
  <c r="AC530" i="3" s="1"/>
  <c r="AA530" i="3"/>
  <c r="AB538" i="3"/>
  <c r="AC538" i="3" s="1"/>
  <c r="AA538" i="3"/>
  <c r="AB546" i="3"/>
  <c r="AC546" i="3" s="1"/>
  <c r="AA546" i="3"/>
  <c r="AB554" i="3"/>
  <c r="AC554" i="3" s="1"/>
  <c r="AA554" i="3"/>
  <c r="AB562" i="3"/>
  <c r="AC562" i="3" s="1"/>
  <c r="AA562" i="3"/>
  <c r="AB606" i="3"/>
  <c r="AC606" i="3" s="1"/>
  <c r="AA606" i="3"/>
  <c r="AB646" i="3"/>
  <c r="AC646" i="3" s="1"/>
  <c r="AA646" i="3"/>
  <c r="AB654" i="3"/>
  <c r="AC654" i="3" s="1"/>
  <c r="AA654" i="3"/>
  <c r="AB678" i="3"/>
  <c r="AC678" i="3" s="1"/>
  <c r="AA678" i="3"/>
  <c r="AB702" i="3"/>
  <c r="AC702" i="3" s="1"/>
  <c r="AA702" i="3"/>
  <c r="AB726" i="3"/>
  <c r="AC726" i="3" s="1"/>
  <c r="AA726" i="3"/>
  <c r="AB734" i="3"/>
  <c r="AC734" i="3" s="1"/>
  <c r="AA734" i="3"/>
  <c r="AB742" i="3"/>
  <c r="AC742" i="3" s="1"/>
  <c r="AA742" i="3"/>
  <c r="AB750" i="3"/>
  <c r="AC750" i="3" s="1"/>
  <c r="AA750" i="3"/>
  <c r="AB758" i="3"/>
  <c r="AC758" i="3" s="1"/>
  <c r="AA758" i="3"/>
  <c r="AB766" i="3"/>
  <c r="AC766" i="3" s="1"/>
  <c r="AA766" i="3"/>
  <c r="AB774" i="3"/>
  <c r="AC774" i="3" s="1"/>
  <c r="AA774" i="3"/>
  <c r="AB782" i="3"/>
  <c r="AC782" i="3" s="1"/>
  <c r="AA782" i="3"/>
  <c r="AB806" i="3"/>
  <c r="AC806" i="3" s="1"/>
  <c r="AA806" i="3"/>
  <c r="AB822" i="3"/>
  <c r="AC822" i="3" s="1"/>
  <c r="AA822" i="3"/>
  <c r="AB830" i="3"/>
  <c r="AC830" i="3" s="1"/>
  <c r="AA830" i="3"/>
  <c r="AB848" i="3"/>
  <c r="AC848" i="3" s="1"/>
  <c r="AA848" i="3"/>
  <c r="AB872" i="3"/>
  <c r="AC872" i="3" s="1"/>
  <c r="AA872" i="3"/>
  <c r="AB888" i="3"/>
  <c r="AC888" i="3" s="1"/>
  <c r="AA888" i="3"/>
  <c r="AB896" i="3"/>
  <c r="AC896" i="3" s="1"/>
  <c r="AA896" i="3"/>
  <c r="AB912" i="3"/>
  <c r="AC912" i="3" s="1"/>
  <c r="AA912" i="3"/>
  <c r="AB1000" i="3"/>
  <c r="AC1000" i="3" s="1"/>
  <c r="AA1000" i="3"/>
  <c r="AB1008" i="3"/>
  <c r="AC1008" i="3" s="1"/>
  <c r="AA1008" i="3"/>
  <c r="AB1024" i="3"/>
  <c r="AC1024" i="3" s="1"/>
  <c r="AA1024" i="3"/>
  <c r="AB1032" i="3"/>
  <c r="AC1032" i="3" s="1"/>
  <c r="AA1032" i="3"/>
  <c r="AB1040" i="3"/>
  <c r="AC1040" i="3" s="1"/>
  <c r="AA1040" i="3"/>
  <c r="AB1264" i="3"/>
  <c r="AC1264" i="3" s="1"/>
  <c r="AA1264" i="3"/>
  <c r="AB1282" i="3"/>
  <c r="AC1282" i="3" s="1"/>
  <c r="AA1282" i="3"/>
  <c r="AB1290" i="3"/>
  <c r="AC1290" i="3" s="1"/>
  <c r="AA1290" i="3"/>
  <c r="AB1298" i="3"/>
  <c r="AC1298" i="3" s="1"/>
  <c r="AA1298" i="3"/>
  <c r="AB1306" i="3"/>
  <c r="AC1306" i="3" s="1"/>
  <c r="AA1306" i="3"/>
  <c r="AB1314" i="3"/>
  <c r="AC1314" i="3" s="1"/>
  <c r="AA1314" i="3"/>
  <c r="AB1322" i="3"/>
  <c r="AC1322" i="3" s="1"/>
  <c r="AA1322" i="3"/>
  <c r="AB1330" i="3"/>
  <c r="AC1330" i="3" s="1"/>
  <c r="AA1330" i="3"/>
  <c r="AB1338" i="3"/>
  <c r="AC1338" i="3" s="1"/>
  <c r="AA1338" i="3"/>
  <c r="AB1346" i="3"/>
  <c r="AC1346" i="3" s="1"/>
  <c r="AA1346" i="3"/>
  <c r="AB1354" i="3"/>
  <c r="AC1354" i="3" s="1"/>
  <c r="AA1354" i="3"/>
  <c r="AB1426" i="3"/>
  <c r="AC1426" i="3" s="1"/>
  <c r="AA1426" i="3"/>
  <c r="AB1434" i="3"/>
  <c r="AC1434" i="3" s="1"/>
  <c r="AA1434" i="3"/>
  <c r="AB1443" i="3"/>
  <c r="AC1443" i="3" s="1"/>
  <c r="AA1443" i="3"/>
  <c r="AB1451" i="3"/>
  <c r="AC1451" i="3" s="1"/>
  <c r="AA1451" i="3"/>
  <c r="AB1459" i="3"/>
  <c r="AC1459" i="3" s="1"/>
  <c r="AA1459" i="3"/>
  <c r="AB1467" i="3"/>
  <c r="AC1467" i="3" s="1"/>
  <c r="AA1467" i="3"/>
  <c r="AB1475" i="3"/>
  <c r="AC1475" i="3" s="1"/>
  <c r="AA1475" i="3"/>
  <c r="AB1483" i="3"/>
  <c r="AC1483" i="3" s="1"/>
  <c r="AA1483" i="3"/>
  <c r="AB1499" i="3"/>
  <c r="AC1499" i="3" s="1"/>
  <c r="AA1499" i="3"/>
  <c r="AB1507" i="3"/>
  <c r="AC1507" i="3" s="1"/>
  <c r="AA1507" i="3"/>
  <c r="AB1515" i="3"/>
  <c r="AC1515" i="3" s="1"/>
  <c r="AA1515" i="3"/>
  <c r="AB1523" i="3"/>
  <c r="AC1523" i="3" s="1"/>
  <c r="AA1523" i="3"/>
  <c r="AB1531" i="3"/>
  <c r="AC1531" i="3" s="1"/>
  <c r="AA1531" i="3"/>
  <c r="AB1547" i="3"/>
  <c r="AC1547" i="3" s="1"/>
  <c r="AA1547" i="3"/>
  <c r="AB1555" i="3"/>
  <c r="AC1555" i="3" s="1"/>
  <c r="AA1555" i="3"/>
  <c r="AB1563" i="3"/>
  <c r="AC1563" i="3" s="1"/>
  <c r="AA1563" i="3"/>
  <c r="AB1571" i="3"/>
  <c r="AC1571" i="3" s="1"/>
  <c r="AA1571" i="3"/>
  <c r="AB1579" i="3"/>
  <c r="AC1579" i="3" s="1"/>
  <c r="AA1579" i="3"/>
  <c r="AB1603" i="3"/>
  <c r="AC1603" i="3" s="1"/>
  <c r="AA1603" i="3"/>
  <c r="AB1611" i="3"/>
  <c r="AC1611" i="3" s="1"/>
  <c r="AA1611" i="3"/>
  <c r="AB1619" i="3"/>
  <c r="AC1619" i="3" s="1"/>
  <c r="AA1619" i="3"/>
  <c r="AB1627" i="3"/>
  <c r="AC1627" i="3" s="1"/>
  <c r="AA1627" i="3"/>
  <c r="AB1635" i="3"/>
  <c r="AC1635" i="3" s="1"/>
  <c r="AA1635" i="3"/>
  <c r="AB1643" i="3"/>
  <c r="AC1643" i="3" s="1"/>
  <c r="AA1643" i="3"/>
  <c r="AB1651" i="3"/>
  <c r="AC1651" i="3" s="1"/>
  <c r="AA1651" i="3"/>
  <c r="AB1659" i="3"/>
  <c r="AC1659" i="3" s="1"/>
  <c r="AA1659" i="3"/>
  <c r="AB1667" i="3"/>
  <c r="AC1667" i="3" s="1"/>
  <c r="AA1667" i="3"/>
  <c r="AB1675" i="3"/>
  <c r="AC1675" i="3" s="1"/>
  <c r="AA1675" i="3"/>
  <c r="AB1683" i="3"/>
  <c r="AC1683" i="3" s="1"/>
  <c r="AA1683" i="3"/>
  <c r="AB1691" i="3"/>
  <c r="AC1691" i="3" s="1"/>
  <c r="AA1691" i="3"/>
  <c r="AB1699" i="3"/>
  <c r="AC1699" i="3" s="1"/>
  <c r="AA1699" i="3"/>
  <c r="AB1723" i="3"/>
  <c r="AC1723" i="3" s="1"/>
  <c r="AA1723" i="3"/>
  <c r="AB1729" i="3"/>
  <c r="AC1729" i="3" s="1"/>
  <c r="AA1729" i="3"/>
  <c r="AB56" i="3"/>
  <c r="AC56" i="3" s="1"/>
  <c r="AA56" i="3"/>
  <c r="AB64" i="3"/>
  <c r="AC64" i="3" s="1"/>
  <c r="AA64" i="3"/>
  <c r="AB72" i="3"/>
  <c r="AC72" i="3" s="1"/>
  <c r="AA72" i="3"/>
  <c r="AB112" i="3"/>
  <c r="AC112" i="3" s="1"/>
  <c r="AA112" i="3"/>
  <c r="AB114" i="3"/>
  <c r="AC114" i="3" s="1"/>
  <c r="AA114" i="3"/>
  <c r="AB122" i="3"/>
  <c r="AC122" i="3" s="1"/>
  <c r="AA122" i="3"/>
  <c r="AB170" i="3"/>
  <c r="AC170" i="3" s="1"/>
  <c r="AA170" i="3"/>
  <c r="AB200" i="3"/>
  <c r="AC200" i="3" s="1"/>
  <c r="AA200" i="3"/>
  <c r="AB256" i="3"/>
  <c r="AC256" i="3" s="1"/>
  <c r="AA256" i="3"/>
  <c r="AB264" i="3"/>
  <c r="AC264" i="3" s="1"/>
  <c r="AA264" i="3"/>
  <c r="AB272" i="3"/>
  <c r="AC272" i="3" s="1"/>
  <c r="AA272" i="3"/>
  <c r="AB280" i="3"/>
  <c r="AC280" i="3" s="1"/>
  <c r="AA280" i="3"/>
  <c r="AB288" i="3"/>
  <c r="AC288" i="3" s="1"/>
  <c r="AA288" i="3"/>
  <c r="AB296" i="3"/>
  <c r="AC296" i="3" s="1"/>
  <c r="AA296" i="3"/>
  <c r="AB304" i="3"/>
  <c r="AC304" i="3" s="1"/>
  <c r="AA304" i="3"/>
  <c r="AB312" i="3"/>
  <c r="AC312" i="3" s="1"/>
  <c r="AA312" i="3"/>
  <c r="AB320" i="3"/>
  <c r="AC320" i="3" s="1"/>
  <c r="AA320" i="3"/>
  <c r="AB336" i="3"/>
  <c r="AC336" i="3" s="1"/>
  <c r="AA336" i="3"/>
  <c r="AB344" i="3"/>
  <c r="AC344" i="3" s="1"/>
  <c r="AA344" i="3"/>
  <c r="AB352" i="3"/>
  <c r="AC352" i="3" s="1"/>
  <c r="AA352" i="3"/>
  <c r="AB360" i="3"/>
  <c r="AC360" i="3" s="1"/>
  <c r="AA360" i="3"/>
  <c r="AB368" i="3"/>
  <c r="AC368" i="3" s="1"/>
  <c r="AA368" i="3"/>
  <c r="AB376" i="3"/>
  <c r="AC376" i="3" s="1"/>
  <c r="AA376" i="3"/>
  <c r="AB384" i="3"/>
  <c r="AC384" i="3" s="1"/>
  <c r="AA384" i="3"/>
  <c r="AB400" i="3"/>
  <c r="AC400" i="3" s="1"/>
  <c r="AA400" i="3"/>
  <c r="AB408" i="3"/>
  <c r="AC408" i="3" s="1"/>
  <c r="AA408" i="3"/>
  <c r="AB416" i="3"/>
  <c r="AC416" i="3" s="1"/>
  <c r="AA416" i="3"/>
  <c r="AB424" i="3"/>
  <c r="AC424" i="3" s="1"/>
  <c r="AA424" i="3"/>
  <c r="AB432" i="3"/>
  <c r="AC432" i="3" s="1"/>
  <c r="AA432" i="3"/>
  <c r="AB440" i="3"/>
  <c r="AC440" i="3" s="1"/>
  <c r="AA440" i="3"/>
  <c r="AB448" i="3"/>
  <c r="AC448" i="3" s="1"/>
  <c r="AA448" i="3"/>
  <c r="AB536" i="3"/>
  <c r="AC536" i="3" s="1"/>
  <c r="AA536" i="3"/>
  <c r="AB544" i="3"/>
  <c r="AC544" i="3" s="1"/>
  <c r="AA544" i="3"/>
  <c r="AB552" i="3"/>
  <c r="AC552" i="3" s="1"/>
  <c r="AA552" i="3"/>
  <c r="AB560" i="3"/>
  <c r="AC560" i="3" s="1"/>
  <c r="AA560" i="3"/>
  <c r="AB605" i="3"/>
  <c r="AC605" i="3" s="1"/>
  <c r="AA605" i="3"/>
  <c r="AB645" i="3"/>
  <c r="AC645" i="3" s="1"/>
  <c r="AA645" i="3"/>
  <c r="AB653" i="3"/>
  <c r="AC653" i="3" s="1"/>
  <c r="AA653" i="3"/>
  <c r="AB729" i="3"/>
  <c r="AC729" i="3" s="1"/>
  <c r="AA729" i="3"/>
  <c r="AB745" i="3"/>
  <c r="AC745" i="3" s="1"/>
  <c r="AA745" i="3"/>
  <c r="AB753" i="3"/>
  <c r="AC753" i="3" s="1"/>
  <c r="AA753" i="3"/>
  <c r="AB761" i="3"/>
  <c r="AC761" i="3" s="1"/>
  <c r="AA761" i="3"/>
  <c r="AB769" i="3"/>
  <c r="AC769" i="3" s="1"/>
  <c r="AA769" i="3"/>
  <c r="AB777" i="3"/>
  <c r="AC777" i="3" s="1"/>
  <c r="AA777" i="3"/>
  <c r="AB785" i="3"/>
  <c r="AC785" i="3" s="1"/>
  <c r="AA785" i="3"/>
  <c r="AB793" i="3"/>
  <c r="AC793" i="3" s="1"/>
  <c r="AA793" i="3"/>
  <c r="AB817" i="3"/>
  <c r="AC817" i="3" s="1"/>
  <c r="AA817" i="3"/>
  <c r="AB825" i="3"/>
  <c r="AC825" i="3" s="1"/>
  <c r="AA825" i="3"/>
  <c r="AB833" i="3"/>
  <c r="AC833" i="3" s="1"/>
  <c r="AA833" i="3"/>
  <c r="AB871" i="3"/>
  <c r="AC871" i="3" s="1"/>
  <c r="AA871" i="3"/>
  <c r="AB887" i="3"/>
  <c r="AC887" i="3" s="1"/>
  <c r="AA887" i="3"/>
  <c r="AB895" i="3"/>
  <c r="AC895" i="3" s="1"/>
  <c r="AA895" i="3"/>
  <c r="AB911" i="3"/>
  <c r="AC911" i="3" s="1"/>
  <c r="AA911" i="3"/>
  <c r="AB963" i="3"/>
  <c r="AC963" i="3" s="1"/>
  <c r="AA963" i="3"/>
  <c r="AB995" i="3"/>
  <c r="AC995" i="3" s="1"/>
  <c r="AA995" i="3"/>
  <c r="AB1003" i="3"/>
  <c r="AC1003" i="3" s="1"/>
  <c r="AA1003" i="3"/>
  <c r="AB1011" i="3"/>
  <c r="AC1011" i="3" s="1"/>
  <c r="AA1011" i="3"/>
  <c r="AB1019" i="3"/>
  <c r="AC1019" i="3" s="1"/>
  <c r="AA1019" i="3"/>
  <c r="AB1259" i="3"/>
  <c r="AC1259" i="3" s="1"/>
  <c r="AA1259" i="3"/>
  <c r="AB1281" i="3"/>
  <c r="AC1281" i="3" s="1"/>
  <c r="AA1281" i="3"/>
  <c r="AB1289" i="3"/>
  <c r="AC1289" i="3" s="1"/>
  <c r="AA1289" i="3"/>
  <c r="AB1297" i="3"/>
  <c r="AC1297" i="3" s="1"/>
  <c r="AA1297" i="3"/>
  <c r="AB1305" i="3"/>
  <c r="AC1305" i="3" s="1"/>
  <c r="AA1305" i="3"/>
  <c r="AB1313" i="3"/>
  <c r="AC1313" i="3" s="1"/>
  <c r="AA1313" i="3"/>
  <c r="AB1321" i="3"/>
  <c r="AC1321" i="3" s="1"/>
  <c r="AA1321" i="3"/>
  <c r="AB1329" i="3"/>
  <c r="AC1329" i="3" s="1"/>
  <c r="AA1329" i="3"/>
  <c r="AB1337" i="3"/>
  <c r="AC1337" i="3" s="1"/>
  <c r="AA1337" i="3"/>
  <c r="AB1345" i="3"/>
  <c r="AC1345" i="3" s="1"/>
  <c r="AA1345" i="3"/>
  <c r="AB1353" i="3"/>
  <c r="AC1353" i="3" s="1"/>
  <c r="AA1353" i="3"/>
  <c r="AB1404" i="3"/>
  <c r="AC1404" i="3" s="1"/>
  <c r="AA1404" i="3"/>
  <c r="AB1428" i="3"/>
  <c r="AC1428" i="3" s="1"/>
  <c r="AA1428" i="3"/>
  <c r="AB1436" i="3"/>
  <c r="AC1436" i="3" s="1"/>
  <c r="AA1436" i="3"/>
  <c r="AB1438" i="3"/>
  <c r="AC1438" i="3" s="1"/>
  <c r="AA1438" i="3"/>
  <c r="AB1446" i="3"/>
  <c r="AC1446" i="3" s="1"/>
  <c r="AA1446" i="3"/>
  <c r="AB1454" i="3"/>
  <c r="AC1454" i="3" s="1"/>
  <c r="AA1454" i="3"/>
  <c r="AB1462" i="3"/>
  <c r="AC1462" i="3" s="1"/>
  <c r="AA1462" i="3"/>
  <c r="AB1470" i="3"/>
  <c r="AC1470" i="3" s="1"/>
  <c r="AA1470" i="3"/>
  <c r="AB1478" i="3"/>
  <c r="AC1478" i="3" s="1"/>
  <c r="AA1478" i="3"/>
  <c r="AB1494" i="3"/>
  <c r="AC1494" i="3" s="1"/>
  <c r="AA1494" i="3"/>
  <c r="AB1502" i="3"/>
  <c r="AC1502" i="3" s="1"/>
  <c r="AA1502" i="3"/>
  <c r="AB1510" i="3"/>
  <c r="AC1510" i="3" s="1"/>
  <c r="AA1510" i="3"/>
  <c r="AB1518" i="3"/>
  <c r="AC1518" i="3" s="1"/>
  <c r="AA1518" i="3"/>
  <c r="AB1526" i="3"/>
  <c r="AC1526" i="3" s="1"/>
  <c r="AA1526" i="3"/>
  <c r="AB1534" i="3"/>
  <c r="AC1534" i="3" s="1"/>
  <c r="AA1534" i="3"/>
  <c r="AB1542" i="3"/>
  <c r="AC1542" i="3" s="1"/>
  <c r="AA1542" i="3"/>
  <c r="AB1550" i="3"/>
  <c r="AC1550" i="3" s="1"/>
  <c r="AA1550" i="3"/>
  <c r="AB1566" i="3"/>
  <c r="AC1566" i="3" s="1"/>
  <c r="AA1566" i="3"/>
  <c r="AB1582" i="3"/>
  <c r="AC1582" i="3" s="1"/>
  <c r="AA1582" i="3"/>
  <c r="AB1614" i="3"/>
  <c r="AC1614" i="3" s="1"/>
  <c r="AA1614" i="3"/>
  <c r="AB1630" i="3"/>
  <c r="AC1630" i="3" s="1"/>
  <c r="AA1630" i="3"/>
  <c r="AB1646" i="3"/>
  <c r="AC1646" i="3" s="1"/>
  <c r="AA1646" i="3"/>
  <c r="AB1654" i="3"/>
  <c r="AC1654" i="3" s="1"/>
  <c r="AA1654" i="3"/>
  <c r="AB1662" i="3"/>
  <c r="AC1662" i="3" s="1"/>
  <c r="AA1662" i="3"/>
  <c r="AB1666" i="3"/>
  <c r="AC1666" i="3" s="1"/>
  <c r="AA1666" i="3"/>
  <c r="AB1677" i="3"/>
  <c r="AC1677" i="3" s="1"/>
  <c r="AA1677" i="3"/>
  <c r="AB1681" i="3"/>
  <c r="AC1681" i="3" s="1"/>
  <c r="AA1681" i="3"/>
  <c r="AB1689" i="3"/>
  <c r="AC1689" i="3" s="1"/>
  <c r="AA1689" i="3"/>
  <c r="AB1697" i="3"/>
  <c r="AC1697" i="3" s="1"/>
  <c r="AA1697" i="3"/>
  <c r="AB1701" i="3"/>
  <c r="AC1701" i="3" s="1"/>
  <c r="AA1701" i="3"/>
  <c r="AB1714" i="3"/>
  <c r="AC1714" i="3" s="1"/>
  <c r="AA1714" i="3"/>
  <c r="AB1718" i="3"/>
  <c r="AC1718" i="3" s="1"/>
  <c r="AA1718" i="3"/>
  <c r="AB1726" i="3"/>
  <c r="AC1726" i="3" s="1"/>
  <c r="AA1726" i="3"/>
  <c r="AB68" i="3"/>
  <c r="AC68" i="3" s="1"/>
  <c r="AA68" i="3"/>
  <c r="AB71" i="3"/>
  <c r="AC71" i="3" s="1"/>
  <c r="AA71" i="3"/>
  <c r="AB119" i="3"/>
  <c r="AC119" i="3" s="1"/>
  <c r="AA119" i="3"/>
  <c r="AB166" i="3"/>
  <c r="AC166" i="3" s="1"/>
  <c r="AA166" i="3"/>
  <c r="AB255" i="3"/>
  <c r="AC255" i="3" s="1"/>
  <c r="AA255" i="3"/>
  <c r="AB269" i="3"/>
  <c r="AC269" i="3" s="1"/>
  <c r="AA269" i="3"/>
  <c r="AB284" i="3"/>
  <c r="AC284" i="3" s="1"/>
  <c r="AA284" i="3"/>
  <c r="AB287" i="3"/>
  <c r="AC287" i="3" s="1"/>
  <c r="AA287" i="3"/>
  <c r="AB301" i="3"/>
  <c r="AC301" i="3" s="1"/>
  <c r="AA301" i="3"/>
  <c r="AB316" i="3"/>
  <c r="AC316" i="3" s="1"/>
  <c r="AA316" i="3"/>
  <c r="AB333" i="3"/>
  <c r="AC333" i="3" s="1"/>
  <c r="AA333" i="3"/>
  <c r="AB348" i="3"/>
  <c r="AC348" i="3" s="1"/>
  <c r="AA348" i="3"/>
  <c r="AB351" i="3"/>
  <c r="AC351" i="3" s="1"/>
  <c r="AA351" i="3"/>
  <c r="AB397" i="3"/>
  <c r="AC397" i="3" s="1"/>
  <c r="AA397" i="3"/>
  <c r="AB412" i="3"/>
  <c r="AC412" i="3" s="1"/>
  <c r="AA412" i="3"/>
  <c r="AB415" i="3"/>
  <c r="AC415" i="3" s="1"/>
  <c r="AA415" i="3"/>
  <c r="AB429" i="3"/>
  <c r="AC429" i="3" s="1"/>
  <c r="AA429" i="3"/>
  <c r="AB444" i="3"/>
  <c r="AC444" i="3" s="1"/>
  <c r="AA444" i="3"/>
  <c r="AB447" i="3"/>
  <c r="AC447" i="3" s="1"/>
  <c r="AA447" i="3"/>
  <c r="AB476" i="3"/>
  <c r="AC476" i="3" s="1"/>
  <c r="AA476" i="3"/>
  <c r="AB540" i="3"/>
  <c r="AC540" i="3" s="1"/>
  <c r="AA540" i="3"/>
  <c r="AB543" i="3"/>
  <c r="AC543" i="3" s="1"/>
  <c r="AA543" i="3"/>
  <c r="AB557" i="3"/>
  <c r="AC557" i="3" s="1"/>
  <c r="AA557" i="3"/>
  <c r="AB572" i="3"/>
  <c r="AC572" i="3" s="1"/>
  <c r="AA572" i="3"/>
  <c r="AB585" i="3"/>
  <c r="AC585" i="3" s="1"/>
  <c r="AA585" i="3"/>
  <c r="AB600" i="3"/>
  <c r="AC600" i="3" s="1"/>
  <c r="AA600" i="3"/>
  <c r="AB603" i="3"/>
  <c r="AC603" i="3" s="1"/>
  <c r="AA603" i="3"/>
  <c r="AB617" i="3"/>
  <c r="AC617" i="3" s="1"/>
  <c r="AA617" i="3"/>
  <c r="AB649" i="3"/>
  <c r="AC649" i="3" s="1"/>
  <c r="AA649" i="3"/>
  <c r="AB703" i="3"/>
  <c r="AC703" i="3" s="1"/>
  <c r="AA703" i="3"/>
  <c r="AB749" i="3"/>
  <c r="AC749" i="3" s="1"/>
  <c r="AA749" i="3"/>
  <c r="AB764" i="3"/>
  <c r="AC764" i="3" s="1"/>
  <c r="AA764" i="3"/>
  <c r="AB767" i="3"/>
  <c r="AC767" i="3" s="1"/>
  <c r="AA767" i="3"/>
  <c r="AB781" i="3"/>
  <c r="AC781" i="3" s="1"/>
  <c r="AA781" i="3"/>
  <c r="AB828" i="3"/>
  <c r="AC828" i="3" s="1"/>
  <c r="AA828" i="3"/>
  <c r="AB831" i="3"/>
  <c r="AC831" i="3" s="1"/>
  <c r="AA831" i="3"/>
  <c r="AB845" i="3"/>
  <c r="AC845" i="3" s="1"/>
  <c r="AA845" i="3"/>
  <c r="AB891" i="3"/>
  <c r="AC891" i="3" s="1"/>
  <c r="AA891" i="3"/>
  <c r="AB909" i="3"/>
  <c r="AC909" i="3" s="1"/>
  <c r="AA909" i="3"/>
  <c r="AB1006" i="3"/>
  <c r="AC1006" i="3" s="1"/>
  <c r="AA1006" i="3"/>
  <c r="AB1009" i="3"/>
  <c r="AC1009" i="3" s="1"/>
  <c r="AA1009" i="3"/>
  <c r="AB1023" i="3"/>
  <c r="AC1023" i="3" s="1"/>
  <c r="AA1023" i="3"/>
  <c r="AB1041" i="3"/>
  <c r="AC1041" i="3" s="1"/>
  <c r="AA1041" i="3"/>
  <c r="AB1055" i="3"/>
  <c r="AC1055" i="3" s="1"/>
  <c r="AA1055" i="3"/>
  <c r="AB1262" i="3"/>
  <c r="AC1262" i="3" s="1"/>
  <c r="AA1262" i="3"/>
  <c r="AB1279" i="3"/>
  <c r="AC1279" i="3" s="1"/>
  <c r="AA1279" i="3"/>
  <c r="AB1293" i="3"/>
  <c r="AC1293" i="3" s="1"/>
  <c r="AA1293" i="3"/>
  <c r="AB1308" i="3"/>
  <c r="AC1308" i="3" s="1"/>
  <c r="AA1308" i="3"/>
  <c r="AB1311" i="3"/>
  <c r="AC1311" i="3" s="1"/>
  <c r="AA1311" i="3"/>
  <c r="AB1325" i="3"/>
  <c r="AC1325" i="3" s="1"/>
  <c r="AA1325" i="3"/>
  <c r="AB1340" i="3"/>
  <c r="AC1340" i="3" s="1"/>
  <c r="AA1340" i="3"/>
  <c r="AB1343" i="3"/>
  <c r="AC1343" i="3" s="1"/>
  <c r="AA1343" i="3"/>
  <c r="AB1357" i="3"/>
  <c r="AC1357" i="3" s="1"/>
  <c r="AA1357" i="3"/>
  <c r="AB1408" i="3"/>
  <c r="AC1408" i="3" s="1"/>
  <c r="AA1408" i="3"/>
  <c r="AB1425" i="3"/>
  <c r="AC1425" i="3" s="1"/>
  <c r="AA1425" i="3"/>
  <c r="AB1441" i="3"/>
  <c r="AC1441" i="3" s="1"/>
  <c r="AA1441" i="3"/>
  <c r="AB1444" i="3"/>
  <c r="AC1444" i="3" s="1"/>
  <c r="AA1444" i="3"/>
  <c r="AB1458" i="3"/>
  <c r="AC1458" i="3" s="1"/>
  <c r="AA1458" i="3"/>
  <c r="AB1468" i="3"/>
  <c r="AC1468" i="3" s="1"/>
  <c r="AA1468" i="3"/>
  <c r="AB1482" i="3"/>
  <c r="AC1482" i="3" s="1"/>
  <c r="AA1482" i="3"/>
  <c r="AB1489" i="3"/>
  <c r="AC1489" i="3" s="1"/>
  <c r="AA1489" i="3"/>
  <c r="AB1492" i="3"/>
  <c r="AC1492" i="3" s="1"/>
  <c r="AA1492" i="3"/>
  <c r="AB1512" i="3"/>
  <c r="AC1512" i="3" s="1"/>
  <c r="AA1512" i="3"/>
  <c r="AB1529" i="3"/>
  <c r="AC1529" i="3" s="1"/>
  <c r="AA1529" i="3"/>
  <c r="AB1532" i="3"/>
  <c r="AC1532" i="3" s="1"/>
  <c r="AA1532" i="3"/>
  <c r="AB1548" i="3"/>
  <c r="AC1548" i="3" s="1"/>
  <c r="AA1548" i="3"/>
  <c r="AB1554" i="3"/>
  <c r="AC1554" i="3" s="1"/>
  <c r="AA1554" i="3"/>
  <c r="AB1578" i="3"/>
  <c r="AC1578" i="3" s="1"/>
  <c r="AA1578" i="3"/>
  <c r="AB1585" i="3"/>
  <c r="AC1585" i="3" s="1"/>
  <c r="AA1585" i="3"/>
  <c r="AB1588" i="3"/>
  <c r="AC1588" i="3" s="1"/>
  <c r="AA1588" i="3"/>
  <c r="AB1594" i="3"/>
  <c r="AC1594" i="3" s="1"/>
  <c r="AA1594" i="3"/>
  <c r="AB1609" i="3"/>
  <c r="AC1609" i="3" s="1"/>
  <c r="AA1609" i="3"/>
  <c r="AB1612" i="3"/>
  <c r="AC1612" i="3" s="1"/>
  <c r="AA1612" i="3"/>
  <c r="AB1625" i="3"/>
  <c r="AC1625" i="3" s="1"/>
  <c r="AA1625" i="3"/>
  <c r="AB1628" i="3"/>
  <c r="AC1628" i="3" s="1"/>
  <c r="AA1628" i="3"/>
  <c r="AB1634" i="3"/>
  <c r="AC1634" i="3" s="1"/>
  <c r="AA1634" i="3"/>
  <c r="AB1641" i="3"/>
  <c r="AC1641" i="3" s="1"/>
  <c r="AA1641" i="3"/>
  <c r="AB1644" i="3"/>
  <c r="AC1644" i="3" s="1"/>
  <c r="AA1644" i="3"/>
  <c r="AB1664" i="3"/>
  <c r="AC1664" i="3" s="1"/>
  <c r="AA1664" i="3"/>
  <c r="AB1680" i="3"/>
  <c r="AC1680" i="3" s="1"/>
  <c r="AA1680" i="3"/>
  <c r="AB1693" i="3"/>
  <c r="AC1693" i="3" s="1"/>
  <c r="AA1693" i="3"/>
  <c r="AB1721" i="3"/>
  <c r="AC1721" i="3" s="1"/>
  <c r="AA1721" i="3"/>
  <c r="AB1724" i="3"/>
  <c r="AC1724" i="3" s="1"/>
  <c r="AA1724" i="3"/>
  <c r="AB70" i="3"/>
  <c r="AC70" i="3" s="1"/>
  <c r="AA70" i="3"/>
  <c r="AB120" i="3"/>
  <c r="AC120" i="3" s="1"/>
  <c r="AA120" i="3"/>
  <c r="AB144" i="3"/>
  <c r="AC144" i="3" s="1"/>
  <c r="AA144" i="3"/>
  <c r="AB262" i="3"/>
  <c r="AC262" i="3" s="1"/>
  <c r="AA262" i="3"/>
  <c r="AB270" i="3"/>
  <c r="AC270" i="3" s="1"/>
  <c r="AA270" i="3"/>
  <c r="AB278" i="3"/>
  <c r="AC278" i="3" s="1"/>
  <c r="AA278" i="3"/>
  <c r="AB286" i="3"/>
  <c r="AC286" i="3" s="1"/>
  <c r="AA286" i="3"/>
  <c r="AB302" i="3"/>
  <c r="AC302" i="3" s="1"/>
  <c r="AA302" i="3"/>
  <c r="AB310" i="3"/>
  <c r="AC310" i="3" s="1"/>
  <c r="AA310" i="3"/>
  <c r="AB326" i="3"/>
  <c r="AC326" i="3" s="1"/>
  <c r="AA326" i="3"/>
  <c r="AB342" i="3"/>
  <c r="AC342" i="3" s="1"/>
  <c r="AA342" i="3"/>
  <c r="AB350" i="3"/>
  <c r="AC350" i="3" s="1"/>
  <c r="AA350" i="3"/>
  <c r="AB358" i="3"/>
  <c r="AC358" i="3" s="1"/>
  <c r="AA358" i="3"/>
  <c r="AB366" i="3"/>
  <c r="AC366" i="3" s="1"/>
  <c r="AA366" i="3"/>
  <c r="AB374" i="3"/>
  <c r="AC374" i="3" s="1"/>
  <c r="AA374" i="3"/>
  <c r="AB398" i="3"/>
  <c r="AC398" i="3" s="1"/>
  <c r="AA398" i="3"/>
  <c r="AB414" i="3"/>
  <c r="AC414" i="3" s="1"/>
  <c r="AA414" i="3"/>
  <c r="AB422" i="3"/>
  <c r="AC422" i="3" s="1"/>
  <c r="AA422" i="3"/>
  <c r="AB430" i="3"/>
  <c r="AC430" i="3" s="1"/>
  <c r="AA430" i="3"/>
  <c r="AB446" i="3"/>
  <c r="AC446" i="3" s="1"/>
  <c r="AA446" i="3"/>
  <c r="AB470" i="3"/>
  <c r="AC470" i="3" s="1"/>
  <c r="AA470" i="3"/>
  <c r="AB534" i="3"/>
  <c r="AC534" i="3" s="1"/>
  <c r="AA534" i="3"/>
  <c r="AB542" i="3"/>
  <c r="AC542" i="3" s="1"/>
  <c r="AA542" i="3"/>
  <c r="AB566" i="3"/>
  <c r="AC566" i="3" s="1"/>
  <c r="AA566" i="3"/>
  <c r="AB586" i="3"/>
  <c r="AC586" i="3" s="1"/>
  <c r="AA586" i="3"/>
  <c r="AB602" i="3"/>
  <c r="AC602" i="3" s="1"/>
  <c r="AA602" i="3"/>
  <c r="AB610" i="3"/>
  <c r="AC610" i="3" s="1"/>
  <c r="AA610" i="3"/>
  <c r="AB650" i="3"/>
  <c r="AC650" i="3" s="1"/>
  <c r="AA650" i="3"/>
  <c r="AB698" i="3"/>
  <c r="AC698" i="3" s="1"/>
  <c r="AA698" i="3"/>
  <c r="AB706" i="3"/>
  <c r="AC706" i="3" s="1"/>
  <c r="AA706" i="3"/>
  <c r="AB730" i="3"/>
  <c r="AC730" i="3" s="1"/>
  <c r="AA730" i="3"/>
  <c r="AB738" i="3"/>
  <c r="AC738" i="3" s="1"/>
  <c r="AA738" i="3"/>
  <c r="AB746" i="3"/>
  <c r="AC746" i="3" s="1"/>
  <c r="AA746" i="3"/>
  <c r="AB754" i="3"/>
  <c r="AC754" i="3" s="1"/>
  <c r="AA754" i="3"/>
  <c r="AB762" i="3"/>
  <c r="AC762" i="3" s="1"/>
  <c r="AA762" i="3"/>
  <c r="AB770" i="3"/>
  <c r="AC770" i="3" s="1"/>
  <c r="AA770" i="3"/>
  <c r="AB778" i="3"/>
  <c r="AC778" i="3" s="1"/>
  <c r="AA778" i="3"/>
  <c r="AB794" i="3"/>
  <c r="AC794" i="3" s="1"/>
  <c r="AA794" i="3"/>
  <c r="AB818" i="3"/>
  <c r="AC818" i="3" s="1"/>
  <c r="AA818" i="3"/>
  <c r="AB826" i="3"/>
  <c r="AC826" i="3" s="1"/>
  <c r="AA826" i="3"/>
  <c r="AB834" i="3"/>
  <c r="AC834" i="3" s="1"/>
  <c r="AA834" i="3"/>
  <c r="AB844" i="3"/>
  <c r="AC844" i="3" s="1"/>
  <c r="AA844" i="3"/>
  <c r="AB852" i="3"/>
  <c r="AC852" i="3" s="1"/>
  <c r="AA852" i="3"/>
  <c r="AB892" i="3"/>
  <c r="AC892" i="3" s="1"/>
  <c r="AA892" i="3"/>
  <c r="AB916" i="3"/>
  <c r="AC916" i="3" s="1"/>
  <c r="AA916" i="3"/>
  <c r="AB964" i="3"/>
  <c r="AC964" i="3" s="1"/>
  <c r="AA964" i="3"/>
  <c r="AB1004" i="3"/>
  <c r="AC1004" i="3" s="1"/>
  <c r="AA1004" i="3"/>
  <c r="AB1012" i="3"/>
  <c r="AC1012" i="3" s="1"/>
  <c r="AA1012" i="3"/>
  <c r="AB1020" i="3"/>
  <c r="AC1020" i="3" s="1"/>
  <c r="AA1020" i="3"/>
  <c r="AB1060" i="3"/>
  <c r="AC1060" i="3" s="1"/>
  <c r="AA1060" i="3"/>
  <c r="AB1260" i="3"/>
  <c r="AC1260" i="3" s="1"/>
  <c r="AA1260" i="3"/>
  <c r="AB1278" i="3"/>
  <c r="AC1278" i="3" s="1"/>
  <c r="AA1278" i="3"/>
  <c r="AB1286" i="3"/>
  <c r="AC1286" i="3" s="1"/>
  <c r="AA1286" i="3"/>
  <c r="AB1294" i="3"/>
  <c r="AC1294" i="3" s="1"/>
  <c r="AA1294" i="3"/>
  <c r="AB1310" i="3"/>
  <c r="AC1310" i="3" s="1"/>
  <c r="AA1310" i="3"/>
  <c r="AB1318" i="3"/>
  <c r="AC1318" i="3" s="1"/>
  <c r="AA1318" i="3"/>
  <c r="AB1326" i="3"/>
  <c r="AC1326" i="3" s="1"/>
  <c r="AA1326" i="3"/>
  <c r="AB1334" i="3"/>
  <c r="AC1334" i="3" s="1"/>
  <c r="AA1334" i="3"/>
  <c r="AB1342" i="3"/>
  <c r="AC1342" i="3" s="1"/>
  <c r="AA1342" i="3"/>
  <c r="AB1350" i="3"/>
  <c r="AC1350" i="3" s="1"/>
  <c r="AA1350" i="3"/>
  <c r="AB1358" i="3"/>
  <c r="AC1358" i="3" s="1"/>
  <c r="AA1358" i="3"/>
  <c r="AB1406" i="3"/>
  <c r="AC1406" i="3" s="1"/>
  <c r="AA1406" i="3"/>
  <c r="AB1422" i="3"/>
  <c r="AC1422" i="3" s="1"/>
  <c r="AA1422" i="3"/>
  <c r="AB1430" i="3"/>
  <c r="AC1430" i="3" s="1"/>
  <c r="AA1430" i="3"/>
  <c r="AB1447" i="3"/>
  <c r="AC1447" i="3" s="1"/>
  <c r="AA1447" i="3"/>
  <c r="AB1463" i="3"/>
  <c r="AC1463" i="3" s="1"/>
  <c r="AA1463" i="3"/>
  <c r="AB1471" i="3"/>
  <c r="AC1471" i="3" s="1"/>
  <c r="AA1471" i="3"/>
  <c r="AB1479" i="3"/>
  <c r="AC1479" i="3" s="1"/>
  <c r="AA1479" i="3"/>
  <c r="AB1487" i="3"/>
  <c r="AC1487" i="3" s="1"/>
  <c r="AA1487" i="3"/>
  <c r="AB1495" i="3"/>
  <c r="AC1495" i="3" s="1"/>
  <c r="AA1495" i="3"/>
  <c r="AB1503" i="3"/>
  <c r="AC1503" i="3" s="1"/>
  <c r="AA1503" i="3"/>
  <c r="AB1511" i="3"/>
  <c r="AC1511" i="3" s="1"/>
  <c r="AA1511" i="3"/>
  <c r="AB1519" i="3"/>
  <c r="AC1519" i="3" s="1"/>
  <c r="AA1519" i="3"/>
  <c r="AB1527" i="3"/>
  <c r="AC1527" i="3" s="1"/>
  <c r="AA1527" i="3"/>
  <c r="AB1543" i="3"/>
  <c r="AC1543" i="3" s="1"/>
  <c r="AA1543" i="3"/>
  <c r="AB1551" i="3"/>
  <c r="AC1551" i="3" s="1"/>
  <c r="AA1551" i="3"/>
  <c r="AB1567" i="3"/>
  <c r="AC1567" i="3" s="1"/>
  <c r="AA1567" i="3"/>
  <c r="AB1599" i="3"/>
  <c r="AC1599" i="3" s="1"/>
  <c r="AA1599" i="3"/>
  <c r="AB1607" i="3"/>
  <c r="AC1607" i="3" s="1"/>
  <c r="AA1607" i="3"/>
  <c r="AB1615" i="3"/>
  <c r="AC1615" i="3" s="1"/>
  <c r="AA1615" i="3"/>
  <c r="AB1623" i="3"/>
  <c r="AC1623" i="3" s="1"/>
  <c r="AA1623" i="3"/>
  <c r="AB1631" i="3"/>
  <c r="AC1631" i="3" s="1"/>
  <c r="AA1631" i="3"/>
  <c r="AB1647" i="3"/>
  <c r="AC1647" i="3" s="1"/>
  <c r="AA1647" i="3"/>
  <c r="AB1655" i="3"/>
  <c r="AC1655" i="3" s="1"/>
  <c r="AA1655" i="3"/>
  <c r="AB1663" i="3"/>
  <c r="AC1663" i="3" s="1"/>
  <c r="AA1663" i="3"/>
  <c r="AB1671" i="3"/>
  <c r="AC1671" i="3" s="1"/>
  <c r="AA1671" i="3"/>
  <c r="AB1679" i="3"/>
  <c r="AC1679" i="3" s="1"/>
  <c r="AA1679" i="3"/>
  <c r="AB1687" i="3"/>
  <c r="AC1687" i="3" s="1"/>
  <c r="AA1687" i="3"/>
  <c r="AB1695" i="3"/>
  <c r="AC1695" i="3" s="1"/>
  <c r="AA1695" i="3"/>
  <c r="AB1703" i="3"/>
  <c r="AC1703" i="3" s="1"/>
  <c r="AA1703" i="3"/>
  <c r="AB1711" i="3"/>
  <c r="AC1711" i="3" s="1"/>
  <c r="AA1711" i="3"/>
  <c r="AB1719" i="3"/>
  <c r="AC1719" i="3" s="1"/>
  <c r="AA1719" i="3"/>
  <c r="AB1727" i="3"/>
  <c r="AC1727" i="3" s="1"/>
  <c r="AA1727" i="3"/>
  <c r="AB1731" i="3"/>
  <c r="AC1731" i="3" s="1"/>
  <c r="AA1731" i="3"/>
  <c r="AB57" i="3"/>
  <c r="AC57" i="3" s="1"/>
  <c r="AA57" i="3"/>
  <c r="AB65" i="3"/>
  <c r="AC65" i="3" s="1"/>
  <c r="AA65" i="3"/>
  <c r="AB113" i="3"/>
  <c r="AC113" i="3" s="1"/>
  <c r="AA113" i="3"/>
  <c r="AB123" i="3"/>
  <c r="AC123" i="3" s="1"/>
  <c r="AA123" i="3"/>
  <c r="AB171" i="3"/>
  <c r="AC171" i="3" s="1"/>
  <c r="AA171" i="3"/>
  <c r="AB257" i="3"/>
  <c r="AC257" i="3" s="1"/>
  <c r="AA257" i="3"/>
  <c r="AB265" i="3"/>
  <c r="AC265" i="3" s="1"/>
  <c r="AA265" i="3"/>
  <c r="AB273" i="3"/>
  <c r="AC273" i="3" s="1"/>
  <c r="AA273" i="3"/>
  <c r="AB289" i="3"/>
  <c r="AC289" i="3" s="1"/>
  <c r="AA289" i="3"/>
  <c r="AB297" i="3"/>
  <c r="AC297" i="3" s="1"/>
  <c r="AA297" i="3"/>
  <c r="AB321" i="3"/>
  <c r="AC321" i="3" s="1"/>
  <c r="AA321" i="3"/>
  <c r="AB337" i="3"/>
  <c r="AC337" i="3" s="1"/>
  <c r="AA337" i="3"/>
  <c r="AB345" i="3"/>
  <c r="AC345" i="3" s="1"/>
  <c r="AA345" i="3"/>
  <c r="AB353" i="3"/>
  <c r="AC353" i="3" s="1"/>
  <c r="AA353" i="3"/>
  <c r="AB361" i="3"/>
  <c r="AC361" i="3" s="1"/>
  <c r="AA361" i="3"/>
  <c r="AB369" i="3"/>
  <c r="AC369" i="3" s="1"/>
  <c r="AA369" i="3"/>
  <c r="AB377" i="3"/>
  <c r="AC377" i="3" s="1"/>
  <c r="AA377" i="3"/>
  <c r="AB401" i="3"/>
  <c r="AC401" i="3" s="1"/>
  <c r="AA401" i="3"/>
  <c r="AB409" i="3"/>
  <c r="AC409" i="3" s="1"/>
  <c r="AA409" i="3"/>
  <c r="AB417" i="3"/>
  <c r="AC417" i="3" s="1"/>
  <c r="AA417" i="3"/>
  <c r="AB425" i="3"/>
  <c r="AC425" i="3" s="1"/>
  <c r="AA425" i="3"/>
  <c r="AB433" i="3"/>
  <c r="AC433" i="3" s="1"/>
  <c r="AA433" i="3"/>
  <c r="AB441" i="3"/>
  <c r="AC441" i="3" s="1"/>
  <c r="AA441" i="3"/>
  <c r="AB449" i="3"/>
  <c r="AC449" i="3" s="1"/>
  <c r="AA449" i="3"/>
  <c r="AB505" i="3"/>
  <c r="AC505" i="3" s="1"/>
  <c r="AA505" i="3"/>
  <c r="AB529" i="3"/>
  <c r="AC529" i="3" s="1"/>
  <c r="AA529" i="3"/>
  <c r="AB537" i="3"/>
  <c r="AC537" i="3" s="1"/>
  <c r="AA537" i="3"/>
  <c r="AB545" i="3"/>
  <c r="AC545" i="3" s="1"/>
  <c r="AA545" i="3"/>
  <c r="AB553" i="3"/>
  <c r="AC553" i="3" s="1"/>
  <c r="AA553" i="3"/>
  <c r="AB561" i="3"/>
  <c r="AC561" i="3" s="1"/>
  <c r="AA561" i="3"/>
  <c r="AB604" i="3"/>
  <c r="AC604" i="3" s="1"/>
  <c r="AA604" i="3"/>
  <c r="AB676" i="3"/>
  <c r="AC676" i="3" s="1"/>
  <c r="AA676" i="3"/>
  <c r="AB692" i="3"/>
  <c r="AC692" i="3" s="1"/>
  <c r="AA692" i="3"/>
  <c r="AB696" i="3"/>
  <c r="AC696" i="3" s="1"/>
  <c r="AA696" i="3"/>
  <c r="AB744" i="3"/>
  <c r="AC744" i="3" s="1"/>
  <c r="AA744" i="3"/>
  <c r="AB752" i="3"/>
  <c r="AC752" i="3" s="1"/>
  <c r="AA752" i="3"/>
  <c r="AB760" i="3"/>
  <c r="AC760" i="3" s="1"/>
  <c r="AA760" i="3"/>
  <c r="AB768" i="3"/>
  <c r="AC768" i="3" s="1"/>
  <c r="AA768" i="3"/>
  <c r="AB776" i="3"/>
  <c r="AC776" i="3" s="1"/>
  <c r="AA776" i="3"/>
  <c r="AB784" i="3"/>
  <c r="AC784" i="3" s="1"/>
  <c r="AA784" i="3"/>
  <c r="AB824" i="3"/>
  <c r="AC824" i="3" s="1"/>
  <c r="AA824" i="3"/>
  <c r="AB832" i="3"/>
  <c r="AC832" i="3" s="1"/>
  <c r="AA832" i="3"/>
  <c r="AB846" i="3"/>
  <c r="AC846" i="3" s="1"/>
  <c r="AA846" i="3"/>
  <c r="AB894" i="3"/>
  <c r="AC894" i="3" s="1"/>
  <c r="AA894" i="3"/>
  <c r="AB910" i="3"/>
  <c r="AC910" i="3" s="1"/>
  <c r="AA910" i="3"/>
  <c r="AB962" i="3"/>
  <c r="AC962" i="3" s="1"/>
  <c r="AA962" i="3"/>
  <c r="AB1002" i="3"/>
  <c r="AC1002" i="3" s="1"/>
  <c r="AA1002" i="3"/>
  <c r="AB1010" i="3"/>
  <c r="AC1010" i="3" s="1"/>
  <c r="AA1010" i="3"/>
  <c r="AB1018" i="3"/>
  <c r="AC1018" i="3" s="1"/>
  <c r="AA1018" i="3"/>
  <c r="AB1026" i="3"/>
  <c r="AC1026" i="3" s="1"/>
  <c r="AA1026" i="3"/>
  <c r="AB1066" i="3"/>
  <c r="AC1066" i="3" s="1"/>
  <c r="AA1066" i="3"/>
  <c r="AB1280" i="3"/>
  <c r="AC1280" i="3" s="1"/>
  <c r="AA1280" i="3"/>
  <c r="AB1288" i="3"/>
  <c r="AC1288" i="3" s="1"/>
  <c r="AA1288" i="3"/>
  <c r="AB1296" i="3"/>
  <c r="AC1296" i="3" s="1"/>
  <c r="AA1296" i="3"/>
  <c r="AB1304" i="3"/>
  <c r="AC1304" i="3" s="1"/>
  <c r="AA1304" i="3"/>
  <c r="AB1312" i="3"/>
  <c r="AC1312" i="3" s="1"/>
  <c r="AA1312" i="3"/>
  <c r="AB1320" i="3"/>
  <c r="AC1320" i="3" s="1"/>
  <c r="AA1320" i="3"/>
  <c r="AB1328" i="3"/>
  <c r="AC1328" i="3" s="1"/>
  <c r="AA1328" i="3"/>
  <c r="AB1336" i="3"/>
  <c r="AC1336" i="3" s="1"/>
  <c r="AA1336" i="3"/>
  <c r="AB1344" i="3"/>
  <c r="AC1344" i="3" s="1"/>
  <c r="AA1344" i="3"/>
  <c r="AB1405" i="3"/>
  <c r="AC1405" i="3" s="1"/>
  <c r="AA1405" i="3"/>
  <c r="AB1413" i="3"/>
  <c r="AC1413" i="3" s="1"/>
  <c r="AA1413" i="3"/>
  <c r="AB1429" i="3"/>
  <c r="AC1429" i="3" s="1"/>
  <c r="AA1429" i="3"/>
  <c r="AB1437" i="3"/>
  <c r="AC1437" i="3" s="1"/>
  <c r="AA1437" i="3"/>
  <c r="AB1445" i="3"/>
  <c r="AC1445" i="3" s="1"/>
  <c r="AA1445" i="3"/>
  <c r="AB1453" i="3"/>
  <c r="AC1453" i="3" s="1"/>
  <c r="AA1453" i="3"/>
  <c r="AB1461" i="3"/>
  <c r="AC1461" i="3" s="1"/>
  <c r="AA1461" i="3"/>
  <c r="AB1469" i="3"/>
  <c r="AC1469" i="3" s="1"/>
  <c r="AA1469" i="3"/>
  <c r="AB1477" i="3"/>
  <c r="AC1477" i="3" s="1"/>
  <c r="AA1477" i="3"/>
  <c r="AB1493" i="3"/>
  <c r="AC1493" i="3" s="1"/>
  <c r="AA1493" i="3"/>
  <c r="AB1501" i="3"/>
  <c r="AC1501" i="3" s="1"/>
  <c r="AA1501" i="3"/>
  <c r="AB1509" i="3"/>
  <c r="AC1509" i="3" s="1"/>
  <c r="AA1509" i="3"/>
  <c r="AB1517" i="3"/>
  <c r="AC1517" i="3" s="1"/>
  <c r="AA1517" i="3"/>
  <c r="AB1525" i="3"/>
  <c r="AC1525" i="3" s="1"/>
  <c r="AA1525" i="3"/>
  <c r="AB1533" i="3"/>
  <c r="AC1533" i="3" s="1"/>
  <c r="AA1533" i="3"/>
  <c r="AB1541" i="3"/>
  <c r="AC1541" i="3" s="1"/>
  <c r="AA1541" i="3"/>
  <c r="AB1549" i="3"/>
  <c r="AC1549" i="3" s="1"/>
  <c r="AA1549" i="3"/>
  <c r="AB1557" i="3"/>
  <c r="AC1557" i="3" s="1"/>
  <c r="AA1557" i="3"/>
  <c r="AB1565" i="3"/>
  <c r="AC1565" i="3" s="1"/>
  <c r="AA1565" i="3"/>
  <c r="AB1581" i="3"/>
  <c r="AC1581" i="3" s="1"/>
  <c r="AA1581" i="3"/>
  <c r="AB1589" i="3"/>
  <c r="AC1589" i="3" s="1"/>
  <c r="AA1589" i="3"/>
  <c r="AB1613" i="3"/>
  <c r="AC1613" i="3" s="1"/>
  <c r="AA1613" i="3"/>
  <c r="AB1621" i="3"/>
  <c r="AC1621" i="3" s="1"/>
  <c r="AA1621" i="3"/>
  <c r="AB1629" i="3"/>
  <c r="AC1629" i="3" s="1"/>
  <c r="AA1629" i="3"/>
  <c r="AB1637" i="3"/>
  <c r="AC1637" i="3" s="1"/>
  <c r="AA1637" i="3"/>
  <c r="AB1645" i="3"/>
  <c r="AC1645" i="3" s="1"/>
  <c r="AA1645" i="3"/>
  <c r="AB1653" i="3"/>
  <c r="AC1653" i="3" s="1"/>
  <c r="AA1653" i="3"/>
  <c r="AB1661" i="3"/>
  <c r="AC1661" i="3" s="1"/>
  <c r="AA1661" i="3"/>
  <c r="AB1665" i="3"/>
  <c r="AC1665" i="3" s="1"/>
  <c r="AA1665" i="3"/>
  <c r="AB1672" i="3"/>
  <c r="AC1672" i="3" s="1"/>
  <c r="AA1672" i="3"/>
  <c r="AB1678" i="3"/>
  <c r="AC1678" i="3" s="1"/>
  <c r="AA1678" i="3"/>
  <c r="AB1682" i="3"/>
  <c r="AC1682" i="3" s="1"/>
  <c r="AA1682" i="3"/>
  <c r="AB1690" i="3"/>
  <c r="AC1690" i="3" s="1"/>
  <c r="AA1690" i="3"/>
  <c r="AB1698" i="3"/>
  <c r="AC1698" i="3" s="1"/>
  <c r="AA1698" i="3"/>
  <c r="AB1702" i="3"/>
  <c r="AC1702" i="3" s="1"/>
  <c r="AA1702" i="3"/>
  <c r="AB1713" i="3"/>
  <c r="AC1713" i="3" s="1"/>
  <c r="AA1713" i="3"/>
  <c r="AB1717" i="3"/>
  <c r="AC1717" i="3" s="1"/>
  <c r="AA1717" i="3"/>
  <c r="AB1725" i="3"/>
  <c r="AC1725" i="3" s="1"/>
  <c r="AA1725" i="3"/>
  <c r="AB52" i="3"/>
  <c r="AC52" i="3" s="1"/>
  <c r="AA52" i="3"/>
  <c r="AB69" i="3"/>
  <c r="AC69" i="3" s="1"/>
  <c r="AA69" i="3"/>
  <c r="AB121" i="3"/>
  <c r="AC121" i="3" s="1"/>
  <c r="AA121" i="3"/>
  <c r="AB253" i="3"/>
  <c r="AC253" i="3" s="1"/>
  <c r="AA253" i="3"/>
  <c r="AB268" i="3"/>
  <c r="AC268" i="3" s="1"/>
  <c r="AA268" i="3"/>
  <c r="AB271" i="3"/>
  <c r="AC271" i="3" s="1"/>
  <c r="AA271" i="3"/>
  <c r="AB285" i="3"/>
  <c r="AC285" i="3" s="1"/>
  <c r="AA285" i="3"/>
  <c r="AB317" i="3"/>
  <c r="AC317" i="3" s="1"/>
  <c r="AA317" i="3"/>
  <c r="AB335" i="3"/>
  <c r="AC335" i="3" s="1"/>
  <c r="AA335" i="3"/>
  <c r="AB349" i="3"/>
  <c r="AC349" i="3" s="1"/>
  <c r="AA349" i="3"/>
  <c r="AB367" i="3"/>
  <c r="AC367" i="3" s="1"/>
  <c r="AA367" i="3"/>
  <c r="AB399" i="3"/>
  <c r="AC399" i="3" s="1"/>
  <c r="AA399" i="3"/>
  <c r="AB413" i="3"/>
  <c r="AC413" i="3" s="1"/>
  <c r="AA413" i="3"/>
  <c r="AB428" i="3"/>
  <c r="AC428" i="3" s="1"/>
  <c r="AA428" i="3"/>
  <c r="AB431" i="3"/>
  <c r="AC431" i="3" s="1"/>
  <c r="AA431" i="3"/>
  <c r="AB445" i="3"/>
  <c r="AC445" i="3" s="1"/>
  <c r="AA445" i="3"/>
  <c r="AB541" i="3"/>
  <c r="AC541" i="3" s="1"/>
  <c r="AA541" i="3"/>
  <c r="AB556" i="3"/>
  <c r="AC556" i="3" s="1"/>
  <c r="AA556" i="3"/>
  <c r="AB559" i="3"/>
  <c r="AC559" i="3" s="1"/>
  <c r="AA559" i="3"/>
  <c r="AB587" i="3"/>
  <c r="AC587" i="3" s="1"/>
  <c r="AA587" i="3"/>
  <c r="AB601" i="3"/>
  <c r="AC601" i="3" s="1"/>
  <c r="AA601" i="3"/>
  <c r="AB648" i="3"/>
  <c r="AC648" i="3" s="1"/>
  <c r="AA648" i="3"/>
  <c r="AB651" i="3"/>
  <c r="AC651" i="3" s="1"/>
  <c r="AA651" i="3"/>
  <c r="AB683" i="3"/>
  <c r="AC683" i="3" s="1"/>
  <c r="AA683" i="3"/>
  <c r="AB719" i="3"/>
  <c r="AC719" i="3" s="1"/>
  <c r="AA719" i="3"/>
  <c r="AB733" i="3"/>
  <c r="AC733" i="3" s="1"/>
  <c r="AA733" i="3"/>
  <c r="AB748" i="3"/>
  <c r="AC748" i="3" s="1"/>
  <c r="AA748" i="3"/>
  <c r="AB751" i="3"/>
  <c r="AC751" i="3" s="1"/>
  <c r="AA751" i="3"/>
  <c r="AB765" i="3"/>
  <c r="AC765" i="3" s="1"/>
  <c r="AA765" i="3"/>
  <c r="AB780" i="3"/>
  <c r="AC780" i="3" s="1"/>
  <c r="AA780" i="3"/>
  <c r="AB783" i="3"/>
  <c r="AC783" i="3" s="1"/>
  <c r="AA783" i="3"/>
  <c r="AB829" i="3"/>
  <c r="AC829" i="3" s="1"/>
  <c r="AA829" i="3"/>
  <c r="AB843" i="3"/>
  <c r="AC843" i="3" s="1"/>
  <c r="AA843" i="3"/>
  <c r="AB893" i="3"/>
  <c r="AC893" i="3" s="1"/>
  <c r="AA893" i="3"/>
  <c r="AB1007" i="3"/>
  <c r="AC1007" i="3" s="1"/>
  <c r="AA1007" i="3"/>
  <c r="AB1022" i="3"/>
  <c r="AC1022" i="3" s="1"/>
  <c r="AA1022" i="3"/>
  <c r="AB1025" i="3"/>
  <c r="AC1025" i="3" s="1"/>
  <c r="AA1025" i="3"/>
  <c r="AB1121" i="3"/>
  <c r="AC1121" i="3" s="1"/>
  <c r="AA1121" i="3"/>
  <c r="AB1263" i="3"/>
  <c r="AC1263" i="3" s="1"/>
  <c r="AA1263" i="3"/>
  <c r="AB1277" i="3"/>
  <c r="AC1277" i="3" s="1"/>
  <c r="AA1277" i="3"/>
  <c r="AB1295" i="3"/>
  <c r="AC1295" i="3" s="1"/>
  <c r="AA1295" i="3"/>
  <c r="AB1309" i="3"/>
  <c r="AC1309" i="3" s="1"/>
  <c r="AA1309" i="3"/>
  <c r="AB1324" i="3"/>
  <c r="AC1324" i="3" s="1"/>
  <c r="AA1324" i="3"/>
  <c r="AB1327" i="3"/>
  <c r="AC1327" i="3" s="1"/>
  <c r="AA1327" i="3"/>
  <c r="AB1359" i="3"/>
  <c r="AC1359" i="3" s="1"/>
  <c r="AA1359" i="3"/>
  <c r="AB1424" i="3"/>
  <c r="AC1424" i="3" s="1"/>
  <c r="AA1424" i="3"/>
  <c r="AB1427" i="3"/>
  <c r="AC1427" i="3" s="1"/>
  <c r="AA1427" i="3"/>
  <c r="AB1442" i="3"/>
  <c r="AC1442" i="3" s="1"/>
  <c r="AA1442" i="3"/>
  <c r="AB1457" i="3"/>
  <c r="AC1457" i="3" s="1"/>
  <c r="AA1457" i="3"/>
  <c r="AB1466" i="3"/>
  <c r="AC1466" i="3" s="1"/>
  <c r="AA1466" i="3"/>
  <c r="AB1481" i="3"/>
  <c r="AC1481" i="3" s="1"/>
  <c r="AA1481" i="3"/>
  <c r="AB1484" i="3"/>
  <c r="AC1484" i="3" s="1"/>
  <c r="AA1484" i="3"/>
  <c r="AB1490" i="3"/>
  <c r="AC1490" i="3" s="1"/>
  <c r="AA1490" i="3"/>
  <c r="AB1504" i="3"/>
  <c r="AC1504" i="3" s="1"/>
  <c r="AA1504" i="3"/>
  <c r="AB1520" i="3"/>
  <c r="AC1520" i="3" s="1"/>
  <c r="AA1520" i="3"/>
  <c r="AB1530" i="3"/>
  <c r="AC1530" i="3" s="1"/>
  <c r="AA1530" i="3"/>
  <c r="AB1553" i="3"/>
  <c r="AC1553" i="3" s="1"/>
  <c r="AA1553" i="3"/>
  <c r="AB1556" i="3"/>
  <c r="AC1556" i="3" s="1"/>
  <c r="AA1556" i="3"/>
  <c r="AB1577" i="3"/>
  <c r="AC1577" i="3" s="1"/>
  <c r="AA1577" i="3"/>
  <c r="AB1580" i="3"/>
  <c r="AC1580" i="3" s="1"/>
  <c r="AA1580" i="3"/>
  <c r="AB1586" i="3"/>
  <c r="AC1586" i="3" s="1"/>
  <c r="AA1586" i="3"/>
  <c r="AB1610" i="3"/>
  <c r="AC1610" i="3" s="1"/>
  <c r="AA1610" i="3"/>
  <c r="AB1617" i="3"/>
  <c r="AC1617" i="3" s="1"/>
  <c r="AA1617" i="3"/>
  <c r="AB1620" i="3"/>
  <c r="AC1620" i="3" s="1"/>
  <c r="AA1620" i="3"/>
  <c r="AB1626" i="3"/>
  <c r="AC1626" i="3" s="1"/>
  <c r="AA1626" i="3"/>
  <c r="AB1633" i="3"/>
  <c r="AC1633" i="3" s="1"/>
  <c r="AA1633" i="3"/>
  <c r="AB1636" i="3"/>
  <c r="AC1636" i="3" s="1"/>
  <c r="AA1636" i="3"/>
  <c r="AB1642" i="3"/>
  <c r="AC1642" i="3" s="1"/>
  <c r="AA1642" i="3"/>
  <c r="AB1656" i="3"/>
  <c r="AC1656" i="3" s="1"/>
  <c r="AA1656" i="3"/>
  <c r="AB1668" i="3"/>
  <c r="AC1668" i="3" s="1"/>
  <c r="AA1668" i="3"/>
  <c r="AB1684" i="3"/>
  <c r="AC1684" i="3" s="1"/>
  <c r="AA1684" i="3"/>
  <c r="AB1694" i="3"/>
  <c r="AC1694" i="3" s="1"/>
  <c r="AA1694" i="3"/>
  <c r="AB1716" i="3"/>
  <c r="AC1716" i="3" s="1"/>
  <c r="AA1716" i="3"/>
  <c r="AB1722" i="3"/>
  <c r="AC1722" i="3" s="1"/>
  <c r="AA1722" i="3"/>
  <c r="AB15" i="3"/>
  <c r="AC15" i="3" s="1"/>
  <c r="AA15" i="3"/>
  <c r="E54" i="5" s="1"/>
  <c r="D61" i="5"/>
  <c r="E71" i="5"/>
  <c r="D63" i="5"/>
  <c r="E65" i="5"/>
  <c r="F67" i="5"/>
  <c r="D71" i="5"/>
  <c r="E55" i="5"/>
  <c r="N15" i="5"/>
  <c r="CC53" i="5"/>
  <c r="BX53" i="5"/>
  <c r="BS53" i="5"/>
  <c r="BN53" i="5"/>
  <c r="BI53" i="5"/>
  <c r="BD53" i="5"/>
  <c r="AY53" i="5"/>
  <c r="AT53" i="5"/>
  <c r="AO53" i="5"/>
  <c r="AJ53" i="5"/>
  <c r="AE53" i="5"/>
  <c r="CC51" i="5"/>
  <c r="Z51" i="5" s="1"/>
  <c r="BX51" i="5"/>
  <c r="X51" i="5" s="1"/>
  <c r="BS51" i="5"/>
  <c r="W51" i="5" s="1"/>
  <c r="BN51" i="5"/>
  <c r="V51" i="5" s="1"/>
  <c r="BI51" i="5"/>
  <c r="U51" i="5" s="1"/>
  <c r="BD51" i="5"/>
  <c r="T51" i="5" s="1"/>
  <c r="AY51" i="5"/>
  <c r="S51" i="5" s="1"/>
  <c r="AT51" i="5"/>
  <c r="R51" i="5" s="1"/>
  <c r="AO51" i="5"/>
  <c r="Q51" i="5" s="1"/>
  <c r="AJ51" i="5"/>
  <c r="P51" i="5" s="1"/>
  <c r="AE51" i="5"/>
  <c r="O51" i="5" s="1"/>
  <c r="CC49" i="5"/>
  <c r="Z49" i="5" s="1"/>
  <c r="BX49" i="5"/>
  <c r="X49" i="5" s="1"/>
  <c r="BS49" i="5"/>
  <c r="W49" i="5" s="1"/>
  <c r="BN49" i="5"/>
  <c r="V49" i="5" s="1"/>
  <c r="BI49" i="5"/>
  <c r="U49" i="5" s="1"/>
  <c r="BD49" i="5"/>
  <c r="T49" i="5" s="1"/>
  <c r="AY49" i="5"/>
  <c r="S49" i="5" s="1"/>
  <c r="AT49" i="5"/>
  <c r="R49" i="5" s="1"/>
  <c r="AO49" i="5"/>
  <c r="Q49" i="5" s="1"/>
  <c r="AJ49" i="5"/>
  <c r="P49" i="5" s="1"/>
  <c r="AE49" i="5"/>
  <c r="O49" i="5" s="1"/>
  <c r="CC47" i="5"/>
  <c r="Z47" i="5" s="1"/>
  <c r="BX47" i="5"/>
  <c r="X47" i="5" s="1"/>
  <c r="BS47" i="5"/>
  <c r="W47" i="5" s="1"/>
  <c r="BN47" i="5"/>
  <c r="V47" i="5" s="1"/>
  <c r="BI47" i="5"/>
  <c r="U47" i="5" s="1"/>
  <c r="BD47" i="5"/>
  <c r="T47" i="5" s="1"/>
  <c r="AY47" i="5"/>
  <c r="S47" i="5" s="1"/>
  <c r="AT47" i="5"/>
  <c r="R47" i="5" s="1"/>
  <c r="AO47" i="5"/>
  <c r="Q47" i="5" s="1"/>
  <c r="AJ47" i="5"/>
  <c r="P47" i="5" s="1"/>
  <c r="AE47" i="5"/>
  <c r="O47" i="5" s="1"/>
  <c r="CC45" i="5"/>
  <c r="Z45" i="5" s="1"/>
  <c r="BX45" i="5"/>
  <c r="X45" i="5" s="1"/>
  <c r="BS45" i="5"/>
  <c r="W45" i="5" s="1"/>
  <c r="BN45" i="5"/>
  <c r="V45" i="5" s="1"/>
  <c r="BI45" i="5"/>
  <c r="U45" i="5" s="1"/>
  <c r="BD45" i="5"/>
  <c r="T45" i="5" s="1"/>
  <c r="AY45" i="5"/>
  <c r="S45" i="5" s="1"/>
  <c r="AT45" i="5"/>
  <c r="R45" i="5" s="1"/>
  <c r="AO45" i="5"/>
  <c r="Q45" i="5" s="1"/>
  <c r="AJ45" i="5"/>
  <c r="P45" i="5" s="1"/>
  <c r="AE45" i="5"/>
  <c r="O45" i="5" s="1"/>
  <c r="CC43" i="5"/>
  <c r="Z43" i="5" s="1"/>
  <c r="BX43" i="5"/>
  <c r="X43" i="5" s="1"/>
  <c r="BS43" i="5"/>
  <c r="W43" i="5" s="1"/>
  <c r="BN43" i="5"/>
  <c r="V43" i="5" s="1"/>
  <c r="BI43" i="5"/>
  <c r="U43" i="5" s="1"/>
  <c r="BD43" i="5"/>
  <c r="T43" i="5" s="1"/>
  <c r="AY43" i="5"/>
  <c r="S43" i="5" s="1"/>
  <c r="AT43" i="5"/>
  <c r="R43" i="5" s="1"/>
  <c r="AO43" i="5"/>
  <c r="Q43" i="5" s="1"/>
  <c r="AJ43" i="5"/>
  <c r="P43" i="5" s="1"/>
  <c r="AE43" i="5"/>
  <c r="O43" i="5" s="1"/>
  <c r="CC41" i="5"/>
  <c r="Z41" i="5" s="1"/>
  <c r="BX41" i="5"/>
  <c r="X41" i="5" s="1"/>
  <c r="BS41" i="5"/>
  <c r="W41" i="5" s="1"/>
  <c r="BN41" i="5"/>
  <c r="V41" i="5" s="1"/>
  <c r="BI41" i="5"/>
  <c r="U41" i="5" s="1"/>
  <c r="BD41" i="5"/>
  <c r="T41" i="5" s="1"/>
  <c r="AY41" i="5"/>
  <c r="S41" i="5" s="1"/>
  <c r="AT41" i="5"/>
  <c r="R41" i="5" s="1"/>
  <c r="AO41" i="5"/>
  <c r="Q41" i="5" s="1"/>
  <c r="AJ41" i="5"/>
  <c r="P41" i="5" s="1"/>
  <c r="AE41" i="5"/>
  <c r="O41" i="5" s="1"/>
  <c r="CC39" i="5"/>
  <c r="Z39" i="5" s="1"/>
  <c r="BX39" i="5"/>
  <c r="X39" i="5" s="1"/>
  <c r="BS39" i="5"/>
  <c r="W39" i="5" s="1"/>
  <c r="BN39" i="5"/>
  <c r="V39" i="5" s="1"/>
  <c r="BI39" i="5"/>
  <c r="U39" i="5" s="1"/>
  <c r="BD39" i="5"/>
  <c r="T39" i="5" s="1"/>
  <c r="AY39" i="5"/>
  <c r="S39" i="5" s="1"/>
  <c r="AT39" i="5"/>
  <c r="R39" i="5" s="1"/>
  <c r="AO39" i="5"/>
  <c r="Q39" i="5" s="1"/>
  <c r="AJ39" i="5"/>
  <c r="P39" i="5" s="1"/>
  <c r="AE39" i="5"/>
  <c r="O39" i="5" s="1"/>
  <c r="CC37" i="5"/>
  <c r="Z37" i="5" s="1"/>
  <c r="BX37" i="5"/>
  <c r="X37" i="5" s="1"/>
  <c r="BS37" i="5"/>
  <c r="W37" i="5" s="1"/>
  <c r="BN37" i="5"/>
  <c r="V37" i="5" s="1"/>
  <c r="BI37" i="5"/>
  <c r="U37" i="5" s="1"/>
  <c r="BD37" i="5"/>
  <c r="T37" i="5" s="1"/>
  <c r="AY37" i="5"/>
  <c r="S37" i="5" s="1"/>
  <c r="AT37" i="5"/>
  <c r="R37" i="5" s="1"/>
  <c r="AO37" i="5"/>
  <c r="Q37" i="5" s="1"/>
  <c r="AJ37" i="5"/>
  <c r="P37" i="5" s="1"/>
  <c r="AE37" i="5"/>
  <c r="O37" i="5" s="1"/>
  <c r="CC35" i="5"/>
  <c r="Z35" i="5" s="1"/>
  <c r="BX35" i="5"/>
  <c r="X35" i="5" s="1"/>
  <c r="BS35" i="5"/>
  <c r="W35" i="5" s="1"/>
  <c r="BN35" i="5"/>
  <c r="V35" i="5" s="1"/>
  <c r="BI35" i="5"/>
  <c r="U35" i="5" s="1"/>
  <c r="BD35" i="5"/>
  <c r="T35" i="5" s="1"/>
  <c r="AY35" i="5"/>
  <c r="S35" i="5" s="1"/>
  <c r="AT35" i="5"/>
  <c r="R35" i="5" s="1"/>
  <c r="AO35" i="5"/>
  <c r="Q35" i="5" s="1"/>
  <c r="AJ35" i="5"/>
  <c r="P35" i="5" s="1"/>
  <c r="AE35" i="5"/>
  <c r="O35" i="5" s="1"/>
  <c r="CC33" i="5"/>
  <c r="Z33" i="5" s="1"/>
  <c r="BX33" i="5"/>
  <c r="X33" i="5" s="1"/>
  <c r="BS33" i="5"/>
  <c r="W33" i="5" s="1"/>
  <c r="BN33" i="5"/>
  <c r="V33" i="5" s="1"/>
  <c r="BI33" i="5"/>
  <c r="U33" i="5" s="1"/>
  <c r="BD33" i="5"/>
  <c r="T33" i="5" s="1"/>
  <c r="AY33" i="5"/>
  <c r="S33" i="5" s="1"/>
  <c r="AT33" i="5"/>
  <c r="R33" i="5" s="1"/>
  <c r="AO33" i="5"/>
  <c r="Q33" i="5" s="1"/>
  <c r="AJ33" i="5"/>
  <c r="P33" i="5" s="1"/>
  <c r="AE33" i="5"/>
  <c r="O33" i="5" s="1"/>
  <c r="CC31" i="5"/>
  <c r="Z31" i="5" s="1"/>
  <c r="BX31" i="5"/>
  <c r="X31" i="5" s="1"/>
  <c r="BS31" i="5"/>
  <c r="W31" i="5" s="1"/>
  <c r="BN31" i="5"/>
  <c r="V31" i="5" s="1"/>
  <c r="BI31" i="5"/>
  <c r="U31" i="5" s="1"/>
  <c r="BD31" i="5"/>
  <c r="T31" i="5" s="1"/>
  <c r="AY31" i="5"/>
  <c r="S31" i="5" s="1"/>
  <c r="AT31" i="5"/>
  <c r="R31" i="5" s="1"/>
  <c r="AO31" i="5"/>
  <c r="Q31" i="5" s="1"/>
  <c r="AJ31" i="5"/>
  <c r="P31" i="5" s="1"/>
  <c r="AE31" i="5"/>
  <c r="O31" i="5" s="1"/>
  <c r="CC29" i="5"/>
  <c r="Z29" i="5" s="1"/>
  <c r="BX29" i="5"/>
  <c r="X29" i="5" s="1"/>
  <c r="BS29" i="5"/>
  <c r="W29" i="5" s="1"/>
  <c r="BN29" i="5"/>
  <c r="V29" i="5" s="1"/>
  <c r="BI29" i="5"/>
  <c r="U29" i="5" s="1"/>
  <c r="BD29" i="5"/>
  <c r="T29" i="5" s="1"/>
  <c r="AY29" i="5"/>
  <c r="S29" i="5" s="1"/>
  <c r="AT29" i="5"/>
  <c r="R29" i="5" s="1"/>
  <c r="AO29" i="5"/>
  <c r="Q29" i="5" s="1"/>
  <c r="AJ29" i="5"/>
  <c r="P29" i="5" s="1"/>
  <c r="AE29" i="5"/>
  <c r="O29" i="5" s="1"/>
  <c r="CC27" i="5"/>
  <c r="Z27" i="5" s="1"/>
  <c r="BX27" i="5"/>
  <c r="X27" i="5" s="1"/>
  <c r="BS27" i="5"/>
  <c r="W27" i="5" s="1"/>
  <c r="BN27" i="5"/>
  <c r="V27" i="5" s="1"/>
  <c r="BI27" i="5"/>
  <c r="U27" i="5" s="1"/>
  <c r="BD27" i="5"/>
  <c r="T27" i="5" s="1"/>
  <c r="AY27" i="5"/>
  <c r="S27" i="5" s="1"/>
  <c r="AT27" i="5"/>
  <c r="R27" i="5" s="1"/>
  <c r="AO27" i="5"/>
  <c r="Q27" i="5" s="1"/>
  <c r="AJ27" i="5"/>
  <c r="P27" i="5" s="1"/>
  <c r="AE27" i="5"/>
  <c r="O27" i="5" s="1"/>
  <c r="CC25" i="5"/>
  <c r="Z25" i="5" s="1"/>
  <c r="BX25" i="5"/>
  <c r="X25" i="5" s="1"/>
  <c r="BS25" i="5"/>
  <c r="W25" i="5" s="1"/>
  <c r="BN25" i="5"/>
  <c r="V25" i="5" s="1"/>
  <c r="BI25" i="5"/>
  <c r="U25" i="5" s="1"/>
  <c r="BD25" i="5"/>
  <c r="T25" i="5" s="1"/>
  <c r="AY25" i="5"/>
  <c r="S25" i="5" s="1"/>
  <c r="AT25" i="5"/>
  <c r="R25" i="5" s="1"/>
  <c r="AO25" i="5"/>
  <c r="Q25" i="5" s="1"/>
  <c r="AJ25" i="5"/>
  <c r="P25" i="5" s="1"/>
  <c r="AE25" i="5"/>
  <c r="O25" i="5" s="1"/>
  <c r="CC23" i="5"/>
  <c r="Z23" i="5" s="1"/>
  <c r="BX23" i="5"/>
  <c r="X23" i="5" s="1"/>
  <c r="BS23" i="5"/>
  <c r="W23" i="5" s="1"/>
  <c r="BN23" i="5"/>
  <c r="V23" i="5" s="1"/>
  <c r="BI23" i="5"/>
  <c r="U23" i="5" s="1"/>
  <c r="BD23" i="5"/>
  <c r="T23" i="5" s="1"/>
  <c r="AY23" i="5"/>
  <c r="S23" i="5" s="1"/>
  <c r="AT23" i="5"/>
  <c r="R23" i="5" s="1"/>
  <c r="AO23" i="5"/>
  <c r="Q23" i="5" s="1"/>
  <c r="AJ23" i="5"/>
  <c r="P23" i="5" s="1"/>
  <c r="AE23" i="5"/>
  <c r="O23" i="5" s="1"/>
  <c r="L23" i="5" s="1"/>
  <c r="CC21" i="5"/>
  <c r="Z21" i="5" s="1"/>
  <c r="BX21" i="5"/>
  <c r="X21" i="5" s="1"/>
  <c r="BS21" i="5"/>
  <c r="W21" i="5" s="1"/>
  <c r="BN21" i="5"/>
  <c r="V21" i="5" s="1"/>
  <c r="BI21" i="5"/>
  <c r="U21" i="5" s="1"/>
  <c r="BD21" i="5"/>
  <c r="T21" i="5" s="1"/>
  <c r="AY21" i="5"/>
  <c r="S21" i="5" s="1"/>
  <c r="AT21" i="5"/>
  <c r="R21" i="5" s="1"/>
  <c r="AO21" i="5"/>
  <c r="Q21" i="5" s="1"/>
  <c r="AJ21" i="5"/>
  <c r="P21" i="5" s="1"/>
  <c r="AE21" i="5"/>
  <c r="O21" i="5" s="1"/>
  <c r="CC19" i="5"/>
  <c r="Z19" i="5" s="1"/>
  <c r="BX19" i="5"/>
  <c r="X19" i="5" s="1"/>
  <c r="BS19" i="5"/>
  <c r="BN19" i="5"/>
  <c r="V19" i="5" s="1"/>
  <c r="BI19" i="5"/>
  <c r="U19" i="5" s="1"/>
  <c r="BD19" i="5"/>
  <c r="T19" i="5" s="1"/>
  <c r="AY19" i="5"/>
  <c r="AT19" i="5"/>
  <c r="R19" i="5" s="1"/>
  <c r="AO19" i="5"/>
  <c r="Q19" i="5" s="1"/>
  <c r="AJ19" i="5"/>
  <c r="AE19" i="5"/>
  <c r="W19" i="5"/>
  <c r="S19" i="5"/>
  <c r="F65" i="5" l="1"/>
  <c r="AE109" i="3"/>
  <c r="AF109" i="3"/>
  <c r="AF309" i="3"/>
  <c r="AE309" i="3"/>
  <c r="AE111" i="3"/>
  <c r="AF111" i="3"/>
  <c r="AE76" i="3"/>
  <c r="AG76" i="3"/>
  <c r="G55" i="5" s="1"/>
  <c r="F95" i="5"/>
  <c r="E96" i="5"/>
  <c r="E95" i="5"/>
  <c r="H95" i="5" s="1"/>
  <c r="F96" i="5"/>
  <c r="F97" i="5" s="1"/>
  <c r="D55" i="5"/>
  <c r="D54" i="5"/>
  <c r="F59" i="5"/>
  <c r="D69" i="5"/>
  <c r="E63" i="5"/>
  <c r="F71" i="5"/>
  <c r="D67" i="5"/>
  <c r="E61" i="5"/>
  <c r="F69" i="5"/>
  <c r="D65" i="5"/>
  <c r="D59" i="5"/>
  <c r="D57" i="5"/>
  <c r="E69" i="5"/>
  <c r="F63" i="5"/>
  <c r="E59" i="5"/>
  <c r="E67" i="5"/>
  <c r="F61" i="5"/>
  <c r="Y51" i="5"/>
  <c r="Y43" i="5"/>
  <c r="Y47" i="5"/>
  <c r="Y39" i="5"/>
  <c r="Q15" i="5"/>
  <c r="S15" i="5"/>
  <c r="U15" i="5"/>
  <c r="W15" i="5"/>
  <c r="Z15" i="5"/>
  <c r="Y27" i="5"/>
  <c r="Y31" i="5"/>
  <c r="Y35" i="5"/>
  <c r="R15" i="5"/>
  <c r="T15" i="5"/>
  <c r="V15" i="5"/>
  <c r="X15" i="5"/>
  <c r="Y25" i="5"/>
  <c r="Y29" i="5"/>
  <c r="Y33" i="5"/>
  <c r="Y37" i="5"/>
  <c r="Y21" i="5"/>
  <c r="Y41" i="5"/>
  <c r="Y45" i="5"/>
  <c r="Y49" i="5"/>
  <c r="L51" i="5"/>
  <c r="L47" i="5"/>
  <c r="L43" i="5"/>
  <c r="L39" i="5"/>
  <c r="L35" i="5"/>
  <c r="L31" i="5"/>
  <c r="L27" i="5"/>
  <c r="Y23" i="5"/>
  <c r="L49" i="5"/>
  <c r="L45" i="5"/>
  <c r="L41" i="5"/>
  <c r="L37" i="5"/>
  <c r="L33" i="5"/>
  <c r="L29" i="5"/>
  <c r="L25" i="5"/>
  <c r="L21" i="5"/>
  <c r="P19" i="5"/>
  <c r="P15" i="5" s="1"/>
  <c r="O19" i="5"/>
  <c r="C18" i="5"/>
  <c r="D18" i="5"/>
  <c r="E12" i="5"/>
  <c r="E13" i="5"/>
  <c r="E14" i="5"/>
  <c r="E15" i="5"/>
  <c r="E16" i="5"/>
  <c r="E17" i="5"/>
  <c r="E11" i="5"/>
  <c r="E23" i="5" s="1"/>
  <c r="P6" i="5"/>
  <c r="E6" i="5" s="1"/>
  <c r="Q6" i="5"/>
  <c r="F6" i="5" s="1"/>
  <c r="R6" i="5"/>
  <c r="I6" i="5" s="1"/>
  <c r="S6" i="5"/>
  <c r="J6" i="5" s="1"/>
  <c r="T6" i="5"/>
  <c r="K6" i="5" s="1"/>
  <c r="U6" i="5"/>
  <c r="V6" i="5"/>
  <c r="W6" i="5"/>
  <c r="X6" i="5"/>
  <c r="Y6" i="5"/>
  <c r="Z6" i="5"/>
  <c r="AA6" i="5"/>
  <c r="AB6" i="5"/>
  <c r="AC6" i="5"/>
  <c r="AD6" i="5"/>
  <c r="AE6" i="5"/>
  <c r="AF6" i="5"/>
  <c r="AG6" i="5"/>
  <c r="AH6" i="5"/>
  <c r="AI6" i="5"/>
  <c r="O6" i="5"/>
  <c r="D6" i="5" s="1"/>
  <c r="D7" i="5" s="1"/>
  <c r="E7" i="5" s="1"/>
  <c r="N6" i="5"/>
  <c r="C6" i="5" s="1"/>
  <c r="M6" i="5"/>
  <c r="L6" i="5"/>
  <c r="L7" i="5" s="1"/>
  <c r="G54" i="5" l="1"/>
  <c r="F54" i="5" s="1"/>
  <c r="F55" i="5"/>
  <c r="H55" i="5"/>
  <c r="H96" i="5"/>
  <c r="E97" i="5"/>
  <c r="E72" i="5"/>
  <c r="I61" i="5" s="1"/>
  <c r="D72" i="5"/>
  <c r="H59" i="5" s="1"/>
  <c r="F72" i="5"/>
  <c r="I59" i="5" s="1"/>
  <c r="H6" i="5"/>
  <c r="H7" i="5" s="1"/>
  <c r="L19" i="5"/>
  <c r="O15" i="5"/>
  <c r="Y19" i="5"/>
  <c r="Y15" i="5" s="1"/>
  <c r="E18" i="5"/>
  <c r="F16" i="5" s="1"/>
  <c r="F7" i="5"/>
  <c r="I7" i="5"/>
  <c r="K7" i="5"/>
  <c r="J7" i="5"/>
  <c r="H54" i="5" l="1"/>
  <c r="H65" i="5"/>
  <c r="H71" i="5"/>
  <c r="H63" i="5"/>
  <c r="I71" i="5"/>
  <c r="I63" i="5"/>
  <c r="H69" i="5"/>
  <c r="H61" i="5"/>
  <c r="H67" i="5"/>
  <c r="I67" i="5"/>
  <c r="I65" i="5"/>
  <c r="I69" i="5"/>
  <c r="F13" i="5"/>
  <c r="F17" i="5"/>
  <c r="F14" i="5"/>
  <c r="F11" i="5"/>
  <c r="E21" i="5"/>
  <c r="F15" i="5"/>
  <c r="F12" i="5"/>
  <c r="F18" i="5" l="1"/>
</calcChain>
</file>

<file path=xl/sharedStrings.xml><?xml version="1.0" encoding="utf-8"?>
<sst xmlns="http://schemas.openxmlformats.org/spreadsheetml/2006/main" count="16115" uniqueCount="1664">
  <si>
    <t>Retentionsgrupper</t>
  </si>
  <si>
    <t>Afgrødegruppe</t>
  </si>
  <si>
    <t>Areal</t>
  </si>
  <si>
    <t>91-100</t>
  </si>
  <si>
    <t>VedvarendeGræs</t>
  </si>
  <si>
    <t>Omdrift</t>
  </si>
  <si>
    <t>31-40</t>
  </si>
  <si>
    <t>21-30</t>
  </si>
  <si>
    <t>81-90</t>
  </si>
  <si>
    <t>41-50</t>
  </si>
  <si>
    <t>71-80</t>
  </si>
  <si>
    <t>1-10</t>
  </si>
  <si>
    <t>CVR</t>
  </si>
  <si>
    <t>Miljøordninger</t>
  </si>
  <si>
    <t>ID</t>
  </si>
  <si>
    <t>ANSNR</t>
  </si>
  <si>
    <t>BLOKNR</t>
  </si>
  <si>
    <t>HOESTAAR</t>
  </si>
  <si>
    <t>DATO</t>
  </si>
  <si>
    <t>AREAL</t>
  </si>
  <si>
    <t>MARKNR</t>
  </si>
  <si>
    <t>AFGRKODE</t>
  </si>
  <si>
    <t>JB</t>
  </si>
  <si>
    <t>IndenforOpland</t>
  </si>
  <si>
    <t>Retention</t>
  </si>
  <si>
    <t>558288-29</t>
  </si>
  <si>
    <t>20-0</t>
  </si>
  <si>
    <t>Miljøgræs MVJ-ordn. 2 (0 N)</t>
  </si>
  <si>
    <t>JB_1_3</t>
  </si>
  <si>
    <t>ja</t>
  </si>
  <si>
    <t>558289-45</t>
  </si>
  <si>
    <t>4-0</t>
  </si>
  <si>
    <t>Vårbyg</t>
  </si>
  <si>
    <t>Nej</t>
  </si>
  <si>
    <t>5-0</t>
  </si>
  <si>
    <t>7-0</t>
  </si>
  <si>
    <t>6-0</t>
  </si>
  <si>
    <t>2-0</t>
  </si>
  <si>
    <t>9-0</t>
  </si>
  <si>
    <t>Græs uden kl. (omdrift)</t>
  </si>
  <si>
    <t>546286-02</t>
  </si>
  <si>
    <t>Permanent græs normalt udbytte</t>
  </si>
  <si>
    <t>JB_11</t>
  </si>
  <si>
    <t>548286-83</t>
  </si>
  <si>
    <t>32-1</t>
  </si>
  <si>
    <t>Kløvergræs under 50 pct. kløver (omdrift</t>
  </si>
  <si>
    <t>JB_2_4</t>
  </si>
  <si>
    <t>547284-62</t>
  </si>
  <si>
    <t>552285-47</t>
  </si>
  <si>
    <t>Vårhvede</t>
  </si>
  <si>
    <t>547283-52</t>
  </si>
  <si>
    <t>53-0</t>
  </si>
  <si>
    <t>546283-95</t>
  </si>
  <si>
    <t>11-0</t>
  </si>
  <si>
    <t>548284-63</t>
  </si>
  <si>
    <t>40-0</t>
  </si>
  <si>
    <t>Korn/bælgsæd, helsæd, max 50% bælgsæd</t>
  </si>
  <si>
    <t>552285-22</t>
  </si>
  <si>
    <t>15-0</t>
  </si>
  <si>
    <t>549286-02</t>
  </si>
  <si>
    <t>33-0</t>
  </si>
  <si>
    <t>1-0</t>
  </si>
  <si>
    <t>548286-74</t>
  </si>
  <si>
    <t>32-0</t>
  </si>
  <si>
    <t>547284-96</t>
  </si>
  <si>
    <t>51-0</t>
  </si>
  <si>
    <t>34-0</t>
  </si>
  <si>
    <t>50-0</t>
  </si>
  <si>
    <t>547286-05</t>
  </si>
  <si>
    <t>8-0</t>
  </si>
  <si>
    <t>547283-87</t>
  </si>
  <si>
    <t>43-0</t>
  </si>
  <si>
    <t>547285-32</t>
  </si>
  <si>
    <t>25-0</t>
  </si>
  <si>
    <t>26-0</t>
  </si>
  <si>
    <t>30-0</t>
  </si>
  <si>
    <t>31-0</t>
  </si>
  <si>
    <t>546286-47</t>
  </si>
  <si>
    <t>546287-40</t>
  </si>
  <si>
    <t>45-0</t>
  </si>
  <si>
    <t>Naturarealer efter driftsloven</t>
  </si>
  <si>
    <t>Øvrige afgrøder, naturlign</t>
  </si>
  <si>
    <t>548285-10</t>
  </si>
  <si>
    <t>Vinterrug</t>
  </si>
  <si>
    <t>548284-27</t>
  </si>
  <si>
    <t>548284-11</t>
  </si>
  <si>
    <t>13-0</t>
  </si>
  <si>
    <t>12-0</t>
  </si>
  <si>
    <t>547285-64</t>
  </si>
  <si>
    <t>27-0</t>
  </si>
  <si>
    <t>547283-85</t>
  </si>
  <si>
    <t>10-0</t>
  </si>
  <si>
    <t>14-0</t>
  </si>
  <si>
    <t>41-0</t>
  </si>
  <si>
    <t>547284-89</t>
  </si>
  <si>
    <t>29-0</t>
  </si>
  <si>
    <t>553287-99</t>
  </si>
  <si>
    <t>3-0</t>
  </si>
  <si>
    <t>553287-79</t>
  </si>
  <si>
    <t>553287-69</t>
  </si>
  <si>
    <t>553287-49</t>
  </si>
  <si>
    <t>Ærter</t>
  </si>
  <si>
    <t>Vinterhvede</t>
  </si>
  <si>
    <t>553288-00</t>
  </si>
  <si>
    <t>553287-67</t>
  </si>
  <si>
    <t>553287-11</t>
  </si>
  <si>
    <t>553288-53</t>
  </si>
  <si>
    <t>Vinterbyg</t>
  </si>
  <si>
    <t>553288-64</t>
  </si>
  <si>
    <t>553288-83</t>
  </si>
  <si>
    <t>555291-90</t>
  </si>
  <si>
    <t>555289-47</t>
  </si>
  <si>
    <t>556290-78</t>
  </si>
  <si>
    <t>556290-57</t>
  </si>
  <si>
    <t>Havre</t>
  </si>
  <si>
    <t>550279-28</t>
  </si>
  <si>
    <t>Silomajs</t>
  </si>
  <si>
    <t>550279-77</t>
  </si>
  <si>
    <t>551280-32</t>
  </si>
  <si>
    <t>550280-93</t>
  </si>
  <si>
    <t>Vårkorn, grønkorn</t>
  </si>
  <si>
    <t>554284-35</t>
  </si>
  <si>
    <t>21-0</t>
  </si>
  <si>
    <t>22-0</t>
  </si>
  <si>
    <t>554285-53</t>
  </si>
  <si>
    <t>24-0</t>
  </si>
  <si>
    <t>550279-23</t>
  </si>
  <si>
    <t>42-0</t>
  </si>
  <si>
    <t>Ærtehelsæd</t>
  </si>
  <si>
    <t>550280-71</t>
  </si>
  <si>
    <t>554285-49</t>
  </si>
  <si>
    <t>554285-03</t>
  </si>
  <si>
    <t>551279-68</t>
  </si>
  <si>
    <t>35-0</t>
  </si>
  <si>
    <t>36-0</t>
  </si>
  <si>
    <t>551280-80</t>
  </si>
  <si>
    <t>38-0</t>
  </si>
  <si>
    <t>18-0</t>
  </si>
  <si>
    <t>37-0</t>
  </si>
  <si>
    <t>551280-59</t>
  </si>
  <si>
    <t>551282-96</t>
  </si>
  <si>
    <t>44-0</t>
  </si>
  <si>
    <t>554285-91</t>
  </si>
  <si>
    <t>23-0</t>
  </si>
  <si>
    <t>16-0</t>
  </si>
  <si>
    <t>552290-69</t>
  </si>
  <si>
    <t>Perm. græs/kløvergræs uden norm</t>
  </si>
  <si>
    <t>552290-79</t>
  </si>
  <si>
    <t>Permanent græs uden kløver omlagt mindst hvert 5 år</t>
  </si>
  <si>
    <t>552291-91</t>
  </si>
  <si>
    <t>552291-60</t>
  </si>
  <si>
    <t>553285-15</t>
  </si>
  <si>
    <t>552285-86</t>
  </si>
  <si>
    <t>553285-76</t>
  </si>
  <si>
    <t>Juletræer/pyntegrønt</t>
  </si>
  <si>
    <t>Skov juletræer</t>
  </si>
  <si>
    <t>553285-37</t>
  </si>
  <si>
    <t>553286-81</t>
  </si>
  <si>
    <t>553296-16</t>
  </si>
  <si>
    <t>17-3a</t>
  </si>
  <si>
    <t>Naturlignende arealer</t>
  </si>
  <si>
    <t>553298-04</t>
  </si>
  <si>
    <t>49-0</t>
  </si>
  <si>
    <t>553296-07</t>
  </si>
  <si>
    <t>17-0</t>
  </si>
  <si>
    <t>557297-50</t>
  </si>
  <si>
    <t>553296-06</t>
  </si>
  <si>
    <t>17-3b</t>
  </si>
  <si>
    <t>552301-35</t>
  </si>
  <si>
    <t>552302-50</t>
  </si>
  <si>
    <t>38-1</t>
  </si>
  <si>
    <t>MVJ-ej udtagn. ej landbrugsjord</t>
  </si>
  <si>
    <t>553297-26</t>
  </si>
  <si>
    <t>19-0</t>
  </si>
  <si>
    <t>558299-22</t>
  </si>
  <si>
    <t>559296-11</t>
  </si>
  <si>
    <t>48-0</t>
  </si>
  <si>
    <t>46-0</t>
  </si>
  <si>
    <t>552302-52</t>
  </si>
  <si>
    <t>38-2</t>
  </si>
  <si>
    <t>559297-18</t>
  </si>
  <si>
    <t>559297-01</t>
  </si>
  <si>
    <t>558296-77</t>
  </si>
  <si>
    <t>558296-90</t>
  </si>
  <si>
    <t>559296-37</t>
  </si>
  <si>
    <t>999999-99</t>
  </si>
  <si>
    <t>39-0</t>
  </si>
  <si>
    <t>Skovdrift, alm.</t>
  </si>
  <si>
    <t>551290-58</t>
  </si>
  <si>
    <t>553297-01</t>
  </si>
  <si>
    <t>553297-04</t>
  </si>
  <si>
    <t>553298-14</t>
  </si>
  <si>
    <t>552297-99</t>
  </si>
  <si>
    <t>552297-81</t>
  </si>
  <si>
    <t>52-0</t>
  </si>
  <si>
    <t>552297-63</t>
  </si>
  <si>
    <t>38-3</t>
  </si>
  <si>
    <t>552301-14</t>
  </si>
  <si>
    <t>557297-04</t>
  </si>
  <si>
    <t>47-0</t>
  </si>
  <si>
    <t>557300-48</t>
  </si>
  <si>
    <t>553296-29</t>
  </si>
  <si>
    <t>552297-90</t>
  </si>
  <si>
    <t>553296-27</t>
  </si>
  <si>
    <t>552284-51</t>
  </si>
  <si>
    <t>557286-98</t>
  </si>
  <si>
    <t>558286-28</t>
  </si>
  <si>
    <t>Græs og kl.græs uden norm</t>
  </si>
  <si>
    <t>557286-94</t>
  </si>
  <si>
    <t>584268-10</t>
  </si>
  <si>
    <t>553284-18</t>
  </si>
  <si>
    <t>552284-86</t>
  </si>
  <si>
    <t>557286-88</t>
  </si>
  <si>
    <t>Vinterraps</t>
  </si>
  <si>
    <t>557287-45</t>
  </si>
  <si>
    <t>557287-76</t>
  </si>
  <si>
    <t>557287-11</t>
  </si>
  <si>
    <t>504277-25</t>
  </si>
  <si>
    <t>552284-27</t>
  </si>
  <si>
    <t>519249-90</t>
  </si>
  <si>
    <t>520248-26</t>
  </si>
  <si>
    <t>552317-28</t>
  </si>
  <si>
    <t>535308-43</t>
  </si>
  <si>
    <t>549317-38</t>
  </si>
  <si>
    <t>520247-16</t>
  </si>
  <si>
    <t>505252-80</t>
  </si>
  <si>
    <t>522249-08</t>
  </si>
  <si>
    <t>535308-23</t>
  </si>
  <si>
    <t>521250-60</t>
  </si>
  <si>
    <t>552319-64</t>
  </si>
  <si>
    <t>552319-41</t>
  </si>
  <si>
    <t>552319-82</t>
  </si>
  <si>
    <t>552319-50</t>
  </si>
  <si>
    <t>552319-73</t>
  </si>
  <si>
    <t>551317-88</t>
  </si>
  <si>
    <t>520248-66</t>
  </si>
  <si>
    <t>519248-91</t>
  </si>
  <si>
    <t>520249-04</t>
  </si>
  <si>
    <t>521249-04</t>
  </si>
  <si>
    <t>519247-93</t>
  </si>
  <si>
    <t>519247-42</t>
  </si>
  <si>
    <t>551319-13</t>
  </si>
  <si>
    <t>552299-62</t>
  </si>
  <si>
    <t>549317-29</t>
  </si>
  <si>
    <t>549317-65</t>
  </si>
  <si>
    <t>535308-20</t>
  </si>
  <si>
    <t>535308-21</t>
  </si>
  <si>
    <t>551317-22</t>
  </si>
  <si>
    <t>534308-99</t>
  </si>
  <si>
    <t>535308-34</t>
  </si>
  <si>
    <t>520248-07</t>
  </si>
  <si>
    <t>552319-65</t>
  </si>
  <si>
    <t>535307-18</t>
  </si>
  <si>
    <t>522252-02</t>
  </si>
  <si>
    <t>521252-82</t>
  </si>
  <si>
    <t>520248-17</t>
  </si>
  <si>
    <t>552319-02</t>
  </si>
  <si>
    <t>535307-09</t>
  </si>
  <si>
    <t>521249-17</t>
  </si>
  <si>
    <t>505252-90</t>
  </si>
  <si>
    <t>551284-77</t>
  </si>
  <si>
    <t>551286-60</t>
  </si>
  <si>
    <t>Vårbyg, helsæd</t>
  </si>
  <si>
    <t>553286-80</t>
  </si>
  <si>
    <t>552290-87</t>
  </si>
  <si>
    <t>41-1</t>
  </si>
  <si>
    <t>553292-36</t>
  </si>
  <si>
    <t>553292-55</t>
  </si>
  <si>
    <t>553292-74</t>
  </si>
  <si>
    <t>553292-43</t>
  </si>
  <si>
    <t>553292-83</t>
  </si>
  <si>
    <t>553292-41</t>
  </si>
  <si>
    <t>553292-81</t>
  </si>
  <si>
    <t>553291-39</t>
  </si>
  <si>
    <t>553291-38</t>
  </si>
  <si>
    <t>553291-79</t>
  </si>
  <si>
    <t>554291-62</t>
  </si>
  <si>
    <t>45-1</t>
  </si>
  <si>
    <t>554291-45</t>
  </si>
  <si>
    <t>553292-84</t>
  </si>
  <si>
    <t>553290-75</t>
  </si>
  <si>
    <t>551292-74</t>
  </si>
  <si>
    <t>39-1</t>
  </si>
  <si>
    <t>555294-40</t>
  </si>
  <si>
    <t>553291-51</t>
  </si>
  <si>
    <t>553291-24</t>
  </si>
  <si>
    <t>30-2</t>
  </si>
  <si>
    <t>553291-72</t>
  </si>
  <si>
    <t>41-2</t>
  </si>
  <si>
    <t>553288-17</t>
  </si>
  <si>
    <t>553289-60</t>
  </si>
  <si>
    <t>556292-23</t>
  </si>
  <si>
    <t>553286-20</t>
  </si>
  <si>
    <t>553286-34</t>
  </si>
  <si>
    <t>555289-90</t>
  </si>
  <si>
    <t>555289-54</t>
  </si>
  <si>
    <t>557291-67</t>
  </si>
  <si>
    <t>34-2</t>
  </si>
  <si>
    <t>552287-23</t>
  </si>
  <si>
    <t>554284-84</t>
  </si>
  <si>
    <t>553289-07</t>
  </si>
  <si>
    <t>55-0</t>
  </si>
  <si>
    <t>552289-85</t>
  </si>
  <si>
    <t>32-3</t>
  </si>
  <si>
    <t>32-2</t>
  </si>
  <si>
    <t>555288-77</t>
  </si>
  <si>
    <t>555291-01</t>
  </si>
  <si>
    <t>552287-65</t>
  </si>
  <si>
    <t>Korn/bælgsæd max. 50% bælgsæd</t>
  </si>
  <si>
    <t>556288-04</t>
  </si>
  <si>
    <t>557292-42</t>
  </si>
  <si>
    <t>556292-54</t>
  </si>
  <si>
    <t>40-1</t>
  </si>
  <si>
    <t>Rajgræsfrø, alm.</t>
  </si>
  <si>
    <t>40-2</t>
  </si>
  <si>
    <t>565276-51</t>
  </si>
  <si>
    <t>565275-58</t>
  </si>
  <si>
    <t>555289-20</t>
  </si>
  <si>
    <t>555289-50</t>
  </si>
  <si>
    <t>555289-35</t>
  </si>
  <si>
    <t>554291-87</t>
  </si>
  <si>
    <t>555283-49</t>
  </si>
  <si>
    <t>555283-08</t>
  </si>
  <si>
    <t>555291-50</t>
  </si>
  <si>
    <t>555290-17</t>
  </si>
  <si>
    <t>34-1</t>
  </si>
  <si>
    <t>550287-74</t>
  </si>
  <si>
    <t>551287-05</t>
  </si>
  <si>
    <t>551288-30</t>
  </si>
  <si>
    <t>552288-24</t>
  </si>
  <si>
    <t>552288-36</t>
  </si>
  <si>
    <t>550288-42</t>
  </si>
  <si>
    <t>550287-17</t>
  </si>
  <si>
    <t>Spisekartofler</t>
  </si>
  <si>
    <t>551287-90</t>
  </si>
  <si>
    <t>552286-53</t>
  </si>
  <si>
    <t>552286-28</t>
  </si>
  <si>
    <t>553286-05</t>
  </si>
  <si>
    <t>552286-06</t>
  </si>
  <si>
    <t>551285-33</t>
  </si>
  <si>
    <t>547286-83</t>
  </si>
  <si>
    <t>549285-98</t>
  </si>
  <si>
    <t>550285-19</t>
  </si>
  <si>
    <t>552286-05</t>
  </si>
  <si>
    <t>553285-08</t>
  </si>
  <si>
    <t>553288-99</t>
  </si>
  <si>
    <t>554288-38</t>
  </si>
  <si>
    <t>554288-47</t>
  </si>
  <si>
    <t>554288-67</t>
  </si>
  <si>
    <t>558304-14</t>
  </si>
  <si>
    <t>557304-87</t>
  </si>
  <si>
    <t>559306-37</t>
  </si>
  <si>
    <t>559306-41</t>
  </si>
  <si>
    <t>555289-37</t>
  </si>
  <si>
    <t>557304-04</t>
  </si>
  <si>
    <t>Permanent græs lavt udbytte</t>
  </si>
  <si>
    <t>556285-58</t>
  </si>
  <si>
    <t>Rajgræsfrø, alm. 1. år, efterårsudlagt</t>
  </si>
  <si>
    <t>556286-50</t>
  </si>
  <si>
    <t>556286-18</t>
  </si>
  <si>
    <t>556287-63</t>
  </si>
  <si>
    <t>556286-67</t>
  </si>
  <si>
    <t>Hybridrug</t>
  </si>
  <si>
    <t>556288-40</t>
  </si>
  <si>
    <t>556286-74</t>
  </si>
  <si>
    <t>556287-42</t>
  </si>
  <si>
    <t>555287-41</t>
  </si>
  <si>
    <t>547291-97</t>
  </si>
  <si>
    <t>548291-59</t>
  </si>
  <si>
    <t>550292-28</t>
  </si>
  <si>
    <t>549291-28</t>
  </si>
  <si>
    <t>551289-22</t>
  </si>
  <si>
    <t>555290-41</t>
  </si>
  <si>
    <t>552291-42</t>
  </si>
  <si>
    <t>553290-32</t>
  </si>
  <si>
    <t>553289-76</t>
  </si>
  <si>
    <t>552289-62</t>
  </si>
  <si>
    <t>552288-97</t>
  </si>
  <si>
    <t>552288-67</t>
  </si>
  <si>
    <t>552289-30</t>
  </si>
  <si>
    <t>555290-27</t>
  </si>
  <si>
    <t>554290-93</t>
  </si>
  <si>
    <t>550291-42</t>
  </si>
  <si>
    <t>550285-42</t>
  </si>
  <si>
    <t>550285-55</t>
  </si>
  <si>
    <t>550289-55</t>
  </si>
  <si>
    <t>552291-03</t>
  </si>
  <si>
    <t>552290-96</t>
  </si>
  <si>
    <t>552290-55</t>
  </si>
  <si>
    <t>Skovrejsning på tidl. landbrugsjord 1</t>
  </si>
  <si>
    <t>552290-61</t>
  </si>
  <si>
    <t>2-0A</t>
  </si>
  <si>
    <t>554284-08</t>
  </si>
  <si>
    <t>556286-61</t>
  </si>
  <si>
    <t>552285-81</t>
  </si>
  <si>
    <t>552285-63</t>
  </si>
  <si>
    <t>553285-20</t>
  </si>
  <si>
    <t>28-0</t>
  </si>
  <si>
    <t>555284-12</t>
  </si>
  <si>
    <t>554286-93</t>
  </si>
  <si>
    <t>553285-32</t>
  </si>
  <si>
    <t>Lucerne m/min 25% græs slet(+eget foder)</t>
  </si>
  <si>
    <t>552285-73</t>
  </si>
  <si>
    <t>Kl.græs &gt;50% kl. (omdrift)</t>
  </si>
  <si>
    <t>555286-24</t>
  </si>
  <si>
    <t>556284-29</t>
  </si>
  <si>
    <t>555285-09</t>
  </si>
  <si>
    <t>556286-71</t>
  </si>
  <si>
    <t>3-0c</t>
  </si>
  <si>
    <t>553285-00</t>
  </si>
  <si>
    <t>554285-61</t>
  </si>
  <si>
    <t>547291-69</t>
  </si>
  <si>
    <t>550291-13</t>
  </si>
  <si>
    <t>547292-31</t>
  </si>
  <si>
    <t>549292-42</t>
  </si>
  <si>
    <t>549291-64</t>
  </si>
  <si>
    <t>550292-03</t>
  </si>
  <si>
    <t>549291-19</t>
  </si>
  <si>
    <t>550292-20</t>
  </si>
  <si>
    <t>550291-74</t>
  </si>
  <si>
    <t>Andre kornarter, vårsået</t>
  </si>
  <si>
    <t>551291-05</t>
  </si>
  <si>
    <t>548291-90</t>
  </si>
  <si>
    <t>Lavskov.</t>
  </si>
  <si>
    <t>Energiskov mm</t>
  </si>
  <si>
    <t>552292-15</t>
  </si>
  <si>
    <t>550291-26</t>
  </si>
  <si>
    <t>548291-98</t>
  </si>
  <si>
    <t>548291-77</t>
  </si>
  <si>
    <t>29-2</t>
  </si>
  <si>
    <t>548291-62</t>
  </si>
  <si>
    <t>549292-44</t>
  </si>
  <si>
    <t>549291-59</t>
  </si>
  <si>
    <t>550291-09</t>
  </si>
  <si>
    <t>548291-13</t>
  </si>
  <si>
    <t>547291-58</t>
  </si>
  <si>
    <t>1-0a</t>
  </si>
  <si>
    <t>548291-75</t>
  </si>
  <si>
    <t>554287-39</t>
  </si>
  <si>
    <t>554288-50</t>
  </si>
  <si>
    <t>554288-90</t>
  </si>
  <si>
    <t>554287-64</t>
  </si>
  <si>
    <t>554287-85</t>
  </si>
  <si>
    <t>554288-44</t>
  </si>
  <si>
    <t>554288-14</t>
  </si>
  <si>
    <t>550290-92</t>
  </si>
  <si>
    <t>546287-17</t>
  </si>
  <si>
    <t>550290-80</t>
  </si>
  <si>
    <t>550290-81</t>
  </si>
  <si>
    <t>551287-61</t>
  </si>
  <si>
    <t>80-0</t>
  </si>
  <si>
    <t>533273-22</t>
  </si>
  <si>
    <t>75-1</t>
  </si>
  <si>
    <t>550283-78</t>
  </si>
  <si>
    <t>70-0</t>
  </si>
  <si>
    <t>534273-31</t>
  </si>
  <si>
    <t>75-3</t>
  </si>
  <si>
    <t>549287-47</t>
  </si>
  <si>
    <t>60-0</t>
  </si>
  <si>
    <t>558286-46</t>
  </si>
  <si>
    <t>534272-07</t>
  </si>
  <si>
    <t>72-0</t>
  </si>
  <si>
    <t>550284-83</t>
  </si>
  <si>
    <t>550284-56</t>
  </si>
  <si>
    <t>550284-27</t>
  </si>
  <si>
    <t>551285-11</t>
  </si>
  <si>
    <t>550285-81</t>
  </si>
  <si>
    <t>558286-53</t>
  </si>
  <si>
    <t>558286-32</t>
  </si>
  <si>
    <t>549287-03</t>
  </si>
  <si>
    <t>62-1</t>
  </si>
  <si>
    <t>62-2</t>
  </si>
  <si>
    <t>73-0</t>
  </si>
  <si>
    <t>548285-57</t>
  </si>
  <si>
    <t>75-4</t>
  </si>
  <si>
    <t>533273-84</t>
  </si>
  <si>
    <t>71-0</t>
  </si>
  <si>
    <t>533272-94</t>
  </si>
  <si>
    <t>74-0</t>
  </si>
  <si>
    <t>62-0</t>
  </si>
  <si>
    <t>550284-65</t>
  </si>
  <si>
    <t>75-2</t>
  </si>
  <si>
    <t>75-0</t>
  </si>
  <si>
    <t>551289-32</t>
  </si>
  <si>
    <t>Udyrket mark</t>
  </si>
  <si>
    <t>551289-40</t>
  </si>
  <si>
    <t>550289-94</t>
  </si>
  <si>
    <t>550289-42</t>
  </si>
  <si>
    <t>551289-42</t>
  </si>
  <si>
    <t>551289-67</t>
  </si>
  <si>
    <t>551289-74</t>
  </si>
  <si>
    <t>546290-56</t>
  </si>
  <si>
    <t>544291-01</t>
  </si>
  <si>
    <t>549289-03</t>
  </si>
  <si>
    <t>549289-23</t>
  </si>
  <si>
    <t>36-1</t>
  </si>
  <si>
    <t>549289-24</t>
  </si>
  <si>
    <t>546290-81</t>
  </si>
  <si>
    <t>35-1</t>
  </si>
  <si>
    <t>546290-74</t>
  </si>
  <si>
    <t>546290-60</t>
  </si>
  <si>
    <t>546292-11</t>
  </si>
  <si>
    <t>44-1</t>
  </si>
  <si>
    <t>545291-86</t>
  </si>
  <si>
    <t>546291-68</t>
  </si>
  <si>
    <t>546291-65</t>
  </si>
  <si>
    <t>43-1</t>
  </si>
  <si>
    <t>547291-03</t>
  </si>
  <si>
    <t>547291-41</t>
  </si>
  <si>
    <t>46-1</t>
  </si>
  <si>
    <t>547290-29</t>
  </si>
  <si>
    <t>546290-89</t>
  </si>
  <si>
    <t>546290-58</t>
  </si>
  <si>
    <t>546291-14</t>
  </si>
  <si>
    <t>547290-26</t>
  </si>
  <si>
    <t>48-1</t>
  </si>
  <si>
    <t>49-1</t>
  </si>
  <si>
    <t>551293-22</t>
  </si>
  <si>
    <t>551292-11</t>
  </si>
  <si>
    <t>551291-17</t>
  </si>
  <si>
    <t>549292-39</t>
  </si>
  <si>
    <t>552292-35</t>
  </si>
  <si>
    <t>552302-94</t>
  </si>
  <si>
    <t>Triticale</t>
  </si>
  <si>
    <t>553302-02</t>
  </si>
  <si>
    <t>553302-12</t>
  </si>
  <si>
    <t>553302-32</t>
  </si>
  <si>
    <t>553303-00</t>
  </si>
  <si>
    <t>552303-90</t>
  </si>
  <si>
    <t>553302-24</t>
  </si>
  <si>
    <t>552303-04</t>
  </si>
  <si>
    <t>548291-95</t>
  </si>
  <si>
    <t>548290-38</t>
  </si>
  <si>
    <t>31-0b</t>
  </si>
  <si>
    <t>553302-46</t>
  </si>
  <si>
    <t>549291-01</t>
  </si>
  <si>
    <t>31-0a</t>
  </si>
  <si>
    <t>549293-80</t>
  </si>
  <si>
    <t>549293-81</t>
  </si>
  <si>
    <t>554286-95</t>
  </si>
  <si>
    <t>554287-44</t>
  </si>
  <si>
    <t>543291-06</t>
  </si>
  <si>
    <t>542290-75</t>
  </si>
  <si>
    <t>553286-97</t>
  </si>
  <si>
    <t>543290-17</t>
  </si>
  <si>
    <t>57-0</t>
  </si>
  <si>
    <t>542290-81</t>
  </si>
  <si>
    <t>59-0</t>
  </si>
  <si>
    <t>543290-96</t>
  </si>
  <si>
    <t>56-0</t>
  </si>
  <si>
    <t>543291-87</t>
  </si>
  <si>
    <t>543292-92</t>
  </si>
  <si>
    <t>543293-28</t>
  </si>
  <si>
    <t>54-1</t>
  </si>
  <si>
    <t>543294-10</t>
  </si>
  <si>
    <t>54-0</t>
  </si>
  <si>
    <t>554286-59</t>
  </si>
  <si>
    <t>543289-76</t>
  </si>
  <si>
    <t>58-0</t>
  </si>
  <si>
    <t>553287-60</t>
  </si>
  <si>
    <t>564289-28</t>
  </si>
  <si>
    <t>109-0</t>
  </si>
  <si>
    <t>564289-63</t>
  </si>
  <si>
    <t>114-0</t>
  </si>
  <si>
    <t>559287-44</t>
  </si>
  <si>
    <t>161-0</t>
  </si>
  <si>
    <t>559288-30</t>
  </si>
  <si>
    <t>162-0</t>
  </si>
  <si>
    <t>564288-05</t>
  </si>
  <si>
    <t>165-0</t>
  </si>
  <si>
    <t>564289-78</t>
  </si>
  <si>
    <t>110-0</t>
  </si>
  <si>
    <t>37-0b</t>
  </si>
  <si>
    <t>563287-70</t>
  </si>
  <si>
    <t>166-0</t>
  </si>
  <si>
    <t>558287-81</t>
  </si>
  <si>
    <t>563289-56</t>
  </si>
  <si>
    <t>112-1</t>
  </si>
  <si>
    <t>563289-72</t>
  </si>
  <si>
    <t>113-1</t>
  </si>
  <si>
    <t>113-0</t>
  </si>
  <si>
    <t>560287-96</t>
  </si>
  <si>
    <t>140-0</t>
  </si>
  <si>
    <t>561287-81</t>
  </si>
  <si>
    <t>144-0</t>
  </si>
  <si>
    <t>560286-78</t>
  </si>
  <si>
    <t>148-0</t>
  </si>
  <si>
    <t>163-0</t>
  </si>
  <si>
    <t>566290-46</t>
  </si>
  <si>
    <t>111-0</t>
  </si>
  <si>
    <t>563288-75</t>
  </si>
  <si>
    <t>164-1</t>
  </si>
  <si>
    <t>164-0</t>
  </si>
  <si>
    <t>559285-59</t>
  </si>
  <si>
    <t>559285-88</t>
  </si>
  <si>
    <t>561289-56</t>
  </si>
  <si>
    <t>561289-55</t>
  </si>
  <si>
    <t>557289-92</t>
  </si>
  <si>
    <t>557289-31</t>
  </si>
  <si>
    <t>141-0</t>
  </si>
  <si>
    <t>557289-36</t>
  </si>
  <si>
    <t>115-0</t>
  </si>
  <si>
    <t>559286-07</t>
  </si>
  <si>
    <t>559286-59</t>
  </si>
  <si>
    <t>563289-98</t>
  </si>
  <si>
    <t>108-0</t>
  </si>
  <si>
    <t>112-0</t>
  </si>
  <si>
    <t>557288-29</t>
  </si>
  <si>
    <t>37-0c</t>
  </si>
  <si>
    <t>556289-98</t>
  </si>
  <si>
    <t>37-0a</t>
  </si>
  <si>
    <t>559287-86</t>
  </si>
  <si>
    <t>155-0</t>
  </si>
  <si>
    <t>562287-35</t>
  </si>
  <si>
    <t>143-0</t>
  </si>
  <si>
    <t>551288-88</t>
  </si>
  <si>
    <t>551287-77</t>
  </si>
  <si>
    <t>551287-69</t>
  </si>
  <si>
    <t>551288-29</t>
  </si>
  <si>
    <t>551288-48</t>
  </si>
  <si>
    <t>551288-58</t>
  </si>
  <si>
    <t>551288-57</t>
  </si>
  <si>
    <t>551288-55</t>
  </si>
  <si>
    <t>551288-64</t>
  </si>
  <si>
    <t>Fodersukkerroer</t>
  </si>
  <si>
    <t>550288-79</t>
  </si>
  <si>
    <t>Permanent græs meget lavt udbytte</t>
  </si>
  <si>
    <t>Græs &lt; 50% kløver lavt udbytte</t>
  </si>
  <si>
    <t>551289-83</t>
  </si>
  <si>
    <t>551288-69</t>
  </si>
  <si>
    <t>551290-09</t>
  </si>
  <si>
    <t>550291-72</t>
  </si>
  <si>
    <t>550292-51</t>
  </si>
  <si>
    <t>551287-12</t>
  </si>
  <si>
    <t>551286-48</t>
  </si>
  <si>
    <t>551286-03</t>
  </si>
  <si>
    <t>549286-23</t>
  </si>
  <si>
    <t>549286-32</t>
  </si>
  <si>
    <t>549286-05</t>
  </si>
  <si>
    <t>549286-64</t>
  </si>
  <si>
    <t>549284-62</t>
  </si>
  <si>
    <t>549283-33</t>
  </si>
  <si>
    <t>551289-92</t>
  </si>
  <si>
    <t>552289-09</t>
  </si>
  <si>
    <t>549285-43</t>
  </si>
  <si>
    <t>549285-95</t>
  </si>
  <si>
    <t>549285-38</t>
  </si>
  <si>
    <t>Pil</t>
  </si>
  <si>
    <t>549285-47</t>
  </si>
  <si>
    <t>549284-11</t>
  </si>
  <si>
    <t>549284-29</t>
  </si>
  <si>
    <t>558287-64</t>
  </si>
  <si>
    <t>561288-65</t>
  </si>
  <si>
    <t>562288-24</t>
  </si>
  <si>
    <t>562288-48</t>
  </si>
  <si>
    <t>18-0a</t>
  </si>
  <si>
    <t>555288-97</t>
  </si>
  <si>
    <t>18-0b</t>
  </si>
  <si>
    <t>558287-47</t>
  </si>
  <si>
    <t>556289-30</t>
  </si>
  <si>
    <t>553287-40</t>
  </si>
  <si>
    <t>553287-74</t>
  </si>
  <si>
    <t>553279-79</t>
  </si>
  <si>
    <t>553279-58</t>
  </si>
  <si>
    <t>553279-72</t>
  </si>
  <si>
    <t>555286-21</t>
  </si>
  <si>
    <t>555287-01</t>
  </si>
  <si>
    <t>553279-81</t>
  </si>
  <si>
    <t>549286-85</t>
  </si>
  <si>
    <t>548286-33</t>
  </si>
  <si>
    <t>547287-30</t>
  </si>
  <si>
    <t>548286-69</t>
  </si>
  <si>
    <t>549287-20</t>
  </si>
  <si>
    <t>549286-93</t>
  </si>
  <si>
    <t>550286-09</t>
  </si>
  <si>
    <t>550286-31</t>
  </si>
  <si>
    <t>550285-48</t>
  </si>
  <si>
    <t>550285-34</t>
  </si>
  <si>
    <t>549285-72</t>
  </si>
  <si>
    <t>550285-97</t>
  </si>
  <si>
    <t>550286-91</t>
  </si>
  <si>
    <t>550285-75</t>
  </si>
  <si>
    <t>51-1</t>
  </si>
  <si>
    <t>548287-25</t>
  </si>
  <si>
    <t>548287-54</t>
  </si>
  <si>
    <t>76-0</t>
  </si>
  <si>
    <t>548287-74</t>
  </si>
  <si>
    <t>76-2</t>
  </si>
  <si>
    <t>549287-14</t>
  </si>
  <si>
    <t>548287-71</t>
  </si>
  <si>
    <t>72-1</t>
  </si>
  <si>
    <t>81-0</t>
  </si>
  <si>
    <t>551290-60</t>
  </si>
  <si>
    <t>551290-27</t>
  </si>
  <si>
    <t>551290-42</t>
  </si>
  <si>
    <t>551290-45</t>
  </si>
  <si>
    <t>Nyplantning i skov med træhøjde under 3</t>
  </si>
  <si>
    <t>552293-13</t>
  </si>
  <si>
    <t>552293-23</t>
  </si>
  <si>
    <t>552293-32</t>
  </si>
  <si>
    <t>Æble</t>
  </si>
  <si>
    <t>Frugt og grønt</t>
  </si>
  <si>
    <t>551282-21</t>
  </si>
  <si>
    <t>Poppel</t>
  </si>
  <si>
    <t>2A</t>
  </si>
  <si>
    <t>552293-02</t>
  </si>
  <si>
    <t>559288-14</t>
  </si>
  <si>
    <t>559288-02</t>
  </si>
  <si>
    <t>558288-74</t>
  </si>
  <si>
    <t>558288-73</t>
  </si>
  <si>
    <t>560292-78</t>
  </si>
  <si>
    <t>189-0</t>
  </si>
  <si>
    <t>189-1</t>
  </si>
  <si>
    <t>563294-72</t>
  </si>
  <si>
    <t>565293-70</t>
  </si>
  <si>
    <t>564293-09</t>
  </si>
  <si>
    <t>565293-37</t>
  </si>
  <si>
    <t>555293-54</t>
  </si>
  <si>
    <t>561290-94</t>
  </si>
  <si>
    <t>501-0b</t>
  </si>
  <si>
    <t>565290-29</t>
  </si>
  <si>
    <t>562290-04</t>
  </si>
  <si>
    <t>501-0a</t>
  </si>
  <si>
    <t>564294-04</t>
  </si>
  <si>
    <t>560291-12</t>
  </si>
  <si>
    <t>187-0</t>
  </si>
  <si>
    <t>563294-40</t>
  </si>
  <si>
    <t>235-2</t>
  </si>
  <si>
    <t>61-0</t>
  </si>
  <si>
    <t>561292-77</t>
  </si>
  <si>
    <t>557293-49</t>
  </si>
  <si>
    <t>194-0</t>
  </si>
  <si>
    <t>561290-28</t>
  </si>
  <si>
    <t>207-0b</t>
  </si>
  <si>
    <t>563294-57</t>
  </si>
  <si>
    <t>564294-30</t>
  </si>
  <si>
    <t>564294-18</t>
  </si>
  <si>
    <t>563295-51</t>
  </si>
  <si>
    <t>563295-61</t>
  </si>
  <si>
    <t>564293-00</t>
  </si>
  <si>
    <t>563295-55</t>
  </si>
  <si>
    <t>564295-06</t>
  </si>
  <si>
    <t>566293-06</t>
  </si>
  <si>
    <t>565293-34</t>
  </si>
  <si>
    <t>566290-13</t>
  </si>
  <si>
    <t>566290-41</t>
  </si>
  <si>
    <t>565291-47</t>
  </si>
  <si>
    <t>565291-37</t>
  </si>
  <si>
    <t>565291-06</t>
  </si>
  <si>
    <t>565291-11</t>
  </si>
  <si>
    <t>565291-21</t>
  </si>
  <si>
    <t>557293-34</t>
  </si>
  <si>
    <t>190-4</t>
  </si>
  <si>
    <t>190-0</t>
  </si>
  <si>
    <t>556293-94</t>
  </si>
  <si>
    <t>191-0</t>
  </si>
  <si>
    <t>557292-59</t>
  </si>
  <si>
    <t>192-0</t>
  </si>
  <si>
    <t>557292-97</t>
  </si>
  <si>
    <t>193-0</t>
  </si>
  <si>
    <t>193-1</t>
  </si>
  <si>
    <t>207-0a</t>
  </si>
  <si>
    <t>553290-93</t>
  </si>
  <si>
    <t>554289-06</t>
  </si>
  <si>
    <t>554292-14</t>
  </si>
  <si>
    <t>560292-04</t>
  </si>
  <si>
    <t>188-0</t>
  </si>
  <si>
    <t>562291-26</t>
  </si>
  <si>
    <t>216-1</t>
  </si>
  <si>
    <t>562290-30</t>
  </si>
  <si>
    <t>505-0</t>
  </si>
  <si>
    <t>561289-67</t>
  </si>
  <si>
    <t>506-1</t>
  </si>
  <si>
    <t>561289-99</t>
  </si>
  <si>
    <t>506-2</t>
  </si>
  <si>
    <t>506-0</t>
  </si>
  <si>
    <t>555293-52</t>
  </si>
  <si>
    <t>562289-96</t>
  </si>
  <si>
    <t>235-1</t>
  </si>
  <si>
    <t>235-0</t>
  </si>
  <si>
    <t>564288-53</t>
  </si>
  <si>
    <t>279-0</t>
  </si>
  <si>
    <t>564288-85</t>
  </si>
  <si>
    <t>279-1</t>
  </si>
  <si>
    <t>564288-81</t>
  </si>
  <si>
    <t>279-2</t>
  </si>
  <si>
    <t>563294-98</t>
  </si>
  <si>
    <t>563294-20</t>
  </si>
  <si>
    <t>554289-58</t>
  </si>
  <si>
    <t>562291-00</t>
  </si>
  <si>
    <t>216-0</t>
  </si>
  <si>
    <t>555293-23</t>
  </si>
  <si>
    <t>562290-54</t>
  </si>
  <si>
    <t>504-0</t>
  </si>
  <si>
    <t>559292-24</t>
  </si>
  <si>
    <t>555293-25</t>
  </si>
  <si>
    <t>563295-31</t>
  </si>
  <si>
    <t>560288-64</t>
  </si>
  <si>
    <t>250-0</t>
  </si>
  <si>
    <t>552288-27</t>
  </si>
  <si>
    <t>555289-09</t>
  </si>
  <si>
    <t>554288-98</t>
  </si>
  <si>
    <t>555288-19</t>
  </si>
  <si>
    <t>552290-42</t>
  </si>
  <si>
    <t>552290-67</t>
  </si>
  <si>
    <t>541290-06</t>
  </si>
  <si>
    <t>553289-27</t>
  </si>
  <si>
    <t>553289-37</t>
  </si>
  <si>
    <t>553289-16</t>
  </si>
  <si>
    <t>553288-42</t>
  </si>
  <si>
    <t>554289-81</t>
  </si>
  <si>
    <t>554282-20</t>
  </si>
  <si>
    <t>552289-79</t>
  </si>
  <si>
    <t>553289-26</t>
  </si>
  <si>
    <t>553287-86</t>
  </si>
  <si>
    <t>551285-02</t>
  </si>
  <si>
    <t>550286-87</t>
  </si>
  <si>
    <t>532284-05</t>
  </si>
  <si>
    <t>113-3</t>
  </si>
  <si>
    <t>532284-22</t>
  </si>
  <si>
    <t>101-0</t>
  </si>
  <si>
    <t>529281-96</t>
  </si>
  <si>
    <t>160-1</t>
  </si>
  <si>
    <t>530281-16</t>
  </si>
  <si>
    <t>160-0</t>
  </si>
  <si>
    <t>531281-09</t>
  </si>
  <si>
    <t>154-0</t>
  </si>
  <si>
    <t>530282-52</t>
  </si>
  <si>
    <t>151-0</t>
  </si>
  <si>
    <t>532283-08</t>
  </si>
  <si>
    <t>105-0</t>
  </si>
  <si>
    <t>532283-28</t>
  </si>
  <si>
    <t>105-1</t>
  </si>
  <si>
    <t>63-1</t>
  </si>
  <si>
    <t>532282-35</t>
  </si>
  <si>
    <t>63-0</t>
  </si>
  <si>
    <t>533283-09</t>
  </si>
  <si>
    <t>547285-79</t>
  </si>
  <si>
    <t>549288-16</t>
  </si>
  <si>
    <t>555290-26</t>
  </si>
  <si>
    <t>65-0</t>
  </si>
  <si>
    <t>549288-35</t>
  </si>
  <si>
    <t>151-1</t>
  </si>
  <si>
    <t>113-2</t>
  </si>
  <si>
    <t>530281-56</t>
  </si>
  <si>
    <t>156-0</t>
  </si>
  <si>
    <t>549288-01</t>
  </si>
  <si>
    <t>67-0</t>
  </si>
  <si>
    <t>548285-13</t>
  </si>
  <si>
    <t>64-0</t>
  </si>
  <si>
    <t>531281-17</t>
  </si>
  <si>
    <t>548288-77</t>
  </si>
  <si>
    <t>547285-84</t>
  </si>
  <si>
    <t>158-0</t>
  </si>
  <si>
    <t>549288-37</t>
  </si>
  <si>
    <t>549288-08</t>
  </si>
  <si>
    <t>530282-80</t>
  </si>
  <si>
    <t>152-0</t>
  </si>
  <si>
    <t>547288-85</t>
  </si>
  <si>
    <t>153-0</t>
  </si>
  <si>
    <t>533283-36</t>
  </si>
  <si>
    <t>533283-05</t>
  </si>
  <si>
    <t>533271-39</t>
  </si>
  <si>
    <t>500261-77</t>
  </si>
  <si>
    <t>508-0</t>
  </si>
  <si>
    <t>533271-29</t>
  </si>
  <si>
    <t>532263-73</t>
  </si>
  <si>
    <t>530-1</t>
  </si>
  <si>
    <t>548289-75</t>
  </si>
  <si>
    <t>131-0</t>
  </si>
  <si>
    <t>533272-64</t>
  </si>
  <si>
    <t>311-0</t>
  </si>
  <si>
    <t>533276-85</t>
  </si>
  <si>
    <t>530272-07</t>
  </si>
  <si>
    <t>86-0</t>
  </si>
  <si>
    <t>90-1</t>
  </si>
  <si>
    <t>530272-12</t>
  </si>
  <si>
    <t>95-1</t>
  </si>
  <si>
    <t>531243-29</t>
  </si>
  <si>
    <t>444-1</t>
  </si>
  <si>
    <t>539289-23</t>
  </si>
  <si>
    <t>517-1</t>
  </si>
  <si>
    <t>559265-55</t>
  </si>
  <si>
    <t>529-0</t>
  </si>
  <si>
    <t>546281-26</t>
  </si>
  <si>
    <t>501-2</t>
  </si>
  <si>
    <t>546265-58</t>
  </si>
  <si>
    <t>534-0</t>
  </si>
  <si>
    <t>499263-21</t>
  </si>
  <si>
    <t>508-15</t>
  </si>
  <si>
    <t>534270-74</t>
  </si>
  <si>
    <t>516255-68</t>
  </si>
  <si>
    <t>532272-54</t>
  </si>
  <si>
    <t>120-0</t>
  </si>
  <si>
    <t>529272-91</t>
  </si>
  <si>
    <t>93-0</t>
  </si>
  <si>
    <t>Læggekartofler</t>
  </si>
  <si>
    <t>532272-90</t>
  </si>
  <si>
    <t>532273-98</t>
  </si>
  <si>
    <t>127-0</t>
  </si>
  <si>
    <t>546266-35</t>
  </si>
  <si>
    <t>534-1</t>
  </si>
  <si>
    <t>517255-09</t>
  </si>
  <si>
    <t>540264-18</t>
  </si>
  <si>
    <t>552283-89</t>
  </si>
  <si>
    <t>532-2</t>
  </si>
  <si>
    <t>548282-39</t>
  </si>
  <si>
    <t>530271-18</t>
  </si>
  <si>
    <t>95-0</t>
  </si>
  <si>
    <t>532271-87</t>
  </si>
  <si>
    <t>123-0</t>
  </si>
  <si>
    <t>501262-27</t>
  </si>
  <si>
    <t>508-2</t>
  </si>
  <si>
    <t>542263-31</t>
  </si>
  <si>
    <t>502-3</t>
  </si>
  <si>
    <t>500261-24</t>
  </si>
  <si>
    <t>508-4</t>
  </si>
  <si>
    <t>116-0</t>
  </si>
  <si>
    <t>528-0</t>
  </si>
  <si>
    <t>534270-29</t>
  </si>
  <si>
    <t>494-2</t>
  </si>
  <si>
    <t>532281-03</t>
  </si>
  <si>
    <t>501264-72</t>
  </si>
  <si>
    <t>508-6</t>
  </si>
  <si>
    <t>525261-77</t>
  </si>
  <si>
    <t>534270-76</t>
  </si>
  <si>
    <t>320-0</t>
  </si>
  <si>
    <t>552283-39</t>
  </si>
  <si>
    <t>532-3</t>
  </si>
  <si>
    <t>534270-49</t>
  </si>
  <si>
    <t>494-1</t>
  </si>
  <si>
    <t>514273-42</t>
  </si>
  <si>
    <t>519-3</t>
  </si>
  <si>
    <t>517-3</t>
  </si>
  <si>
    <t>537263-38</t>
  </si>
  <si>
    <t>183-0</t>
  </si>
  <si>
    <t>545282-36</t>
  </si>
  <si>
    <t>349-1</t>
  </si>
  <si>
    <t>537264-82</t>
  </si>
  <si>
    <t>184-0</t>
  </si>
  <si>
    <t>545281-59</t>
  </si>
  <si>
    <t>348-0</t>
  </si>
  <si>
    <t>525259-75</t>
  </si>
  <si>
    <t>531244-45</t>
  </si>
  <si>
    <t>510-0</t>
  </si>
  <si>
    <t>530244-93</t>
  </si>
  <si>
    <t>442-0</t>
  </si>
  <si>
    <t>444-0</t>
  </si>
  <si>
    <t>539289-07</t>
  </si>
  <si>
    <t>517-6</t>
  </si>
  <si>
    <t>534268-63</t>
  </si>
  <si>
    <t>494-7</t>
  </si>
  <si>
    <t>534273-57</t>
  </si>
  <si>
    <t>533-0</t>
  </si>
  <si>
    <t>499264-04</t>
  </si>
  <si>
    <t>508-17</t>
  </si>
  <si>
    <t>532281-26</t>
  </si>
  <si>
    <t>539260-97</t>
  </si>
  <si>
    <t>411-0</t>
  </si>
  <si>
    <t>530272-16</t>
  </si>
  <si>
    <t>83-0</t>
  </si>
  <si>
    <t>530272-05</t>
  </si>
  <si>
    <t>89-0</t>
  </si>
  <si>
    <t>501264-84</t>
  </si>
  <si>
    <t>508-5</t>
  </si>
  <si>
    <t>533273-29</t>
  </si>
  <si>
    <t>495-0</t>
  </si>
  <si>
    <t>536274-66</t>
  </si>
  <si>
    <t>540285-41</t>
  </si>
  <si>
    <t>274-0</t>
  </si>
  <si>
    <t>546281-87</t>
  </si>
  <si>
    <t>471-0</t>
  </si>
  <si>
    <t>543263-34</t>
  </si>
  <si>
    <t>502-2</t>
  </si>
  <si>
    <t>531244-43</t>
  </si>
  <si>
    <t>510-5</t>
  </si>
  <si>
    <t>531244-65</t>
  </si>
  <si>
    <t>510-1</t>
  </si>
  <si>
    <t>542284-16</t>
  </si>
  <si>
    <t>272-0</t>
  </si>
  <si>
    <t>90-0</t>
  </si>
  <si>
    <t>530271-08</t>
  </si>
  <si>
    <t>94-0</t>
  </si>
  <si>
    <t>522260-82</t>
  </si>
  <si>
    <t>357-0</t>
  </si>
  <si>
    <t>501-4</t>
  </si>
  <si>
    <t>502260-37</t>
  </si>
  <si>
    <t>508-8</t>
  </si>
  <si>
    <t>443-0</t>
  </si>
  <si>
    <t>444-4</t>
  </si>
  <si>
    <t>562268-42</t>
  </si>
  <si>
    <t>520-2</t>
  </si>
  <si>
    <t>534267-68</t>
  </si>
  <si>
    <t>494-8</t>
  </si>
  <si>
    <t>538262-37</t>
  </si>
  <si>
    <t>171-0</t>
  </si>
  <si>
    <t>529272-88</t>
  </si>
  <si>
    <t>88-0</t>
  </si>
  <si>
    <t>533272-70</t>
  </si>
  <si>
    <t>121-0</t>
  </si>
  <si>
    <t>531243-78</t>
  </si>
  <si>
    <t>510-7</t>
  </si>
  <si>
    <t>533271-31</t>
  </si>
  <si>
    <t>494-6</t>
  </si>
  <si>
    <t>531275-26</t>
  </si>
  <si>
    <t>370-2</t>
  </si>
  <si>
    <t>530272-19</t>
  </si>
  <si>
    <t>85-0</t>
  </si>
  <si>
    <t>525259-58</t>
  </si>
  <si>
    <t>499261-65</t>
  </si>
  <si>
    <t>508-12</t>
  </si>
  <si>
    <t>JB_5_6</t>
  </si>
  <si>
    <t>499261-41</t>
  </si>
  <si>
    <t>508-14</t>
  </si>
  <si>
    <t>494-5</t>
  </si>
  <si>
    <t>508-7</t>
  </si>
  <si>
    <t>528265-14</t>
  </si>
  <si>
    <t>103-0</t>
  </si>
  <si>
    <t>530275-49</t>
  </si>
  <si>
    <t>370-1</t>
  </si>
  <si>
    <t>532272-60</t>
  </si>
  <si>
    <t>117-0</t>
  </si>
  <si>
    <t>532-0</t>
  </si>
  <si>
    <t>87-0</t>
  </si>
  <si>
    <t>499261-61</t>
  </si>
  <si>
    <t>508-13</t>
  </si>
  <si>
    <t>498264-71</t>
  </si>
  <si>
    <t>508-18</t>
  </si>
  <si>
    <t>359-0</t>
  </si>
  <si>
    <t>495-1</t>
  </si>
  <si>
    <t>538264-36</t>
  </si>
  <si>
    <t>174-0</t>
  </si>
  <si>
    <t>539264-07</t>
  </si>
  <si>
    <t>186-0</t>
  </si>
  <si>
    <t>531244-76</t>
  </si>
  <si>
    <t>510-6</t>
  </si>
  <si>
    <t>531244-22</t>
  </si>
  <si>
    <t>510-3</t>
  </si>
  <si>
    <t>520-1</t>
  </si>
  <si>
    <t>532272-70</t>
  </si>
  <si>
    <t>118-0</t>
  </si>
  <si>
    <t>533272-79</t>
  </si>
  <si>
    <t>312-0</t>
  </si>
  <si>
    <t>532272-42</t>
  </si>
  <si>
    <t>119-0</t>
  </si>
  <si>
    <t>536274-45</t>
  </si>
  <si>
    <t>532271-53</t>
  </si>
  <si>
    <t>130-0</t>
  </si>
  <si>
    <t>534271-66</t>
  </si>
  <si>
    <t>319-0</t>
  </si>
  <si>
    <t>545281-27</t>
  </si>
  <si>
    <t>531-0</t>
  </si>
  <si>
    <t>531243-03</t>
  </si>
  <si>
    <t>444-2</t>
  </si>
  <si>
    <t>508-10</t>
  </si>
  <si>
    <t>529272-94</t>
  </si>
  <si>
    <t>92-0</t>
  </si>
  <si>
    <t>83-1</t>
  </si>
  <si>
    <t>546282-20</t>
  </si>
  <si>
    <t>501-0</t>
  </si>
  <si>
    <t>546282-12</t>
  </si>
  <si>
    <t>472-0</t>
  </si>
  <si>
    <t>541284-39</t>
  </si>
  <si>
    <t>526-1</t>
  </si>
  <si>
    <t>534271-00</t>
  </si>
  <si>
    <t>494-3</t>
  </si>
  <si>
    <t>536272-08</t>
  </si>
  <si>
    <t>136-0</t>
  </si>
  <si>
    <t>548289-88</t>
  </si>
  <si>
    <t>133-0</t>
  </si>
  <si>
    <t>173-0</t>
  </si>
  <si>
    <t>545281-02</t>
  </si>
  <si>
    <t>531-2</t>
  </si>
  <si>
    <t>539289-09</t>
  </si>
  <si>
    <t>517-5</t>
  </si>
  <si>
    <t>539289-18</t>
  </si>
  <si>
    <t>517-0</t>
  </si>
  <si>
    <t>541283-78</t>
  </si>
  <si>
    <t>526-3</t>
  </si>
  <si>
    <t>499263-23</t>
  </si>
  <si>
    <t>508-16</t>
  </si>
  <si>
    <t>539264-05</t>
  </si>
  <si>
    <t>185-0</t>
  </si>
  <si>
    <t>532-1</t>
  </si>
  <si>
    <t>546281-58</t>
  </si>
  <si>
    <t>501-1</t>
  </si>
  <si>
    <t>508-9</t>
  </si>
  <si>
    <t>539264-65</t>
  </si>
  <si>
    <t>145-0</t>
  </si>
  <si>
    <t>533272-13</t>
  </si>
  <si>
    <t>516256-82</t>
  </si>
  <si>
    <t>526-2</t>
  </si>
  <si>
    <t>531-1</t>
  </si>
  <si>
    <t>531244-52</t>
  </si>
  <si>
    <t>510-2</t>
  </si>
  <si>
    <t>543263-03</t>
  </si>
  <si>
    <t>502-1</t>
  </si>
  <si>
    <t>528265-01</t>
  </si>
  <si>
    <t>531244-84</t>
  </si>
  <si>
    <t>510-4</t>
  </si>
  <si>
    <t>540261-25</t>
  </si>
  <si>
    <t>413-0</t>
  </si>
  <si>
    <t>539260-69</t>
  </si>
  <si>
    <t>409-1</t>
  </si>
  <si>
    <t>533272-77</t>
  </si>
  <si>
    <t>313-0</t>
  </si>
  <si>
    <t>501-3</t>
  </si>
  <si>
    <t>517-4</t>
  </si>
  <si>
    <t>531262-72</t>
  </si>
  <si>
    <t>530-0</t>
  </si>
  <si>
    <t>536272-07</t>
  </si>
  <si>
    <t>135-0</t>
  </si>
  <si>
    <t>539261-35</t>
  </si>
  <si>
    <t>410-0</t>
  </si>
  <si>
    <t>412-0</t>
  </si>
  <si>
    <t>515273-34</t>
  </si>
  <si>
    <t>516-5</t>
  </si>
  <si>
    <t>517-2</t>
  </si>
  <si>
    <t>541283-59</t>
  </si>
  <si>
    <t>526-0</t>
  </si>
  <si>
    <t>539260-46</t>
  </si>
  <si>
    <t>409-0</t>
  </si>
  <si>
    <t>549283-09</t>
  </si>
  <si>
    <t>560265-23</t>
  </si>
  <si>
    <t>525-1</t>
  </si>
  <si>
    <t>552283-02</t>
  </si>
  <si>
    <t>532-4</t>
  </si>
  <si>
    <t>549282-85</t>
  </si>
  <si>
    <t>549282-88</t>
  </si>
  <si>
    <t>Stivelseskartofler</t>
  </si>
  <si>
    <t>501261-18</t>
  </si>
  <si>
    <t>508-3</t>
  </si>
  <si>
    <t>500262-80</t>
  </si>
  <si>
    <t>508-1</t>
  </si>
  <si>
    <t>533272-99</t>
  </si>
  <si>
    <t>315-0</t>
  </si>
  <si>
    <t>358-0</t>
  </si>
  <si>
    <t>520-3</t>
  </si>
  <si>
    <t>552285-67</t>
  </si>
  <si>
    <t>552285-70</t>
  </si>
  <si>
    <t>556280-82</t>
  </si>
  <si>
    <t>556280-81</t>
  </si>
  <si>
    <t>557280-02</t>
  </si>
  <si>
    <t>556280-92</t>
  </si>
  <si>
    <t>556279-17</t>
  </si>
  <si>
    <t>556279-06</t>
  </si>
  <si>
    <t>Vinterkorn, grønkorn</t>
  </si>
  <si>
    <t>556279-32</t>
  </si>
  <si>
    <t>557290-24</t>
  </si>
  <si>
    <t>557290-03</t>
  </si>
  <si>
    <t>557289-59</t>
  </si>
  <si>
    <t>565276-31</t>
  </si>
  <si>
    <t>555288-55</t>
  </si>
  <si>
    <t>555288-58</t>
  </si>
  <si>
    <t>557288-87</t>
  </si>
  <si>
    <t>556288-13</t>
  </si>
  <si>
    <t>555288-45</t>
  </si>
  <si>
    <t>555288-53</t>
  </si>
  <si>
    <t>555288-37</t>
  </si>
  <si>
    <t>555289-75</t>
  </si>
  <si>
    <t>565300-25</t>
  </si>
  <si>
    <t>555288-48</t>
  </si>
  <si>
    <t>550290-19</t>
  </si>
  <si>
    <t>555288-43</t>
  </si>
  <si>
    <t>558288-80</t>
  </si>
  <si>
    <t>555288-93</t>
  </si>
  <si>
    <t>551289-58</t>
  </si>
  <si>
    <t>551290-96</t>
  </si>
  <si>
    <t>551288-23</t>
  </si>
  <si>
    <t>555288-26</t>
  </si>
  <si>
    <t>554288-76</t>
  </si>
  <si>
    <t>554288-09</t>
  </si>
  <si>
    <t>554288-36</t>
  </si>
  <si>
    <t>525278-20</t>
  </si>
  <si>
    <t>550292-76</t>
  </si>
  <si>
    <t>549291-20</t>
  </si>
  <si>
    <t>549290-36</t>
  </si>
  <si>
    <t>549290-65</t>
  </si>
  <si>
    <t>549291-51</t>
  </si>
  <si>
    <t>559288-73</t>
  </si>
  <si>
    <t>560289-43</t>
  </si>
  <si>
    <t>560289-31</t>
  </si>
  <si>
    <t>61-1</t>
  </si>
  <si>
    <t>558289-59</t>
  </si>
  <si>
    <t>559288-78</t>
  </si>
  <si>
    <t>69-0</t>
  </si>
  <si>
    <t>559289-34</t>
  </si>
  <si>
    <t>558289-83</t>
  </si>
  <si>
    <t>33-2</t>
  </si>
  <si>
    <t>559289-03</t>
  </si>
  <si>
    <t>33-1</t>
  </si>
  <si>
    <t>559289-33</t>
  </si>
  <si>
    <t>558290-84</t>
  </si>
  <si>
    <t>558290-72</t>
  </si>
  <si>
    <t>52-1</t>
  </si>
  <si>
    <t>558290-62</t>
  </si>
  <si>
    <t>560288-58</t>
  </si>
  <si>
    <t>66-0</t>
  </si>
  <si>
    <t>68-0</t>
  </si>
  <si>
    <t>559288-91</t>
  </si>
  <si>
    <t>560289-63</t>
  </si>
  <si>
    <t>553287-94</t>
  </si>
  <si>
    <t>554287-25</t>
  </si>
  <si>
    <t>543288-53</t>
  </si>
  <si>
    <t>550289-82</t>
  </si>
  <si>
    <t>33-3</t>
  </si>
  <si>
    <t>551286-93</t>
  </si>
  <si>
    <t>554289-41</t>
  </si>
  <si>
    <t>552288-46</t>
  </si>
  <si>
    <t>553289-14</t>
  </si>
  <si>
    <t>552289-33</t>
  </si>
  <si>
    <t>552290-40</t>
  </si>
  <si>
    <t>552289-88</t>
  </si>
  <si>
    <t>555284-53</t>
  </si>
  <si>
    <t>552288-61</t>
  </si>
  <si>
    <t>550286-99</t>
  </si>
  <si>
    <t>551288-54</t>
  </si>
  <si>
    <t>553288-30</t>
  </si>
  <si>
    <t>553288-13</t>
  </si>
  <si>
    <t>85-1</t>
  </si>
  <si>
    <t>553288-15</t>
  </si>
  <si>
    <t>91-0</t>
  </si>
  <si>
    <t>552289-49</t>
  </si>
  <si>
    <t>556281-25</t>
  </si>
  <si>
    <t>554288-19</t>
  </si>
  <si>
    <t>557282-15</t>
  </si>
  <si>
    <t>552289-95</t>
  </si>
  <si>
    <t>552289-46</t>
  </si>
  <si>
    <t>553289-12</t>
  </si>
  <si>
    <t>555289-95</t>
  </si>
  <si>
    <t>84-0</t>
  </si>
  <si>
    <t>556290-65</t>
  </si>
  <si>
    <t>88-1</t>
  </si>
  <si>
    <t>555284-64</t>
  </si>
  <si>
    <t>35-2</t>
  </si>
  <si>
    <t>553288-85</t>
  </si>
  <si>
    <t>555283-96</t>
  </si>
  <si>
    <t>554289-54</t>
  </si>
  <si>
    <t>555284-43</t>
  </si>
  <si>
    <t>556283-21</t>
  </si>
  <si>
    <t>556290-40</t>
  </si>
  <si>
    <t>553288-38</t>
  </si>
  <si>
    <t>556289-83</t>
  </si>
  <si>
    <t>556289-70</t>
  </si>
  <si>
    <t>557288-07</t>
  </si>
  <si>
    <t>551292-77</t>
  </si>
  <si>
    <t>555288-51</t>
  </si>
  <si>
    <t>557288-72</t>
  </si>
  <si>
    <t>557287-89</t>
  </si>
  <si>
    <t>557287-99</t>
  </si>
  <si>
    <t>557287-90</t>
  </si>
  <si>
    <t>557289-96</t>
  </si>
  <si>
    <t>557290-91</t>
  </si>
  <si>
    <t>549289-17</t>
  </si>
  <si>
    <t>548290-96</t>
  </si>
  <si>
    <t>548290-93</t>
  </si>
  <si>
    <t>549290-10</t>
  </si>
  <si>
    <t>549289-64</t>
  </si>
  <si>
    <t>549290-60</t>
  </si>
  <si>
    <t>554286-65</t>
  </si>
  <si>
    <t>554286-35</t>
  </si>
  <si>
    <t>554286-04</t>
  </si>
  <si>
    <t>557289-68</t>
  </si>
  <si>
    <t>557289-60</t>
  </si>
  <si>
    <t>558288-59</t>
  </si>
  <si>
    <t>557288-79</t>
  </si>
  <si>
    <t>556291-66</t>
  </si>
  <si>
    <t>558290-98</t>
  </si>
  <si>
    <t>556291-59</t>
  </si>
  <si>
    <t>559286-72</t>
  </si>
  <si>
    <t>559286-75</t>
  </si>
  <si>
    <t>60-1</t>
  </si>
  <si>
    <t>556289-26</t>
  </si>
  <si>
    <t>559289-86</t>
  </si>
  <si>
    <t>559289-74</t>
  </si>
  <si>
    <t>556289-14</t>
  </si>
  <si>
    <t>557290-72</t>
  </si>
  <si>
    <t>553282-18</t>
  </si>
  <si>
    <t>553282-11</t>
  </si>
  <si>
    <t>553283-24</t>
  </si>
  <si>
    <t>552282-53</t>
  </si>
  <si>
    <t>553290-41</t>
  </si>
  <si>
    <t>553283-60</t>
  </si>
  <si>
    <t>553290-42</t>
  </si>
  <si>
    <t>537300-27</t>
  </si>
  <si>
    <t>550290-87</t>
  </si>
  <si>
    <t>550290-69</t>
  </si>
  <si>
    <t>550290-57</t>
  </si>
  <si>
    <t>566309-49</t>
  </si>
  <si>
    <t>110-2</t>
  </si>
  <si>
    <t>549290-23</t>
  </si>
  <si>
    <t>142-0</t>
  </si>
  <si>
    <t>552291-21</t>
  </si>
  <si>
    <t>549290-22</t>
  </si>
  <si>
    <t>549288-49</t>
  </si>
  <si>
    <t>551290-89</t>
  </si>
  <si>
    <t>549290-54</t>
  </si>
  <si>
    <t>73-1</t>
  </si>
  <si>
    <t>550290-40</t>
  </si>
  <si>
    <t>Rajgr.frø ital. 1. år efterslæt</t>
  </si>
  <si>
    <t>552290-13</t>
  </si>
  <si>
    <t>71-1</t>
  </si>
  <si>
    <t>566309-77</t>
  </si>
  <si>
    <t>110-1</t>
  </si>
  <si>
    <t>128-0</t>
  </si>
  <si>
    <t>550293-72</t>
  </si>
  <si>
    <t>126-0</t>
  </si>
  <si>
    <t>124-0</t>
  </si>
  <si>
    <t>550293-94</t>
  </si>
  <si>
    <t>125-0</t>
  </si>
  <si>
    <t>551293-15</t>
  </si>
  <si>
    <t>122-0</t>
  </si>
  <si>
    <t>120-1</t>
  </si>
  <si>
    <t>550287-61</t>
  </si>
  <si>
    <t>550290-44</t>
  </si>
  <si>
    <t>100-2</t>
  </si>
  <si>
    <t>550290-35</t>
  </si>
  <si>
    <t>100-1</t>
  </si>
  <si>
    <t>550290-13</t>
  </si>
  <si>
    <t>550290-36</t>
  </si>
  <si>
    <t>100-3</t>
  </si>
  <si>
    <t>550290-16</t>
  </si>
  <si>
    <t>549290-82</t>
  </si>
  <si>
    <t>549290-52</t>
  </si>
  <si>
    <t>100-0</t>
  </si>
  <si>
    <t>549288-99</t>
  </si>
  <si>
    <t>550288-16</t>
  </si>
  <si>
    <t>92-1</t>
  </si>
  <si>
    <t>77-0</t>
  </si>
  <si>
    <t>549288-54</t>
  </si>
  <si>
    <t>93-1</t>
  </si>
  <si>
    <t>553286-63</t>
  </si>
  <si>
    <t>560285-67</t>
  </si>
  <si>
    <t>64-1</t>
  </si>
  <si>
    <t>554290-39</t>
  </si>
  <si>
    <t>557288-34</t>
  </si>
  <si>
    <t>557288-12</t>
  </si>
  <si>
    <t>557288-65</t>
  </si>
  <si>
    <t>558283-74</t>
  </si>
  <si>
    <t>50-2</t>
  </si>
  <si>
    <t>555280-17</t>
  </si>
  <si>
    <t>555280-73</t>
  </si>
  <si>
    <t>555280-13</t>
  </si>
  <si>
    <t>556288-85</t>
  </si>
  <si>
    <t>65-1</t>
  </si>
  <si>
    <t>554291-08</t>
  </si>
  <si>
    <t>555289-11</t>
  </si>
  <si>
    <t>555289-04</t>
  </si>
  <si>
    <t>555289-12</t>
  </si>
  <si>
    <t>X</t>
  </si>
  <si>
    <t>Areal IndenforOpland Markpolygo</t>
  </si>
  <si>
    <t xml:space="preserve"> 101 SamletDyrketOgUdtagetAreal</t>
  </si>
  <si>
    <t xml:space="preserve"> 106 HarmoniarealHa</t>
  </si>
  <si>
    <t xml:space="preserve"> 303 2Normpr1august2010 31juli2</t>
  </si>
  <si>
    <t xml:space="preserve"> 304 ModtHusdyrgødn1August2010 </t>
  </si>
  <si>
    <t xml:space="preserve"> 305AfsatHusdyrg1August2010 31J</t>
  </si>
  <si>
    <t xml:space="preserve"> 308 SamletForbrugHusdyrgKgNPla</t>
  </si>
  <si>
    <t xml:space="preserve"> 706 SamletForbrugHandelsgødnin</t>
  </si>
  <si>
    <t xml:space="preserve"> 804 SamletForbrugKgNAndenOrgan</t>
  </si>
  <si>
    <t xml:space="preserve"> 501 VirksomhedensSamledeNkvote</t>
  </si>
  <si>
    <t xml:space="preserve"> 901 VirksomhedensSamledeNForbr</t>
  </si>
  <si>
    <t xml:space="preserve"> 104 Efterafgrødegrundareal 201</t>
  </si>
  <si>
    <t xml:space="preserve"> 105 ArealMedPligtigeEfterafgrø</t>
  </si>
  <si>
    <t xml:space="preserve"> 201 1 AntalDE KvægGHI</t>
  </si>
  <si>
    <t xml:space="preserve"> 202 1 AntalDE Svin manuel</t>
  </si>
  <si>
    <t xml:space="preserve"> 207 1AntalDE Pelsdyr Fjerkræ M</t>
  </si>
  <si>
    <t xml:space="preserve"> 208 1AntalDE FårGeder Manuelt</t>
  </si>
  <si>
    <t xml:space="preserve"> 203 1 AntalDE AndreHusdyr Manu</t>
  </si>
  <si>
    <t xml:space="preserve"> 204 1 AntalDE i altManuelt udf</t>
  </si>
  <si>
    <t xml:space="preserve"> 210 HarmoniforholdDE ha GHIber</t>
  </si>
  <si>
    <t xml:space="preserve"> 405 Ønsker du at anvende det s</t>
  </si>
  <si>
    <t>Areal IndenforOpland</t>
  </si>
  <si>
    <t>Areal ha</t>
  </si>
  <si>
    <t>AFGR DENAV</t>
  </si>
  <si>
    <t>JB nygruppe</t>
  </si>
  <si>
    <t>Omdrift husdyrgkgN</t>
  </si>
  <si>
    <t>Vedv Husdyrg</t>
  </si>
  <si>
    <t>SamletAreal markpoly</t>
  </si>
  <si>
    <t>Areal GHI2011</t>
  </si>
  <si>
    <t>Øvrige afgrøder  naturlign</t>
  </si>
  <si>
    <t>SUM Husdyrg N</t>
  </si>
  <si>
    <t>KghusdN ha</t>
  </si>
  <si>
    <t>VedvarendeGræs kgN ha</t>
  </si>
  <si>
    <t>Omdrift kgN ha</t>
  </si>
  <si>
    <t>1</t>
  </si>
  <si>
    <t>19-4</t>
  </si>
  <si>
    <t>0</t>
  </si>
  <si>
    <t>19-3</t>
  </si>
  <si>
    <t>19-2</t>
  </si>
  <si>
    <t>9-1</t>
  </si>
  <si>
    <t>11</t>
  </si>
  <si>
    <t>4</t>
  </si>
  <si>
    <t>10-2</t>
  </si>
  <si>
    <t>14-1</t>
  </si>
  <si>
    <t>10-1</t>
  </si>
  <si>
    <t>26-1</t>
  </si>
  <si>
    <t>9-2</t>
  </si>
  <si>
    <t>15-1</t>
  </si>
  <si>
    <t>2-1</t>
  </si>
  <si>
    <t>6-2</t>
  </si>
  <si>
    <t>6-1</t>
  </si>
  <si>
    <t>5-1</t>
  </si>
  <si>
    <t>1-1</t>
  </si>
  <si>
    <t>5-2</t>
  </si>
  <si>
    <t>11-2</t>
  </si>
  <si>
    <t>11-1</t>
  </si>
  <si>
    <t>2</t>
  </si>
  <si>
    <t>1-2</t>
  </si>
  <si>
    <t>22-1</t>
  </si>
  <si>
    <t>2-2</t>
  </si>
  <si>
    <t>4-1</t>
  </si>
  <si>
    <t>17-2</t>
  </si>
  <si>
    <t>18-1</t>
  </si>
  <si>
    <t>17-1</t>
  </si>
  <si>
    <t>17-3</t>
  </si>
  <si>
    <t>13-2</t>
  </si>
  <si>
    <t>3-11</t>
  </si>
  <si>
    <t>10-3</t>
  </si>
  <si>
    <t>7-61</t>
  </si>
  <si>
    <t>7-62</t>
  </si>
  <si>
    <t>7-33</t>
  </si>
  <si>
    <t>3-3</t>
  </si>
  <si>
    <t>11-3</t>
  </si>
  <si>
    <t>3-21</t>
  </si>
  <si>
    <t>7-6</t>
  </si>
  <si>
    <t>8-8</t>
  </si>
  <si>
    <t>7-50</t>
  </si>
  <si>
    <t>6-5</t>
  </si>
  <si>
    <t>6-61</t>
  </si>
  <si>
    <t>6-6</t>
  </si>
  <si>
    <t>6-62</t>
  </si>
  <si>
    <t>6-64</t>
  </si>
  <si>
    <t>7-4</t>
  </si>
  <si>
    <t>7-2</t>
  </si>
  <si>
    <t>10-4</t>
  </si>
  <si>
    <t>3-23</t>
  </si>
  <si>
    <t>4-2</t>
  </si>
  <si>
    <t>13-1</t>
  </si>
  <si>
    <t>13-3</t>
  </si>
  <si>
    <t>13-4</t>
  </si>
  <si>
    <t>6-4</t>
  </si>
  <si>
    <t>6-42</t>
  </si>
  <si>
    <t>6-41</t>
  </si>
  <si>
    <t>7-3</t>
  </si>
  <si>
    <t>7-11</t>
  </si>
  <si>
    <t>7-12</t>
  </si>
  <si>
    <t>7-31</t>
  </si>
  <si>
    <t>7-53</t>
  </si>
  <si>
    <t>7-51</t>
  </si>
  <si>
    <t>7-7</t>
  </si>
  <si>
    <t>7-41</t>
  </si>
  <si>
    <t>7-32</t>
  </si>
  <si>
    <t>7-54</t>
  </si>
  <si>
    <t>7-80</t>
  </si>
  <si>
    <t>7-5</t>
  </si>
  <si>
    <t>3-1</t>
  </si>
  <si>
    <t>7-55</t>
  </si>
  <si>
    <t>9-10</t>
  </si>
  <si>
    <t>3-2</t>
  </si>
  <si>
    <t>12-2</t>
  </si>
  <si>
    <t>7-52</t>
  </si>
  <si>
    <t>7-1</t>
  </si>
  <si>
    <t>12-1</t>
  </si>
  <si>
    <t>6-3</t>
  </si>
  <si>
    <t>8-7</t>
  </si>
  <si>
    <t>8-1</t>
  </si>
  <si>
    <t>5</t>
  </si>
  <si>
    <t>3</t>
  </si>
  <si>
    <t>6</t>
  </si>
  <si>
    <t>8</t>
  </si>
  <si>
    <t>7</t>
  </si>
  <si>
    <t>10</t>
  </si>
  <si>
    <t>9</t>
  </si>
  <si>
    <t>18-2</t>
  </si>
  <si>
    <t>30-1</t>
  </si>
  <si>
    <t>30-4</t>
  </si>
  <si>
    <t>30-3</t>
  </si>
  <si>
    <t>30-5</t>
  </si>
  <si>
    <t>23-2</t>
  </si>
  <si>
    <t>9-3</t>
  </si>
  <si>
    <t>31-1</t>
  </si>
  <si>
    <t>9-5</t>
  </si>
  <si>
    <t>9-6</t>
  </si>
  <si>
    <t>19-1</t>
  </si>
  <si>
    <t>9-4</t>
  </si>
  <si>
    <t>12</t>
  </si>
  <si>
    <t>16</t>
  </si>
  <si>
    <t>15</t>
  </si>
  <si>
    <t>120</t>
  </si>
  <si>
    <t>200</t>
  </si>
  <si>
    <t>60</t>
  </si>
  <si>
    <t>30</t>
  </si>
  <si>
    <t>140</t>
  </si>
  <si>
    <t>80</t>
  </si>
  <si>
    <t>209</t>
  </si>
  <si>
    <t>600</t>
  </si>
  <si>
    <t>502</t>
  </si>
  <si>
    <t>500</t>
  </si>
  <si>
    <t>501</t>
  </si>
  <si>
    <t>400</t>
  </si>
  <si>
    <t>190</t>
  </si>
  <si>
    <t>160</t>
  </si>
  <si>
    <t>100</t>
  </si>
  <si>
    <t>40</t>
  </si>
  <si>
    <t>110</t>
  </si>
  <si>
    <t>1-3</t>
  </si>
  <si>
    <t>13</t>
  </si>
  <si>
    <t>4-3</t>
  </si>
  <si>
    <t>17-4</t>
  </si>
  <si>
    <t>29-1</t>
  </si>
  <si>
    <t>17-6</t>
  </si>
  <si>
    <t>17-5</t>
  </si>
  <si>
    <t>2-3</t>
  </si>
  <si>
    <t>29-4</t>
  </si>
  <si>
    <t>29-5</t>
  </si>
  <si>
    <t>29-6</t>
  </si>
  <si>
    <t>20-1</t>
  </si>
  <si>
    <t>14-3</t>
  </si>
  <si>
    <t>8-6</t>
  </si>
  <si>
    <t>8-2</t>
  </si>
  <si>
    <t>8-5</t>
  </si>
  <si>
    <t>8-4</t>
  </si>
  <si>
    <t>8-3</t>
  </si>
  <si>
    <t>2-4</t>
  </si>
  <si>
    <t>12-3</t>
  </si>
  <si>
    <t>24-1</t>
  </si>
  <si>
    <t>20-2</t>
  </si>
  <si>
    <t>16-1</t>
  </si>
  <si>
    <t>26-3</t>
  </si>
  <si>
    <t>26-2</t>
  </si>
  <si>
    <t>26-6</t>
  </si>
  <si>
    <t>15-2</t>
  </si>
  <si>
    <t>27-3</t>
  </si>
  <si>
    <t>27-2</t>
  </si>
  <si>
    <t>27-1</t>
  </si>
  <si>
    <t>Rød flade</t>
  </si>
  <si>
    <t>Blå område</t>
  </si>
  <si>
    <t>Mariager fjord opland</t>
  </si>
  <si>
    <t>Grønne marker</t>
  </si>
  <si>
    <t>Beliggende indefor mariager Opland</t>
  </si>
  <si>
    <t>Gule farver</t>
  </si>
  <si>
    <t>CVR der driver marker indenfor oplandet har også disse marker udenfor området</t>
  </si>
  <si>
    <t>Tabeller</t>
  </si>
  <si>
    <t>Antal bedrfter</t>
  </si>
  <si>
    <t>DE i alt</t>
  </si>
  <si>
    <t>DE kvæg</t>
  </si>
  <si>
    <t>DE svin</t>
  </si>
  <si>
    <t>DE andet</t>
  </si>
  <si>
    <t>Samlet areal, indenfor opland</t>
  </si>
  <si>
    <t>I alt</t>
  </si>
  <si>
    <t>Indenfor opland</t>
  </si>
  <si>
    <t xml:space="preserve"> -</t>
  </si>
  <si>
    <t>Samlet areal, ha</t>
  </si>
  <si>
    <t>Harmoni arelal</t>
  </si>
  <si>
    <t>Husdyrgødning udbragt, kg N pr. ha</t>
  </si>
  <si>
    <t>&gt;0</t>
  </si>
  <si>
    <t>51-60</t>
  </si>
  <si>
    <t>61-70</t>
  </si>
  <si>
    <t xml:space="preserve"> 11-20</t>
  </si>
  <si>
    <t>Vedvarende græa</t>
  </si>
  <si>
    <t>Pct.del</t>
  </si>
  <si>
    <t>&gt;50</t>
  </si>
  <si>
    <t>&lt;=10</t>
  </si>
  <si>
    <t>&gt;10</t>
  </si>
  <si>
    <t>&lt;=20</t>
  </si>
  <si>
    <t>&gt;20</t>
  </si>
  <si>
    <t>&lt;=30</t>
  </si>
  <si>
    <t>&gt;30</t>
  </si>
  <si>
    <t>&lt;=40</t>
  </si>
  <si>
    <t>&gt;40</t>
  </si>
  <si>
    <t>&lt;=50</t>
  </si>
  <si>
    <t>&lt;=60</t>
  </si>
  <si>
    <t>&gt;60</t>
  </si>
  <si>
    <t>&lt;=70</t>
  </si>
  <si>
    <t>&gt;70</t>
  </si>
  <si>
    <t>&lt;=80</t>
  </si>
  <si>
    <t>&gt;80</t>
  </si>
  <si>
    <t>&lt;=90</t>
  </si>
  <si>
    <t>&gt;90</t>
  </si>
  <si>
    <t>&lt;=100</t>
  </si>
  <si>
    <t>Areal i alt</t>
  </si>
  <si>
    <t>JB 1</t>
  </si>
  <si>
    <t>Pla nte</t>
  </si>
  <si>
    <t>Svin</t>
  </si>
  <si>
    <t>Kvæg</t>
  </si>
  <si>
    <t>JB 4</t>
  </si>
  <si>
    <t>JB 6</t>
  </si>
  <si>
    <t>Græs omdrift</t>
  </si>
  <si>
    <t>Majs</t>
  </si>
  <si>
    <t>Græs</t>
  </si>
  <si>
    <t>Vedv. Græs</t>
  </si>
  <si>
    <t>Vårbyg, foder</t>
  </si>
  <si>
    <t>Græsudl. e. korn</t>
  </si>
  <si>
    <t>Kløvergræs, 4 slæt</t>
  </si>
  <si>
    <t/>
  </si>
  <si>
    <t>Majs, helsæd</t>
  </si>
  <si>
    <t>Græs E</t>
  </si>
  <si>
    <t>JB6</t>
  </si>
  <si>
    <t>Korr. For husdyrg.</t>
  </si>
  <si>
    <t>Opslag jordtype</t>
  </si>
  <si>
    <t>Opslag husdyrgødningskorr.</t>
  </si>
  <si>
    <t>Beregnet udledning, kg N/ha</t>
  </si>
  <si>
    <t>Beregnet udledning i alt, kg N</t>
  </si>
  <si>
    <t>Uden reduktion for efterafgrøder</t>
  </si>
  <si>
    <t>Reduktion</t>
  </si>
  <si>
    <t>Efterafgrøder</t>
  </si>
  <si>
    <t>Kg N pr. ha</t>
  </si>
  <si>
    <t>Pct. efter.</t>
  </si>
  <si>
    <t>Beregnet udvaskning, i alt</t>
  </si>
  <si>
    <t>Beregnet udvaskning, kg N/ha</t>
  </si>
  <si>
    <t>Udvaskning</t>
  </si>
  <si>
    <t>Kg N i alt</t>
  </si>
  <si>
    <t>Udledning</t>
  </si>
  <si>
    <t>Bidrag til udledning</t>
  </si>
  <si>
    <t>&gt;100</t>
  </si>
  <si>
    <t>Udledning større end 100</t>
  </si>
  <si>
    <t>Udledning 80-100</t>
  </si>
  <si>
    <t>Udledning 60-80</t>
  </si>
  <si>
    <t>Udledning større end 40-60</t>
  </si>
  <si>
    <t>Udledning 20-40</t>
  </si>
  <si>
    <t>Udledning 10-20</t>
  </si>
  <si>
    <t>Udledning 0-10</t>
  </si>
  <si>
    <t>Akk. Areal</t>
  </si>
  <si>
    <t>akk. Andel</t>
  </si>
  <si>
    <t>DE 2,3 ja=1, Nej=0</t>
  </si>
  <si>
    <t>Kvægbedrift Over 50DE, 1=ja, 0=nej</t>
  </si>
  <si>
    <t>Økolog 1=ja, 0=nej</t>
  </si>
  <si>
    <t>Sc. 1, udvaskning</t>
  </si>
  <si>
    <t>Sc.1 Udvaskning i alt</t>
  </si>
  <si>
    <t>Sc. 1 Udledning pr. ha</t>
  </si>
  <si>
    <t>Sc. 1 Udledning i alt</t>
  </si>
  <si>
    <t>Scenarie 1</t>
  </si>
  <si>
    <t>Gødningsniveau</t>
  </si>
  <si>
    <t>pct. af norm</t>
  </si>
  <si>
    <t>pct.</t>
  </si>
  <si>
    <t>Merudvaskning</t>
  </si>
  <si>
    <t>Merudv.kg</t>
  </si>
  <si>
    <t>Norm før</t>
  </si>
  <si>
    <t>Norm opt.</t>
  </si>
  <si>
    <t>Scenarie 1 analyse</t>
  </si>
  <si>
    <t>Udlæg i alle vårsædsmarker</t>
  </si>
  <si>
    <t>Efterafgrøder i al majs</t>
  </si>
  <si>
    <t>Virkemidler i del med under 10 pct. retention:</t>
  </si>
  <si>
    <t>&lt;7</t>
  </si>
  <si>
    <t>Udledning før</t>
  </si>
  <si>
    <t>Udledning efter</t>
  </si>
  <si>
    <t>Udv.efter efterafgr.</t>
  </si>
  <si>
    <t>&lt;30</t>
  </si>
  <si>
    <t>Areal i alt opland</t>
  </si>
  <si>
    <t>Areal med ændring</t>
  </si>
  <si>
    <t>Sc. 2, udvaskning</t>
  </si>
  <si>
    <t>Sc.2 Udvaskning i alt</t>
  </si>
  <si>
    <t>Sc.2 Udledning pr. ha</t>
  </si>
  <si>
    <t>Sc.2 Udledning i alt</t>
  </si>
  <si>
    <t>Scen. 2 ændret afgrødekode</t>
  </si>
  <si>
    <t>Vintersæd til vårsæd med udlæg</t>
  </si>
  <si>
    <t>Afgrødekode tilopslag</t>
  </si>
  <si>
    <t>Vårbyg med udlæg</t>
  </si>
  <si>
    <t>Scenarie 2 analyse</t>
  </si>
  <si>
    <t>Fra vårbyg til vårbyg med udlæg</t>
  </si>
  <si>
    <t>Fra majshelsæd til kl.græs</t>
  </si>
  <si>
    <t>Fra vintersæd til vårbyg med udlæg</t>
  </si>
  <si>
    <t>Udvaskning i alt</t>
  </si>
  <si>
    <t>Analyse af kvælstofretention i Lundgaard Bæk oplandet</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</si>
</sst>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5">
    <xf numFmtId="0" fontId="0" fillId="0" borderId="0" xfId="0"/>
    <xf numFmtId="0" fontId="0" fillId="0" borderId="0" xfId="0" applyAlignment="1">
      <alignment horizontal="center"/>
    </xf>
    <xf numFmtId="16" fontId="0" fillId="0" borderId="0" xfId="0" quotePrefix="1" applyNumberFormat="1" applyAlignment="1">
      <alignment horizontal="center"/>
    </xf>
    <xf numFmtId="0" fontId="0" fillId="0" borderId="0" xfId="0" applyAlignment="1">
      <alignment wrapText="1"/>
    </xf>
    <xf numFmtId="0" fontId="0" fillId="33" borderId="0" xfId="0" applyFill="1"/>
    <xf numFmtId="0" fontId="0" fillId="34" borderId="0" xfId="0" applyFill="1"/>
    <xf numFmtId="49" fontId="0" fillId="0" borderId="0" xfId="0" applyNumberFormat="1" applyAlignment="1">
      <alignment horizontal="center"/>
    </xf>
    <xf numFmtId="0" fontId="0" fillId="33" borderId="10" xfId="0" applyFill="1" applyBorder="1" applyAlignment="1">
      <alignment wrapText="1"/>
    </xf>
    <xf numFmtId="0" fontId="0" fillId="34" borderId="0" xfId="0" applyFill="1" applyAlignment="1">
      <alignment horizontal="center"/>
    </xf>
    <xf numFmtId="0" fontId="0" fillId="33" borderId="10" xfId="0" applyFill="1" applyBorder="1" applyAlignment="1">
      <alignment horizontal="center" wrapText="1"/>
    </xf>
    <xf numFmtId="1" fontId="0" fillId="0" borderId="0" xfId="0" applyNumberFormat="1"/>
    <xf numFmtId="49" fontId="0" fillId="0" borderId="0" xfId="0" applyNumberFormat="1"/>
    <xf numFmtId="1" fontId="0" fillId="33" borderId="10" xfId="0" applyNumberFormat="1" applyFill="1" applyBorder="1" applyAlignment="1">
      <alignment wrapText="1"/>
    </xf>
    <xf numFmtId="0" fontId="0" fillId="0" borderId="0" xfId="0"/>
    <xf numFmtId="0" fontId="0" fillId="0" borderId="0" xfId="0"/>
    <xf numFmtId="0" fontId="0" fillId="0" borderId="0" xfId="0"/>
    <xf numFmtId="49" fontId="0" fillId="33" borderId="0" xfId="0" applyNumberFormat="1" applyFill="1"/>
    <xf numFmtId="0" fontId="0" fillId="0" borderId="0" xfId="0" applyAlignment="1">
      <alignment vertical="center" wrapText="1"/>
    </xf>
    <xf numFmtId="0" fontId="0" fillId="0" borderId="10" xfId="0" applyBorder="1" applyAlignment="1">
      <alignment vertical="center" wrapText="1"/>
    </xf>
    <xf numFmtId="0" fontId="0" fillId="0" borderId="11" xfId="0" applyBorder="1"/>
    <xf numFmtId="0" fontId="0" fillId="0" borderId="0" xfId="0" applyBorder="1"/>
    <xf numFmtId="1" fontId="0" fillId="0" borderId="0" xfId="0" applyNumberFormat="1" applyBorder="1"/>
    <xf numFmtId="1" fontId="0" fillId="0" borderId="12" xfId="0" applyNumberFormat="1" applyBorder="1"/>
    <xf numFmtId="0" fontId="0" fillId="0" borderId="13" xfId="0" applyBorder="1"/>
    <xf numFmtId="0" fontId="0" fillId="0" borderId="14" xfId="0" applyBorder="1"/>
    <xf numFmtId="1" fontId="0" fillId="0" borderId="14" xfId="0" applyNumberFormat="1" applyBorder="1"/>
    <xf numFmtId="1" fontId="0" fillId="0" borderId="15" xfId="0" applyNumberFormat="1" applyBorder="1"/>
    <xf numFmtId="1" fontId="0" fillId="0" borderId="0" xfId="0" applyNumberFormat="1" applyAlignment="1">
      <alignment vertical="center" wrapText="1"/>
    </xf>
    <xf numFmtId="1" fontId="0" fillId="0" borderId="10" xfId="0" applyNumberFormat="1" applyBorder="1"/>
    <xf numFmtId="0" fontId="0" fillId="35" borderId="10" xfId="0" applyFill="1" applyBorder="1" applyAlignment="1">
      <alignment horizontal="center" vertical="center"/>
    </xf>
    <xf numFmtId="16" fontId="0" fillId="0" borderId="17" xfId="0" quotePrefix="1"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8" xfId="0" applyBorder="1"/>
    <xf numFmtId="1" fontId="0" fillId="0" borderId="11" xfId="0" applyNumberFormat="1" applyBorder="1" applyAlignment="1">
      <alignment horizontal="center"/>
    </xf>
    <xf numFmtId="1" fontId="0" fillId="0" borderId="12" xfId="0" applyNumberFormat="1" applyBorder="1" applyAlignment="1">
      <alignment horizontal="center"/>
    </xf>
    <xf numFmtId="1" fontId="0" fillId="0" borderId="0" xfId="0" applyNumberFormat="1" applyBorder="1" applyAlignment="1">
      <alignment horizontal="center"/>
    </xf>
    <xf numFmtId="1" fontId="0" fillId="0" borderId="13" xfId="0" applyNumberFormat="1" applyBorder="1" applyAlignment="1">
      <alignment horizontal="center"/>
    </xf>
    <xf numFmtId="1" fontId="0" fillId="0" borderId="15" xfId="0" applyNumberFormat="1" applyBorder="1" applyAlignment="1">
      <alignment horizontal="center"/>
    </xf>
    <xf numFmtId="1" fontId="0" fillId="0" borderId="14" xfId="0" applyNumberFormat="1" applyBorder="1" applyAlignment="1">
      <alignment horizontal="center"/>
    </xf>
    <xf numFmtId="0" fontId="0" fillId="35" borderId="10" xfId="0" applyFill="1" applyBorder="1" applyAlignment="1">
      <alignment horizontal="center" vertical="center" wrapText="1"/>
    </xf>
    <xf numFmtId="0" fontId="0" fillId="35" borderId="16" xfId="0" applyFill="1" applyBorder="1" applyAlignment="1">
      <alignment horizontal="center" vertical="center"/>
    </xf>
    <xf numFmtId="1" fontId="0" fillId="0" borderId="19" xfId="0" applyNumberFormat="1" applyBorder="1" applyAlignment="1">
      <alignment horizontal="center"/>
    </xf>
    <xf numFmtId="1" fontId="0" fillId="0" borderId="16" xfId="0" applyNumberFormat="1" applyBorder="1" applyAlignment="1">
      <alignment horizontal="center"/>
    </xf>
    <xf numFmtId="0" fontId="0" fillId="35" borderId="10" xfId="0" applyFill="1" applyBorder="1" applyAlignment="1">
      <alignment wrapText="1"/>
    </xf>
    <xf numFmtId="16" fontId="0" fillId="35" borderId="10" xfId="0" quotePrefix="1" applyNumberFormat="1" applyFill="1" applyBorder="1" applyAlignment="1">
      <alignment horizontal="center" vertical="center"/>
    </xf>
    <xf numFmtId="17" fontId="0" fillId="35" borderId="10" xfId="0" applyNumberFormat="1" applyFill="1" applyBorder="1" applyAlignment="1">
      <alignment horizontal="center" vertical="center"/>
    </xf>
    <xf numFmtId="0" fontId="0" fillId="35" borderId="17" xfId="0" applyFill="1" applyBorder="1" applyAlignment="1">
      <alignment horizontal="center" vertical="center"/>
    </xf>
    <xf numFmtId="0" fontId="0" fillId="33" borderId="17" xfId="0" applyFill="1" applyBorder="1" applyAlignment="1">
      <alignment wrapText="1"/>
    </xf>
    <xf numFmtId="0" fontId="0" fillId="36" borderId="0" xfId="0" applyFill="1"/>
    <xf numFmtId="0" fontId="0" fillId="0" borderId="0" xfId="0" applyFill="1" applyBorder="1"/>
    <xf numFmtId="0" fontId="0" fillId="0" borderId="10" xfId="0" applyBorder="1"/>
    <xf numFmtId="0" fontId="0" fillId="0" borderId="10" xfId="0" applyBorder="1" applyAlignment="1">
      <alignment vertical="center"/>
    </xf>
    <xf numFmtId="0" fontId="18" fillId="0" borderId="0" xfId="0" applyFont="1"/>
    <xf numFmtId="0" fontId="0" fillId="0" borderId="0" xfId="0" applyAlignment="1">
      <alignment horizontal="center"/>
    </xf>
  </cellXfs>
  <cellStyles count="42">
    <cellStyle name="20 % - Markeringsfarve1" xfId="19" builtinId="30" customBuiltin="1"/>
    <cellStyle name="20 % - Markeringsfarve2" xfId="23" builtinId="34" customBuiltin="1"/>
    <cellStyle name="20 % - Markeringsfarve3" xfId="27" builtinId="38" customBuiltin="1"/>
    <cellStyle name="20 % - Markeringsfarve4" xfId="31" builtinId="42" customBuiltin="1"/>
    <cellStyle name="20 % - Markeringsfarve5" xfId="35" builtinId="46" customBuiltin="1"/>
    <cellStyle name="20 % - Markeringsfarve6" xfId="39" builtinId="50" customBuiltin="1"/>
    <cellStyle name="40 % - Markeringsfarve1" xfId="20" builtinId="31" customBuiltin="1"/>
    <cellStyle name="40 % - Markeringsfarve2" xfId="24" builtinId="35" customBuiltin="1"/>
    <cellStyle name="40 % - Markeringsfarve3" xfId="28" builtinId="39" customBuiltin="1"/>
    <cellStyle name="40 % - Markeringsfarve4" xfId="32" builtinId="43" customBuiltin="1"/>
    <cellStyle name="40 % - Markeringsfarve5" xfId="36" builtinId="47" customBuiltin="1"/>
    <cellStyle name="40 % - Markeringsfarve6" xfId="40" builtinId="51" customBuiltin="1"/>
    <cellStyle name="60 % - Markeringsfarve1" xfId="21" builtinId="32" customBuiltin="1"/>
    <cellStyle name="60 % - Markeringsfarve2" xfId="25" builtinId="36" customBuiltin="1"/>
    <cellStyle name="60 % - Markeringsfarve3" xfId="29" builtinId="40" customBuiltin="1"/>
    <cellStyle name="60 % - Markeringsfarve4" xfId="33" builtinId="44" customBuiltin="1"/>
    <cellStyle name="60 % - Markeringsfarve5" xfId="37" builtinId="48" customBuiltin="1"/>
    <cellStyle name="60 % - Markeringsfarve6" xfId="41" builtinId="52" customBuiltin="1"/>
    <cellStyle name="Advarselstekst" xfId="14" builtinId="11" customBuiltin="1"/>
    <cellStyle name="Bemærk!" xfId="15" builtinId="10" customBuiltin="1"/>
    <cellStyle name="Beregning" xfId="11" builtinId="22" customBuiltin="1"/>
    <cellStyle name="Forklarende tekst" xfId="16" builtinId="53" customBuiltin="1"/>
    <cellStyle name="God" xfId="6" builtinId="26" customBuiltin="1"/>
    <cellStyle name="Input" xfId="9" builtinId="20" customBuiltin="1"/>
    <cellStyle name="Kontroller celle" xfId="13" builtinId="23" customBuiltin="1"/>
    <cellStyle name="Markeringsfarve1" xfId="18" builtinId="29" customBuiltin="1"/>
    <cellStyle name="Markeringsfarve2" xfId="22" builtinId="33" customBuiltin="1"/>
    <cellStyle name="Markeringsfarve3" xfId="26" builtinId="37" customBuiltin="1"/>
    <cellStyle name="Markeringsfarve4" xfId="30" builtinId="41" customBuiltin="1"/>
    <cellStyle name="Markeringsfarve5" xfId="34" builtinId="45" customBuiltin="1"/>
    <cellStyle name="Markeringsfarve6" xfId="38" builtinId="49" customBuiltin="1"/>
    <cellStyle name="Neutral" xfId="8" builtinId="28" customBuiltin="1"/>
    <cellStyle name="Normal" xfId="0" builtinId="0"/>
    <cellStyle name="Output" xfId="10" builtinId="21" customBuiltin="1"/>
    <cellStyle name="Overskrift 1" xfId="2" builtinId="16" customBuiltin="1"/>
    <cellStyle name="Overskrift 2" xfId="3" builtinId="17" customBuiltin="1"/>
    <cellStyle name="Overskrift 3" xfId="4" builtinId="18" customBuiltin="1"/>
    <cellStyle name="Overskrift 4" xfId="5" builtinId="19" customBuiltin="1"/>
    <cellStyle name="Sammenkædet celle" xfId="12" builtinId="24" customBuiltin="1"/>
    <cellStyle name="Titel" xfId="1" builtinId="15" customBuiltin="1"/>
    <cellStyle name="Total" xfId="17" builtinId="25" customBuiltin="1"/>
    <cellStyle name="Ugyldig" xfId="7" builtinId="27"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Tabeller!$L$19:$L$51</c:f>
              <c:numCache>
                <c:formatCode>0</c:formatCode>
                <c:ptCount val="33"/>
                <c:pt idx="0">
                  <c:v>20.280214281509391</c:v>
                </c:pt>
                <c:pt idx="2">
                  <c:v>0.43601633331026368</c:v>
                </c:pt>
                <c:pt idx="4">
                  <c:v>56.704088116924368</c:v>
                </c:pt>
                <c:pt idx="6">
                  <c:v>0</c:v>
                </c:pt>
                <c:pt idx="8">
                  <c:v>0</c:v>
                </c:pt>
                <c:pt idx="10">
                  <c:v>24.481507086069829</c:v>
                </c:pt>
                <c:pt idx="12">
                  <c:v>10.656295576081675</c:v>
                </c:pt>
                <c:pt idx="14">
                  <c:v>0</c:v>
                </c:pt>
                <c:pt idx="16">
                  <c:v>0</c:v>
                </c:pt>
                <c:pt idx="18">
                  <c:v>0</c:v>
                </c:pt>
                <c:pt idx="20">
                  <c:v>0</c:v>
                </c:pt>
                <c:pt idx="22">
                  <c:v>0</c:v>
                </c:pt>
                <c:pt idx="24">
                  <c:v>40.952690619411477</c:v>
                </c:pt>
                <c:pt idx="26">
                  <c:v>12.655045256453235</c:v>
                </c:pt>
                <c:pt idx="28">
                  <c:v>6.0487970179600126</c:v>
                </c:pt>
                <c:pt idx="30">
                  <c:v>0</c:v>
                </c:pt>
                <c:pt idx="32">
                  <c:v>13.019230769230768</c:v>
                </c:pt>
              </c:numCache>
            </c:numRef>
          </c:val>
        </c:ser>
        <c:dLbls>
          <c:showLegendKey val="0"/>
          <c:showVal val="0"/>
          <c:showCatName val="0"/>
          <c:showSerName val="0"/>
          <c:showPercent val="0"/>
          <c:showBubbleSize val="0"/>
        </c:dLbls>
        <c:gapWidth val="150"/>
        <c:axId val="93604864"/>
        <c:axId val="118330112"/>
      </c:barChart>
      <c:catAx>
        <c:axId val="93604864"/>
        <c:scaling>
          <c:orientation val="minMax"/>
        </c:scaling>
        <c:delete val="0"/>
        <c:axPos val="b"/>
        <c:majorTickMark val="out"/>
        <c:minorTickMark val="none"/>
        <c:tickLblPos val="nextTo"/>
        <c:crossAx val="118330112"/>
        <c:crosses val="autoZero"/>
        <c:auto val="1"/>
        <c:lblAlgn val="ctr"/>
        <c:lblOffset val="100"/>
        <c:noMultiLvlLbl val="0"/>
      </c:catAx>
      <c:valAx>
        <c:axId val="118330112"/>
        <c:scaling>
          <c:orientation val="minMax"/>
        </c:scaling>
        <c:delete val="0"/>
        <c:axPos val="l"/>
        <c:majorGridlines/>
        <c:numFmt formatCode="0" sourceLinked="1"/>
        <c:majorTickMark val="out"/>
        <c:minorTickMark val="none"/>
        <c:tickLblPos val="nextTo"/>
        <c:crossAx val="936048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Tabeller!$B$25:$B$41</c:f>
              <c:numCache>
                <c:formatCode>0</c:formatCode>
                <c:ptCount val="17"/>
                <c:pt idx="0">
                  <c:v>0</c:v>
                </c:pt>
                <c:pt idx="1">
                  <c:v>0</c:v>
                </c:pt>
                <c:pt idx="2">
                  <c:v>0</c:v>
                </c:pt>
                <c:pt idx="3">
                  <c:v>0</c:v>
                </c:pt>
                <c:pt idx="4">
                  <c:v>0</c:v>
                </c:pt>
                <c:pt idx="5">
                  <c:v>0</c:v>
                </c:pt>
                <c:pt idx="6">
                  <c:v>0</c:v>
                </c:pt>
                <c:pt idx="7">
                  <c:v>0</c:v>
                </c:pt>
                <c:pt idx="8">
                  <c:v>0.43601633331026368</c:v>
                </c:pt>
                <c:pt idx="9">
                  <c:v>6.0487970179600126</c:v>
                </c:pt>
                <c:pt idx="10">
                  <c:v>10.656295576081675</c:v>
                </c:pt>
                <c:pt idx="11">
                  <c:v>12.655045256453235</c:v>
                </c:pt>
                <c:pt idx="12">
                  <c:v>13.019230769230768</c:v>
                </c:pt>
                <c:pt idx="13">
                  <c:v>20.280214281509391</c:v>
                </c:pt>
                <c:pt idx="14">
                  <c:v>24.481507086069829</c:v>
                </c:pt>
                <c:pt idx="15">
                  <c:v>40.952690619411477</c:v>
                </c:pt>
                <c:pt idx="16">
                  <c:v>56.704088116924368</c:v>
                </c:pt>
              </c:numCache>
            </c:numRef>
          </c:val>
        </c:ser>
        <c:dLbls>
          <c:showLegendKey val="0"/>
          <c:showVal val="0"/>
          <c:showCatName val="0"/>
          <c:showSerName val="0"/>
          <c:showPercent val="0"/>
          <c:showBubbleSize val="0"/>
        </c:dLbls>
        <c:gapWidth val="150"/>
        <c:axId val="131623936"/>
        <c:axId val="150688128"/>
      </c:barChart>
      <c:catAx>
        <c:axId val="131623936"/>
        <c:scaling>
          <c:orientation val="minMax"/>
        </c:scaling>
        <c:delete val="0"/>
        <c:axPos val="b"/>
        <c:title>
          <c:tx>
            <c:rich>
              <a:bodyPr/>
              <a:lstStyle/>
              <a:p>
                <a:pPr>
                  <a:defRPr/>
                </a:pPr>
                <a:r>
                  <a:rPr lang="en-US"/>
                  <a:t>Bedrift</a:t>
                </a:r>
              </a:p>
            </c:rich>
          </c:tx>
          <c:layout/>
          <c:overlay val="0"/>
        </c:title>
        <c:majorTickMark val="out"/>
        <c:minorTickMark val="none"/>
        <c:tickLblPos val="nextTo"/>
        <c:crossAx val="150688128"/>
        <c:crosses val="autoZero"/>
        <c:auto val="1"/>
        <c:lblAlgn val="ctr"/>
        <c:lblOffset val="100"/>
        <c:noMultiLvlLbl val="0"/>
      </c:catAx>
      <c:valAx>
        <c:axId val="150688128"/>
        <c:scaling>
          <c:orientation val="minMax"/>
        </c:scaling>
        <c:delete val="0"/>
        <c:axPos val="l"/>
        <c:majorGridlines/>
        <c:title>
          <c:tx>
            <c:rich>
              <a:bodyPr rot="-5400000" vert="horz"/>
              <a:lstStyle/>
              <a:p>
                <a:pPr>
                  <a:defRPr/>
                </a:pPr>
                <a:r>
                  <a:rPr lang="en-US"/>
                  <a:t>Pct. af areal med retention 0-10 pct.</a:t>
                </a:r>
              </a:p>
            </c:rich>
          </c:tx>
          <c:layout/>
          <c:overlay val="0"/>
        </c:title>
        <c:numFmt formatCode="0" sourceLinked="1"/>
        <c:majorTickMark val="out"/>
        <c:minorTickMark val="none"/>
        <c:tickLblPos val="nextTo"/>
        <c:crossAx val="131623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solidFill>
                <a:schemeClr val="accent1"/>
              </a:solidFill>
            </a:ln>
          </c:spPr>
          <c:xVal>
            <c:numRef>
              <c:f>Tabeller!$C$77:$C$83</c:f>
              <c:numCache>
                <c:formatCode>0</c:formatCode>
                <c:ptCount val="7"/>
                <c:pt idx="0">
                  <c:v>0.79816316867030701</c:v>
                </c:pt>
                <c:pt idx="1">
                  <c:v>1.5333044909027109</c:v>
                </c:pt>
                <c:pt idx="2">
                  <c:v>7.4611053009889323</c:v>
                </c:pt>
                <c:pt idx="3">
                  <c:v>10.211242416087259</c:v>
                </c:pt>
                <c:pt idx="4">
                  <c:v>18.332544140841904</c:v>
                </c:pt>
                <c:pt idx="5">
                  <c:v>20.870110271198332</c:v>
                </c:pt>
                <c:pt idx="6">
                  <c:v>100</c:v>
                </c:pt>
              </c:numCache>
            </c:numRef>
          </c:xVal>
          <c:yVal>
            <c:numRef>
              <c:f>Tabeller!$D$77:$D$83</c:f>
              <c:numCache>
                <c:formatCode>0</c:formatCode>
                <c:ptCount val="7"/>
                <c:pt idx="0">
                  <c:v>1.6220691811820867</c:v>
                </c:pt>
                <c:pt idx="1">
                  <c:v>12.668061902216133</c:v>
                </c:pt>
                <c:pt idx="2">
                  <c:v>44.786497908859289</c:v>
                </c:pt>
                <c:pt idx="3">
                  <c:v>55.947939262045786</c:v>
                </c:pt>
                <c:pt idx="4">
                  <c:v>77.14567348366549</c:v>
                </c:pt>
                <c:pt idx="5">
                  <c:v>80.466666329729605</c:v>
                </c:pt>
                <c:pt idx="6">
                  <c:v>100</c:v>
                </c:pt>
              </c:numCache>
            </c:numRef>
          </c:yVal>
          <c:smooth val="0"/>
        </c:ser>
        <c:dLbls>
          <c:showLegendKey val="0"/>
          <c:showVal val="0"/>
          <c:showCatName val="0"/>
          <c:showSerName val="0"/>
          <c:showPercent val="0"/>
          <c:showBubbleSize val="0"/>
        </c:dLbls>
        <c:axId val="150789504"/>
        <c:axId val="154167552"/>
      </c:scatterChart>
      <c:valAx>
        <c:axId val="150789504"/>
        <c:scaling>
          <c:orientation val="minMax"/>
          <c:max val="100"/>
        </c:scaling>
        <c:delete val="0"/>
        <c:axPos val="b"/>
        <c:title>
          <c:tx>
            <c:rich>
              <a:bodyPr/>
              <a:lstStyle/>
              <a:p>
                <a:pPr>
                  <a:defRPr/>
                </a:pPr>
                <a:r>
                  <a:rPr lang="en-US"/>
                  <a:t>Andel af areal</a:t>
                </a:r>
              </a:p>
            </c:rich>
          </c:tx>
          <c:layout/>
          <c:overlay val="0"/>
        </c:title>
        <c:numFmt formatCode="0" sourceLinked="1"/>
        <c:majorTickMark val="out"/>
        <c:minorTickMark val="none"/>
        <c:tickLblPos val="nextTo"/>
        <c:crossAx val="154167552"/>
        <c:crosses val="autoZero"/>
        <c:crossBetween val="midCat"/>
      </c:valAx>
      <c:valAx>
        <c:axId val="154167552"/>
        <c:scaling>
          <c:orientation val="minMax"/>
          <c:max val="100"/>
        </c:scaling>
        <c:delete val="0"/>
        <c:axPos val="l"/>
        <c:majorGridlines/>
        <c:title>
          <c:tx>
            <c:rich>
              <a:bodyPr rot="-5400000" vert="horz"/>
              <a:lstStyle/>
              <a:p>
                <a:pPr>
                  <a:defRPr/>
                </a:pPr>
                <a:r>
                  <a:rPr lang="en-US"/>
                  <a:t>Andel af udvaskning</a:t>
                </a:r>
              </a:p>
            </c:rich>
          </c:tx>
          <c:layout/>
          <c:overlay val="0"/>
        </c:title>
        <c:numFmt formatCode="0" sourceLinked="1"/>
        <c:majorTickMark val="out"/>
        <c:minorTickMark val="none"/>
        <c:tickLblPos val="nextTo"/>
        <c:crossAx val="150789504"/>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jpeg"/><Relationship Id="rId4"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1</xdr:colOff>
      <xdr:row>1</xdr:row>
      <xdr:rowOff>0</xdr:rowOff>
    </xdr:from>
    <xdr:to>
      <xdr:col>25</xdr:col>
      <xdr:colOff>522575</xdr:colOff>
      <xdr:row>36</xdr:row>
      <xdr:rowOff>114300</xdr:rowOff>
    </xdr:to>
    <xdr:pic>
      <xdr:nvPicPr>
        <xdr:cNvPr id="2" name="Billede 1"/>
        <xdr:cNvPicPr>
          <a:picLocks noChangeAspect="1"/>
        </xdr:cNvPicPr>
      </xdr:nvPicPr>
      <xdr:blipFill>
        <a:blip xmlns:r="http://schemas.openxmlformats.org/officeDocument/2006/relationships" r:embed="rId1"/>
        <a:stretch>
          <a:fillRect/>
        </a:stretch>
      </xdr:blipFill>
      <xdr:spPr>
        <a:xfrm>
          <a:off x="9820276" y="190500"/>
          <a:ext cx="8447374" cy="6781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60960</xdr:colOff>
      <xdr:row>15</xdr:row>
      <xdr:rowOff>118110</xdr:rowOff>
    </xdr:from>
    <xdr:to>
      <xdr:col>21</xdr:col>
      <xdr:colOff>365760</xdr:colOff>
      <xdr:row>25</xdr:row>
      <xdr:rowOff>118110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91440</xdr:colOff>
      <xdr:row>23</xdr:row>
      <xdr:rowOff>300990</xdr:rowOff>
    </xdr:from>
    <xdr:to>
      <xdr:col>10</xdr:col>
      <xdr:colOff>396240</xdr:colOff>
      <xdr:row>33</xdr:row>
      <xdr:rowOff>300990</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411480</xdr:colOff>
      <xdr:row>72</xdr:row>
      <xdr:rowOff>19050</xdr:rowOff>
    </xdr:from>
    <xdr:to>
      <xdr:col>14</xdr:col>
      <xdr:colOff>106680</xdr:colOff>
      <xdr:row>87</xdr:row>
      <xdr:rowOff>19050</xdr:rowOff>
    </xdr:to>
    <xdr:graphicFrame macro="">
      <xdr:nvGraphicFramePr>
        <xdr:cNvPr id="4" name="Diagra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117</xdr:row>
      <xdr:rowOff>0</xdr:rowOff>
    </xdr:from>
    <xdr:to>
      <xdr:col>5</xdr:col>
      <xdr:colOff>76200</xdr:colOff>
      <xdr:row>126</xdr:row>
      <xdr:rowOff>57150</xdr:rowOff>
    </xdr:to>
    <xdr:pic>
      <xdr:nvPicPr>
        <xdr:cNvPr id="5" name="Billede 1">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0" y="386429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7"/>
  <sheetViews>
    <sheetView workbookViewId="0">
      <selection activeCell="C2" sqref="C2:C3"/>
    </sheetView>
  </sheetViews>
  <sheetFormatPr defaultRowHeight="15" x14ac:dyDescent="0.25"/>
  <cols>
    <col min="1" max="1" width="22.42578125" style="1" customWidth="1"/>
    <col min="2" max="2" width="19.42578125" customWidth="1"/>
    <col min="6" max="6" width="9" bestFit="1" customWidth="1"/>
    <col min="7" max="7" width="18" style="11" bestFit="1" customWidth="1"/>
    <col min="8" max="8" width="16.5703125" bestFit="1" customWidth="1"/>
    <col min="9" max="9" width="7" bestFit="1" customWidth="1"/>
    <col min="28" max="28" width="14.42578125" bestFit="1" customWidth="1"/>
    <col min="29" max="29" width="74.140625" bestFit="1" customWidth="1"/>
  </cols>
  <sheetData>
    <row r="1" spans="1:29" x14ac:dyDescent="0.25">
      <c r="A1" s="8" t="s">
        <v>0</v>
      </c>
      <c r="B1" s="5" t="s">
        <v>1</v>
      </c>
      <c r="C1" s="5" t="s">
        <v>2</v>
      </c>
      <c r="F1" s="4" t="s">
        <v>12</v>
      </c>
      <c r="G1" s="16" t="s">
        <v>0</v>
      </c>
      <c r="H1" s="4" t="s">
        <v>1</v>
      </c>
      <c r="I1" s="4" t="s">
        <v>2</v>
      </c>
    </row>
    <row r="2" spans="1:29" x14ac:dyDescent="0.25">
      <c r="A2" s="1">
        <v>0</v>
      </c>
      <c r="B2" t="s">
        <v>5</v>
      </c>
      <c r="C2">
        <v>209.91</v>
      </c>
      <c r="F2" s="13">
        <v>10225531</v>
      </c>
      <c r="G2" s="11" t="s">
        <v>3</v>
      </c>
      <c r="H2" s="13" t="s">
        <v>4</v>
      </c>
      <c r="I2" s="13">
        <v>2.4300000000000002</v>
      </c>
    </row>
    <row r="3" spans="1:29" x14ac:dyDescent="0.25">
      <c r="A3" s="1">
        <v>0</v>
      </c>
      <c r="B3" t="s">
        <v>4</v>
      </c>
      <c r="C3">
        <v>0.16</v>
      </c>
      <c r="F3" s="13">
        <v>10225531</v>
      </c>
      <c r="G3" s="11">
        <v>41548</v>
      </c>
      <c r="H3" s="13" t="s">
        <v>4</v>
      </c>
      <c r="I3" s="13">
        <v>2.78</v>
      </c>
      <c r="AB3" t="s">
        <v>1535</v>
      </c>
      <c r="AC3" t="s">
        <v>24</v>
      </c>
    </row>
    <row r="4" spans="1:29" x14ac:dyDescent="0.25">
      <c r="A4" s="2" t="s">
        <v>11</v>
      </c>
      <c r="B4" t="s">
        <v>4</v>
      </c>
      <c r="C4">
        <v>24.45</v>
      </c>
      <c r="F4" s="13">
        <v>10225531</v>
      </c>
      <c r="G4" s="11" t="s">
        <v>3</v>
      </c>
      <c r="H4" s="13" t="s">
        <v>5</v>
      </c>
      <c r="I4" s="13">
        <v>3.57</v>
      </c>
      <c r="AB4" t="s">
        <v>1536</v>
      </c>
      <c r="AC4" t="s">
        <v>1537</v>
      </c>
    </row>
    <row r="5" spans="1:29" x14ac:dyDescent="0.25">
      <c r="A5" s="2" t="s">
        <v>11</v>
      </c>
      <c r="B5" t="s">
        <v>5</v>
      </c>
      <c r="C5">
        <v>347.05</v>
      </c>
      <c r="F5" s="13">
        <v>10225531</v>
      </c>
      <c r="G5" s="11">
        <v>41548</v>
      </c>
      <c r="H5" s="13" t="s">
        <v>5</v>
      </c>
      <c r="I5" s="13">
        <v>0.68</v>
      </c>
      <c r="AB5" t="s">
        <v>1538</v>
      </c>
      <c r="AC5" t="s">
        <v>1539</v>
      </c>
    </row>
    <row r="6" spans="1:29" x14ac:dyDescent="0.25">
      <c r="A6" s="1" t="s">
        <v>7</v>
      </c>
      <c r="B6" t="s">
        <v>4</v>
      </c>
      <c r="C6">
        <v>2.17</v>
      </c>
      <c r="F6" s="13">
        <v>10799686</v>
      </c>
      <c r="G6" s="11" t="s">
        <v>3</v>
      </c>
      <c r="H6" s="13" t="s">
        <v>5</v>
      </c>
      <c r="I6" s="13">
        <v>9.76</v>
      </c>
      <c r="AB6" t="s">
        <v>1540</v>
      </c>
      <c r="AC6" t="s">
        <v>1541</v>
      </c>
    </row>
    <row r="7" spans="1:29" x14ac:dyDescent="0.25">
      <c r="A7" s="1" t="s">
        <v>7</v>
      </c>
      <c r="B7" t="s">
        <v>5</v>
      </c>
      <c r="C7">
        <v>129.91999999999999</v>
      </c>
      <c r="F7" s="13">
        <v>11852491</v>
      </c>
      <c r="G7" s="11" t="s">
        <v>3</v>
      </c>
      <c r="H7" s="13" t="s">
        <v>5</v>
      </c>
      <c r="I7" s="13">
        <v>41.07</v>
      </c>
    </row>
    <row r="8" spans="1:29" x14ac:dyDescent="0.25">
      <c r="A8" s="1" t="s">
        <v>6</v>
      </c>
      <c r="B8" t="s">
        <v>5</v>
      </c>
      <c r="C8">
        <v>81.33</v>
      </c>
      <c r="F8" s="13">
        <v>11852491</v>
      </c>
      <c r="G8" s="11" t="s">
        <v>6</v>
      </c>
      <c r="H8" s="13" t="s">
        <v>5</v>
      </c>
      <c r="I8" s="13">
        <v>1.99</v>
      </c>
    </row>
    <row r="9" spans="1:29" x14ac:dyDescent="0.25">
      <c r="A9" s="1" t="s">
        <v>6</v>
      </c>
      <c r="B9" t="s">
        <v>4</v>
      </c>
      <c r="C9">
        <v>9.0500000000000007</v>
      </c>
      <c r="F9" s="13">
        <v>11852491</v>
      </c>
      <c r="G9" s="11">
        <v>41548</v>
      </c>
      <c r="H9" s="13" t="s">
        <v>5</v>
      </c>
      <c r="I9" s="13">
        <v>7.55</v>
      </c>
    </row>
    <row r="10" spans="1:29" x14ac:dyDescent="0.25">
      <c r="A10" s="1" t="s">
        <v>9</v>
      </c>
      <c r="B10" t="s">
        <v>4</v>
      </c>
      <c r="C10">
        <v>2.36</v>
      </c>
      <c r="F10" s="13">
        <v>11852491</v>
      </c>
      <c r="G10" s="11" t="s">
        <v>6</v>
      </c>
      <c r="H10" s="13" t="s">
        <v>4</v>
      </c>
      <c r="I10" s="13">
        <v>9.0500000000000007</v>
      </c>
    </row>
    <row r="11" spans="1:29" x14ac:dyDescent="0.25">
      <c r="A11" s="1" t="s">
        <v>10</v>
      </c>
      <c r="B11" t="s">
        <v>4</v>
      </c>
      <c r="C11">
        <v>6.48</v>
      </c>
      <c r="F11" s="13">
        <v>12729839</v>
      </c>
      <c r="G11" s="11" t="s">
        <v>3</v>
      </c>
      <c r="H11" s="13" t="s">
        <v>5</v>
      </c>
      <c r="I11" s="13">
        <v>35.25</v>
      </c>
    </row>
    <row r="12" spans="1:29" x14ac:dyDescent="0.25">
      <c r="A12" s="1" t="s">
        <v>8</v>
      </c>
      <c r="B12" t="s">
        <v>5</v>
      </c>
      <c r="C12">
        <v>106.48</v>
      </c>
      <c r="F12" s="13">
        <v>12729839</v>
      </c>
      <c r="G12" s="11">
        <v>0</v>
      </c>
      <c r="H12" s="13" t="s">
        <v>5</v>
      </c>
      <c r="I12" s="13">
        <v>14.33</v>
      </c>
    </row>
    <row r="13" spans="1:29" x14ac:dyDescent="0.25">
      <c r="A13" s="1" t="s">
        <v>3</v>
      </c>
      <c r="B13" t="s">
        <v>4</v>
      </c>
      <c r="C13">
        <v>62.81</v>
      </c>
      <c r="F13" s="13">
        <v>13014671</v>
      </c>
      <c r="G13" s="11">
        <v>0</v>
      </c>
      <c r="H13" s="13" t="s">
        <v>5</v>
      </c>
      <c r="I13" s="13">
        <v>24.83</v>
      </c>
    </row>
    <row r="14" spans="1:29" x14ac:dyDescent="0.25">
      <c r="A14" s="1" t="s">
        <v>3</v>
      </c>
      <c r="B14" t="s">
        <v>5</v>
      </c>
      <c r="C14">
        <v>2049.88</v>
      </c>
      <c r="F14" s="13">
        <v>13029237</v>
      </c>
      <c r="G14" s="11" t="s">
        <v>7</v>
      </c>
      <c r="H14" s="13" t="s">
        <v>4</v>
      </c>
      <c r="I14" s="13">
        <v>1.06</v>
      </c>
    </row>
    <row r="15" spans="1:29" x14ac:dyDescent="0.25">
      <c r="F15" s="13">
        <v>13029237</v>
      </c>
      <c r="G15" s="11" t="s">
        <v>7</v>
      </c>
      <c r="H15" s="13" t="s">
        <v>5</v>
      </c>
      <c r="I15" s="13">
        <v>7.36</v>
      </c>
    </row>
    <row r="16" spans="1:29" x14ac:dyDescent="0.25">
      <c r="F16" s="13">
        <v>13285233</v>
      </c>
      <c r="G16" s="11">
        <v>0</v>
      </c>
      <c r="H16" s="13" t="s">
        <v>5</v>
      </c>
      <c r="I16" s="13">
        <v>4.84</v>
      </c>
    </row>
    <row r="17" spans="6:9" x14ac:dyDescent="0.25">
      <c r="F17" s="13">
        <v>13291993</v>
      </c>
      <c r="G17" s="11" t="s">
        <v>3</v>
      </c>
      <c r="H17" s="13" t="s">
        <v>4</v>
      </c>
      <c r="I17" s="13">
        <v>0.6</v>
      </c>
    </row>
    <row r="18" spans="6:9" x14ac:dyDescent="0.25">
      <c r="F18" s="13">
        <v>13291993</v>
      </c>
      <c r="G18" s="11" t="s">
        <v>3</v>
      </c>
      <c r="H18" s="13" t="s">
        <v>5</v>
      </c>
      <c r="I18" s="13">
        <v>1.86</v>
      </c>
    </row>
    <row r="19" spans="6:9" x14ac:dyDescent="0.25">
      <c r="F19" s="13">
        <v>13452601</v>
      </c>
      <c r="G19" s="11" t="s">
        <v>3</v>
      </c>
      <c r="H19" s="13" t="s">
        <v>5</v>
      </c>
      <c r="I19" s="13">
        <v>6.84</v>
      </c>
    </row>
    <row r="20" spans="6:9" ht="14.45" x14ac:dyDescent="0.3">
      <c r="F20" s="13">
        <v>13759006</v>
      </c>
      <c r="G20" s="11" t="s">
        <v>7</v>
      </c>
      <c r="H20" s="13" t="s">
        <v>5</v>
      </c>
      <c r="I20" s="13">
        <v>17.079999999999998</v>
      </c>
    </row>
    <row r="21" spans="6:9" ht="14.45" x14ac:dyDescent="0.3">
      <c r="F21" s="13">
        <v>14278885</v>
      </c>
      <c r="G21" s="11" t="s">
        <v>3</v>
      </c>
      <c r="H21" s="13" t="s">
        <v>5</v>
      </c>
      <c r="I21" s="13">
        <v>30.92</v>
      </c>
    </row>
    <row r="22" spans="6:9" ht="14.45" x14ac:dyDescent="0.3">
      <c r="F22" s="13">
        <v>14551387</v>
      </c>
      <c r="G22" s="11" t="s">
        <v>7</v>
      </c>
      <c r="H22" s="13" t="s">
        <v>5</v>
      </c>
      <c r="I22" s="13">
        <v>12.67</v>
      </c>
    </row>
    <row r="23" spans="6:9" x14ac:dyDescent="0.25">
      <c r="F23" s="13">
        <v>14551387</v>
      </c>
      <c r="G23" s="11" t="s">
        <v>7</v>
      </c>
      <c r="H23" s="13" t="s">
        <v>4</v>
      </c>
      <c r="I23" s="13">
        <v>0.64</v>
      </c>
    </row>
    <row r="24" spans="6:9" x14ac:dyDescent="0.25">
      <c r="F24" s="13">
        <v>14551387</v>
      </c>
      <c r="G24" s="11" t="s">
        <v>3</v>
      </c>
      <c r="H24" s="13" t="s">
        <v>4</v>
      </c>
      <c r="I24" s="13">
        <v>5.54</v>
      </c>
    </row>
    <row r="25" spans="6:9" ht="14.45" x14ac:dyDescent="0.3">
      <c r="F25" s="13">
        <v>14571094</v>
      </c>
      <c r="G25" s="11" t="s">
        <v>3</v>
      </c>
      <c r="H25" s="13" t="s">
        <v>5</v>
      </c>
      <c r="I25" s="13">
        <v>81.66</v>
      </c>
    </row>
    <row r="26" spans="6:9" ht="14.45" x14ac:dyDescent="0.3">
      <c r="F26" s="13">
        <v>14571094</v>
      </c>
      <c r="G26" s="11" t="s">
        <v>6</v>
      </c>
      <c r="H26" s="13" t="s">
        <v>5</v>
      </c>
      <c r="I26" s="13">
        <v>4.38</v>
      </c>
    </row>
    <row r="27" spans="6:9" ht="14.45" x14ac:dyDescent="0.3">
      <c r="F27" s="13">
        <v>14571094</v>
      </c>
      <c r="G27" s="11" t="s">
        <v>8</v>
      </c>
      <c r="H27" s="13" t="s">
        <v>5</v>
      </c>
      <c r="I27" s="13">
        <v>1.35</v>
      </c>
    </row>
    <row r="28" spans="6:9" ht="14.45" x14ac:dyDescent="0.3">
      <c r="F28" s="13">
        <v>14571094</v>
      </c>
      <c r="G28" s="11">
        <v>41548</v>
      </c>
      <c r="H28" s="13" t="s">
        <v>5</v>
      </c>
      <c r="I28" s="13">
        <v>27.41</v>
      </c>
    </row>
    <row r="29" spans="6:9" ht="14.45" x14ac:dyDescent="0.3">
      <c r="F29" s="13">
        <v>15378506</v>
      </c>
      <c r="G29" s="11" t="s">
        <v>3</v>
      </c>
      <c r="H29" s="13" t="s">
        <v>5</v>
      </c>
      <c r="I29" s="13">
        <v>7.14</v>
      </c>
    </row>
    <row r="30" spans="6:9" ht="14.45" x14ac:dyDescent="0.3">
      <c r="F30" s="13">
        <v>16032646</v>
      </c>
      <c r="G30" s="11">
        <v>0</v>
      </c>
      <c r="H30" s="13" t="s">
        <v>5</v>
      </c>
      <c r="I30" s="13">
        <v>3.04</v>
      </c>
    </row>
    <row r="31" spans="6:9" ht="14.45" x14ac:dyDescent="0.3">
      <c r="F31" s="13">
        <v>16032646</v>
      </c>
      <c r="G31" s="11" t="s">
        <v>3</v>
      </c>
      <c r="H31" s="13" t="s">
        <v>5</v>
      </c>
      <c r="I31" s="13">
        <v>67.650000000000006</v>
      </c>
    </row>
    <row r="32" spans="6:9" ht="14.45" x14ac:dyDescent="0.3">
      <c r="F32" s="13">
        <v>16523895</v>
      </c>
      <c r="G32" s="11" t="s">
        <v>3</v>
      </c>
      <c r="H32" s="13" t="s">
        <v>5</v>
      </c>
      <c r="I32" s="13">
        <v>19.149999999999999</v>
      </c>
    </row>
    <row r="33" spans="6:9" x14ac:dyDescent="0.25">
      <c r="F33" s="13">
        <v>16523895</v>
      </c>
      <c r="G33" s="11" t="s">
        <v>3</v>
      </c>
      <c r="H33" s="13" t="s">
        <v>4</v>
      </c>
      <c r="I33" s="13">
        <v>1.2</v>
      </c>
    </row>
    <row r="34" spans="6:9" ht="14.45" x14ac:dyDescent="0.3">
      <c r="F34" s="13">
        <v>16543349</v>
      </c>
      <c r="G34" s="11">
        <v>41548</v>
      </c>
      <c r="H34" s="13" t="s">
        <v>5</v>
      </c>
      <c r="I34" s="13">
        <v>3.26</v>
      </c>
    </row>
    <row r="35" spans="6:9" ht="14.45" x14ac:dyDescent="0.3">
      <c r="F35" s="13">
        <v>16560243</v>
      </c>
      <c r="G35" s="11" t="s">
        <v>3</v>
      </c>
      <c r="H35" s="13" t="s">
        <v>5</v>
      </c>
      <c r="I35" s="13">
        <v>7.16</v>
      </c>
    </row>
    <row r="36" spans="6:9" ht="14.45" x14ac:dyDescent="0.3">
      <c r="F36" s="13">
        <v>16839442</v>
      </c>
      <c r="G36" s="11">
        <v>0</v>
      </c>
      <c r="H36" s="13" t="s">
        <v>5</v>
      </c>
      <c r="I36" s="13">
        <v>1.73</v>
      </c>
    </row>
    <row r="37" spans="6:9" ht="14.45" x14ac:dyDescent="0.3">
      <c r="F37" s="13">
        <v>17200275</v>
      </c>
      <c r="G37" s="11" t="s">
        <v>3</v>
      </c>
      <c r="H37" s="13" t="s">
        <v>5</v>
      </c>
      <c r="I37" s="13">
        <v>8.42</v>
      </c>
    </row>
    <row r="38" spans="6:9" ht="14.45" x14ac:dyDescent="0.3">
      <c r="F38" s="13">
        <v>17987682</v>
      </c>
      <c r="G38" s="11" t="s">
        <v>3</v>
      </c>
      <c r="H38" s="13" t="s">
        <v>5</v>
      </c>
      <c r="I38" s="13">
        <v>26.57</v>
      </c>
    </row>
    <row r="39" spans="6:9" ht="14.45" x14ac:dyDescent="0.3">
      <c r="F39" s="13">
        <v>17987682</v>
      </c>
      <c r="G39" s="11" t="s">
        <v>7</v>
      </c>
      <c r="H39" s="13" t="s">
        <v>5</v>
      </c>
      <c r="I39" s="13">
        <v>16.36</v>
      </c>
    </row>
    <row r="40" spans="6:9" ht="14.45" x14ac:dyDescent="0.3">
      <c r="F40" s="13">
        <v>17987682</v>
      </c>
      <c r="G40" s="11">
        <v>41548</v>
      </c>
      <c r="H40" s="13" t="s">
        <v>5</v>
      </c>
      <c r="I40" s="13">
        <v>10.96</v>
      </c>
    </row>
    <row r="41" spans="6:9" ht="14.45" x14ac:dyDescent="0.3">
      <c r="F41" s="13">
        <v>17987682</v>
      </c>
      <c r="G41" s="11" t="s">
        <v>8</v>
      </c>
      <c r="H41" s="13" t="s">
        <v>5</v>
      </c>
      <c r="I41" s="13">
        <v>40.93</v>
      </c>
    </row>
    <row r="42" spans="6:9" ht="14.45" x14ac:dyDescent="0.3">
      <c r="F42" s="13">
        <v>17987682</v>
      </c>
      <c r="G42" s="11" t="s">
        <v>6</v>
      </c>
      <c r="H42" s="13" t="s">
        <v>5</v>
      </c>
      <c r="I42" s="13">
        <v>5.59</v>
      </c>
    </row>
    <row r="43" spans="6:9" x14ac:dyDescent="0.25">
      <c r="F43" s="13">
        <v>17987682</v>
      </c>
      <c r="G43" s="11" t="s">
        <v>3</v>
      </c>
      <c r="H43" s="13" t="s">
        <v>4</v>
      </c>
      <c r="I43" s="13">
        <v>0.81</v>
      </c>
    </row>
    <row r="44" spans="6:9" x14ac:dyDescent="0.25">
      <c r="F44" s="13">
        <v>18249308</v>
      </c>
      <c r="G44" s="11" t="s">
        <v>3</v>
      </c>
      <c r="H44" s="13" t="s">
        <v>5</v>
      </c>
      <c r="I44" s="13">
        <v>11.83</v>
      </c>
    </row>
    <row r="45" spans="6:9" x14ac:dyDescent="0.25">
      <c r="F45" s="13">
        <v>18249308</v>
      </c>
      <c r="G45" s="11">
        <v>0</v>
      </c>
      <c r="H45" s="13" t="s">
        <v>5</v>
      </c>
      <c r="I45" s="13">
        <v>1.47</v>
      </c>
    </row>
    <row r="46" spans="6:9" x14ac:dyDescent="0.25">
      <c r="F46" s="13">
        <v>18249308</v>
      </c>
      <c r="G46" s="11" t="s">
        <v>9</v>
      </c>
      <c r="H46" s="13" t="s">
        <v>4</v>
      </c>
      <c r="I46" s="13">
        <v>2.36</v>
      </c>
    </row>
    <row r="47" spans="6:9" x14ac:dyDescent="0.25">
      <c r="F47" s="13">
        <v>18249340</v>
      </c>
      <c r="G47" s="11">
        <v>41548</v>
      </c>
      <c r="H47" s="13" t="s">
        <v>4</v>
      </c>
      <c r="I47" s="13">
        <v>0.27</v>
      </c>
    </row>
    <row r="48" spans="6:9" x14ac:dyDescent="0.25">
      <c r="F48" s="13">
        <v>18265788</v>
      </c>
      <c r="G48" s="11" t="s">
        <v>3</v>
      </c>
      <c r="H48" s="13" t="s">
        <v>5</v>
      </c>
      <c r="I48" s="13">
        <v>5.05</v>
      </c>
    </row>
    <row r="49" spans="6:9" x14ac:dyDescent="0.25">
      <c r="F49" s="13">
        <v>18299674</v>
      </c>
      <c r="G49" s="11">
        <v>0</v>
      </c>
      <c r="H49" s="13" t="s">
        <v>5</v>
      </c>
      <c r="I49" s="13">
        <v>32.25</v>
      </c>
    </row>
    <row r="50" spans="6:9" x14ac:dyDescent="0.25">
      <c r="F50" s="13">
        <v>18299674</v>
      </c>
      <c r="G50" s="11" t="s">
        <v>3</v>
      </c>
      <c r="H50" s="13" t="s">
        <v>5</v>
      </c>
      <c r="I50" s="13">
        <v>25.49</v>
      </c>
    </row>
    <row r="51" spans="6:9" x14ac:dyDescent="0.25">
      <c r="F51" s="13">
        <v>19117537</v>
      </c>
      <c r="G51" s="11" t="s">
        <v>3</v>
      </c>
      <c r="H51" s="13" t="s">
        <v>5</v>
      </c>
      <c r="I51" s="13">
        <v>59.06</v>
      </c>
    </row>
    <row r="52" spans="6:9" x14ac:dyDescent="0.25">
      <c r="F52" s="13">
        <v>19117537</v>
      </c>
      <c r="G52" s="11" t="s">
        <v>3</v>
      </c>
      <c r="H52" s="13" t="s">
        <v>4</v>
      </c>
      <c r="I52" s="13">
        <v>2.6</v>
      </c>
    </row>
    <row r="53" spans="6:9" x14ac:dyDescent="0.25">
      <c r="F53" s="13">
        <v>19153606</v>
      </c>
      <c r="G53" s="11" t="s">
        <v>3</v>
      </c>
      <c r="H53" s="13" t="s">
        <v>5</v>
      </c>
      <c r="I53" s="13">
        <v>39.89</v>
      </c>
    </row>
    <row r="54" spans="6:9" x14ac:dyDescent="0.25">
      <c r="F54" s="13">
        <v>19401545</v>
      </c>
      <c r="G54" s="11" t="s">
        <v>3</v>
      </c>
      <c r="H54" s="13" t="s">
        <v>5</v>
      </c>
      <c r="I54" s="13">
        <v>7.58</v>
      </c>
    </row>
    <row r="55" spans="6:9" x14ac:dyDescent="0.25">
      <c r="F55" s="13">
        <v>19446387</v>
      </c>
      <c r="G55" s="11" t="s">
        <v>3</v>
      </c>
      <c r="H55" s="13" t="s">
        <v>5</v>
      </c>
      <c r="I55" s="13">
        <v>22.39</v>
      </c>
    </row>
    <row r="56" spans="6:9" x14ac:dyDescent="0.25">
      <c r="F56" s="13">
        <v>20332751</v>
      </c>
      <c r="G56" s="11" t="s">
        <v>3</v>
      </c>
      <c r="H56" s="13" t="s">
        <v>5</v>
      </c>
      <c r="I56" s="13">
        <v>9.59</v>
      </c>
    </row>
    <row r="57" spans="6:9" x14ac:dyDescent="0.25">
      <c r="F57" s="13">
        <v>21162493</v>
      </c>
      <c r="G57" s="11">
        <v>0</v>
      </c>
      <c r="H57" s="13" t="s">
        <v>5</v>
      </c>
      <c r="I57" s="13">
        <v>6</v>
      </c>
    </row>
    <row r="58" spans="6:9" x14ac:dyDescent="0.25">
      <c r="F58" s="13">
        <v>21162493</v>
      </c>
      <c r="G58" s="11" t="s">
        <v>3</v>
      </c>
      <c r="H58" s="13" t="s">
        <v>5</v>
      </c>
      <c r="I58" s="13">
        <v>8.07</v>
      </c>
    </row>
    <row r="59" spans="6:9" x14ac:dyDescent="0.25">
      <c r="F59" s="13">
        <v>21750670</v>
      </c>
      <c r="G59" s="11">
        <v>0</v>
      </c>
      <c r="H59" s="13" t="s">
        <v>5</v>
      </c>
      <c r="I59" s="13">
        <v>38.409999999999997</v>
      </c>
    </row>
    <row r="60" spans="6:9" x14ac:dyDescent="0.25">
      <c r="F60" s="13">
        <v>21750670</v>
      </c>
      <c r="G60" s="11" t="s">
        <v>3</v>
      </c>
      <c r="H60" s="13" t="s">
        <v>5</v>
      </c>
      <c r="I60" s="13">
        <v>86.47</v>
      </c>
    </row>
    <row r="61" spans="6:9" x14ac:dyDescent="0.25">
      <c r="F61" s="13">
        <v>25302133</v>
      </c>
      <c r="G61" s="11" t="s">
        <v>3</v>
      </c>
      <c r="H61" s="13" t="s">
        <v>5</v>
      </c>
      <c r="I61" s="13">
        <v>121.34</v>
      </c>
    </row>
    <row r="62" spans="6:9" x14ac:dyDescent="0.25">
      <c r="F62" s="13">
        <v>25302133</v>
      </c>
      <c r="G62" s="11">
        <v>0</v>
      </c>
      <c r="H62" s="13" t="s">
        <v>5</v>
      </c>
      <c r="I62" s="13">
        <v>18.5</v>
      </c>
    </row>
    <row r="63" spans="6:9" x14ac:dyDescent="0.25">
      <c r="F63" s="13">
        <v>25930827</v>
      </c>
      <c r="G63" s="11">
        <v>41548</v>
      </c>
      <c r="H63" s="13" t="s">
        <v>4</v>
      </c>
      <c r="I63" s="13">
        <v>2.38</v>
      </c>
    </row>
    <row r="64" spans="6:9" x14ac:dyDescent="0.25">
      <c r="F64" s="13">
        <v>25930827</v>
      </c>
      <c r="G64" s="11">
        <v>41548</v>
      </c>
      <c r="H64" s="13" t="s">
        <v>5</v>
      </c>
      <c r="I64" s="13">
        <v>26.79</v>
      </c>
    </row>
    <row r="65" spans="6:9" x14ac:dyDescent="0.25">
      <c r="F65" s="13">
        <v>25930827</v>
      </c>
      <c r="G65" s="11" t="s">
        <v>7</v>
      </c>
      <c r="H65" s="13" t="s">
        <v>5</v>
      </c>
      <c r="I65" s="13">
        <v>15.07</v>
      </c>
    </row>
    <row r="66" spans="6:9" x14ac:dyDescent="0.25">
      <c r="F66" s="13">
        <v>26019788</v>
      </c>
      <c r="G66" s="11" t="s">
        <v>3</v>
      </c>
      <c r="H66" s="13" t="s">
        <v>5</v>
      </c>
      <c r="I66" s="13">
        <v>41.24</v>
      </c>
    </row>
    <row r="67" spans="6:9" x14ac:dyDescent="0.25">
      <c r="F67" s="13">
        <v>26019788</v>
      </c>
      <c r="G67" s="11" t="s">
        <v>3</v>
      </c>
      <c r="H67" s="13" t="s">
        <v>4</v>
      </c>
      <c r="I67" s="13">
        <v>1.8</v>
      </c>
    </row>
    <row r="68" spans="6:9" x14ac:dyDescent="0.25">
      <c r="F68" s="13">
        <v>26019788</v>
      </c>
      <c r="G68" s="11">
        <v>41548</v>
      </c>
      <c r="H68" s="13" t="s">
        <v>5</v>
      </c>
      <c r="I68" s="13">
        <v>6.77</v>
      </c>
    </row>
    <row r="69" spans="6:9" x14ac:dyDescent="0.25">
      <c r="F69" s="13">
        <v>26025516</v>
      </c>
      <c r="G69" s="11" t="s">
        <v>3</v>
      </c>
      <c r="H69" s="13" t="s">
        <v>5</v>
      </c>
      <c r="I69" s="13">
        <v>10.77</v>
      </c>
    </row>
    <row r="70" spans="6:9" x14ac:dyDescent="0.25">
      <c r="F70" s="13">
        <v>26025516</v>
      </c>
      <c r="G70" s="11" t="s">
        <v>3</v>
      </c>
      <c r="H70" s="13" t="s">
        <v>4</v>
      </c>
      <c r="I70" s="13">
        <v>0.79</v>
      </c>
    </row>
    <row r="71" spans="6:9" x14ac:dyDescent="0.25">
      <c r="F71" s="13">
        <v>26261945</v>
      </c>
      <c r="G71" s="11" t="s">
        <v>3</v>
      </c>
      <c r="H71" s="13" t="s">
        <v>5</v>
      </c>
      <c r="I71" s="13">
        <v>9.73</v>
      </c>
    </row>
    <row r="72" spans="6:9" x14ac:dyDescent="0.25">
      <c r="F72" s="13">
        <v>27059147</v>
      </c>
      <c r="G72" s="11" t="s">
        <v>3</v>
      </c>
      <c r="H72" s="13" t="s">
        <v>5</v>
      </c>
      <c r="I72" s="13">
        <v>19.489999999999998</v>
      </c>
    </row>
    <row r="73" spans="6:9" x14ac:dyDescent="0.25">
      <c r="F73" s="13">
        <v>27180264</v>
      </c>
      <c r="G73" s="11" t="s">
        <v>3</v>
      </c>
      <c r="H73" s="13" t="s">
        <v>5</v>
      </c>
      <c r="I73" s="13">
        <v>29.56</v>
      </c>
    </row>
    <row r="74" spans="6:9" x14ac:dyDescent="0.25">
      <c r="F74" s="13">
        <v>27180264</v>
      </c>
      <c r="G74" s="11" t="s">
        <v>3</v>
      </c>
      <c r="H74" s="13" t="s">
        <v>4</v>
      </c>
      <c r="I74" s="13">
        <v>0.65</v>
      </c>
    </row>
    <row r="75" spans="6:9" x14ac:dyDescent="0.25">
      <c r="F75" s="13">
        <v>27428010</v>
      </c>
      <c r="G75" s="11" t="s">
        <v>3</v>
      </c>
      <c r="H75" s="13" t="s">
        <v>5</v>
      </c>
      <c r="I75" s="13">
        <v>75.87</v>
      </c>
    </row>
    <row r="76" spans="6:9" x14ac:dyDescent="0.25">
      <c r="F76" s="13">
        <v>27428010</v>
      </c>
      <c r="G76" s="11">
        <v>41548</v>
      </c>
      <c r="H76" s="13" t="s">
        <v>5</v>
      </c>
      <c r="I76" s="13">
        <v>107.08</v>
      </c>
    </row>
    <row r="77" spans="6:9" x14ac:dyDescent="0.25">
      <c r="F77" s="13">
        <v>27428010</v>
      </c>
      <c r="G77" s="11" t="s">
        <v>7</v>
      </c>
      <c r="H77" s="13" t="s">
        <v>5</v>
      </c>
      <c r="I77" s="13">
        <v>5.89</v>
      </c>
    </row>
    <row r="78" spans="6:9" x14ac:dyDescent="0.25">
      <c r="F78" s="13">
        <v>27542336</v>
      </c>
      <c r="G78" s="11" t="s">
        <v>3</v>
      </c>
      <c r="H78" s="13" t="s">
        <v>5</v>
      </c>
      <c r="I78" s="13">
        <v>20.100000000000001</v>
      </c>
    </row>
    <row r="79" spans="6:9" x14ac:dyDescent="0.25">
      <c r="F79" s="13">
        <v>27542336</v>
      </c>
      <c r="G79" s="11" t="s">
        <v>3</v>
      </c>
      <c r="H79" s="13" t="s">
        <v>4</v>
      </c>
      <c r="I79" s="13">
        <v>1.66</v>
      </c>
    </row>
    <row r="80" spans="6:9" x14ac:dyDescent="0.25">
      <c r="F80" s="13">
        <v>27542336</v>
      </c>
      <c r="G80" s="11">
        <v>41548</v>
      </c>
      <c r="H80" s="13" t="s">
        <v>5</v>
      </c>
      <c r="I80" s="13">
        <v>3.64</v>
      </c>
    </row>
    <row r="81" spans="6:9" x14ac:dyDescent="0.25">
      <c r="F81" s="13">
        <v>27798330</v>
      </c>
      <c r="G81" s="11" t="s">
        <v>3</v>
      </c>
      <c r="H81" s="13" t="s">
        <v>4</v>
      </c>
      <c r="I81" s="13">
        <v>2.08</v>
      </c>
    </row>
    <row r="82" spans="6:9" x14ac:dyDescent="0.25">
      <c r="F82" s="13">
        <v>27798330</v>
      </c>
      <c r="G82" s="11" t="s">
        <v>3</v>
      </c>
      <c r="H82" s="13" t="s">
        <v>5</v>
      </c>
      <c r="I82" s="13">
        <v>39.840000000000003</v>
      </c>
    </row>
    <row r="83" spans="6:9" x14ac:dyDescent="0.25">
      <c r="F83" s="13">
        <v>27837719</v>
      </c>
      <c r="G83" s="11" t="s">
        <v>3</v>
      </c>
      <c r="H83" s="13" t="s">
        <v>5</v>
      </c>
      <c r="I83" s="13">
        <v>8.5</v>
      </c>
    </row>
    <row r="84" spans="6:9" x14ac:dyDescent="0.25">
      <c r="F84" s="13">
        <v>27837719</v>
      </c>
      <c r="G84" s="11" t="s">
        <v>3</v>
      </c>
      <c r="H84" s="13" t="s">
        <v>4</v>
      </c>
      <c r="I84" s="13">
        <v>0.74</v>
      </c>
    </row>
    <row r="85" spans="6:9" x14ac:dyDescent="0.25">
      <c r="F85" s="13">
        <v>28048777</v>
      </c>
      <c r="G85" s="11">
        <v>0</v>
      </c>
      <c r="H85" s="13" t="s">
        <v>4</v>
      </c>
      <c r="I85" s="13">
        <v>0.16</v>
      </c>
    </row>
    <row r="86" spans="6:9" x14ac:dyDescent="0.25">
      <c r="F86" s="13">
        <v>28333919</v>
      </c>
      <c r="G86" s="11">
        <v>41548</v>
      </c>
      <c r="H86" s="13" t="s">
        <v>5</v>
      </c>
      <c r="I86" s="13">
        <v>17.91</v>
      </c>
    </row>
    <row r="87" spans="6:9" x14ac:dyDescent="0.25">
      <c r="F87" s="13">
        <v>28540744</v>
      </c>
      <c r="G87" s="11" t="s">
        <v>8</v>
      </c>
      <c r="H87" s="13" t="s">
        <v>5</v>
      </c>
      <c r="I87" s="13">
        <v>55.48</v>
      </c>
    </row>
    <row r="88" spans="6:9" x14ac:dyDescent="0.25">
      <c r="F88" s="13">
        <v>28540744</v>
      </c>
      <c r="G88" s="11" t="s">
        <v>3</v>
      </c>
      <c r="H88" s="13" t="s">
        <v>5</v>
      </c>
      <c r="I88" s="13">
        <v>34.92</v>
      </c>
    </row>
    <row r="89" spans="6:9" x14ac:dyDescent="0.25">
      <c r="F89" s="13">
        <v>29110727</v>
      </c>
      <c r="G89" s="11" t="s">
        <v>3</v>
      </c>
      <c r="H89" s="13" t="s">
        <v>5</v>
      </c>
      <c r="I89" s="13">
        <v>5.69</v>
      </c>
    </row>
    <row r="90" spans="6:9" x14ac:dyDescent="0.25">
      <c r="F90" s="13">
        <v>29110727</v>
      </c>
      <c r="G90" s="11">
        <v>41548</v>
      </c>
      <c r="H90" s="13" t="s">
        <v>5</v>
      </c>
      <c r="I90" s="13">
        <v>2.61</v>
      </c>
    </row>
    <row r="91" spans="6:9" x14ac:dyDescent="0.25">
      <c r="F91" s="13">
        <v>29110727</v>
      </c>
      <c r="G91" s="11" t="s">
        <v>3</v>
      </c>
      <c r="H91" s="13" t="s">
        <v>4</v>
      </c>
      <c r="I91" s="13">
        <v>0.26</v>
      </c>
    </row>
    <row r="92" spans="6:9" x14ac:dyDescent="0.25">
      <c r="F92" s="13">
        <v>30840305</v>
      </c>
      <c r="G92" s="11" t="s">
        <v>3</v>
      </c>
      <c r="H92" s="13" t="s">
        <v>5</v>
      </c>
      <c r="I92" s="13">
        <v>1.76</v>
      </c>
    </row>
    <row r="93" spans="6:9" x14ac:dyDescent="0.25">
      <c r="F93" s="13">
        <v>30840305</v>
      </c>
      <c r="G93" s="11">
        <v>41548</v>
      </c>
      <c r="H93" s="13" t="s">
        <v>4</v>
      </c>
      <c r="I93" s="13">
        <v>0.34</v>
      </c>
    </row>
    <row r="94" spans="6:9" x14ac:dyDescent="0.25">
      <c r="F94" s="13">
        <v>30840305</v>
      </c>
      <c r="G94" s="11">
        <v>41548</v>
      </c>
      <c r="H94" s="13" t="s">
        <v>5</v>
      </c>
      <c r="I94" s="13">
        <v>3.03</v>
      </c>
    </row>
    <row r="95" spans="6:9" x14ac:dyDescent="0.25">
      <c r="F95" s="13">
        <v>30840305</v>
      </c>
      <c r="G95" s="11" t="s">
        <v>3</v>
      </c>
      <c r="H95" s="13" t="s">
        <v>4</v>
      </c>
      <c r="I95" s="13">
        <v>0.56000000000000005</v>
      </c>
    </row>
    <row r="96" spans="6:9" x14ac:dyDescent="0.25">
      <c r="F96" s="13">
        <v>30941500</v>
      </c>
      <c r="G96" s="11" t="s">
        <v>7</v>
      </c>
      <c r="H96" s="13" t="s">
        <v>5</v>
      </c>
      <c r="I96" s="13">
        <v>1.86</v>
      </c>
    </row>
    <row r="97" spans="6:9" x14ac:dyDescent="0.25">
      <c r="F97" s="13">
        <v>30941500</v>
      </c>
      <c r="G97" s="11" t="s">
        <v>7</v>
      </c>
      <c r="H97" s="13" t="s">
        <v>4</v>
      </c>
      <c r="I97" s="13">
        <v>0.47</v>
      </c>
    </row>
    <row r="98" spans="6:9" x14ac:dyDescent="0.25">
      <c r="F98" s="13">
        <v>30941500</v>
      </c>
      <c r="G98" s="11">
        <v>41548</v>
      </c>
      <c r="H98" s="13" t="s">
        <v>5</v>
      </c>
      <c r="I98" s="13">
        <v>0.5</v>
      </c>
    </row>
    <row r="99" spans="6:9" x14ac:dyDescent="0.25">
      <c r="F99" s="13">
        <v>31220203</v>
      </c>
      <c r="G99" s="11" t="s">
        <v>3</v>
      </c>
      <c r="H99" s="13" t="s">
        <v>5</v>
      </c>
      <c r="I99" s="13">
        <v>0.77</v>
      </c>
    </row>
    <row r="100" spans="6:9" x14ac:dyDescent="0.25">
      <c r="F100" s="13">
        <v>31385881</v>
      </c>
      <c r="G100" s="11" t="s">
        <v>8</v>
      </c>
      <c r="H100" s="13" t="s">
        <v>5</v>
      </c>
      <c r="I100" s="13">
        <v>2.4900000000000002</v>
      </c>
    </row>
    <row r="101" spans="6:9" x14ac:dyDescent="0.25">
      <c r="F101" s="13">
        <v>31385881</v>
      </c>
      <c r="G101" s="11" t="s">
        <v>3</v>
      </c>
      <c r="H101" s="13" t="s">
        <v>5</v>
      </c>
      <c r="I101" s="13">
        <v>1.01</v>
      </c>
    </row>
    <row r="102" spans="6:9" x14ac:dyDescent="0.25">
      <c r="F102" s="13">
        <v>31385881</v>
      </c>
      <c r="G102" s="11">
        <v>41548</v>
      </c>
      <c r="H102" s="13" t="s">
        <v>5</v>
      </c>
      <c r="I102" s="13">
        <v>4.7699999999999996</v>
      </c>
    </row>
    <row r="103" spans="6:9" x14ac:dyDescent="0.25">
      <c r="F103" s="13">
        <v>32565859</v>
      </c>
      <c r="G103" s="11" t="s">
        <v>3</v>
      </c>
      <c r="H103" s="13" t="s">
        <v>5</v>
      </c>
      <c r="I103" s="13">
        <v>3.78</v>
      </c>
    </row>
    <row r="104" spans="6:9" x14ac:dyDescent="0.25">
      <c r="F104" s="13">
        <v>32756883</v>
      </c>
      <c r="G104" s="11" t="s">
        <v>3</v>
      </c>
      <c r="H104" s="13" t="s">
        <v>5</v>
      </c>
      <c r="I104" s="13">
        <v>1.38</v>
      </c>
    </row>
    <row r="105" spans="6:9" x14ac:dyDescent="0.25">
      <c r="F105" s="13">
        <v>32812864</v>
      </c>
      <c r="G105" s="11" t="s">
        <v>3</v>
      </c>
      <c r="H105" s="13" t="s">
        <v>5</v>
      </c>
      <c r="I105" s="13">
        <v>16.32</v>
      </c>
    </row>
    <row r="106" spans="6:9" x14ac:dyDescent="0.25">
      <c r="F106" s="13">
        <v>35557628</v>
      </c>
      <c r="G106" s="11" t="s">
        <v>3</v>
      </c>
      <c r="H106" s="13" t="s">
        <v>5</v>
      </c>
      <c r="I106" s="13">
        <v>9.15</v>
      </c>
    </row>
    <row r="107" spans="6:9" x14ac:dyDescent="0.25">
      <c r="F107" s="13">
        <v>42746568</v>
      </c>
      <c r="G107" s="11" t="s">
        <v>3</v>
      </c>
      <c r="H107" s="13" t="s">
        <v>5</v>
      </c>
      <c r="I107" s="13">
        <v>7.03</v>
      </c>
    </row>
    <row r="108" spans="6:9" x14ac:dyDescent="0.25">
      <c r="F108" s="13">
        <v>42746568</v>
      </c>
      <c r="G108" s="11">
        <v>0</v>
      </c>
      <c r="H108" s="13" t="s">
        <v>5</v>
      </c>
      <c r="I108" s="13">
        <v>1.59</v>
      </c>
    </row>
    <row r="109" spans="6:9" x14ac:dyDescent="0.25">
      <c r="F109" s="13">
        <v>42792314</v>
      </c>
      <c r="G109" s="11" t="s">
        <v>3</v>
      </c>
      <c r="H109" s="13" t="s">
        <v>5</v>
      </c>
      <c r="I109" s="13">
        <v>52.77</v>
      </c>
    </row>
    <row r="110" spans="6:9" x14ac:dyDescent="0.25">
      <c r="F110" s="13">
        <v>42792314</v>
      </c>
      <c r="G110" s="11" t="s">
        <v>3</v>
      </c>
      <c r="H110" s="13" t="s">
        <v>4</v>
      </c>
      <c r="I110" s="13">
        <v>2.68</v>
      </c>
    </row>
    <row r="111" spans="6:9" x14ac:dyDescent="0.25">
      <c r="F111" s="13">
        <v>42792314</v>
      </c>
      <c r="G111" s="11">
        <v>41548</v>
      </c>
      <c r="H111" s="13" t="s">
        <v>4</v>
      </c>
      <c r="I111" s="13">
        <v>3.57</v>
      </c>
    </row>
    <row r="112" spans="6:9" x14ac:dyDescent="0.25">
      <c r="F112" s="13">
        <v>46500350</v>
      </c>
      <c r="G112" s="11">
        <v>41548</v>
      </c>
      <c r="H112" s="13" t="s">
        <v>4</v>
      </c>
      <c r="I112" s="13">
        <v>6.17</v>
      </c>
    </row>
    <row r="113" spans="6:9" x14ac:dyDescent="0.25">
      <c r="F113" s="13">
        <v>46981456</v>
      </c>
      <c r="G113" s="11" t="s">
        <v>3</v>
      </c>
      <c r="H113" s="13" t="s">
        <v>5</v>
      </c>
      <c r="I113" s="13">
        <v>5.44</v>
      </c>
    </row>
    <row r="114" spans="6:9" x14ac:dyDescent="0.25">
      <c r="F114" s="13">
        <v>48880010</v>
      </c>
      <c r="G114" s="11" t="s">
        <v>3</v>
      </c>
      <c r="H114" s="13" t="s">
        <v>5</v>
      </c>
      <c r="I114" s="13">
        <v>29.81</v>
      </c>
    </row>
    <row r="115" spans="6:9" x14ac:dyDescent="0.25">
      <c r="F115" s="13">
        <v>48880010</v>
      </c>
      <c r="G115" s="11" t="s">
        <v>3</v>
      </c>
      <c r="H115" s="13" t="s">
        <v>4</v>
      </c>
      <c r="I115" s="13">
        <v>1.51</v>
      </c>
    </row>
    <row r="116" spans="6:9" x14ac:dyDescent="0.25">
      <c r="F116" s="13">
        <v>49299915</v>
      </c>
      <c r="G116" s="11" t="s">
        <v>10</v>
      </c>
      <c r="H116" s="13" t="s">
        <v>4</v>
      </c>
      <c r="I116" s="13">
        <v>5.79</v>
      </c>
    </row>
    <row r="117" spans="6:9" x14ac:dyDescent="0.25">
      <c r="F117" s="13">
        <v>51310810</v>
      </c>
      <c r="G117" s="11" t="s">
        <v>3</v>
      </c>
      <c r="H117" s="13" t="s">
        <v>5</v>
      </c>
      <c r="I117" s="13">
        <v>10.25</v>
      </c>
    </row>
    <row r="118" spans="6:9" x14ac:dyDescent="0.25">
      <c r="F118" s="13">
        <v>60867216</v>
      </c>
      <c r="G118" s="11" t="s">
        <v>3</v>
      </c>
      <c r="H118" s="13" t="s">
        <v>5</v>
      </c>
      <c r="I118" s="13">
        <v>57.63</v>
      </c>
    </row>
    <row r="119" spans="6:9" x14ac:dyDescent="0.25">
      <c r="F119" s="13">
        <v>60867216</v>
      </c>
      <c r="G119" s="11">
        <v>0</v>
      </c>
      <c r="H119" s="13" t="s">
        <v>5</v>
      </c>
      <c r="I119" s="13">
        <v>18.79</v>
      </c>
    </row>
    <row r="120" spans="6:9" x14ac:dyDescent="0.25">
      <c r="F120" s="13">
        <v>60997810</v>
      </c>
      <c r="G120" s="11" t="s">
        <v>3</v>
      </c>
      <c r="H120" s="13" t="s">
        <v>5</v>
      </c>
      <c r="I120" s="13">
        <v>16.11</v>
      </c>
    </row>
    <row r="121" spans="6:9" x14ac:dyDescent="0.25">
      <c r="F121" s="13">
        <v>60997810</v>
      </c>
      <c r="G121" s="11">
        <v>0</v>
      </c>
      <c r="H121" s="13" t="s">
        <v>5</v>
      </c>
      <c r="I121" s="13">
        <v>2.77</v>
      </c>
    </row>
    <row r="122" spans="6:9" x14ac:dyDescent="0.25">
      <c r="F122" s="13">
        <v>64488414</v>
      </c>
      <c r="G122" s="11" t="s">
        <v>3</v>
      </c>
      <c r="H122" s="13" t="s">
        <v>5</v>
      </c>
      <c r="I122" s="13">
        <v>18.63</v>
      </c>
    </row>
    <row r="123" spans="6:9" x14ac:dyDescent="0.25">
      <c r="F123" s="13">
        <v>64488414</v>
      </c>
      <c r="G123" s="11" t="s">
        <v>3</v>
      </c>
      <c r="H123" s="13" t="s">
        <v>4</v>
      </c>
      <c r="I123" s="13">
        <v>2.1</v>
      </c>
    </row>
    <row r="124" spans="6:9" x14ac:dyDescent="0.25">
      <c r="F124" s="13">
        <v>64882228</v>
      </c>
      <c r="G124" s="11" t="s">
        <v>3</v>
      </c>
      <c r="H124" s="13" t="s">
        <v>5</v>
      </c>
      <c r="I124" s="13">
        <v>8.15</v>
      </c>
    </row>
    <row r="125" spans="6:9" x14ac:dyDescent="0.25">
      <c r="F125" s="13">
        <v>65255618</v>
      </c>
      <c r="G125" s="11">
        <v>0</v>
      </c>
      <c r="H125" s="13" t="s">
        <v>5</v>
      </c>
      <c r="I125" s="13">
        <v>12.78</v>
      </c>
    </row>
    <row r="126" spans="6:9" x14ac:dyDescent="0.25">
      <c r="F126" s="13">
        <v>72101928</v>
      </c>
      <c r="G126" s="11" t="s">
        <v>7</v>
      </c>
      <c r="H126" s="13" t="s">
        <v>5</v>
      </c>
      <c r="I126" s="13">
        <v>3.51</v>
      </c>
    </row>
    <row r="127" spans="6:9" x14ac:dyDescent="0.25">
      <c r="F127" s="13">
        <v>72101928</v>
      </c>
      <c r="G127" s="11" t="s">
        <v>3</v>
      </c>
      <c r="H127" s="13" t="s">
        <v>5</v>
      </c>
      <c r="I127" s="13">
        <v>11.04</v>
      </c>
    </row>
    <row r="128" spans="6:9" x14ac:dyDescent="0.25">
      <c r="F128" s="13">
        <v>72112512</v>
      </c>
      <c r="G128" s="11" t="s">
        <v>3</v>
      </c>
      <c r="H128" s="13" t="s">
        <v>5</v>
      </c>
      <c r="I128" s="13">
        <v>3.33</v>
      </c>
    </row>
    <row r="129" spans="6:9" x14ac:dyDescent="0.25">
      <c r="F129" s="13">
        <v>72487214</v>
      </c>
      <c r="G129" s="11">
        <v>41548</v>
      </c>
      <c r="H129" s="13" t="s">
        <v>5</v>
      </c>
      <c r="I129" s="13">
        <v>68.900000000000006</v>
      </c>
    </row>
    <row r="130" spans="6:9" x14ac:dyDescent="0.25">
      <c r="F130" s="13">
        <v>72487214</v>
      </c>
      <c r="G130" s="11" t="s">
        <v>3</v>
      </c>
      <c r="H130" s="13" t="s">
        <v>4</v>
      </c>
      <c r="I130" s="13">
        <v>1.79</v>
      </c>
    </row>
    <row r="131" spans="6:9" x14ac:dyDescent="0.25">
      <c r="F131" s="13">
        <v>72487214</v>
      </c>
      <c r="G131" s="11" t="s">
        <v>3</v>
      </c>
      <c r="H131" s="13" t="s">
        <v>5</v>
      </c>
      <c r="I131" s="13">
        <v>197.45</v>
      </c>
    </row>
    <row r="132" spans="6:9" x14ac:dyDescent="0.25">
      <c r="F132" s="13">
        <v>72487214</v>
      </c>
      <c r="G132" s="11" t="s">
        <v>6</v>
      </c>
      <c r="H132" s="13" t="s">
        <v>5</v>
      </c>
      <c r="I132" s="13">
        <v>67.209999999999994</v>
      </c>
    </row>
    <row r="133" spans="6:9" x14ac:dyDescent="0.25">
      <c r="F133" s="13">
        <v>72487214</v>
      </c>
      <c r="G133" s="11" t="s">
        <v>7</v>
      </c>
      <c r="H133" s="13" t="s">
        <v>5</v>
      </c>
      <c r="I133" s="13">
        <v>4.3899999999999997</v>
      </c>
    </row>
    <row r="134" spans="6:9" x14ac:dyDescent="0.25">
      <c r="F134" s="13">
        <v>72827015</v>
      </c>
      <c r="G134" s="11" t="s">
        <v>7</v>
      </c>
      <c r="H134" s="13" t="s">
        <v>5</v>
      </c>
      <c r="I134" s="13">
        <v>8.68</v>
      </c>
    </row>
    <row r="135" spans="6:9" x14ac:dyDescent="0.25">
      <c r="F135" s="13">
        <v>72827015</v>
      </c>
      <c r="G135" s="11" t="s">
        <v>3</v>
      </c>
      <c r="H135" s="13" t="s">
        <v>5</v>
      </c>
      <c r="I135" s="13">
        <v>18.7</v>
      </c>
    </row>
    <row r="136" spans="6:9" x14ac:dyDescent="0.25">
      <c r="F136" s="13">
        <v>72827015</v>
      </c>
      <c r="G136" s="11">
        <v>41548</v>
      </c>
      <c r="H136" s="13" t="s">
        <v>5</v>
      </c>
      <c r="I136" s="13">
        <v>1.22</v>
      </c>
    </row>
    <row r="137" spans="6:9" x14ac:dyDescent="0.25">
      <c r="F137" s="13">
        <v>72827015</v>
      </c>
      <c r="G137" s="11" t="s">
        <v>6</v>
      </c>
      <c r="H137" s="13" t="s">
        <v>5</v>
      </c>
      <c r="I137" s="13">
        <v>2.16</v>
      </c>
    </row>
    <row r="138" spans="6:9" x14ac:dyDescent="0.25">
      <c r="F138" s="13">
        <v>72827015</v>
      </c>
      <c r="G138" s="11">
        <v>41548</v>
      </c>
      <c r="H138" s="13" t="s">
        <v>4</v>
      </c>
      <c r="I138" s="13">
        <v>1.25</v>
      </c>
    </row>
    <row r="139" spans="6:9" x14ac:dyDescent="0.25">
      <c r="F139" s="13">
        <v>74082815</v>
      </c>
      <c r="G139" s="11" t="s">
        <v>3</v>
      </c>
      <c r="H139" s="13" t="s">
        <v>5</v>
      </c>
      <c r="I139" s="13">
        <v>33.42</v>
      </c>
    </row>
    <row r="140" spans="6:9" x14ac:dyDescent="0.25">
      <c r="F140" s="13">
        <v>74082815</v>
      </c>
      <c r="G140" s="11" t="s">
        <v>3</v>
      </c>
      <c r="H140" s="13" t="s">
        <v>4</v>
      </c>
      <c r="I140" s="13">
        <v>1.3</v>
      </c>
    </row>
    <row r="141" spans="6:9" x14ac:dyDescent="0.25">
      <c r="F141" s="13">
        <v>78591951</v>
      </c>
      <c r="G141" s="11" t="s">
        <v>3</v>
      </c>
      <c r="H141" s="13" t="s">
        <v>5</v>
      </c>
      <c r="I141" s="13">
        <v>11.24</v>
      </c>
    </row>
    <row r="142" spans="6:9" x14ac:dyDescent="0.25">
      <c r="F142" s="13">
        <v>78857919</v>
      </c>
      <c r="G142" s="11" t="s">
        <v>3</v>
      </c>
      <c r="H142" s="13" t="s">
        <v>5</v>
      </c>
      <c r="I142" s="13">
        <v>82.23</v>
      </c>
    </row>
    <row r="143" spans="6:9" x14ac:dyDescent="0.25">
      <c r="F143" s="13">
        <v>78857919</v>
      </c>
      <c r="G143" s="11" t="s">
        <v>10</v>
      </c>
      <c r="H143" s="13" t="s">
        <v>4</v>
      </c>
      <c r="I143" s="13">
        <v>0.69</v>
      </c>
    </row>
    <row r="144" spans="6:9" x14ac:dyDescent="0.25">
      <c r="F144" s="13">
        <v>79051152</v>
      </c>
      <c r="G144" s="11">
        <v>41548</v>
      </c>
      <c r="H144" s="13" t="s">
        <v>5</v>
      </c>
      <c r="I144" s="13">
        <v>15.63</v>
      </c>
    </row>
    <row r="145" spans="6:9" x14ac:dyDescent="0.25">
      <c r="F145" s="13">
        <v>79580759</v>
      </c>
      <c r="G145" s="11" t="s">
        <v>7</v>
      </c>
      <c r="H145" s="13" t="s">
        <v>5</v>
      </c>
      <c r="I145" s="13">
        <v>11.69</v>
      </c>
    </row>
    <row r="146" spans="6:9" x14ac:dyDescent="0.25">
      <c r="F146" s="13">
        <v>79580759</v>
      </c>
      <c r="G146" s="11" t="s">
        <v>3</v>
      </c>
      <c r="H146" s="13" t="s">
        <v>5</v>
      </c>
      <c r="I146" s="13">
        <v>0.7</v>
      </c>
    </row>
    <row r="147" spans="6:9" x14ac:dyDescent="0.25">
      <c r="F147" s="13">
        <v>79622559</v>
      </c>
      <c r="G147" s="11">
        <v>0</v>
      </c>
      <c r="H147" s="13" t="s">
        <v>5</v>
      </c>
      <c r="I147" s="13">
        <v>16.52</v>
      </c>
    </row>
    <row r="148" spans="6:9" x14ac:dyDescent="0.25">
      <c r="F148" s="13">
        <v>79622559</v>
      </c>
      <c r="G148" s="11" t="s">
        <v>3</v>
      </c>
      <c r="H148" s="13" t="s">
        <v>5</v>
      </c>
      <c r="I148" s="13">
        <v>8.41</v>
      </c>
    </row>
    <row r="149" spans="6:9" x14ac:dyDescent="0.25">
      <c r="F149" s="13">
        <v>83514116</v>
      </c>
      <c r="G149" s="11" t="s">
        <v>3</v>
      </c>
      <c r="H149" s="13" t="s">
        <v>5</v>
      </c>
      <c r="I149" s="13">
        <v>9.09</v>
      </c>
    </row>
    <row r="150" spans="6:9" x14ac:dyDescent="0.25">
      <c r="F150" s="13">
        <v>83514116</v>
      </c>
      <c r="G150" s="11" t="s">
        <v>3</v>
      </c>
      <c r="H150" s="13" t="s">
        <v>4</v>
      </c>
      <c r="I150" s="13">
        <v>3.66</v>
      </c>
    </row>
    <row r="151" spans="6:9" x14ac:dyDescent="0.25">
      <c r="F151" s="13">
        <v>84696714</v>
      </c>
      <c r="G151" s="11" t="s">
        <v>3</v>
      </c>
      <c r="H151" s="13" t="s">
        <v>5</v>
      </c>
      <c r="I151" s="13">
        <v>19.12</v>
      </c>
    </row>
    <row r="152" spans="6:9" x14ac:dyDescent="0.25">
      <c r="F152" s="13">
        <v>84696714</v>
      </c>
      <c r="G152" s="11">
        <v>0</v>
      </c>
      <c r="H152" s="13" t="s">
        <v>5</v>
      </c>
      <c r="I152" s="13">
        <v>6.46</v>
      </c>
    </row>
    <row r="153" spans="6:9" x14ac:dyDescent="0.25">
      <c r="F153" s="13">
        <v>85173014</v>
      </c>
      <c r="G153" s="11" t="s">
        <v>3</v>
      </c>
      <c r="H153" s="13" t="s">
        <v>5</v>
      </c>
      <c r="I153" s="13">
        <v>3.03</v>
      </c>
    </row>
    <row r="154" spans="6:9" x14ac:dyDescent="0.25">
      <c r="F154" s="13">
        <v>87840859</v>
      </c>
      <c r="G154" s="11" t="s">
        <v>3</v>
      </c>
      <c r="H154" s="13" t="s">
        <v>5</v>
      </c>
      <c r="I154" s="13">
        <v>9.09</v>
      </c>
    </row>
    <row r="155" spans="6:9" x14ac:dyDescent="0.25">
      <c r="F155" s="13">
        <v>87840859</v>
      </c>
      <c r="G155" s="11" t="s">
        <v>7</v>
      </c>
      <c r="H155" s="13" t="s">
        <v>5</v>
      </c>
      <c r="I155" s="13">
        <v>9.52</v>
      </c>
    </row>
    <row r="156" spans="6:9" x14ac:dyDescent="0.25">
      <c r="F156" s="13">
        <v>87840859</v>
      </c>
      <c r="G156" s="11">
        <v>41548</v>
      </c>
      <c r="H156" s="13" t="s">
        <v>5</v>
      </c>
      <c r="I156" s="13">
        <v>12.25</v>
      </c>
    </row>
    <row r="157" spans="6:9" x14ac:dyDescent="0.25">
      <c r="F157" s="13">
        <v>87840859</v>
      </c>
      <c r="G157" s="11">
        <v>0</v>
      </c>
      <c r="H157" s="13" t="s">
        <v>5</v>
      </c>
      <c r="I157" s="13">
        <v>5.6</v>
      </c>
    </row>
    <row r="158" spans="6:9" x14ac:dyDescent="0.25">
      <c r="F158" s="13">
        <v>87840859</v>
      </c>
      <c r="G158" s="11" t="s">
        <v>3</v>
      </c>
      <c r="H158" s="13" t="s">
        <v>4</v>
      </c>
      <c r="I158" s="13">
        <v>0.79</v>
      </c>
    </row>
    <row r="159" spans="6:9" x14ac:dyDescent="0.25">
      <c r="F159" s="13">
        <v>87840859</v>
      </c>
      <c r="G159" s="11">
        <v>41548</v>
      </c>
      <c r="H159" s="13" t="s">
        <v>4</v>
      </c>
      <c r="I159" s="13">
        <v>0.47</v>
      </c>
    </row>
    <row r="160" spans="6:9" x14ac:dyDescent="0.25">
      <c r="F160" s="13">
        <v>88207114</v>
      </c>
      <c r="G160" s="11">
        <v>41548</v>
      </c>
      <c r="H160" s="13" t="s">
        <v>5</v>
      </c>
      <c r="I160" s="13">
        <v>1.82</v>
      </c>
    </row>
    <row r="161" spans="6:9" x14ac:dyDescent="0.25">
      <c r="F161" s="13">
        <v>88256352</v>
      </c>
      <c r="G161" s="11" t="s">
        <v>3</v>
      </c>
      <c r="H161" s="13" t="s">
        <v>5</v>
      </c>
      <c r="I161" s="13">
        <v>33.94</v>
      </c>
    </row>
    <row r="162" spans="6:9" x14ac:dyDescent="0.25">
      <c r="F162" s="13">
        <v>88256352</v>
      </c>
      <c r="G162" s="11" t="s">
        <v>3</v>
      </c>
      <c r="H162" s="13" t="s">
        <v>4</v>
      </c>
      <c r="I162" s="13">
        <v>4.1900000000000004</v>
      </c>
    </row>
    <row r="163" spans="6:9" x14ac:dyDescent="0.25">
      <c r="F163" s="13">
        <v>98331859</v>
      </c>
      <c r="G163" s="11" t="s">
        <v>3</v>
      </c>
      <c r="H163" s="13" t="s">
        <v>5</v>
      </c>
      <c r="I163" s="13">
        <v>3.67</v>
      </c>
    </row>
    <row r="164" spans="6:9" x14ac:dyDescent="0.25">
      <c r="F164" s="13">
        <v>98333053</v>
      </c>
      <c r="G164" s="11" t="s">
        <v>3</v>
      </c>
      <c r="H164" s="13" t="s">
        <v>5</v>
      </c>
      <c r="I164" s="13">
        <v>247.2</v>
      </c>
    </row>
    <row r="165" spans="6:9" x14ac:dyDescent="0.25">
      <c r="F165" s="13">
        <v>98333053</v>
      </c>
      <c r="G165" s="11" t="s">
        <v>3</v>
      </c>
      <c r="H165" s="13" t="s">
        <v>4</v>
      </c>
      <c r="I165" s="13">
        <v>23.07</v>
      </c>
    </row>
    <row r="166" spans="6:9" x14ac:dyDescent="0.25">
      <c r="F166" s="13">
        <v>98333053</v>
      </c>
      <c r="G166" s="11">
        <v>41548</v>
      </c>
      <c r="H166" s="13" t="s">
        <v>5</v>
      </c>
      <c r="I166" s="13">
        <v>1.26</v>
      </c>
    </row>
    <row r="167" spans="6:9" x14ac:dyDescent="0.25">
      <c r="F167" s="13">
        <v>98333053</v>
      </c>
      <c r="G167" s="11" t="s">
        <v>7</v>
      </c>
      <c r="H167" s="13" t="s">
        <v>5</v>
      </c>
      <c r="I167" s="13">
        <v>15.84</v>
      </c>
    </row>
    <row r="168" spans="6:9" x14ac:dyDescent="0.25">
      <c r="F168" s="13">
        <v>98400257</v>
      </c>
      <c r="G168" s="11" t="s">
        <v>3</v>
      </c>
      <c r="H168" s="13" t="s">
        <v>5</v>
      </c>
      <c r="I168" s="13">
        <v>33.81</v>
      </c>
    </row>
    <row r="169" spans="6:9" x14ac:dyDescent="0.25">
      <c r="F169" s="13">
        <v>98481257</v>
      </c>
      <c r="G169" s="11" t="s">
        <v>3</v>
      </c>
      <c r="H169" s="13" t="s">
        <v>5</v>
      </c>
      <c r="I169" s="13">
        <v>30.66</v>
      </c>
    </row>
    <row r="170" spans="6:9" x14ac:dyDescent="0.25">
      <c r="F170" s="13">
        <v>98481257</v>
      </c>
      <c r="G170" s="11">
        <v>41548</v>
      </c>
      <c r="H170" s="13" t="s">
        <v>5</v>
      </c>
      <c r="I170" s="13">
        <v>21.67</v>
      </c>
    </row>
    <row r="171" spans="6:9" x14ac:dyDescent="0.25">
      <c r="F171" s="13">
        <v>98481257</v>
      </c>
      <c r="G171" s="11">
        <v>41548</v>
      </c>
      <c r="H171" s="13" t="s">
        <v>4</v>
      </c>
      <c r="I171" s="13">
        <v>3.52</v>
      </c>
    </row>
    <row r="172" spans="6:9" x14ac:dyDescent="0.25">
      <c r="F172" s="13">
        <v>99478357</v>
      </c>
      <c r="G172" s="11" t="s">
        <v>3</v>
      </c>
      <c r="H172" s="13" t="s">
        <v>5</v>
      </c>
      <c r="I172" s="13">
        <v>5.07</v>
      </c>
    </row>
    <row r="173" spans="6:9" x14ac:dyDescent="0.25">
      <c r="F173" s="13">
        <v>99478357</v>
      </c>
      <c r="G173" s="11" t="s">
        <v>8</v>
      </c>
      <c r="H173" s="13" t="s">
        <v>5</v>
      </c>
      <c r="I173" s="13">
        <v>6.23</v>
      </c>
    </row>
    <row r="174" spans="6:9" x14ac:dyDescent="0.25">
      <c r="F174" s="13">
        <v>99534168</v>
      </c>
      <c r="G174" s="11" t="s">
        <v>3</v>
      </c>
      <c r="H174" s="13" t="s">
        <v>5</v>
      </c>
      <c r="I174" s="13">
        <v>7.75</v>
      </c>
    </row>
    <row r="175" spans="6:9" x14ac:dyDescent="0.25">
      <c r="F175" s="13">
        <v>99614854</v>
      </c>
      <c r="G175" s="11" t="s">
        <v>3</v>
      </c>
      <c r="H175" s="13" t="s">
        <v>5</v>
      </c>
      <c r="I175" s="13">
        <v>1.45</v>
      </c>
    </row>
    <row r="176" spans="6:9" x14ac:dyDescent="0.25">
      <c r="F176" s="13">
        <v>99614854</v>
      </c>
      <c r="G176" s="11">
        <v>41548</v>
      </c>
      <c r="H176" s="13" t="s">
        <v>4</v>
      </c>
      <c r="I176" s="13">
        <v>3.7</v>
      </c>
    </row>
    <row r="177" spans="6:9" x14ac:dyDescent="0.25">
      <c r="F177" s="13">
        <v>99614854</v>
      </c>
      <c r="G177" s="11">
        <v>41548</v>
      </c>
      <c r="H177" s="13" t="s">
        <v>5</v>
      </c>
      <c r="I177" s="13">
        <v>1.34</v>
      </c>
    </row>
  </sheetData>
  <sortState ref="A2:C14">
    <sortCondition ref="A1"/>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3"/>
  <sheetViews>
    <sheetView workbookViewId="0">
      <selection activeCell="C6" sqref="C6"/>
    </sheetView>
  </sheetViews>
  <sheetFormatPr defaultRowHeight="15" x14ac:dyDescent="0.25"/>
  <cols>
    <col min="3" max="3" width="21.5703125" bestFit="1" customWidth="1"/>
    <col min="4" max="4" width="14" bestFit="1" customWidth="1"/>
    <col min="5" max="5" width="15.140625" bestFit="1" customWidth="1"/>
    <col min="12" max="12" width="17.7109375" style="10" customWidth="1"/>
    <col min="15" max="15" width="9.140625" style="10"/>
  </cols>
  <sheetData>
    <row r="1" spans="1:16" s="3" customFormat="1" ht="45" x14ac:dyDescent="0.25">
      <c r="A1" s="7" t="s">
        <v>12</v>
      </c>
      <c r="B1" s="7" t="s">
        <v>1371</v>
      </c>
      <c r="C1" s="7" t="s">
        <v>1377</v>
      </c>
      <c r="D1" s="7" t="s">
        <v>1378</v>
      </c>
      <c r="E1" s="7" t="s">
        <v>424</v>
      </c>
      <c r="F1" s="7" t="s">
        <v>701</v>
      </c>
      <c r="G1" s="7" t="s">
        <v>13</v>
      </c>
      <c r="H1" s="7" t="s">
        <v>5</v>
      </c>
      <c r="I1" s="7" t="s">
        <v>155</v>
      </c>
      <c r="J1" s="7" t="s">
        <v>4</v>
      </c>
      <c r="K1" s="7" t="s">
        <v>1379</v>
      </c>
      <c r="L1" s="12" t="s">
        <v>1380</v>
      </c>
      <c r="M1" s="7" t="s">
        <v>1381</v>
      </c>
      <c r="N1" s="7" t="s">
        <v>1382</v>
      </c>
      <c r="O1" s="12" t="s">
        <v>1383</v>
      </c>
    </row>
    <row r="2" spans="1:16" x14ac:dyDescent="0.25">
      <c r="A2" s="14">
        <v>10225531</v>
      </c>
      <c r="B2" s="14">
        <v>9.4600000000000009</v>
      </c>
      <c r="C2" s="14">
        <v>37.6</v>
      </c>
      <c r="D2" s="14">
        <v>35.57</v>
      </c>
      <c r="E2" s="14">
        <v>0</v>
      </c>
      <c r="F2" s="14">
        <v>0</v>
      </c>
      <c r="G2" s="14">
        <v>0</v>
      </c>
      <c r="H2" s="14">
        <v>32.39</v>
      </c>
      <c r="I2" s="14">
        <v>0</v>
      </c>
      <c r="J2" s="14">
        <v>5.21</v>
      </c>
      <c r="K2" s="14">
        <v>0</v>
      </c>
      <c r="L2" s="10">
        <v>405.99</v>
      </c>
      <c r="M2" s="14">
        <v>0</v>
      </c>
      <c r="N2" s="14">
        <v>80</v>
      </c>
      <c r="O2" s="10">
        <v>0</v>
      </c>
      <c r="P2" s="14"/>
    </row>
    <row r="3" spans="1:16" x14ac:dyDescent="0.25">
      <c r="A3" s="14">
        <v>10799686</v>
      </c>
      <c r="B3" s="14">
        <v>9.76</v>
      </c>
      <c r="C3" s="14">
        <v>167.81</v>
      </c>
      <c r="D3" s="14">
        <v>161.72</v>
      </c>
      <c r="E3" s="14">
        <v>0</v>
      </c>
      <c r="F3" s="14">
        <v>0</v>
      </c>
      <c r="G3" s="14">
        <v>0</v>
      </c>
      <c r="H3" s="14">
        <v>153.16</v>
      </c>
      <c r="I3" s="14">
        <v>0</v>
      </c>
      <c r="J3" s="14">
        <v>11.03</v>
      </c>
      <c r="K3" s="14">
        <v>3.62</v>
      </c>
      <c r="L3" s="10">
        <v>19183.63</v>
      </c>
      <c r="M3" s="14">
        <v>0</v>
      </c>
      <c r="N3" s="14">
        <v>80</v>
      </c>
      <c r="O3" s="10">
        <v>119.49092452337</v>
      </c>
      <c r="P3" s="14"/>
    </row>
    <row r="4" spans="1:16" x14ac:dyDescent="0.25">
      <c r="A4" s="14">
        <v>11852491</v>
      </c>
      <c r="B4" s="14">
        <v>59.66</v>
      </c>
      <c r="C4" s="14">
        <v>59.66</v>
      </c>
      <c r="D4" s="14">
        <v>58.49</v>
      </c>
      <c r="E4" s="14">
        <v>0</v>
      </c>
      <c r="F4" s="14">
        <v>0</v>
      </c>
      <c r="G4" s="14">
        <v>0</v>
      </c>
      <c r="H4" s="14">
        <v>50.61</v>
      </c>
      <c r="I4" s="14">
        <v>0</v>
      </c>
      <c r="J4" s="14">
        <v>9.0500000000000007</v>
      </c>
      <c r="K4" s="14">
        <v>0</v>
      </c>
      <c r="L4" s="10">
        <v>5761.17</v>
      </c>
      <c r="M4" s="14">
        <v>0</v>
      </c>
      <c r="N4" s="14">
        <v>80</v>
      </c>
      <c r="O4" s="10">
        <v>99.529144437857994</v>
      </c>
      <c r="P4" s="14"/>
    </row>
    <row r="5" spans="1:16" x14ac:dyDescent="0.25">
      <c r="A5" s="14">
        <v>12729839</v>
      </c>
      <c r="B5" s="14">
        <v>49.58</v>
      </c>
      <c r="C5" s="14">
        <v>52.4</v>
      </c>
      <c r="D5" s="14">
        <v>51.75</v>
      </c>
      <c r="E5" s="14">
        <v>0</v>
      </c>
      <c r="F5" s="14">
        <v>0</v>
      </c>
      <c r="G5" s="14">
        <v>0</v>
      </c>
      <c r="H5" s="14">
        <v>52.4</v>
      </c>
      <c r="I5" s="14">
        <v>0</v>
      </c>
      <c r="J5" s="14">
        <v>0</v>
      </c>
      <c r="K5" s="14">
        <v>0</v>
      </c>
      <c r="L5" s="10">
        <v>6740.99</v>
      </c>
      <c r="M5" s="14">
        <v>0</v>
      </c>
      <c r="N5" s="14">
        <v>80</v>
      </c>
      <c r="O5" s="10">
        <v>128.64484732823999</v>
      </c>
      <c r="P5" s="14"/>
    </row>
    <row r="6" spans="1:16" x14ac:dyDescent="0.25">
      <c r="A6" s="14">
        <v>13014671</v>
      </c>
      <c r="B6" s="14">
        <v>24.83</v>
      </c>
      <c r="C6" s="14">
        <v>188.79</v>
      </c>
      <c r="D6" s="14">
        <v>185.99</v>
      </c>
      <c r="E6" s="14">
        <v>0</v>
      </c>
      <c r="F6" s="14">
        <v>0</v>
      </c>
      <c r="G6" s="14">
        <v>0</v>
      </c>
      <c r="H6" s="14">
        <v>169.13</v>
      </c>
      <c r="I6" s="14">
        <v>0</v>
      </c>
      <c r="J6" s="14">
        <v>19.66</v>
      </c>
      <c r="K6" s="14">
        <v>0</v>
      </c>
      <c r="L6" s="10">
        <v>26915.77</v>
      </c>
      <c r="M6" s="14">
        <v>0</v>
      </c>
      <c r="N6" s="14">
        <v>80</v>
      </c>
      <c r="O6" s="10">
        <v>149.84313841424</v>
      </c>
      <c r="P6" s="14"/>
    </row>
    <row r="7" spans="1:16" x14ac:dyDescent="0.25">
      <c r="A7" s="14">
        <v>13029237</v>
      </c>
      <c r="B7" s="14">
        <v>8.42</v>
      </c>
      <c r="C7" s="14">
        <v>8.42</v>
      </c>
      <c r="D7" s="14">
        <v>8.34</v>
      </c>
      <c r="E7" s="14">
        <v>0</v>
      </c>
      <c r="F7" s="14">
        <v>0</v>
      </c>
      <c r="G7" s="14">
        <v>0</v>
      </c>
      <c r="H7" s="14">
        <v>7.36</v>
      </c>
      <c r="I7" s="14">
        <v>0</v>
      </c>
      <c r="J7" s="14">
        <v>1.06</v>
      </c>
      <c r="K7" s="14">
        <v>0</v>
      </c>
      <c r="L7" s="10">
        <v>0</v>
      </c>
      <c r="M7" s="14">
        <v>0</v>
      </c>
      <c r="N7" s="14">
        <v>80</v>
      </c>
      <c r="O7" s="10">
        <v>0</v>
      </c>
      <c r="P7" s="14"/>
    </row>
    <row r="8" spans="1:16" x14ac:dyDescent="0.25">
      <c r="A8" s="14">
        <v>13285233</v>
      </c>
      <c r="B8" s="14">
        <v>4.84</v>
      </c>
      <c r="C8" s="14">
        <v>7.6</v>
      </c>
      <c r="D8" s="14">
        <v>7.52</v>
      </c>
      <c r="E8" s="14">
        <v>0</v>
      </c>
      <c r="F8" s="14">
        <v>0</v>
      </c>
      <c r="G8" s="14">
        <v>0</v>
      </c>
      <c r="H8" s="14">
        <v>7.6</v>
      </c>
      <c r="I8" s="14">
        <v>0</v>
      </c>
      <c r="J8" s="14">
        <v>0</v>
      </c>
      <c r="K8" s="14">
        <v>0</v>
      </c>
      <c r="L8" s="10">
        <v>1270.74</v>
      </c>
      <c r="M8" s="14">
        <v>0</v>
      </c>
      <c r="N8" s="14">
        <v>80</v>
      </c>
      <c r="O8" s="10">
        <v>167.20263157894999</v>
      </c>
      <c r="P8" s="14"/>
    </row>
    <row r="9" spans="1:16" x14ac:dyDescent="0.25">
      <c r="A9" s="14">
        <v>13291993</v>
      </c>
      <c r="B9" s="14">
        <v>9.8000000000000007</v>
      </c>
      <c r="C9" s="14">
        <v>9.8000000000000007</v>
      </c>
      <c r="D9" s="14">
        <v>9.74</v>
      </c>
      <c r="E9" s="14">
        <v>0</v>
      </c>
      <c r="F9" s="14">
        <v>0</v>
      </c>
      <c r="G9" s="14">
        <v>0</v>
      </c>
      <c r="H9" s="14">
        <v>1.86</v>
      </c>
      <c r="I9" s="14">
        <v>7.34</v>
      </c>
      <c r="J9" s="14">
        <v>0.6</v>
      </c>
      <c r="K9" s="14">
        <v>0</v>
      </c>
      <c r="L9" s="10">
        <v>25.51</v>
      </c>
      <c r="M9" s="14">
        <v>0</v>
      </c>
      <c r="N9" s="14">
        <v>80</v>
      </c>
      <c r="O9" s="10">
        <v>0</v>
      </c>
      <c r="P9" s="14"/>
    </row>
    <row r="10" spans="1:16" x14ac:dyDescent="0.25">
      <c r="A10" s="14">
        <v>13452601</v>
      </c>
      <c r="B10" s="14">
        <v>6.84</v>
      </c>
      <c r="C10" s="14">
        <v>128.69</v>
      </c>
      <c r="D10" s="14">
        <v>118.09</v>
      </c>
      <c r="E10" s="14">
        <v>0</v>
      </c>
      <c r="F10" s="14">
        <v>0</v>
      </c>
      <c r="G10" s="14">
        <v>6.51</v>
      </c>
      <c r="H10" s="14">
        <v>100.59</v>
      </c>
      <c r="I10" s="14">
        <v>2.4700000000000002</v>
      </c>
      <c r="J10" s="14">
        <v>16.16</v>
      </c>
      <c r="K10" s="14">
        <v>2.96</v>
      </c>
      <c r="L10" s="10">
        <v>9053.7999999999993</v>
      </c>
      <c r="M10" s="14">
        <v>0</v>
      </c>
      <c r="N10" s="14">
        <v>80</v>
      </c>
      <c r="O10" s="10">
        <v>77.154786758127003</v>
      </c>
      <c r="P10" s="14"/>
    </row>
    <row r="11" spans="1:16" x14ac:dyDescent="0.25">
      <c r="A11" s="14">
        <v>13759006</v>
      </c>
      <c r="B11" s="14">
        <v>17.079999999999998</v>
      </c>
      <c r="C11" s="14">
        <v>96.62</v>
      </c>
      <c r="D11" s="14">
        <v>96.65</v>
      </c>
      <c r="E11" s="14">
        <v>0</v>
      </c>
      <c r="F11" s="14">
        <v>0</v>
      </c>
      <c r="G11" s="14">
        <v>0</v>
      </c>
      <c r="H11" s="14">
        <v>87.03</v>
      </c>
      <c r="I11" s="14">
        <v>1.85</v>
      </c>
      <c r="J11" s="14">
        <v>7.74</v>
      </c>
      <c r="K11" s="14">
        <v>0</v>
      </c>
      <c r="L11" s="10">
        <v>6401.45</v>
      </c>
      <c r="M11" s="14">
        <v>0</v>
      </c>
      <c r="N11" s="14">
        <v>80</v>
      </c>
      <c r="O11" s="10">
        <v>66.439733425255994</v>
      </c>
      <c r="P11" s="14"/>
    </row>
    <row r="12" spans="1:16" x14ac:dyDescent="0.25">
      <c r="A12" s="14">
        <v>14265473</v>
      </c>
      <c r="B12" s="14">
        <v>11.69</v>
      </c>
      <c r="C12" s="14">
        <v>338.76</v>
      </c>
      <c r="D12" s="14">
        <v>106.17</v>
      </c>
      <c r="E12" s="14">
        <v>0</v>
      </c>
      <c r="F12" s="14">
        <v>0</v>
      </c>
      <c r="G12" s="14">
        <v>172.41</v>
      </c>
      <c r="H12" s="14">
        <v>6.6</v>
      </c>
      <c r="I12" s="14">
        <v>0</v>
      </c>
      <c r="J12" s="14">
        <v>101.07</v>
      </c>
      <c r="K12" s="14">
        <v>58.68</v>
      </c>
      <c r="L12" s="10">
        <v>2665.05</v>
      </c>
      <c r="M12" s="14">
        <v>0</v>
      </c>
      <c r="N12" s="14">
        <v>80</v>
      </c>
      <c r="O12" s="10">
        <v>0</v>
      </c>
      <c r="P12" s="14"/>
    </row>
    <row r="13" spans="1:16" x14ac:dyDescent="0.25">
      <c r="A13" s="14">
        <v>14278885</v>
      </c>
      <c r="B13" s="14">
        <v>30.92</v>
      </c>
      <c r="C13" s="14">
        <v>80.930000000000007</v>
      </c>
      <c r="D13" s="14">
        <v>82.4</v>
      </c>
      <c r="E13" s="14">
        <v>0</v>
      </c>
      <c r="F13" s="14">
        <v>0</v>
      </c>
      <c r="G13" s="14">
        <v>0</v>
      </c>
      <c r="H13" s="14">
        <v>80.930000000000007</v>
      </c>
      <c r="I13" s="14">
        <v>0</v>
      </c>
      <c r="J13" s="14">
        <v>0</v>
      </c>
      <c r="K13" s="14">
        <v>0</v>
      </c>
      <c r="L13" s="10">
        <v>10925.9</v>
      </c>
      <c r="M13" s="14">
        <v>0</v>
      </c>
      <c r="N13" s="14">
        <v>80</v>
      </c>
      <c r="O13" s="10">
        <v>135.00432472507001</v>
      </c>
      <c r="P13" s="14"/>
    </row>
    <row r="14" spans="1:16" x14ac:dyDescent="0.25">
      <c r="A14" s="14">
        <v>14551387</v>
      </c>
      <c r="B14" s="14">
        <v>18.850000000000001</v>
      </c>
      <c r="C14" s="14">
        <v>122.25</v>
      </c>
      <c r="D14" s="14">
        <v>121.11</v>
      </c>
      <c r="E14" s="14">
        <v>0</v>
      </c>
      <c r="F14" s="14">
        <v>0</v>
      </c>
      <c r="G14" s="14">
        <v>0</v>
      </c>
      <c r="H14" s="14">
        <v>94.75</v>
      </c>
      <c r="I14" s="14">
        <v>9.0500000000000007</v>
      </c>
      <c r="J14" s="14">
        <v>18.45</v>
      </c>
      <c r="K14" s="14">
        <v>0</v>
      </c>
      <c r="L14" s="10">
        <v>13246.06</v>
      </c>
      <c r="M14" s="14">
        <v>0</v>
      </c>
      <c r="N14" s="14">
        <v>80</v>
      </c>
      <c r="O14" s="10">
        <v>124.22226912929</v>
      </c>
      <c r="P14" s="14"/>
    </row>
    <row r="15" spans="1:16" x14ac:dyDescent="0.25">
      <c r="A15" s="14">
        <v>14571094</v>
      </c>
      <c r="B15" s="14">
        <v>115.72</v>
      </c>
      <c r="C15" s="14">
        <v>264.32</v>
      </c>
      <c r="D15" s="14">
        <v>251.09</v>
      </c>
      <c r="E15" s="14">
        <v>0</v>
      </c>
      <c r="F15" s="14">
        <v>0</v>
      </c>
      <c r="G15" s="14">
        <v>0</v>
      </c>
      <c r="H15" s="14">
        <v>235.63</v>
      </c>
      <c r="I15" s="14">
        <v>0</v>
      </c>
      <c r="J15" s="14">
        <v>19.829999999999998</v>
      </c>
      <c r="K15" s="14">
        <v>8.86</v>
      </c>
      <c r="L15" s="10">
        <v>34602.81</v>
      </c>
      <c r="M15" s="14">
        <v>0</v>
      </c>
      <c r="N15" s="14">
        <v>80</v>
      </c>
      <c r="O15" s="10">
        <v>140.11972159742001</v>
      </c>
      <c r="P15" s="14"/>
    </row>
    <row r="16" spans="1:16" x14ac:dyDescent="0.25">
      <c r="A16" s="14">
        <v>15378506</v>
      </c>
      <c r="B16" s="14">
        <v>7.14</v>
      </c>
      <c r="C16" s="14">
        <v>28.27</v>
      </c>
      <c r="D16" s="14">
        <v>28.52</v>
      </c>
      <c r="E16" s="14">
        <v>0</v>
      </c>
      <c r="F16" s="14">
        <v>0</v>
      </c>
      <c r="G16" s="14">
        <v>0</v>
      </c>
      <c r="H16" s="14">
        <v>28.27</v>
      </c>
      <c r="I16" s="14">
        <v>0</v>
      </c>
      <c r="J16" s="14">
        <v>0</v>
      </c>
      <c r="K16" s="14">
        <v>0</v>
      </c>
      <c r="L16" s="10">
        <v>2042.35</v>
      </c>
      <c r="M16" s="14">
        <v>0</v>
      </c>
      <c r="N16" s="14">
        <v>80</v>
      </c>
      <c r="O16" s="10">
        <v>72.244428723027994</v>
      </c>
      <c r="P16" s="14"/>
    </row>
    <row r="17" spans="1:15" x14ac:dyDescent="0.25">
      <c r="A17" s="14">
        <v>16032646</v>
      </c>
      <c r="B17" s="14">
        <v>70.69</v>
      </c>
      <c r="C17" s="14">
        <v>83.88</v>
      </c>
      <c r="D17" s="14">
        <v>84.2</v>
      </c>
      <c r="E17" s="14">
        <v>0</v>
      </c>
      <c r="F17" s="14">
        <v>0</v>
      </c>
      <c r="G17" s="14">
        <v>0</v>
      </c>
      <c r="H17" s="14">
        <v>83.88</v>
      </c>
      <c r="I17" s="14">
        <v>0</v>
      </c>
      <c r="J17" s="14">
        <v>0</v>
      </c>
      <c r="K17" s="14">
        <v>0</v>
      </c>
      <c r="L17" s="10">
        <v>13646.03</v>
      </c>
      <c r="M17" s="14">
        <v>0</v>
      </c>
      <c r="N17" s="14">
        <v>80</v>
      </c>
      <c r="O17" s="10">
        <v>162.68514544588001</v>
      </c>
    </row>
    <row r="18" spans="1:15" ht="14.45" x14ac:dyDescent="0.3">
      <c r="A18" s="14">
        <v>16523895</v>
      </c>
      <c r="B18" s="14">
        <v>20.350000000000001</v>
      </c>
      <c r="C18" s="14">
        <v>20.350000000000001</v>
      </c>
      <c r="D18" s="14">
        <v>19.95</v>
      </c>
      <c r="E18" s="14">
        <v>0</v>
      </c>
      <c r="F18" s="14">
        <v>0</v>
      </c>
      <c r="G18" s="14">
        <v>0</v>
      </c>
      <c r="H18" s="14">
        <v>19.149999999999999</v>
      </c>
      <c r="I18" s="14">
        <v>0</v>
      </c>
      <c r="J18" s="14">
        <v>1.2</v>
      </c>
      <c r="K18" s="14">
        <v>0</v>
      </c>
      <c r="L18" s="10">
        <v>4156.3999999999996</v>
      </c>
      <c r="M18" s="14">
        <v>0</v>
      </c>
      <c r="N18" s="14">
        <v>80</v>
      </c>
      <c r="O18" s="10">
        <v>212.03133159269001</v>
      </c>
    </row>
    <row r="19" spans="1:15" ht="14.45" x14ac:dyDescent="0.3">
      <c r="A19" s="14">
        <v>16543349</v>
      </c>
      <c r="B19" s="14">
        <v>3.26</v>
      </c>
      <c r="C19" s="14">
        <v>35.26</v>
      </c>
      <c r="D19" s="14">
        <v>36.799999999999997</v>
      </c>
      <c r="E19" s="14">
        <v>0</v>
      </c>
      <c r="F19" s="14">
        <v>0</v>
      </c>
      <c r="G19" s="14">
        <v>0</v>
      </c>
      <c r="H19" s="14">
        <v>32.979999999999997</v>
      </c>
      <c r="I19" s="14">
        <v>0</v>
      </c>
      <c r="J19" s="14">
        <v>2.2799999999999998</v>
      </c>
      <c r="K19" s="14">
        <v>0</v>
      </c>
      <c r="L19" s="10">
        <v>2961.51</v>
      </c>
      <c r="M19" s="14">
        <v>0</v>
      </c>
      <c r="N19" s="14">
        <v>80</v>
      </c>
      <c r="O19" s="10">
        <v>84.266525166768005</v>
      </c>
    </row>
    <row r="20" spans="1:15" ht="14.45" x14ac:dyDescent="0.3">
      <c r="A20" s="14">
        <v>16560243</v>
      </c>
      <c r="B20" s="14">
        <v>7.16</v>
      </c>
      <c r="C20" s="14">
        <v>51.61</v>
      </c>
      <c r="D20" s="14">
        <v>51.65</v>
      </c>
      <c r="E20" s="14">
        <v>0</v>
      </c>
      <c r="F20" s="14">
        <v>0</v>
      </c>
      <c r="G20" s="14">
        <v>0</v>
      </c>
      <c r="H20" s="14">
        <v>51.61</v>
      </c>
      <c r="I20" s="14">
        <v>0</v>
      </c>
      <c r="J20" s="14">
        <v>0</v>
      </c>
      <c r="K20" s="14">
        <v>0</v>
      </c>
      <c r="L20" s="10">
        <v>4318.6499999999996</v>
      </c>
      <c r="M20" s="14">
        <v>0</v>
      </c>
      <c r="N20" s="14">
        <v>80</v>
      </c>
      <c r="O20" s="10">
        <v>83.678550668474998</v>
      </c>
    </row>
    <row r="21" spans="1:15" ht="14.45" x14ac:dyDescent="0.3">
      <c r="A21" s="14">
        <v>16839442</v>
      </c>
      <c r="B21" s="14">
        <v>1.73</v>
      </c>
      <c r="C21" s="14">
        <v>26.15</v>
      </c>
      <c r="D21" s="14">
        <v>25.5</v>
      </c>
      <c r="E21" s="14">
        <v>0</v>
      </c>
      <c r="F21" s="14">
        <v>0</v>
      </c>
      <c r="G21" s="14">
        <v>0</v>
      </c>
      <c r="H21" s="14">
        <v>26.15</v>
      </c>
      <c r="I21" s="14">
        <v>0</v>
      </c>
      <c r="J21" s="14">
        <v>0</v>
      </c>
      <c r="K21" s="14">
        <v>0</v>
      </c>
      <c r="L21" s="10">
        <v>2125</v>
      </c>
      <c r="M21" s="14">
        <v>0</v>
      </c>
      <c r="N21" s="14">
        <v>80</v>
      </c>
      <c r="O21" s="10">
        <v>81.261950286806993</v>
      </c>
    </row>
    <row r="22" spans="1:15" ht="14.45" x14ac:dyDescent="0.3">
      <c r="A22" s="14">
        <v>17200275</v>
      </c>
      <c r="B22" s="14">
        <v>8.42</v>
      </c>
      <c r="C22" s="14">
        <v>8.42</v>
      </c>
      <c r="D22" s="14">
        <v>8.19</v>
      </c>
      <c r="E22" s="14">
        <v>0</v>
      </c>
      <c r="F22" s="14">
        <v>0</v>
      </c>
      <c r="G22" s="14">
        <v>0</v>
      </c>
      <c r="H22" s="14">
        <v>8.42</v>
      </c>
      <c r="I22" s="14">
        <v>0</v>
      </c>
      <c r="J22" s="14">
        <v>0</v>
      </c>
      <c r="K22" s="14">
        <v>0</v>
      </c>
      <c r="L22" s="10">
        <v>1547.74</v>
      </c>
      <c r="M22" s="14">
        <v>0</v>
      </c>
      <c r="N22" s="14">
        <v>80</v>
      </c>
      <c r="O22" s="10">
        <v>183.81710213777001</v>
      </c>
    </row>
    <row r="23" spans="1:15" ht="14.45" x14ac:dyDescent="0.3">
      <c r="A23" s="14">
        <v>17987682</v>
      </c>
      <c r="B23" s="14">
        <v>102.85</v>
      </c>
      <c r="C23" s="14">
        <v>162.26</v>
      </c>
      <c r="D23" s="14">
        <v>157.04</v>
      </c>
      <c r="E23" s="14">
        <v>0</v>
      </c>
      <c r="F23" s="14">
        <v>0</v>
      </c>
      <c r="G23" s="14">
        <v>0</v>
      </c>
      <c r="H23" s="14">
        <v>146.97999999999999</v>
      </c>
      <c r="I23" s="14">
        <v>0</v>
      </c>
      <c r="J23" s="14">
        <v>9.0399999999999991</v>
      </c>
      <c r="K23" s="14">
        <v>6.24</v>
      </c>
      <c r="L23" s="10">
        <v>32369.95</v>
      </c>
      <c r="M23" s="14">
        <v>0</v>
      </c>
      <c r="N23" s="14">
        <v>80</v>
      </c>
      <c r="O23" s="10">
        <v>215.31330793305</v>
      </c>
    </row>
    <row r="24" spans="1:15" ht="14.45" x14ac:dyDescent="0.3">
      <c r="A24" s="14">
        <v>18249308</v>
      </c>
      <c r="B24" s="14">
        <v>15.66</v>
      </c>
      <c r="C24" s="14">
        <v>20.04</v>
      </c>
      <c r="D24" s="14">
        <v>20.79</v>
      </c>
      <c r="E24" s="14">
        <v>0</v>
      </c>
      <c r="F24" s="14">
        <v>0</v>
      </c>
      <c r="G24" s="14">
        <v>0</v>
      </c>
      <c r="H24" s="14">
        <v>17.68</v>
      </c>
      <c r="I24" s="14">
        <v>0</v>
      </c>
      <c r="J24" s="14">
        <v>2.36</v>
      </c>
      <c r="K24" s="14">
        <v>0</v>
      </c>
      <c r="L24" s="10">
        <v>0.1</v>
      </c>
      <c r="M24" s="14">
        <v>0</v>
      </c>
      <c r="N24" s="14">
        <v>80</v>
      </c>
      <c r="O24" s="10">
        <v>0</v>
      </c>
    </row>
    <row r="25" spans="1:15" ht="14.45" x14ac:dyDescent="0.3">
      <c r="A25" s="14">
        <v>18249340</v>
      </c>
      <c r="B25" s="14">
        <v>10.55</v>
      </c>
      <c r="C25" s="14">
        <v>10.55</v>
      </c>
      <c r="D25" s="14">
        <v>8.8000000000000007</v>
      </c>
      <c r="E25" s="14">
        <v>0</v>
      </c>
      <c r="F25" s="14">
        <v>0</v>
      </c>
      <c r="G25" s="14">
        <v>8.99</v>
      </c>
      <c r="H25" s="14">
        <v>0</v>
      </c>
      <c r="I25" s="14">
        <v>1.29</v>
      </c>
      <c r="J25" s="14">
        <v>0.27</v>
      </c>
      <c r="K25" s="14">
        <v>0</v>
      </c>
      <c r="L25" s="10">
        <v>0</v>
      </c>
      <c r="M25" s="14">
        <v>0</v>
      </c>
      <c r="N25" s="14">
        <v>80</v>
      </c>
      <c r="O25" s="10">
        <v>0</v>
      </c>
    </row>
    <row r="26" spans="1:15" ht="14.45" x14ac:dyDescent="0.3">
      <c r="A26" s="14">
        <v>18265788</v>
      </c>
      <c r="B26" s="14">
        <v>5.05</v>
      </c>
      <c r="C26" s="14">
        <v>212.47</v>
      </c>
      <c r="D26" s="14">
        <v>204.52</v>
      </c>
      <c r="E26" s="14">
        <v>0</v>
      </c>
      <c r="F26" s="14">
        <v>0</v>
      </c>
      <c r="G26" s="14">
        <v>0</v>
      </c>
      <c r="H26" s="14">
        <v>203.71</v>
      </c>
      <c r="I26" s="14">
        <v>0</v>
      </c>
      <c r="J26" s="14">
        <v>1.9</v>
      </c>
      <c r="K26" s="14">
        <v>6.86</v>
      </c>
      <c r="L26" s="10">
        <v>28451.95</v>
      </c>
      <c r="M26" s="14">
        <v>0</v>
      </c>
      <c r="N26" s="14">
        <v>80</v>
      </c>
      <c r="O26" s="10">
        <v>138.92273329733001</v>
      </c>
    </row>
    <row r="27" spans="1:15" ht="14.45" x14ac:dyDescent="0.3">
      <c r="A27" s="14">
        <v>18299674</v>
      </c>
      <c r="B27" s="14">
        <v>57.74</v>
      </c>
      <c r="C27" s="14">
        <v>177.29</v>
      </c>
      <c r="D27" s="14">
        <v>174.87</v>
      </c>
      <c r="E27" s="14">
        <v>2.66</v>
      </c>
      <c r="F27" s="14">
        <v>0</v>
      </c>
      <c r="G27" s="14">
        <v>0</v>
      </c>
      <c r="H27" s="14">
        <v>160.55000000000001</v>
      </c>
      <c r="I27" s="14">
        <v>0</v>
      </c>
      <c r="J27" s="14">
        <v>12.52</v>
      </c>
      <c r="K27" s="14">
        <v>1.56</v>
      </c>
      <c r="L27" s="10">
        <v>19039.82</v>
      </c>
      <c r="M27" s="14">
        <v>0</v>
      </c>
      <c r="N27" s="14">
        <v>80</v>
      </c>
      <c r="O27" s="10">
        <v>112.35266272189</v>
      </c>
    </row>
    <row r="28" spans="1:15" ht="14.45" x14ac:dyDescent="0.3">
      <c r="A28" s="14">
        <v>18462230</v>
      </c>
      <c r="B28" s="14">
        <v>5.58</v>
      </c>
      <c r="C28" s="14">
        <v>0</v>
      </c>
      <c r="D28" s="14">
        <v>5.8</v>
      </c>
      <c r="E28" s="14">
        <v>0</v>
      </c>
      <c r="F28" s="14">
        <v>0</v>
      </c>
      <c r="G28" s="14">
        <v>0</v>
      </c>
      <c r="H28" s="14">
        <v>0</v>
      </c>
      <c r="I28" s="14">
        <v>0</v>
      </c>
      <c r="J28" s="14">
        <v>0</v>
      </c>
      <c r="K28" s="14">
        <v>0</v>
      </c>
      <c r="L28" s="10">
        <v>917.73</v>
      </c>
      <c r="M28" s="14">
        <v>0</v>
      </c>
      <c r="N28" s="14">
        <v>80</v>
      </c>
      <c r="O28" s="10">
        <v>158.22931034483</v>
      </c>
    </row>
    <row r="29" spans="1:15" ht="14.45" x14ac:dyDescent="0.3">
      <c r="A29" s="14">
        <v>19117537</v>
      </c>
      <c r="B29" s="14">
        <v>61.66</v>
      </c>
      <c r="C29" s="14">
        <v>61.66</v>
      </c>
      <c r="D29" s="14">
        <v>60.14</v>
      </c>
      <c r="E29" s="14">
        <v>0</v>
      </c>
      <c r="F29" s="14">
        <v>0</v>
      </c>
      <c r="G29" s="14">
        <v>0</v>
      </c>
      <c r="H29" s="14">
        <v>59.06</v>
      </c>
      <c r="I29" s="14">
        <v>0</v>
      </c>
      <c r="J29" s="14">
        <v>2.6</v>
      </c>
      <c r="K29" s="14">
        <v>0</v>
      </c>
      <c r="L29" s="10">
        <v>7254.67</v>
      </c>
      <c r="M29" s="14">
        <v>0</v>
      </c>
      <c r="N29" s="14">
        <v>80</v>
      </c>
      <c r="O29" s="10">
        <v>119.3137487301</v>
      </c>
    </row>
    <row r="30" spans="1:15" ht="14.45" x14ac:dyDescent="0.3">
      <c r="A30" s="14">
        <v>19153606</v>
      </c>
      <c r="B30" s="14">
        <v>39.89</v>
      </c>
      <c r="C30" s="14">
        <v>42.56</v>
      </c>
      <c r="D30" s="14">
        <v>43.16</v>
      </c>
      <c r="E30" s="14">
        <v>0</v>
      </c>
      <c r="F30" s="14">
        <v>0</v>
      </c>
      <c r="G30" s="14">
        <v>0</v>
      </c>
      <c r="H30" s="14">
        <v>41.99</v>
      </c>
      <c r="I30" s="14">
        <v>0</v>
      </c>
      <c r="J30" s="14">
        <v>0.56999999999999995</v>
      </c>
      <c r="K30" s="14">
        <v>0</v>
      </c>
      <c r="L30" s="10">
        <v>6108.05</v>
      </c>
      <c r="M30" s="14">
        <v>0</v>
      </c>
      <c r="N30" s="14">
        <v>80</v>
      </c>
      <c r="O30" s="10">
        <v>144.37842343414999</v>
      </c>
    </row>
    <row r="31" spans="1:15" ht="14.45" x14ac:dyDescent="0.3">
      <c r="A31" s="14">
        <v>19401545</v>
      </c>
      <c r="B31" s="14">
        <v>7.58</v>
      </c>
      <c r="C31" s="14">
        <v>209.41</v>
      </c>
      <c r="D31" s="14">
        <v>205.5</v>
      </c>
      <c r="E31" s="14">
        <v>0</v>
      </c>
      <c r="F31" s="14">
        <v>0</v>
      </c>
      <c r="G31" s="14">
        <v>0</v>
      </c>
      <c r="H31" s="14">
        <v>193.98</v>
      </c>
      <c r="I31" s="14">
        <v>0</v>
      </c>
      <c r="J31" s="14">
        <v>15.43</v>
      </c>
      <c r="K31" s="14">
        <v>0</v>
      </c>
      <c r="L31" s="10">
        <v>31309.46</v>
      </c>
      <c r="M31" s="14">
        <v>0</v>
      </c>
      <c r="N31" s="14">
        <v>80</v>
      </c>
      <c r="O31" s="10">
        <v>155.04206619239</v>
      </c>
    </row>
    <row r="32" spans="1:15" ht="14.45" x14ac:dyDescent="0.3">
      <c r="A32" s="14">
        <v>19446387</v>
      </c>
      <c r="B32" s="14">
        <v>24.06</v>
      </c>
      <c r="C32" s="14">
        <v>24.06</v>
      </c>
      <c r="D32" s="14">
        <v>23.83</v>
      </c>
      <c r="E32" s="14">
        <v>0</v>
      </c>
      <c r="F32" s="14">
        <v>0</v>
      </c>
      <c r="G32" s="14">
        <v>0</v>
      </c>
      <c r="H32" s="14">
        <v>22.39</v>
      </c>
      <c r="I32" s="14">
        <v>0</v>
      </c>
      <c r="J32" s="14">
        <v>0</v>
      </c>
      <c r="K32" s="14">
        <v>1.67</v>
      </c>
      <c r="L32" s="10">
        <v>2500</v>
      </c>
      <c r="M32" s="14">
        <v>0</v>
      </c>
      <c r="N32" s="14">
        <v>80</v>
      </c>
      <c r="O32" s="10">
        <v>111.65698972756</v>
      </c>
    </row>
    <row r="33" spans="1:15" ht="14.45" x14ac:dyDescent="0.3">
      <c r="A33" s="14">
        <v>20332751</v>
      </c>
      <c r="B33" s="14">
        <v>9.74</v>
      </c>
      <c r="C33" s="14">
        <v>9.74</v>
      </c>
      <c r="D33" s="14">
        <v>9.58</v>
      </c>
      <c r="E33" s="14">
        <v>0</v>
      </c>
      <c r="F33" s="14">
        <v>0</v>
      </c>
      <c r="G33" s="14">
        <v>0</v>
      </c>
      <c r="H33" s="14">
        <v>9.59</v>
      </c>
      <c r="I33" s="14">
        <v>0</v>
      </c>
      <c r="J33" s="14">
        <v>0</v>
      </c>
      <c r="K33" s="14">
        <v>0.15</v>
      </c>
      <c r="L33" s="10">
        <v>0</v>
      </c>
      <c r="M33" s="14">
        <v>0</v>
      </c>
      <c r="N33" s="14">
        <v>80</v>
      </c>
      <c r="O33" s="10">
        <v>0</v>
      </c>
    </row>
    <row r="34" spans="1:15" ht="14.45" x14ac:dyDescent="0.3">
      <c r="A34" s="14">
        <v>21162493</v>
      </c>
      <c r="B34" s="14">
        <v>14.07</v>
      </c>
      <c r="C34" s="14">
        <v>137.66999999999999</v>
      </c>
      <c r="D34" s="14">
        <v>135.66</v>
      </c>
      <c r="E34" s="14">
        <v>0</v>
      </c>
      <c r="F34" s="14">
        <v>0</v>
      </c>
      <c r="G34" s="14">
        <v>0</v>
      </c>
      <c r="H34" s="14">
        <v>136.79</v>
      </c>
      <c r="I34" s="14">
        <v>0</v>
      </c>
      <c r="J34" s="14">
        <v>0.88</v>
      </c>
      <c r="K34" s="14">
        <v>0</v>
      </c>
      <c r="L34" s="10">
        <v>27552.04</v>
      </c>
      <c r="M34" s="14">
        <v>0</v>
      </c>
      <c r="N34" s="14">
        <v>80</v>
      </c>
      <c r="O34" s="10">
        <v>200.90386724176</v>
      </c>
    </row>
    <row r="35" spans="1:15" ht="14.45" x14ac:dyDescent="0.3">
      <c r="A35" s="14">
        <v>21750670</v>
      </c>
      <c r="B35" s="14">
        <v>124.88</v>
      </c>
      <c r="C35" s="14">
        <v>234.42</v>
      </c>
      <c r="D35" s="14">
        <v>232.96</v>
      </c>
      <c r="E35" s="14">
        <v>0</v>
      </c>
      <c r="F35" s="14">
        <v>0</v>
      </c>
      <c r="G35" s="14">
        <v>0</v>
      </c>
      <c r="H35" s="14">
        <v>233.65</v>
      </c>
      <c r="I35" s="14">
        <v>0</v>
      </c>
      <c r="J35" s="14">
        <v>0.77</v>
      </c>
      <c r="K35" s="14">
        <v>0</v>
      </c>
      <c r="L35" s="10">
        <v>24394.83</v>
      </c>
      <c r="M35" s="14">
        <v>0</v>
      </c>
      <c r="N35" s="14">
        <v>80</v>
      </c>
      <c r="O35" s="10">
        <v>104.14393323346999</v>
      </c>
    </row>
    <row r="36" spans="1:15" ht="14.45" x14ac:dyDescent="0.3">
      <c r="A36" s="14">
        <v>25302133</v>
      </c>
      <c r="B36" s="14">
        <v>139.84</v>
      </c>
      <c r="C36" s="14">
        <v>290.24</v>
      </c>
      <c r="D36" s="14">
        <v>289.44</v>
      </c>
      <c r="E36" s="14">
        <v>0</v>
      </c>
      <c r="F36" s="14">
        <v>0</v>
      </c>
      <c r="G36" s="14">
        <v>0</v>
      </c>
      <c r="H36" s="14">
        <v>290.24</v>
      </c>
      <c r="I36" s="14">
        <v>0</v>
      </c>
      <c r="J36" s="14">
        <v>0</v>
      </c>
      <c r="K36" s="14">
        <v>0</v>
      </c>
      <c r="L36" s="10">
        <v>35324.269999999997</v>
      </c>
      <c r="M36" s="14">
        <v>0</v>
      </c>
      <c r="N36" s="14">
        <v>80</v>
      </c>
      <c r="O36" s="10">
        <v>121.70710446527001</v>
      </c>
    </row>
    <row r="37" spans="1:15" ht="14.45" x14ac:dyDescent="0.3">
      <c r="A37" s="14">
        <v>25930827</v>
      </c>
      <c r="B37" s="14">
        <v>44.24</v>
      </c>
      <c r="C37" s="14">
        <v>339.86</v>
      </c>
      <c r="D37" s="14">
        <v>329.54</v>
      </c>
      <c r="E37" s="14">
        <v>0</v>
      </c>
      <c r="F37" s="14">
        <v>0</v>
      </c>
      <c r="G37" s="14">
        <v>0</v>
      </c>
      <c r="H37" s="14">
        <v>329.33</v>
      </c>
      <c r="I37" s="14">
        <v>0</v>
      </c>
      <c r="J37" s="14">
        <v>8.67</v>
      </c>
      <c r="K37" s="14">
        <v>1.86</v>
      </c>
      <c r="L37" s="10">
        <v>53686.96</v>
      </c>
      <c r="M37" s="14">
        <v>0</v>
      </c>
      <c r="N37" s="14">
        <v>80</v>
      </c>
      <c r="O37" s="10">
        <v>160.9126408162</v>
      </c>
    </row>
    <row r="38" spans="1:15" ht="14.45" x14ac:dyDescent="0.3">
      <c r="A38" s="14">
        <v>26019788</v>
      </c>
      <c r="B38" s="14">
        <v>52</v>
      </c>
      <c r="C38" s="14">
        <v>63.05</v>
      </c>
      <c r="D38" s="14">
        <v>61.71</v>
      </c>
      <c r="E38" s="14">
        <v>0</v>
      </c>
      <c r="F38" s="14">
        <v>0</v>
      </c>
      <c r="G38" s="14">
        <v>0</v>
      </c>
      <c r="H38" s="14">
        <v>59.06</v>
      </c>
      <c r="I38" s="14">
        <v>2.19</v>
      </c>
      <c r="J38" s="14">
        <v>1.8</v>
      </c>
      <c r="K38" s="14">
        <v>0</v>
      </c>
      <c r="L38" s="10">
        <v>10095.17</v>
      </c>
      <c r="M38" s="14">
        <v>0</v>
      </c>
      <c r="N38" s="14">
        <v>80</v>
      </c>
      <c r="O38" s="10">
        <v>168.4925499492</v>
      </c>
    </row>
    <row r="39" spans="1:15" ht="14.45" x14ac:dyDescent="0.3">
      <c r="A39" s="14">
        <v>26025516</v>
      </c>
      <c r="B39" s="14">
        <v>11.56</v>
      </c>
      <c r="C39" s="14">
        <v>16.47</v>
      </c>
      <c r="D39" s="14">
        <v>16.47</v>
      </c>
      <c r="E39" s="14">
        <v>0</v>
      </c>
      <c r="F39" s="14">
        <v>0</v>
      </c>
      <c r="G39" s="14">
        <v>0</v>
      </c>
      <c r="H39" s="14">
        <v>14.65</v>
      </c>
      <c r="I39" s="14">
        <v>0</v>
      </c>
      <c r="J39" s="14">
        <v>1.82</v>
      </c>
      <c r="K39" s="14">
        <v>0</v>
      </c>
      <c r="L39" s="10">
        <v>1997.84</v>
      </c>
      <c r="M39" s="14">
        <v>0</v>
      </c>
      <c r="N39" s="14">
        <v>80</v>
      </c>
      <c r="O39" s="10">
        <v>126.43276450512001</v>
      </c>
    </row>
    <row r="40" spans="1:15" x14ac:dyDescent="0.25">
      <c r="A40" s="14">
        <v>26261945</v>
      </c>
      <c r="B40" s="14">
        <v>9.73</v>
      </c>
      <c r="C40" s="14">
        <v>9.73</v>
      </c>
      <c r="D40" s="14">
        <v>9.41</v>
      </c>
      <c r="E40" s="14">
        <v>0</v>
      </c>
      <c r="F40" s="14">
        <v>0</v>
      </c>
      <c r="G40" s="14">
        <v>0</v>
      </c>
      <c r="H40" s="14">
        <v>9.73</v>
      </c>
      <c r="I40" s="14">
        <v>0</v>
      </c>
      <c r="J40" s="14">
        <v>0</v>
      </c>
      <c r="K40" s="14">
        <v>0</v>
      </c>
      <c r="L40" s="10">
        <v>1158.05</v>
      </c>
      <c r="M40" s="14">
        <v>0</v>
      </c>
      <c r="N40" s="14">
        <v>80</v>
      </c>
      <c r="O40" s="10">
        <v>119.01849948613</v>
      </c>
    </row>
    <row r="41" spans="1:15" x14ac:dyDescent="0.25">
      <c r="A41" s="14">
        <v>27059147</v>
      </c>
      <c r="B41" s="14">
        <v>19.489999999999998</v>
      </c>
      <c r="C41" s="14">
        <v>19.489999999999998</v>
      </c>
      <c r="D41" s="14">
        <v>19.600000000000001</v>
      </c>
      <c r="E41" s="14">
        <v>0</v>
      </c>
      <c r="F41" s="14">
        <v>0</v>
      </c>
      <c r="G41" s="14">
        <v>0</v>
      </c>
      <c r="H41" s="14">
        <v>19.489999999999998</v>
      </c>
      <c r="I41" s="14">
        <v>0</v>
      </c>
      <c r="J41" s="14">
        <v>0</v>
      </c>
      <c r="K41" s="14">
        <v>0</v>
      </c>
      <c r="L41" s="10">
        <v>1266.99</v>
      </c>
      <c r="M41" s="14">
        <v>0</v>
      </c>
      <c r="N41" s="14">
        <v>80</v>
      </c>
      <c r="O41" s="10">
        <v>65.007183170857004</v>
      </c>
    </row>
    <row r="42" spans="1:15" x14ac:dyDescent="0.25">
      <c r="A42" s="14">
        <v>27180264</v>
      </c>
      <c r="B42" s="14">
        <v>30.21</v>
      </c>
      <c r="C42" s="14">
        <v>109.99</v>
      </c>
      <c r="D42" s="14">
        <v>108.83</v>
      </c>
      <c r="E42" s="14">
        <v>3.52</v>
      </c>
      <c r="F42" s="14">
        <v>0</v>
      </c>
      <c r="G42" s="14">
        <v>0</v>
      </c>
      <c r="H42" s="14">
        <v>105.82</v>
      </c>
      <c r="I42" s="14">
        <v>0</v>
      </c>
      <c r="J42" s="14">
        <v>0.65</v>
      </c>
      <c r="K42" s="14">
        <v>0</v>
      </c>
      <c r="L42" s="10">
        <v>22032.18</v>
      </c>
      <c r="M42" s="14">
        <v>0</v>
      </c>
      <c r="N42" s="14">
        <v>80</v>
      </c>
      <c r="O42" s="10">
        <v>207.71290871291001</v>
      </c>
    </row>
    <row r="43" spans="1:15" x14ac:dyDescent="0.25">
      <c r="A43" s="14">
        <v>27428010</v>
      </c>
      <c r="B43" s="14">
        <v>188.84</v>
      </c>
      <c r="C43" s="14">
        <v>245.16</v>
      </c>
      <c r="D43" s="14">
        <v>237.32</v>
      </c>
      <c r="E43" s="14">
        <v>0</v>
      </c>
      <c r="F43" s="14">
        <v>0</v>
      </c>
      <c r="G43" s="14">
        <v>6.02</v>
      </c>
      <c r="H43" s="14">
        <v>192.89</v>
      </c>
      <c r="I43" s="14">
        <v>45.84</v>
      </c>
      <c r="J43" s="14">
        <v>0</v>
      </c>
      <c r="K43" s="14">
        <v>0.41</v>
      </c>
      <c r="L43" s="10">
        <v>33026.400000000001</v>
      </c>
      <c r="M43" s="14">
        <v>0</v>
      </c>
      <c r="N43" s="14">
        <v>80</v>
      </c>
      <c r="O43" s="10">
        <v>171.21882938461999</v>
      </c>
    </row>
    <row r="44" spans="1:15" x14ac:dyDescent="0.25">
      <c r="A44" s="14">
        <v>27542336</v>
      </c>
      <c r="B44" s="14">
        <v>25.4</v>
      </c>
      <c r="C44" s="14">
        <v>46.73</v>
      </c>
      <c r="D44" s="14">
        <v>41.64</v>
      </c>
      <c r="E44" s="14">
        <v>0</v>
      </c>
      <c r="F44" s="14">
        <v>0</v>
      </c>
      <c r="G44" s="14">
        <v>0</v>
      </c>
      <c r="H44" s="14">
        <v>37.89</v>
      </c>
      <c r="I44" s="14">
        <v>0</v>
      </c>
      <c r="J44" s="14">
        <v>5.62</v>
      </c>
      <c r="K44" s="14">
        <v>3.22</v>
      </c>
      <c r="L44" s="10">
        <v>6965.68</v>
      </c>
      <c r="M44" s="14">
        <v>0</v>
      </c>
      <c r="N44" s="14">
        <v>80</v>
      </c>
      <c r="O44" s="10">
        <v>171.97360781208999</v>
      </c>
    </row>
    <row r="45" spans="1:15" x14ac:dyDescent="0.25">
      <c r="A45" s="14">
        <v>27798330</v>
      </c>
      <c r="B45" s="14">
        <v>41.92</v>
      </c>
      <c r="C45" s="14">
        <v>316.20999999999998</v>
      </c>
      <c r="D45" s="14">
        <v>321.57</v>
      </c>
      <c r="E45" s="14">
        <v>0</v>
      </c>
      <c r="F45" s="14">
        <v>0</v>
      </c>
      <c r="G45" s="14">
        <v>0</v>
      </c>
      <c r="H45" s="14">
        <v>310.98</v>
      </c>
      <c r="I45" s="14">
        <v>0</v>
      </c>
      <c r="J45" s="14">
        <v>5.23</v>
      </c>
      <c r="K45" s="14">
        <v>0</v>
      </c>
      <c r="L45" s="10">
        <v>47507.29</v>
      </c>
      <c r="M45" s="14">
        <v>0</v>
      </c>
      <c r="N45" s="14">
        <v>80</v>
      </c>
      <c r="O45" s="10">
        <v>151.42095954723999</v>
      </c>
    </row>
    <row r="46" spans="1:15" x14ac:dyDescent="0.25">
      <c r="A46" s="14">
        <v>27837719</v>
      </c>
      <c r="B46" s="14">
        <v>9.75</v>
      </c>
      <c r="C46" s="14">
        <v>9.75</v>
      </c>
      <c r="D46" s="14">
        <v>9.6999999999999993</v>
      </c>
      <c r="E46" s="14">
        <v>0</v>
      </c>
      <c r="F46" s="14">
        <v>0</v>
      </c>
      <c r="G46" s="14">
        <v>0</v>
      </c>
      <c r="H46" s="14">
        <v>8.5</v>
      </c>
      <c r="I46" s="14">
        <v>0.51</v>
      </c>
      <c r="J46" s="14">
        <v>0.74</v>
      </c>
      <c r="K46" s="14">
        <v>0</v>
      </c>
      <c r="L46" s="10">
        <v>254.5</v>
      </c>
      <c r="M46" s="14">
        <v>0</v>
      </c>
      <c r="N46" s="14">
        <v>80</v>
      </c>
      <c r="O46" s="10">
        <v>22.976470588234999</v>
      </c>
    </row>
    <row r="47" spans="1:15" x14ac:dyDescent="0.25">
      <c r="A47" s="14">
        <v>28048777</v>
      </c>
      <c r="B47" s="14">
        <v>2.2999999999999998</v>
      </c>
      <c r="C47" s="14">
        <v>7.69</v>
      </c>
      <c r="D47" s="14">
        <v>7.15</v>
      </c>
      <c r="E47" s="14">
        <v>1.28</v>
      </c>
      <c r="F47" s="14">
        <v>0.14000000000000001</v>
      </c>
      <c r="G47" s="14">
        <v>0</v>
      </c>
      <c r="H47" s="14">
        <v>0</v>
      </c>
      <c r="I47" s="14">
        <v>4.55</v>
      </c>
      <c r="J47" s="14">
        <v>1.72</v>
      </c>
      <c r="K47" s="14">
        <v>0</v>
      </c>
      <c r="L47" s="10">
        <v>0</v>
      </c>
      <c r="M47" s="14">
        <v>0</v>
      </c>
      <c r="N47" s="14">
        <v>80</v>
      </c>
      <c r="O47" s="10">
        <v>0</v>
      </c>
    </row>
    <row r="48" spans="1:15" x14ac:dyDescent="0.25">
      <c r="A48" s="14">
        <v>28333919</v>
      </c>
      <c r="B48" s="14">
        <v>17.91</v>
      </c>
      <c r="C48" s="14">
        <v>27.73</v>
      </c>
      <c r="D48" s="14">
        <v>28.26</v>
      </c>
      <c r="E48" s="14">
        <v>0</v>
      </c>
      <c r="F48" s="14">
        <v>0</v>
      </c>
      <c r="G48" s="14">
        <v>0</v>
      </c>
      <c r="H48" s="14">
        <v>27.73</v>
      </c>
      <c r="I48" s="14">
        <v>0</v>
      </c>
      <c r="J48" s="14">
        <v>0</v>
      </c>
      <c r="K48" s="14">
        <v>0</v>
      </c>
      <c r="L48" s="10">
        <v>0</v>
      </c>
      <c r="M48" s="14">
        <v>0</v>
      </c>
      <c r="N48" s="14">
        <v>80</v>
      </c>
      <c r="O48" s="10">
        <v>0</v>
      </c>
    </row>
    <row r="49" spans="1:15" x14ac:dyDescent="0.25">
      <c r="A49" s="14">
        <v>28540744</v>
      </c>
      <c r="B49" s="14">
        <v>90.4</v>
      </c>
      <c r="C49" s="14">
        <v>564.09</v>
      </c>
      <c r="D49" s="14">
        <v>546.11</v>
      </c>
      <c r="E49" s="14">
        <v>0</v>
      </c>
      <c r="F49" s="14">
        <v>0</v>
      </c>
      <c r="G49" s="14">
        <v>0</v>
      </c>
      <c r="H49" s="14">
        <v>547.70000000000005</v>
      </c>
      <c r="I49" s="14">
        <v>3.74</v>
      </c>
      <c r="J49" s="14">
        <v>7.23</v>
      </c>
      <c r="K49" s="14">
        <v>5.42</v>
      </c>
      <c r="L49" s="10">
        <v>86823.79</v>
      </c>
      <c r="M49" s="14">
        <v>0</v>
      </c>
      <c r="N49" s="14">
        <v>80</v>
      </c>
      <c r="O49" s="10">
        <v>157.46830381596001</v>
      </c>
    </row>
    <row r="50" spans="1:15" x14ac:dyDescent="0.25">
      <c r="A50" s="14">
        <v>29110727</v>
      </c>
      <c r="B50" s="14">
        <v>8.56</v>
      </c>
      <c r="C50" s="14">
        <v>8.56</v>
      </c>
      <c r="D50" s="14">
        <v>8.41</v>
      </c>
      <c r="E50" s="14">
        <v>0</v>
      </c>
      <c r="F50" s="14">
        <v>0</v>
      </c>
      <c r="G50" s="14">
        <v>0</v>
      </c>
      <c r="H50" s="14">
        <v>8.3000000000000007</v>
      </c>
      <c r="I50" s="14">
        <v>0</v>
      </c>
      <c r="J50" s="14">
        <v>0.26</v>
      </c>
      <c r="K50" s="14">
        <v>0</v>
      </c>
      <c r="L50" s="10">
        <v>1143.29</v>
      </c>
      <c r="M50" s="14">
        <v>0</v>
      </c>
      <c r="N50" s="14">
        <v>80</v>
      </c>
      <c r="O50" s="10">
        <v>135.23975903613999</v>
      </c>
    </row>
    <row r="51" spans="1:15" x14ac:dyDescent="0.25">
      <c r="A51" s="14">
        <v>30840305</v>
      </c>
      <c r="B51" s="14">
        <v>7.73</v>
      </c>
      <c r="C51" s="14">
        <v>7.73</v>
      </c>
      <c r="D51" s="14">
        <v>5.63</v>
      </c>
      <c r="E51" s="14">
        <v>0</v>
      </c>
      <c r="F51" s="14">
        <v>0</v>
      </c>
      <c r="G51" s="14">
        <v>0</v>
      </c>
      <c r="H51" s="14">
        <v>4.79</v>
      </c>
      <c r="I51" s="14">
        <v>0</v>
      </c>
      <c r="J51" s="14">
        <v>0.9</v>
      </c>
      <c r="K51" s="14">
        <v>2.04</v>
      </c>
      <c r="L51" s="10">
        <v>0</v>
      </c>
      <c r="M51" s="14">
        <v>0</v>
      </c>
      <c r="N51" s="14">
        <v>80</v>
      </c>
      <c r="O51" s="10">
        <v>0</v>
      </c>
    </row>
    <row r="52" spans="1:15" x14ac:dyDescent="0.25">
      <c r="A52" s="14">
        <v>30941500</v>
      </c>
      <c r="B52" s="14">
        <v>2.83</v>
      </c>
      <c r="C52" s="14">
        <v>2.83</v>
      </c>
      <c r="D52" s="14">
        <v>2.75</v>
      </c>
      <c r="E52" s="14">
        <v>0</v>
      </c>
      <c r="F52" s="14">
        <v>0</v>
      </c>
      <c r="G52" s="14">
        <v>0</v>
      </c>
      <c r="H52" s="14">
        <v>2.36</v>
      </c>
      <c r="I52" s="14">
        <v>0</v>
      </c>
      <c r="J52" s="14">
        <v>0.47</v>
      </c>
      <c r="K52" s="14">
        <v>0</v>
      </c>
      <c r="L52" s="10">
        <v>222.12</v>
      </c>
      <c r="M52" s="14">
        <v>0</v>
      </c>
      <c r="N52" s="14">
        <v>80</v>
      </c>
      <c r="O52" s="10">
        <v>78.186440677966004</v>
      </c>
    </row>
    <row r="53" spans="1:15" x14ac:dyDescent="0.25">
      <c r="A53" s="14">
        <v>31220203</v>
      </c>
      <c r="B53" s="14">
        <v>0.77</v>
      </c>
      <c r="C53" s="14">
        <v>2.86</v>
      </c>
      <c r="D53" s="14">
        <v>2.76</v>
      </c>
      <c r="E53" s="14">
        <v>0</v>
      </c>
      <c r="F53" s="14">
        <v>0</v>
      </c>
      <c r="G53" s="14">
        <v>0</v>
      </c>
      <c r="H53" s="14">
        <v>2.86</v>
      </c>
      <c r="I53" s="14">
        <v>0</v>
      </c>
      <c r="J53" s="14">
        <v>0</v>
      </c>
      <c r="K53" s="14">
        <v>0</v>
      </c>
      <c r="L53" s="10">
        <v>0</v>
      </c>
      <c r="M53" s="14">
        <v>0</v>
      </c>
      <c r="N53" s="14">
        <v>80</v>
      </c>
      <c r="O53" s="10">
        <v>0</v>
      </c>
    </row>
    <row r="54" spans="1:15" x14ac:dyDescent="0.25">
      <c r="A54" s="14">
        <v>31385881</v>
      </c>
      <c r="B54" s="14">
        <v>8.73</v>
      </c>
      <c r="C54" s="14">
        <v>11.32</v>
      </c>
      <c r="D54" s="14">
        <v>10.97</v>
      </c>
      <c r="E54" s="14">
        <v>0</v>
      </c>
      <c r="F54" s="14">
        <v>0</v>
      </c>
      <c r="G54" s="14">
        <v>0</v>
      </c>
      <c r="H54" s="14">
        <v>9.92</v>
      </c>
      <c r="I54" s="14">
        <v>1.1499999999999999</v>
      </c>
      <c r="J54" s="14">
        <v>0</v>
      </c>
      <c r="K54" s="14">
        <v>0.25</v>
      </c>
      <c r="L54" s="10">
        <v>1592.33</v>
      </c>
      <c r="M54" s="14">
        <v>0</v>
      </c>
      <c r="N54" s="14">
        <v>80</v>
      </c>
      <c r="O54" s="10">
        <v>160.51713709677</v>
      </c>
    </row>
    <row r="55" spans="1:15" x14ac:dyDescent="0.25">
      <c r="A55" s="14">
        <v>32565859</v>
      </c>
      <c r="B55" s="14">
        <v>3.78</v>
      </c>
      <c r="C55" s="14">
        <v>3.78</v>
      </c>
      <c r="D55" s="14">
        <v>3.96</v>
      </c>
      <c r="E55" s="14">
        <v>0</v>
      </c>
      <c r="F55" s="14">
        <v>0</v>
      </c>
      <c r="G55" s="14">
        <v>0</v>
      </c>
      <c r="H55" s="14">
        <v>3.78</v>
      </c>
      <c r="I55" s="14">
        <v>0</v>
      </c>
      <c r="J55" s="14">
        <v>0</v>
      </c>
      <c r="K55" s="14">
        <v>0</v>
      </c>
      <c r="L55" s="10">
        <v>394.02</v>
      </c>
      <c r="M55" s="14">
        <v>0</v>
      </c>
      <c r="N55" s="14">
        <v>80</v>
      </c>
      <c r="O55" s="10">
        <v>104.2380952381</v>
      </c>
    </row>
    <row r="56" spans="1:15" x14ac:dyDescent="0.25">
      <c r="A56" s="14">
        <v>32756883</v>
      </c>
      <c r="B56" s="14">
        <v>1.38</v>
      </c>
      <c r="C56" s="14">
        <v>19.98</v>
      </c>
      <c r="D56" s="14">
        <v>19</v>
      </c>
      <c r="E56" s="14">
        <v>0</v>
      </c>
      <c r="F56" s="14">
        <v>0</v>
      </c>
      <c r="G56" s="14">
        <v>0</v>
      </c>
      <c r="H56" s="14">
        <v>18.350000000000001</v>
      </c>
      <c r="I56" s="14">
        <v>0</v>
      </c>
      <c r="J56" s="14">
        <v>1.63</v>
      </c>
      <c r="K56" s="14">
        <v>0</v>
      </c>
      <c r="L56" s="10">
        <v>1123.52</v>
      </c>
      <c r="M56" s="14">
        <v>0</v>
      </c>
      <c r="N56" s="14">
        <v>80</v>
      </c>
      <c r="O56" s="10">
        <v>54.120980926431002</v>
      </c>
    </row>
    <row r="57" spans="1:15" x14ac:dyDescent="0.25">
      <c r="A57" s="14">
        <v>32812864</v>
      </c>
      <c r="B57" s="14">
        <v>16.32</v>
      </c>
      <c r="C57" s="14">
        <v>345.38</v>
      </c>
      <c r="D57" s="14">
        <v>341.93</v>
      </c>
      <c r="E57" s="14">
        <v>0</v>
      </c>
      <c r="F57" s="14">
        <v>0</v>
      </c>
      <c r="G57" s="14">
        <v>0</v>
      </c>
      <c r="H57" s="14">
        <v>343.9</v>
      </c>
      <c r="I57" s="14">
        <v>0.57999999999999996</v>
      </c>
      <c r="J57" s="14">
        <v>0</v>
      </c>
      <c r="K57" s="14">
        <v>0.9</v>
      </c>
      <c r="L57" s="10">
        <v>72315.17</v>
      </c>
      <c r="M57" s="14">
        <v>0</v>
      </c>
      <c r="N57" s="14">
        <v>80</v>
      </c>
      <c r="O57" s="10">
        <v>210.27964524570999</v>
      </c>
    </row>
    <row r="58" spans="1:15" x14ac:dyDescent="0.25">
      <c r="A58" s="14">
        <v>35557628</v>
      </c>
      <c r="B58" s="14">
        <v>9.15</v>
      </c>
      <c r="C58" s="14">
        <v>1055.17</v>
      </c>
      <c r="D58" s="14">
        <v>1024.31</v>
      </c>
      <c r="E58" s="14">
        <v>0</v>
      </c>
      <c r="F58" s="14">
        <v>0</v>
      </c>
      <c r="G58" s="14">
        <v>0</v>
      </c>
      <c r="H58" s="14">
        <v>1035.5999999999999</v>
      </c>
      <c r="I58" s="14">
        <v>0.3</v>
      </c>
      <c r="J58" s="14">
        <v>13.65</v>
      </c>
      <c r="K58" s="14">
        <v>5.62</v>
      </c>
      <c r="L58" s="10">
        <v>95140.63</v>
      </c>
      <c r="M58" s="14">
        <v>0</v>
      </c>
      <c r="N58" s="14">
        <v>80</v>
      </c>
      <c r="O58" s="10">
        <v>90.815594824257005</v>
      </c>
    </row>
    <row r="59" spans="1:15" x14ac:dyDescent="0.25">
      <c r="A59" s="14">
        <v>42746568</v>
      </c>
      <c r="B59" s="14">
        <v>8.6199999999999992</v>
      </c>
      <c r="C59" s="14">
        <v>27.65</v>
      </c>
      <c r="D59" s="14">
        <v>30.59</v>
      </c>
      <c r="E59" s="14">
        <v>0</v>
      </c>
      <c r="F59" s="14">
        <v>0</v>
      </c>
      <c r="G59" s="14">
        <v>10.25</v>
      </c>
      <c r="H59" s="14">
        <v>15.07</v>
      </c>
      <c r="I59" s="14">
        <v>0</v>
      </c>
      <c r="J59" s="14">
        <v>2.33</v>
      </c>
      <c r="K59" s="14">
        <v>0</v>
      </c>
      <c r="L59" s="10">
        <v>2524.4899999999998</v>
      </c>
      <c r="M59" s="14">
        <v>0</v>
      </c>
      <c r="N59" s="14">
        <v>80</v>
      </c>
      <c r="O59" s="10">
        <v>155.14863968149001</v>
      </c>
    </row>
    <row r="60" spans="1:15" x14ac:dyDescent="0.25">
      <c r="A60" s="14">
        <v>42792314</v>
      </c>
      <c r="B60" s="14">
        <v>59.02</v>
      </c>
      <c r="C60" s="14">
        <v>61.13</v>
      </c>
      <c r="D60" s="14">
        <v>59.6</v>
      </c>
      <c r="E60" s="14">
        <v>0</v>
      </c>
      <c r="F60" s="14">
        <v>0</v>
      </c>
      <c r="G60" s="14">
        <v>0</v>
      </c>
      <c r="H60" s="14">
        <v>52.77</v>
      </c>
      <c r="I60" s="14">
        <v>0</v>
      </c>
      <c r="J60" s="14">
        <v>8.36</v>
      </c>
      <c r="K60" s="14">
        <v>0</v>
      </c>
      <c r="L60" s="10">
        <v>5502.9</v>
      </c>
      <c r="M60" s="14">
        <v>0</v>
      </c>
      <c r="N60" s="14">
        <v>80</v>
      </c>
      <c r="O60" s="10">
        <v>91.606973659275994</v>
      </c>
    </row>
    <row r="61" spans="1:15" x14ac:dyDescent="0.25">
      <c r="A61" s="14">
        <v>46500350</v>
      </c>
      <c r="B61" s="14">
        <v>48.44</v>
      </c>
      <c r="C61" s="14">
        <v>61.13</v>
      </c>
      <c r="D61" s="14">
        <v>58.78</v>
      </c>
      <c r="E61" s="14">
        <v>0</v>
      </c>
      <c r="F61" s="14">
        <v>0</v>
      </c>
      <c r="G61" s="14">
        <v>0</v>
      </c>
      <c r="H61" s="14">
        <v>0</v>
      </c>
      <c r="I61" s="14">
        <v>54.96</v>
      </c>
      <c r="J61" s="14">
        <v>6.17</v>
      </c>
      <c r="K61" s="14">
        <v>0</v>
      </c>
      <c r="L61" s="10">
        <v>0</v>
      </c>
      <c r="M61" s="14">
        <v>0</v>
      </c>
      <c r="N61" s="14">
        <v>80</v>
      </c>
      <c r="O61" s="10">
        <v>0</v>
      </c>
    </row>
    <row r="62" spans="1:15" x14ac:dyDescent="0.25">
      <c r="A62" s="14">
        <v>46981456</v>
      </c>
      <c r="B62" s="14">
        <v>5.44</v>
      </c>
      <c r="C62" s="14">
        <v>12.06</v>
      </c>
      <c r="D62" s="14">
        <v>12.2</v>
      </c>
      <c r="E62" s="14">
        <v>0</v>
      </c>
      <c r="F62" s="14">
        <v>0</v>
      </c>
      <c r="G62" s="14">
        <v>0</v>
      </c>
      <c r="H62" s="14">
        <v>12.06</v>
      </c>
      <c r="I62" s="14">
        <v>0</v>
      </c>
      <c r="J62" s="14">
        <v>0</v>
      </c>
      <c r="K62" s="14">
        <v>0</v>
      </c>
      <c r="L62" s="10">
        <v>2041.2</v>
      </c>
      <c r="M62" s="14">
        <v>0</v>
      </c>
      <c r="N62" s="14">
        <v>80</v>
      </c>
      <c r="O62" s="10">
        <v>169.25373134328001</v>
      </c>
    </row>
    <row r="63" spans="1:15" x14ac:dyDescent="0.25">
      <c r="A63" s="14">
        <v>48880010</v>
      </c>
      <c r="B63" s="14">
        <v>31.32</v>
      </c>
      <c r="C63" s="14">
        <v>31.32</v>
      </c>
      <c r="D63" s="14">
        <v>30.91</v>
      </c>
      <c r="E63" s="14">
        <v>0</v>
      </c>
      <c r="F63" s="14">
        <v>0</v>
      </c>
      <c r="G63" s="14">
        <v>0</v>
      </c>
      <c r="H63" s="14">
        <v>29.81</v>
      </c>
      <c r="I63" s="14">
        <v>0</v>
      </c>
      <c r="J63" s="14">
        <v>1.51</v>
      </c>
      <c r="K63" s="14">
        <v>0</v>
      </c>
      <c r="L63" s="10">
        <v>1992.8</v>
      </c>
      <c r="M63" s="14">
        <v>0</v>
      </c>
      <c r="N63" s="14">
        <v>80</v>
      </c>
      <c r="O63" s="10">
        <v>62.797718886280002</v>
      </c>
    </row>
    <row r="64" spans="1:15" x14ac:dyDescent="0.25">
      <c r="A64" s="14">
        <v>49299915</v>
      </c>
      <c r="B64" s="14">
        <v>17.62</v>
      </c>
      <c r="C64" s="14">
        <v>17.62</v>
      </c>
      <c r="D64" s="14">
        <v>17.3</v>
      </c>
      <c r="E64" s="14">
        <v>0</v>
      </c>
      <c r="F64" s="14">
        <v>0</v>
      </c>
      <c r="G64" s="14">
        <v>0</v>
      </c>
      <c r="H64" s="14">
        <v>0</v>
      </c>
      <c r="I64" s="14">
        <v>11.83</v>
      </c>
      <c r="J64" s="14">
        <v>5.79</v>
      </c>
      <c r="K64" s="14">
        <v>0</v>
      </c>
      <c r="L64" s="10">
        <v>144.65</v>
      </c>
      <c r="M64" s="14">
        <v>0</v>
      </c>
      <c r="N64" s="14">
        <v>80</v>
      </c>
      <c r="O64" s="10">
        <v>0</v>
      </c>
    </row>
    <row r="65" spans="1:15" x14ac:dyDescent="0.25">
      <c r="A65" s="14">
        <v>51310810</v>
      </c>
      <c r="B65" s="14">
        <v>10.25</v>
      </c>
      <c r="C65" s="14">
        <v>11.68</v>
      </c>
      <c r="D65" s="14">
        <v>11.85</v>
      </c>
      <c r="E65" s="14">
        <v>0</v>
      </c>
      <c r="F65" s="14">
        <v>0</v>
      </c>
      <c r="G65" s="14">
        <v>0</v>
      </c>
      <c r="H65" s="14">
        <v>10.25</v>
      </c>
      <c r="I65" s="14">
        <v>0</v>
      </c>
      <c r="J65" s="14">
        <v>1.43</v>
      </c>
      <c r="K65" s="14">
        <v>0</v>
      </c>
      <c r="L65" s="10">
        <v>1871.9</v>
      </c>
      <c r="M65" s="14">
        <v>0</v>
      </c>
      <c r="N65" s="14">
        <v>80</v>
      </c>
      <c r="O65" s="10">
        <v>171.46341463415001</v>
      </c>
    </row>
    <row r="66" spans="1:15" x14ac:dyDescent="0.25">
      <c r="A66" s="14">
        <v>60867216</v>
      </c>
      <c r="B66" s="14">
        <v>76.42</v>
      </c>
      <c r="C66" s="14">
        <v>84.3</v>
      </c>
      <c r="D66" s="14">
        <v>83.16</v>
      </c>
      <c r="E66" s="14">
        <v>0</v>
      </c>
      <c r="F66" s="14">
        <v>0</v>
      </c>
      <c r="G66" s="14">
        <v>0</v>
      </c>
      <c r="H66" s="14">
        <v>84.3</v>
      </c>
      <c r="I66" s="14">
        <v>0</v>
      </c>
      <c r="J66" s="14">
        <v>0</v>
      </c>
      <c r="K66" s="14">
        <v>0</v>
      </c>
      <c r="L66" s="10">
        <v>4168.3</v>
      </c>
      <c r="M66" s="14">
        <v>0</v>
      </c>
      <c r="N66" s="14">
        <v>80</v>
      </c>
      <c r="O66" s="10">
        <v>49.446026097271996</v>
      </c>
    </row>
    <row r="67" spans="1:15" x14ac:dyDescent="0.25">
      <c r="A67" s="14">
        <v>60997810</v>
      </c>
      <c r="B67" s="14">
        <v>18.88</v>
      </c>
      <c r="C67" s="14">
        <v>24.64</v>
      </c>
      <c r="D67" s="14">
        <v>24.8</v>
      </c>
      <c r="E67" s="14">
        <v>0</v>
      </c>
      <c r="F67" s="14">
        <v>0</v>
      </c>
      <c r="G67" s="14">
        <v>0</v>
      </c>
      <c r="H67" s="14">
        <v>24.64</v>
      </c>
      <c r="I67" s="14">
        <v>0</v>
      </c>
      <c r="J67" s="14">
        <v>0</v>
      </c>
      <c r="K67" s="14">
        <v>0</v>
      </c>
      <c r="L67" s="10">
        <v>519.27</v>
      </c>
      <c r="M67" s="14">
        <v>0</v>
      </c>
      <c r="N67" s="14">
        <v>80</v>
      </c>
      <c r="O67" s="10">
        <v>21.074269480519</v>
      </c>
    </row>
    <row r="68" spans="1:15" x14ac:dyDescent="0.25">
      <c r="A68" s="14">
        <v>64488414</v>
      </c>
      <c r="B68" s="14">
        <v>20.73</v>
      </c>
      <c r="C68" s="14">
        <v>154.33000000000001</v>
      </c>
      <c r="D68" s="14">
        <v>151.34</v>
      </c>
      <c r="E68" s="14">
        <v>0</v>
      </c>
      <c r="F68" s="14">
        <v>0</v>
      </c>
      <c r="G68" s="14">
        <v>0</v>
      </c>
      <c r="H68" s="14">
        <v>148.03</v>
      </c>
      <c r="I68" s="14">
        <v>0</v>
      </c>
      <c r="J68" s="14">
        <v>6.3</v>
      </c>
      <c r="K68" s="14">
        <v>0</v>
      </c>
      <c r="L68" s="10">
        <v>20802.349999999999</v>
      </c>
      <c r="M68" s="14">
        <v>0</v>
      </c>
      <c r="N68" s="14">
        <v>80</v>
      </c>
      <c r="O68" s="10">
        <v>137.12321826657001</v>
      </c>
    </row>
    <row r="69" spans="1:15" x14ac:dyDescent="0.25">
      <c r="A69" s="14">
        <v>64882228</v>
      </c>
      <c r="B69" s="14">
        <v>8.15</v>
      </c>
      <c r="C69" s="14">
        <v>37.479999999999997</v>
      </c>
      <c r="D69" s="14">
        <v>37.200000000000003</v>
      </c>
      <c r="E69" s="14">
        <v>0</v>
      </c>
      <c r="F69" s="14">
        <v>0</v>
      </c>
      <c r="G69" s="14">
        <v>0</v>
      </c>
      <c r="H69" s="14">
        <v>35.659999999999997</v>
      </c>
      <c r="I69" s="14">
        <v>0</v>
      </c>
      <c r="J69" s="14">
        <v>1.82</v>
      </c>
      <c r="K69" s="14">
        <v>0</v>
      </c>
      <c r="L69" s="10">
        <v>4321.24</v>
      </c>
      <c r="M69" s="14">
        <v>0</v>
      </c>
      <c r="N69" s="14">
        <v>80</v>
      </c>
      <c r="O69" s="10">
        <v>117.09590577678</v>
      </c>
    </row>
    <row r="70" spans="1:15" x14ac:dyDescent="0.25">
      <c r="A70" s="14">
        <v>65255618</v>
      </c>
      <c r="B70" s="14">
        <v>12.78</v>
      </c>
      <c r="C70" s="14">
        <v>38.68</v>
      </c>
      <c r="D70" s="14">
        <v>39.04</v>
      </c>
      <c r="E70" s="14">
        <v>0</v>
      </c>
      <c r="F70" s="14">
        <v>0</v>
      </c>
      <c r="G70" s="14">
        <v>0</v>
      </c>
      <c r="H70" s="14">
        <v>38.68</v>
      </c>
      <c r="I70" s="14">
        <v>0</v>
      </c>
      <c r="J70" s="14">
        <v>0</v>
      </c>
      <c r="K70" s="14">
        <v>0</v>
      </c>
      <c r="L70" s="10">
        <v>5090</v>
      </c>
      <c r="M70" s="14">
        <v>0</v>
      </c>
      <c r="N70" s="14">
        <v>80</v>
      </c>
      <c r="O70" s="10">
        <v>131.59255429161999</v>
      </c>
    </row>
    <row r="71" spans="1:15" x14ac:dyDescent="0.25">
      <c r="A71" s="14">
        <v>72101928</v>
      </c>
      <c r="B71" s="14">
        <v>14.55</v>
      </c>
      <c r="C71" s="14">
        <v>29.7</v>
      </c>
      <c r="D71" s="14">
        <v>28.89</v>
      </c>
      <c r="E71" s="14">
        <v>0</v>
      </c>
      <c r="F71" s="14">
        <v>0</v>
      </c>
      <c r="G71" s="14">
        <v>0</v>
      </c>
      <c r="H71" s="14">
        <v>28.73</v>
      </c>
      <c r="I71" s="14">
        <v>0</v>
      </c>
      <c r="J71" s="14">
        <v>0.97</v>
      </c>
      <c r="K71" s="14">
        <v>0</v>
      </c>
      <c r="L71" s="10">
        <v>1996</v>
      </c>
      <c r="M71" s="14">
        <v>0</v>
      </c>
      <c r="N71" s="14">
        <v>80</v>
      </c>
      <c r="O71" s="10">
        <v>66.773407587886993</v>
      </c>
    </row>
    <row r="72" spans="1:15" x14ac:dyDescent="0.25">
      <c r="A72" s="14">
        <v>72112512</v>
      </c>
      <c r="B72" s="14">
        <v>3.33</v>
      </c>
      <c r="C72" s="14">
        <v>3.33</v>
      </c>
      <c r="D72" s="14">
        <v>3.56</v>
      </c>
      <c r="E72" s="14">
        <v>0</v>
      </c>
      <c r="F72" s="14">
        <v>0</v>
      </c>
      <c r="G72" s="14">
        <v>0</v>
      </c>
      <c r="H72" s="14">
        <v>3.33</v>
      </c>
      <c r="I72" s="14">
        <v>0</v>
      </c>
      <c r="J72" s="14">
        <v>0</v>
      </c>
      <c r="K72" s="14">
        <v>0</v>
      </c>
      <c r="L72" s="10">
        <v>578.55999999999995</v>
      </c>
      <c r="M72" s="14">
        <v>0</v>
      </c>
      <c r="N72" s="14">
        <v>80</v>
      </c>
      <c r="O72" s="10">
        <v>173.74174174173999</v>
      </c>
    </row>
    <row r="73" spans="1:15" x14ac:dyDescent="0.25">
      <c r="A73" s="14">
        <v>72487214</v>
      </c>
      <c r="B73" s="14">
        <v>339.74</v>
      </c>
      <c r="C73" s="14">
        <v>495.55</v>
      </c>
      <c r="D73" s="14">
        <v>491.6</v>
      </c>
      <c r="E73" s="14">
        <v>0</v>
      </c>
      <c r="F73" s="14">
        <v>0</v>
      </c>
      <c r="G73" s="14">
        <v>0</v>
      </c>
      <c r="H73" s="14">
        <v>490.62</v>
      </c>
      <c r="I73" s="14">
        <v>2.5499999999999998</v>
      </c>
      <c r="J73" s="14">
        <v>2.38</v>
      </c>
      <c r="K73" s="14">
        <v>0</v>
      </c>
      <c r="L73" s="10">
        <v>101169.51</v>
      </c>
      <c r="M73" s="14">
        <v>0</v>
      </c>
      <c r="N73" s="14">
        <v>80</v>
      </c>
      <c r="O73" s="10">
        <v>205.81939178997999</v>
      </c>
    </row>
    <row r="74" spans="1:15" x14ac:dyDescent="0.25">
      <c r="A74" s="14">
        <v>72827015</v>
      </c>
      <c r="B74" s="14">
        <v>32.01</v>
      </c>
      <c r="C74" s="14">
        <v>32.01</v>
      </c>
      <c r="D74" s="14">
        <v>30.7</v>
      </c>
      <c r="E74" s="14">
        <v>0</v>
      </c>
      <c r="F74" s="14">
        <v>0</v>
      </c>
      <c r="G74" s="14">
        <v>0</v>
      </c>
      <c r="H74" s="14">
        <v>30.76</v>
      </c>
      <c r="I74" s="14">
        <v>0</v>
      </c>
      <c r="J74" s="14">
        <v>1.25</v>
      </c>
      <c r="K74" s="14">
        <v>0</v>
      </c>
      <c r="L74" s="10">
        <v>3966.38</v>
      </c>
      <c r="M74" s="14">
        <v>0</v>
      </c>
      <c r="N74" s="14">
        <v>80</v>
      </c>
      <c r="O74" s="10">
        <v>125.69505851756</v>
      </c>
    </row>
    <row r="75" spans="1:15" x14ac:dyDescent="0.25">
      <c r="A75" s="14">
        <v>74082815</v>
      </c>
      <c r="B75" s="14">
        <v>34.72</v>
      </c>
      <c r="C75" s="14">
        <v>34.72</v>
      </c>
      <c r="D75" s="14">
        <v>34.229999999999997</v>
      </c>
      <c r="E75" s="14">
        <v>0</v>
      </c>
      <c r="F75" s="14">
        <v>0</v>
      </c>
      <c r="G75" s="14">
        <v>0</v>
      </c>
      <c r="H75" s="14">
        <v>33.42</v>
      </c>
      <c r="I75" s="14">
        <v>0</v>
      </c>
      <c r="J75" s="14">
        <v>1.3</v>
      </c>
      <c r="K75" s="14">
        <v>0</v>
      </c>
      <c r="L75" s="10">
        <v>2330</v>
      </c>
      <c r="M75" s="14">
        <v>0</v>
      </c>
      <c r="N75" s="14">
        <v>80</v>
      </c>
      <c r="O75" s="10">
        <v>66.606822262118001</v>
      </c>
    </row>
    <row r="76" spans="1:15" x14ac:dyDescent="0.25">
      <c r="A76" s="14">
        <v>78591951</v>
      </c>
      <c r="B76" s="14">
        <v>11.24</v>
      </c>
      <c r="C76" s="14">
        <v>11.24</v>
      </c>
      <c r="D76" s="14">
        <v>11.23</v>
      </c>
      <c r="E76" s="14">
        <v>0</v>
      </c>
      <c r="F76" s="14">
        <v>0</v>
      </c>
      <c r="G76" s="14">
        <v>0</v>
      </c>
      <c r="H76" s="14">
        <v>11.24</v>
      </c>
      <c r="I76" s="14">
        <v>0</v>
      </c>
      <c r="J76" s="14">
        <v>0</v>
      </c>
      <c r="K76" s="14">
        <v>0</v>
      </c>
      <c r="L76" s="10">
        <v>912</v>
      </c>
      <c r="M76" s="14">
        <v>0</v>
      </c>
      <c r="N76" s="14">
        <v>80</v>
      </c>
      <c r="O76" s="10">
        <v>81.138790035586993</v>
      </c>
    </row>
    <row r="77" spans="1:15" x14ac:dyDescent="0.25">
      <c r="A77" s="14">
        <v>78857919</v>
      </c>
      <c r="B77" s="14">
        <v>82.92</v>
      </c>
      <c r="C77" s="14">
        <v>89.11</v>
      </c>
      <c r="D77" s="14">
        <v>87.16</v>
      </c>
      <c r="E77" s="14">
        <v>0</v>
      </c>
      <c r="F77" s="14">
        <v>0</v>
      </c>
      <c r="G77" s="14">
        <v>0</v>
      </c>
      <c r="H77" s="14">
        <v>87.57</v>
      </c>
      <c r="I77" s="14">
        <v>0</v>
      </c>
      <c r="J77" s="14">
        <v>1.54</v>
      </c>
      <c r="K77" s="14">
        <v>0</v>
      </c>
      <c r="L77" s="10">
        <v>18500.18</v>
      </c>
      <c r="M77" s="14">
        <v>0</v>
      </c>
      <c r="N77" s="14">
        <v>80</v>
      </c>
      <c r="O77" s="10">
        <v>209.85474477560999</v>
      </c>
    </row>
    <row r="78" spans="1:15" x14ac:dyDescent="0.25">
      <c r="A78" s="14">
        <v>79051152</v>
      </c>
      <c r="B78" s="14">
        <v>22.92</v>
      </c>
      <c r="C78" s="14">
        <v>27</v>
      </c>
      <c r="D78" s="14">
        <v>26.95</v>
      </c>
      <c r="E78" s="14">
        <v>0</v>
      </c>
      <c r="F78" s="14">
        <v>0</v>
      </c>
      <c r="G78" s="14">
        <v>0</v>
      </c>
      <c r="H78" s="14">
        <v>15.63</v>
      </c>
      <c r="I78" s="14">
        <v>11.37</v>
      </c>
      <c r="J78" s="14">
        <v>0</v>
      </c>
      <c r="K78" s="14">
        <v>0</v>
      </c>
      <c r="L78" s="10">
        <v>2989.29</v>
      </c>
      <c r="M78" s="14">
        <v>0</v>
      </c>
      <c r="N78" s="14">
        <v>80</v>
      </c>
      <c r="O78" s="10">
        <v>191.25335892513999</v>
      </c>
    </row>
    <row r="79" spans="1:15" x14ac:dyDescent="0.25">
      <c r="A79" s="14">
        <v>79580759</v>
      </c>
      <c r="B79" s="14">
        <v>12.39</v>
      </c>
      <c r="C79" s="14">
        <v>23.96</v>
      </c>
      <c r="D79" s="14">
        <v>23.65</v>
      </c>
      <c r="E79" s="14">
        <v>0</v>
      </c>
      <c r="F79" s="14">
        <v>0</v>
      </c>
      <c r="G79" s="14">
        <v>0</v>
      </c>
      <c r="H79" s="14">
        <v>23.96</v>
      </c>
      <c r="I79" s="14">
        <v>0</v>
      </c>
      <c r="J79" s="14">
        <v>0</v>
      </c>
      <c r="K79" s="14">
        <v>0</v>
      </c>
      <c r="L79" s="10">
        <v>0</v>
      </c>
      <c r="M79" s="14">
        <v>0</v>
      </c>
      <c r="N79" s="14">
        <v>80</v>
      </c>
      <c r="O79" s="10">
        <v>0</v>
      </c>
    </row>
    <row r="80" spans="1:15" x14ac:dyDescent="0.25">
      <c r="A80" s="14">
        <v>79622559</v>
      </c>
      <c r="B80" s="14">
        <v>24.93</v>
      </c>
      <c r="C80" s="14">
        <v>29.78</v>
      </c>
      <c r="D80" s="14">
        <v>29.81</v>
      </c>
      <c r="E80" s="14">
        <v>0</v>
      </c>
      <c r="F80" s="14">
        <v>0</v>
      </c>
      <c r="G80" s="14">
        <v>0</v>
      </c>
      <c r="H80" s="14">
        <v>29.78</v>
      </c>
      <c r="I80" s="14">
        <v>0</v>
      </c>
      <c r="J80" s="14">
        <v>0</v>
      </c>
      <c r="K80" s="14">
        <v>0</v>
      </c>
      <c r="L80" s="10">
        <v>1916.58</v>
      </c>
      <c r="M80" s="14">
        <v>0</v>
      </c>
      <c r="N80" s="14">
        <v>80</v>
      </c>
      <c r="O80" s="10">
        <v>64.357958361315994</v>
      </c>
    </row>
    <row r="81" spans="1:15" x14ac:dyDescent="0.25">
      <c r="A81" s="14">
        <v>83514116</v>
      </c>
      <c r="B81" s="14">
        <v>13.02</v>
      </c>
      <c r="C81" s="14">
        <v>12.75</v>
      </c>
      <c r="D81" s="14">
        <v>12.1</v>
      </c>
      <c r="E81" s="14">
        <v>0</v>
      </c>
      <c r="F81" s="14">
        <v>0</v>
      </c>
      <c r="G81" s="14">
        <v>0</v>
      </c>
      <c r="H81" s="14">
        <v>9.09</v>
      </c>
      <c r="I81" s="14">
        <v>0</v>
      </c>
      <c r="J81" s="14">
        <v>3.66</v>
      </c>
      <c r="K81" s="14">
        <v>0</v>
      </c>
      <c r="L81" s="10">
        <v>2863.76</v>
      </c>
      <c r="M81" s="14">
        <v>0</v>
      </c>
      <c r="N81" s="14">
        <v>80</v>
      </c>
      <c r="O81" s="10">
        <v>282.83388338833998</v>
      </c>
    </row>
    <row r="82" spans="1:15" x14ac:dyDescent="0.25">
      <c r="A82" s="14">
        <v>84696714</v>
      </c>
      <c r="B82" s="14">
        <v>28.76</v>
      </c>
      <c r="C82" s="14">
        <v>33.200000000000003</v>
      </c>
      <c r="D82" s="14">
        <v>33.93</v>
      </c>
      <c r="E82" s="14">
        <v>0</v>
      </c>
      <c r="F82" s="14">
        <v>0</v>
      </c>
      <c r="G82" s="14">
        <v>0</v>
      </c>
      <c r="H82" s="14">
        <v>30.02</v>
      </c>
      <c r="I82" s="14">
        <v>3.18</v>
      </c>
      <c r="J82" s="14">
        <v>0</v>
      </c>
      <c r="K82" s="14">
        <v>0</v>
      </c>
      <c r="L82" s="10">
        <v>2989.2</v>
      </c>
      <c r="M82" s="14">
        <v>0</v>
      </c>
      <c r="N82" s="14">
        <v>80</v>
      </c>
      <c r="O82" s="10">
        <v>99.573617588274004</v>
      </c>
    </row>
    <row r="83" spans="1:15" x14ac:dyDescent="0.25">
      <c r="A83" s="14">
        <v>85173014</v>
      </c>
      <c r="B83" s="14">
        <v>3.03</v>
      </c>
      <c r="C83" s="14">
        <v>5.93</v>
      </c>
      <c r="D83" s="14">
        <v>6</v>
      </c>
      <c r="E83" s="14">
        <v>0</v>
      </c>
      <c r="F83" s="14">
        <v>0</v>
      </c>
      <c r="G83" s="14">
        <v>0</v>
      </c>
      <c r="H83" s="14">
        <v>5.93</v>
      </c>
      <c r="I83" s="14">
        <v>0</v>
      </c>
      <c r="J83" s="14">
        <v>0</v>
      </c>
      <c r="K83" s="14">
        <v>0</v>
      </c>
      <c r="L83" s="10">
        <v>538.24</v>
      </c>
      <c r="M83" s="14">
        <v>0</v>
      </c>
      <c r="N83" s="14">
        <v>80</v>
      </c>
      <c r="O83" s="10">
        <v>90.765598650927004</v>
      </c>
    </row>
    <row r="84" spans="1:15" x14ac:dyDescent="0.25">
      <c r="A84" s="14">
        <v>87840859</v>
      </c>
      <c r="B84" s="14">
        <v>37.72</v>
      </c>
      <c r="C84" s="14">
        <v>80.08</v>
      </c>
      <c r="D84" s="14">
        <v>81.180000000000007</v>
      </c>
      <c r="E84" s="14">
        <v>0</v>
      </c>
      <c r="F84" s="14">
        <v>0</v>
      </c>
      <c r="G84" s="14">
        <v>0</v>
      </c>
      <c r="H84" s="14">
        <v>64.94</v>
      </c>
      <c r="I84" s="14">
        <v>0</v>
      </c>
      <c r="J84" s="14">
        <v>13.83</v>
      </c>
      <c r="K84" s="14">
        <v>1.31</v>
      </c>
      <c r="L84" s="10">
        <v>11832.07</v>
      </c>
      <c r="M84" s="14">
        <v>0</v>
      </c>
      <c r="N84" s="14">
        <v>80</v>
      </c>
      <c r="O84" s="10">
        <v>165.16276562981</v>
      </c>
    </row>
    <row r="85" spans="1:15" x14ac:dyDescent="0.25">
      <c r="A85" s="14">
        <v>88207114</v>
      </c>
      <c r="B85" s="14">
        <v>1.82</v>
      </c>
      <c r="C85" s="14">
        <v>70.489999999999995</v>
      </c>
      <c r="D85" s="14">
        <v>70.7</v>
      </c>
      <c r="E85" s="14">
        <v>0</v>
      </c>
      <c r="F85" s="14">
        <v>0</v>
      </c>
      <c r="G85" s="14">
        <v>0</v>
      </c>
      <c r="H85" s="14">
        <v>70.489999999999995</v>
      </c>
      <c r="I85" s="14">
        <v>0</v>
      </c>
      <c r="J85" s="14">
        <v>0</v>
      </c>
      <c r="K85" s="14">
        <v>0</v>
      </c>
      <c r="L85" s="10">
        <v>5462.3</v>
      </c>
      <c r="M85" s="14">
        <v>0</v>
      </c>
      <c r="N85" s="14">
        <v>80</v>
      </c>
      <c r="O85" s="10">
        <v>77.490424173641998</v>
      </c>
    </row>
    <row r="86" spans="1:15" x14ac:dyDescent="0.25">
      <c r="A86" s="14">
        <v>88256352</v>
      </c>
      <c r="B86" s="14">
        <v>38.130000000000003</v>
      </c>
      <c r="C86" s="14">
        <v>40.020000000000003</v>
      </c>
      <c r="D86" s="14">
        <v>40</v>
      </c>
      <c r="E86" s="14">
        <v>0</v>
      </c>
      <c r="F86" s="14">
        <v>0</v>
      </c>
      <c r="G86" s="14">
        <v>0</v>
      </c>
      <c r="H86" s="14">
        <v>35.83</v>
      </c>
      <c r="I86" s="14">
        <v>0</v>
      </c>
      <c r="J86" s="14">
        <v>4.1900000000000004</v>
      </c>
      <c r="K86" s="14">
        <v>0</v>
      </c>
      <c r="L86" s="10">
        <v>5896.35</v>
      </c>
      <c r="M86" s="14">
        <v>0</v>
      </c>
      <c r="N86" s="14">
        <v>80</v>
      </c>
      <c r="O86" s="10">
        <v>155.20932179738</v>
      </c>
    </row>
    <row r="87" spans="1:15" x14ac:dyDescent="0.25">
      <c r="A87" s="14">
        <v>98331859</v>
      </c>
      <c r="B87" s="14">
        <v>3.67</v>
      </c>
      <c r="C87" s="14">
        <v>9</v>
      </c>
      <c r="D87" s="14">
        <v>9.1999999999999993</v>
      </c>
      <c r="E87" s="14">
        <v>0</v>
      </c>
      <c r="F87" s="14">
        <v>0</v>
      </c>
      <c r="G87" s="14">
        <v>0</v>
      </c>
      <c r="H87" s="14">
        <v>9</v>
      </c>
      <c r="I87" s="14">
        <v>0</v>
      </c>
      <c r="J87" s="14">
        <v>0</v>
      </c>
      <c r="K87" s="14">
        <v>0</v>
      </c>
      <c r="L87" s="10">
        <v>0</v>
      </c>
      <c r="M87" s="14">
        <v>0</v>
      </c>
      <c r="N87" s="14">
        <v>80</v>
      </c>
      <c r="O87" s="10">
        <v>0</v>
      </c>
    </row>
    <row r="88" spans="1:15" x14ac:dyDescent="0.25">
      <c r="A88" s="14">
        <v>98333053</v>
      </c>
      <c r="B88" s="14">
        <v>288.98</v>
      </c>
      <c r="C88" s="14">
        <v>358.49</v>
      </c>
      <c r="D88" s="14">
        <v>352.73</v>
      </c>
      <c r="E88" s="14">
        <v>0</v>
      </c>
      <c r="F88" s="14">
        <v>0</v>
      </c>
      <c r="G88" s="14">
        <v>0</v>
      </c>
      <c r="H88" s="14">
        <v>328.88</v>
      </c>
      <c r="I88" s="14">
        <v>1.61</v>
      </c>
      <c r="J88" s="14">
        <v>28</v>
      </c>
      <c r="K88" s="14">
        <v>0</v>
      </c>
      <c r="L88" s="10">
        <v>42688.45</v>
      </c>
      <c r="M88" s="14">
        <v>0</v>
      </c>
      <c r="N88" s="14">
        <v>80</v>
      </c>
      <c r="O88" s="10">
        <v>122.98847603989</v>
      </c>
    </row>
    <row r="89" spans="1:15" x14ac:dyDescent="0.25">
      <c r="A89" s="14">
        <v>98400257</v>
      </c>
      <c r="B89" s="14">
        <v>33.81</v>
      </c>
      <c r="C89" s="14">
        <v>33.81</v>
      </c>
      <c r="D89" s="14">
        <v>40.549999999999997</v>
      </c>
      <c r="E89" s="14">
        <v>0</v>
      </c>
      <c r="F89" s="14">
        <v>0</v>
      </c>
      <c r="G89" s="14">
        <v>0</v>
      </c>
      <c r="H89" s="14">
        <v>33.81</v>
      </c>
      <c r="I89" s="14">
        <v>0</v>
      </c>
      <c r="J89" s="14">
        <v>0</v>
      </c>
      <c r="K89" s="14">
        <v>0</v>
      </c>
      <c r="L89" s="10">
        <v>1672</v>
      </c>
      <c r="M89" s="14">
        <v>0</v>
      </c>
      <c r="N89" s="14">
        <v>80</v>
      </c>
      <c r="O89" s="10">
        <v>49.452824608104002</v>
      </c>
    </row>
    <row r="90" spans="1:15" x14ac:dyDescent="0.25">
      <c r="A90" s="14">
        <v>98481257</v>
      </c>
      <c r="B90" s="14">
        <v>61.51</v>
      </c>
      <c r="C90" s="14">
        <v>90.33</v>
      </c>
      <c r="D90" s="14">
        <v>89.97</v>
      </c>
      <c r="E90" s="14">
        <v>5.66</v>
      </c>
      <c r="F90" s="14">
        <v>0</v>
      </c>
      <c r="G90" s="14">
        <v>0</v>
      </c>
      <c r="H90" s="14">
        <v>81.150000000000006</v>
      </c>
      <c r="I90" s="14">
        <v>0</v>
      </c>
      <c r="J90" s="14">
        <v>3.52</v>
      </c>
      <c r="K90" s="14">
        <v>0</v>
      </c>
      <c r="L90" s="10">
        <v>7740</v>
      </c>
      <c r="M90" s="14">
        <v>0</v>
      </c>
      <c r="N90" s="14">
        <v>80</v>
      </c>
      <c r="O90" s="10">
        <v>91.908810844116005</v>
      </c>
    </row>
    <row r="91" spans="1:15" x14ac:dyDescent="0.25">
      <c r="A91" s="14">
        <v>99478357</v>
      </c>
      <c r="B91" s="14">
        <v>11.3</v>
      </c>
      <c r="C91" s="14">
        <v>23.7</v>
      </c>
      <c r="D91" s="14">
        <v>23.63</v>
      </c>
      <c r="E91" s="14">
        <v>0</v>
      </c>
      <c r="F91" s="14">
        <v>0</v>
      </c>
      <c r="G91" s="14">
        <v>0</v>
      </c>
      <c r="H91" s="14">
        <v>22.97</v>
      </c>
      <c r="I91" s="14">
        <v>0</v>
      </c>
      <c r="J91" s="14">
        <v>0.73</v>
      </c>
      <c r="K91" s="14">
        <v>0</v>
      </c>
      <c r="L91" s="10">
        <v>2250</v>
      </c>
      <c r="M91" s="14">
        <v>0</v>
      </c>
      <c r="N91" s="14">
        <v>80</v>
      </c>
      <c r="O91" s="10">
        <v>95.411406181976005</v>
      </c>
    </row>
    <row r="92" spans="1:15" x14ac:dyDescent="0.25">
      <c r="A92" s="14">
        <v>99534168</v>
      </c>
      <c r="B92" s="14">
        <v>7.75</v>
      </c>
      <c r="C92" s="14">
        <v>7.75</v>
      </c>
      <c r="D92" s="14">
        <v>7.53</v>
      </c>
      <c r="E92" s="14">
        <v>0</v>
      </c>
      <c r="F92" s="14">
        <v>0</v>
      </c>
      <c r="G92" s="14">
        <v>0</v>
      </c>
      <c r="H92" s="14">
        <v>7.75</v>
      </c>
      <c r="I92" s="14">
        <v>0</v>
      </c>
      <c r="J92" s="14">
        <v>0</v>
      </c>
      <c r="K92" s="14">
        <v>0</v>
      </c>
      <c r="L92" s="10">
        <v>81.760000000000005</v>
      </c>
      <c r="M92" s="14">
        <v>0</v>
      </c>
      <c r="N92" s="14">
        <v>80</v>
      </c>
      <c r="O92" s="10">
        <v>10.549677419355</v>
      </c>
    </row>
    <row r="93" spans="1:15" x14ac:dyDescent="0.25">
      <c r="A93" s="14">
        <v>99614854</v>
      </c>
      <c r="B93" s="14">
        <v>8.3699999999999992</v>
      </c>
      <c r="C93" s="14">
        <v>8.3699999999999992</v>
      </c>
      <c r="D93" s="14">
        <v>6.2</v>
      </c>
      <c r="E93" s="14">
        <v>0</v>
      </c>
      <c r="F93" s="14">
        <v>0</v>
      </c>
      <c r="G93" s="14">
        <v>0</v>
      </c>
      <c r="H93" s="14">
        <v>2.79</v>
      </c>
      <c r="I93" s="14">
        <v>0</v>
      </c>
      <c r="J93" s="14">
        <v>3.7</v>
      </c>
      <c r="K93" s="14">
        <v>1.88</v>
      </c>
      <c r="L93" s="10">
        <v>196.86</v>
      </c>
      <c r="M93" s="14">
        <v>0</v>
      </c>
      <c r="N93" s="14">
        <v>80</v>
      </c>
      <c r="O93" s="1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32"/>
  <sheetViews>
    <sheetView workbookViewId="0">
      <pane xSplit="1" ySplit="1" topLeftCell="AB2" activePane="bottomRight" state="frozen"/>
      <selection pane="topRight" activeCell="B1" sqref="B1"/>
      <selection pane="bottomLeft" activeCell="A2" sqref="A2"/>
      <selection pane="bottomRight" activeCell="AO1" sqref="AO1"/>
    </sheetView>
  </sheetViews>
  <sheetFormatPr defaultColWidth="9.140625" defaultRowHeight="15" x14ac:dyDescent="0.25"/>
  <cols>
    <col min="1" max="9" width="9.140625" style="15"/>
    <col min="10" max="10" width="9.140625" style="1"/>
    <col min="11" max="18" width="9.140625" style="15"/>
    <col min="19" max="19" width="9.140625" style="10"/>
    <col min="20" max="20" width="9.140625" style="15"/>
    <col min="21" max="21" width="10" style="15" customWidth="1"/>
    <col min="22" max="16384" width="9.140625" style="15"/>
  </cols>
  <sheetData>
    <row r="1" spans="1:39" ht="90" x14ac:dyDescent="0.25">
      <c r="A1" s="7" t="s">
        <v>12</v>
      </c>
      <c r="B1" s="7" t="s">
        <v>1371</v>
      </c>
      <c r="C1" s="7" t="s">
        <v>14</v>
      </c>
      <c r="D1" s="7" t="s">
        <v>15</v>
      </c>
      <c r="E1" s="7" t="s">
        <v>16</v>
      </c>
      <c r="F1" s="7" t="s">
        <v>17</v>
      </c>
      <c r="G1" s="7" t="s">
        <v>18</v>
      </c>
      <c r="H1" s="7" t="s">
        <v>19</v>
      </c>
      <c r="I1" s="7" t="s">
        <v>1372</v>
      </c>
      <c r="J1" s="9" t="s">
        <v>20</v>
      </c>
      <c r="K1" s="7" t="s">
        <v>21</v>
      </c>
      <c r="L1" s="7" t="s">
        <v>1373</v>
      </c>
      <c r="M1" s="7" t="s">
        <v>1</v>
      </c>
      <c r="N1" s="7" t="s">
        <v>22</v>
      </c>
      <c r="O1" s="7" t="s">
        <v>1374</v>
      </c>
      <c r="P1" s="7" t="s">
        <v>23</v>
      </c>
      <c r="Q1" s="7" t="s">
        <v>24</v>
      </c>
      <c r="R1" s="9" t="s">
        <v>0</v>
      </c>
      <c r="S1" s="12" t="s">
        <v>1375</v>
      </c>
      <c r="T1" s="7" t="s">
        <v>1376</v>
      </c>
      <c r="U1" s="7" t="s">
        <v>1624</v>
      </c>
      <c r="V1" s="7" t="s">
        <v>1625</v>
      </c>
      <c r="W1" s="7" t="s">
        <v>1626</v>
      </c>
      <c r="X1" s="48" t="s">
        <v>1599</v>
      </c>
      <c r="Y1" s="48" t="s">
        <v>1600</v>
      </c>
      <c r="Z1" s="48" t="s">
        <v>1609</v>
      </c>
      <c r="AA1" s="48" t="s">
        <v>1608</v>
      </c>
      <c r="AB1" s="48" t="s">
        <v>1601</v>
      </c>
      <c r="AC1" s="48" t="s">
        <v>1602</v>
      </c>
      <c r="AD1" s="48" t="s">
        <v>1627</v>
      </c>
      <c r="AE1" s="48" t="s">
        <v>1628</v>
      </c>
      <c r="AF1" s="48" t="s">
        <v>1629</v>
      </c>
      <c r="AG1" s="48" t="s">
        <v>1630</v>
      </c>
      <c r="AH1" s="48" t="s">
        <v>1654</v>
      </c>
      <c r="AI1" s="48" t="s">
        <v>1656</v>
      </c>
      <c r="AJ1" s="48" t="s">
        <v>1650</v>
      </c>
      <c r="AK1" s="48" t="s">
        <v>1651</v>
      </c>
      <c r="AL1" s="48" t="s">
        <v>1652</v>
      </c>
      <c r="AM1" s="48" t="s">
        <v>1653</v>
      </c>
    </row>
    <row r="2" spans="1:39" x14ac:dyDescent="0.25">
      <c r="A2" s="15">
        <v>10225531</v>
      </c>
      <c r="B2" s="15">
        <v>9.4600000000000009</v>
      </c>
      <c r="C2" s="15">
        <v>446459</v>
      </c>
      <c r="D2" s="15">
        <v>21858</v>
      </c>
      <c r="E2" s="15" t="s">
        <v>25</v>
      </c>
      <c r="F2" s="15">
        <v>2011</v>
      </c>
      <c r="G2" s="15">
        <v>20110217</v>
      </c>
      <c r="H2" s="15">
        <v>16480</v>
      </c>
      <c r="I2" s="15">
        <v>1.65</v>
      </c>
      <c r="J2" s="6" t="s">
        <v>26</v>
      </c>
      <c r="K2" s="15">
        <v>254</v>
      </c>
      <c r="L2" s="15" t="s">
        <v>27</v>
      </c>
      <c r="M2" s="15" t="s">
        <v>4</v>
      </c>
      <c r="N2" s="11" t="s">
        <v>1384</v>
      </c>
      <c r="O2" s="11" t="s">
        <v>28</v>
      </c>
      <c r="P2" s="11" t="s">
        <v>29</v>
      </c>
      <c r="Q2" s="15">
        <v>95</v>
      </c>
      <c r="R2" s="11" t="s">
        <v>3</v>
      </c>
      <c r="S2" s="10">
        <v>0</v>
      </c>
      <c r="T2" s="15">
        <v>80</v>
      </c>
      <c r="U2" s="15">
        <v>0</v>
      </c>
      <c r="V2" s="15">
        <v>0</v>
      </c>
      <c r="W2" s="15">
        <v>0</v>
      </c>
      <c r="X2" s="15">
        <f>IF(O2='Udvaskning nøgletal'!$D$65,1,IF(O2='Udvaskning nøgletal'!$D$66,2,IF(O2='Udvaskning nøgletal'!$D$67,3,IF(O2='Udvaskning nøgletal'!$D$68,2,""))))</f>
        <v>1</v>
      </c>
      <c r="Y2" s="15">
        <f>LOOKUP(K2,'Udvaskning nøgletal'!$C$12:$C$60,'Udvaskning nøgletal'!$H$12:$H$60)</f>
        <v>0</v>
      </c>
      <c r="Z2" s="10">
        <f>IF($X2=1,LOOKUP(K2,'Udvaskning nøgletal'!$C$12:$C$60,'Udvaskning nøgletal'!$E$12:$E$60)+Markniveau!$Y2*Markniveau!$S2/100,IF($X2=2,LOOKUP(K2,'Udvaskning nøgletal'!$C$12:$C$60,'Udvaskning nøgletal'!$F$12:$F$60)+Markniveau!$Y2*Markniveau!$S2/100,IF($X2=3,LOOKUP(K2,'Udvaskning nøgletal'!$C$12:$C$60,'Udvaskning nøgletal'!G12:G60)+Markniveau!$Y2*Markniveau!$S2/100,"")))</f>
        <v>21.2</v>
      </c>
      <c r="AA2" s="10">
        <f>Z2*I2</f>
        <v>34.979999999999997</v>
      </c>
      <c r="AB2" s="10">
        <f>IF($Q2&gt;0,(100-$Q2)*Z2/100,"")</f>
        <v>1.06</v>
      </c>
      <c r="AC2" s="10">
        <f>IF(Q2&gt;0,AB2*I2)</f>
        <v>1.7489999999999999</v>
      </c>
      <c r="AD2" s="10">
        <f>IF(AND(Q2&gt;0,Q2&lt;30,K2&lt;8),Markniveau!Z2*'Udvaskning nøgletal'!$I$12/100,IF(AND(Q2&gt;0,Q2&lt;30,K2=216),Markniveau!Z2*'Udvaskning nøgletal'!$I$34/100,Markniveau!Z2))</f>
        <v>21.2</v>
      </c>
      <c r="AE2" s="10">
        <f>AD2*$I2</f>
        <v>34.979999999999997</v>
      </c>
      <c r="AF2" s="10">
        <f>IF($Q2&gt;0,(100-$Q2)*$AD2/100,"")</f>
        <v>1.06</v>
      </c>
      <c r="AG2" s="10">
        <f>IF($Q2&gt;0,(100-$Q2)*$AD2/100*I$2,"")</f>
        <v>1.7489999999999999</v>
      </c>
      <c r="AH2" s="10" t="str">
        <f>IF(AND(Q2&gt;0,Q2&lt;30,K2=216),'Udvaskning nøgletal'!$C$42,IF(AND(Q2&gt;0,Q2&lt;30,K2&gt;7,K2&lt;17),'Udvaskning nøgletal'!$C$61,IF(AND(Q2&gt;0,Q2&lt;30,K2&lt;7),'Udvaskning nøgletal'!$C$62,"")))</f>
        <v/>
      </c>
      <c r="AI2" s="10">
        <f>IF(SUM(AH2)&gt;0,AH2,K2)</f>
        <v>254</v>
      </c>
      <c r="AJ2" s="10">
        <f>IF($X2=1,LOOKUP(AI2,'Udvaskning nøgletal'!$C$12:$C$62,'Udvaskning nøgletal'!$E$12:$E$62)+Markniveau!$Y2*Markniveau!$S2/100,IF($X2=2,LOOKUP(AI2,'Udvaskning nøgletal'!$C$12:$C$62,'Udvaskning nøgletal'!$F$12:$F$62)+Markniveau!$Y2*Markniveau!$S2/100,IF($X2=3,LOOKUP(AI2,'Udvaskning nøgletal'!$C$12:$C$62,'Udvaskning nøgletal'!Q12:Q62)+Markniveau!$Y2*Markniveau!$S2/100,"")))</f>
        <v>21.2</v>
      </c>
      <c r="AK2" s="10">
        <f>AJ2*$I2</f>
        <v>34.979999999999997</v>
      </c>
      <c r="AL2" s="10">
        <f>IF($Q2&gt;0,(100-$Q2)*AJ2/100,"")</f>
        <v>1.06</v>
      </c>
      <c r="AM2" s="10">
        <f>IF($Q2&gt;0,(100-$Q2)*AJ2/100*I2,"")</f>
        <v>1.7489999999999999</v>
      </c>
    </row>
    <row r="3" spans="1:39" x14ac:dyDescent="0.25">
      <c r="A3" s="15">
        <v>10225531</v>
      </c>
      <c r="B3" s="15">
        <v>9.4600000000000009</v>
      </c>
      <c r="C3" s="15">
        <v>446952</v>
      </c>
      <c r="D3" s="15">
        <v>21858</v>
      </c>
      <c r="E3" s="15" t="s">
        <v>25</v>
      </c>
      <c r="F3" s="15">
        <v>2011</v>
      </c>
      <c r="G3" s="15">
        <v>20110217</v>
      </c>
      <c r="H3" s="15">
        <v>4409</v>
      </c>
      <c r="I3" s="15">
        <v>0.44</v>
      </c>
      <c r="J3" s="6" t="s">
        <v>1385</v>
      </c>
      <c r="K3" s="15">
        <v>254</v>
      </c>
      <c r="L3" s="15" t="s">
        <v>27</v>
      </c>
      <c r="M3" s="15" t="s">
        <v>4</v>
      </c>
      <c r="N3" s="11" t="s">
        <v>1384</v>
      </c>
      <c r="O3" s="11" t="s">
        <v>28</v>
      </c>
      <c r="P3" s="11" t="s">
        <v>29</v>
      </c>
      <c r="Q3" s="15">
        <v>1</v>
      </c>
      <c r="R3" s="11" t="s">
        <v>11</v>
      </c>
      <c r="S3" s="10">
        <v>0</v>
      </c>
      <c r="T3" s="15">
        <v>80</v>
      </c>
      <c r="U3" s="15">
        <v>0</v>
      </c>
      <c r="V3" s="15">
        <v>0</v>
      </c>
      <c r="W3" s="15">
        <v>0</v>
      </c>
      <c r="X3" s="15">
        <f>IF(O3='Udvaskning nøgletal'!$D$65,1,IF(O3='Udvaskning nøgletal'!$D$66,2,IF(O3='Udvaskning nøgletal'!$D$67,3,IF(O3='Udvaskning nøgletal'!$D$68,2,""))))</f>
        <v>1</v>
      </c>
      <c r="Y3" s="15">
        <f>LOOKUP(K3,'Udvaskning nøgletal'!$C$12:$C$60,'Udvaskning nøgletal'!$H$12:$H$60)</f>
        <v>0</v>
      </c>
      <c r="Z3" s="10">
        <f>IF(X3=1,LOOKUP(K3,'Udvaskning nøgletal'!$C$12:$C$60,'Udvaskning nøgletal'!$E$12:$E$60)+Markniveau!Y3*Markniveau!S3/100,IF(X3=2,LOOKUP(K3,'Udvaskning nøgletal'!$C$12:$C$60,'Udvaskning nøgletal'!$F$12:$F$60)+Markniveau!Y3*Markniveau!S3/100,IF(X3=3,LOOKUP(K3,'Udvaskning nøgletal'!$C$12:$C$60,'Udvaskning nøgletal'!G13:G61)+Markniveau!Y3*Markniveau!S3/100,"")))</f>
        <v>21.2</v>
      </c>
      <c r="AA3" s="10">
        <f t="shared" ref="AA3:AA66" si="0">Z3*I3</f>
        <v>9.3279999999999994</v>
      </c>
      <c r="AB3" s="10">
        <f t="shared" ref="AB3:AB65" si="1">IF(Q3&gt;0,(100-Q3)*Z3/100,"")</f>
        <v>20.987999999999996</v>
      </c>
      <c r="AC3" s="10">
        <f t="shared" ref="AC3:AC66" si="2">IF(Q3&gt;0,AB3*I3,"")</f>
        <v>9.2347199999999976</v>
      </c>
      <c r="AD3" s="10">
        <f>IF(AND(Q3&gt;0,Q3&lt;30,K3&lt;8),Markniveau!Z3*'Udvaskning nøgletal'!$I$12/100,IF(AND(Q3&gt;0,Q3&lt;30,K3=216),Markniveau!Z3*'Udvaskning nøgletal'!$I$34/100,Markniveau!Z3))</f>
        <v>21.2</v>
      </c>
      <c r="AE3" s="10">
        <f t="shared" ref="AE3:AE16" si="3">AD3*I3</f>
        <v>9.3279999999999994</v>
      </c>
      <c r="AF3" s="10">
        <f t="shared" ref="AF3:AF66" si="4">IF($Q3&gt;0,(100-$Q3)*$AD3/100,"")</f>
        <v>20.987999999999996</v>
      </c>
      <c r="AG3" s="10">
        <f t="shared" ref="AG3:AG16" si="5">IF($Q3&gt;0,(100-$Q3)*$AD3/100*I3,"")</f>
        <v>9.2347199999999976</v>
      </c>
      <c r="AH3" s="10" t="str">
        <f>IF(AND(Q3&gt;0,Q3&lt;30,K3=216),'Udvaskning nøgletal'!$C$42,IF(AND(Q3&gt;0,Q3&lt;30,K3&gt;7,K3&lt;17),'Udvaskning nøgletal'!$C$61,IF(AND(Q3&gt;0,Q3&lt;30,K3&lt;7),'Udvaskning nøgletal'!$C$62,"")))</f>
        <v/>
      </c>
      <c r="AI3" s="10">
        <f t="shared" ref="AI3:AI7" si="6">IF(SUM(AH3)&gt;0,AH3,K3)</f>
        <v>254</v>
      </c>
      <c r="AJ3" s="10">
        <f>IF($X3=1,LOOKUP(AI3,'Udvaskning nøgletal'!$C$12:$C$62,'Udvaskning nøgletal'!$E$12:$E$62)+Markniveau!$Y3*Markniveau!$S3/100,IF($X3=2,LOOKUP(AI3,'Udvaskning nøgletal'!$C$12:$C$62,'Udvaskning nøgletal'!$F$12:$F$62)+Markniveau!$Y3*Markniveau!$S3/100,IF($X3=3,LOOKUP(AI3,'Udvaskning nøgletal'!$C$12:$C$62,'Udvaskning nøgletal'!Q13:Q63)+Markniveau!$Y3*Markniveau!$S3/100,"")))</f>
        <v>21.2</v>
      </c>
      <c r="AK3" s="10">
        <f t="shared" ref="AK3:AK66" si="7">AJ3*$I3</f>
        <v>9.3279999999999994</v>
      </c>
      <c r="AL3" s="10">
        <f t="shared" ref="AL3:AL10" si="8">IF($Q3&gt;0,(100-$Q3)*AJ3/100,"")</f>
        <v>20.987999999999996</v>
      </c>
      <c r="AM3" s="10">
        <f t="shared" ref="AM3:AM10" si="9">IF($Q3&gt;0,(100-$Q3)*AJ3/100*I3,"")</f>
        <v>9.2347199999999976</v>
      </c>
    </row>
    <row r="4" spans="1:39" x14ac:dyDescent="0.25">
      <c r="A4" s="15">
        <v>10225531</v>
      </c>
      <c r="B4" s="15">
        <v>9.4600000000000009</v>
      </c>
      <c r="C4" s="15">
        <v>446953</v>
      </c>
      <c r="D4" s="15">
        <v>21858</v>
      </c>
      <c r="E4" s="15" t="s">
        <v>30</v>
      </c>
      <c r="F4" s="15">
        <v>2011</v>
      </c>
      <c r="G4" s="15">
        <v>20110217</v>
      </c>
      <c r="H4" s="15">
        <v>25579</v>
      </c>
      <c r="I4" s="15">
        <v>2.56</v>
      </c>
      <c r="J4" s="6" t="s">
        <v>31</v>
      </c>
      <c r="K4" s="15">
        <v>1</v>
      </c>
      <c r="L4" s="15" t="s">
        <v>32</v>
      </c>
      <c r="M4" s="15" t="s">
        <v>5</v>
      </c>
      <c r="N4" s="11" t="s">
        <v>1384</v>
      </c>
      <c r="O4" s="11" t="s">
        <v>28</v>
      </c>
      <c r="P4" s="11" t="s">
        <v>33</v>
      </c>
      <c r="Q4" s="15">
        <v>25</v>
      </c>
      <c r="R4" s="11" t="s">
        <v>7</v>
      </c>
      <c r="S4" s="10">
        <v>0</v>
      </c>
      <c r="T4" s="15">
        <v>80</v>
      </c>
      <c r="U4" s="15">
        <v>0</v>
      </c>
      <c r="V4" s="15">
        <v>0</v>
      </c>
      <c r="W4" s="15">
        <v>0</v>
      </c>
      <c r="X4" s="15">
        <f>IF(O4='Udvaskning nøgletal'!$D$65,1,IF(O4='Udvaskning nøgletal'!$D$66,2,IF(O4='Udvaskning nøgletal'!$D$67,3,IF(O4='Udvaskning nøgletal'!$D$68,2,""))))</f>
        <v>1</v>
      </c>
      <c r="Y4" s="15">
        <f>LOOKUP(K4,'Udvaskning nøgletal'!$C$12:$C$60,'Udvaskning nøgletal'!$H$12:$H$60)</f>
        <v>5</v>
      </c>
      <c r="Z4" s="10">
        <f>IF(X4=1,LOOKUP(K4,'Udvaskning nøgletal'!$C$12:$C$60,'Udvaskning nøgletal'!$E$12:$E$60)+Markniveau!Y4*Markniveau!S4/100,IF(X4=2,LOOKUP(K4,'Udvaskning nøgletal'!$C$12:$C$60,'Udvaskning nøgletal'!$F$12:$F$60)+Markniveau!Y4*Markniveau!S4/100,IF(X4=3,LOOKUP(K4,'Udvaskning nøgletal'!$C$12:$C$60,'Udvaskning nøgletal'!G14:G62)+Markniveau!Y4*Markniveau!S4/100,"")))</f>
        <v>64.66</v>
      </c>
      <c r="AA4" s="10">
        <f t="shared" si="0"/>
        <v>165.52959999999999</v>
      </c>
      <c r="AB4" s="10">
        <f t="shared" si="1"/>
        <v>48.494999999999997</v>
      </c>
      <c r="AC4" s="10">
        <f t="shared" si="2"/>
        <v>124.1472</v>
      </c>
      <c r="AD4" s="10">
        <f>IF(AND(Q4&gt;0,Q4&lt;30,K4&lt;8),Markniveau!Z4*'Udvaskning nøgletal'!$I$12/100,IF(AND(Q4&gt;0,Q4&lt;30,K4=216),Markniveau!Z4*'Udvaskning nøgletal'!$I$34/100,Markniveau!Z4))</f>
        <v>32.33</v>
      </c>
      <c r="AE4" s="10">
        <f t="shared" si="3"/>
        <v>82.764799999999994</v>
      </c>
      <c r="AF4" s="10">
        <f t="shared" si="4"/>
        <v>24.247499999999999</v>
      </c>
      <c r="AG4" s="10">
        <f t="shared" si="5"/>
        <v>62.073599999999999</v>
      </c>
      <c r="AH4" s="10">
        <f>IF(AND(Q4&gt;0,Q4&lt;30,K4=216),'Udvaskning nøgletal'!$C$42,IF(AND(Q4&gt;0,Q4&lt;30,K4&gt;7,K4&lt;17),'Udvaskning nøgletal'!$C$61,IF(AND(Q4&gt;0,Q4&lt;30,K4&lt;7),'Udvaskning nøgletal'!$C$62,"")))</f>
        <v>1002</v>
      </c>
      <c r="AI4" s="10">
        <f t="shared" si="6"/>
        <v>1002</v>
      </c>
      <c r="AJ4" s="10">
        <f>IF($X4=1,LOOKUP(AI4,'Udvaskning nøgletal'!$C$12:$C$62,'Udvaskning nøgletal'!$E$12:$E$62)+Markniveau!$Y4*Markniveau!$S4/100,IF($X4=2,LOOKUP(AI4,'Udvaskning nøgletal'!$C$12:$C$62,'Udvaskning nøgletal'!$F$12:$F$62)+Markniveau!$Y4*Markniveau!$S4/100,IF($X4=3,LOOKUP(AI4,'Udvaskning nøgletal'!$C$12:$C$62,'Udvaskning nøgletal'!Q14:Q64)+Markniveau!$Y4*Markniveau!$S4/100,"")))</f>
        <v>30.5</v>
      </c>
      <c r="AK4" s="10">
        <f t="shared" si="7"/>
        <v>78.08</v>
      </c>
      <c r="AL4" s="10">
        <f t="shared" si="8"/>
        <v>22.875</v>
      </c>
      <c r="AM4" s="10">
        <f t="shared" si="9"/>
        <v>58.56</v>
      </c>
    </row>
    <row r="5" spans="1:39" x14ac:dyDescent="0.25">
      <c r="A5" s="15">
        <v>10225531</v>
      </c>
      <c r="B5" s="15">
        <v>9.4600000000000009</v>
      </c>
      <c r="C5" s="15">
        <v>446954</v>
      </c>
      <c r="D5" s="15">
        <v>21858</v>
      </c>
      <c r="E5" s="15" t="s">
        <v>30</v>
      </c>
      <c r="F5" s="15">
        <v>2011</v>
      </c>
      <c r="G5" s="15">
        <v>20110217</v>
      </c>
      <c r="H5" s="15">
        <v>44516</v>
      </c>
      <c r="I5" s="15">
        <v>4.45</v>
      </c>
      <c r="J5" s="6" t="s">
        <v>34</v>
      </c>
      <c r="K5" s="15">
        <v>1</v>
      </c>
      <c r="L5" s="15" t="s">
        <v>32</v>
      </c>
      <c r="M5" s="15" t="s">
        <v>5</v>
      </c>
      <c r="N5" s="11" t="s">
        <v>1384</v>
      </c>
      <c r="O5" s="11" t="s">
        <v>28</v>
      </c>
      <c r="P5" s="11" t="s">
        <v>33</v>
      </c>
      <c r="Q5" s="15">
        <v>25</v>
      </c>
      <c r="R5" s="11" t="s">
        <v>7</v>
      </c>
      <c r="S5" s="10">
        <v>0</v>
      </c>
      <c r="T5" s="15">
        <v>80</v>
      </c>
      <c r="U5" s="15">
        <v>0</v>
      </c>
      <c r="V5" s="15">
        <v>0</v>
      </c>
      <c r="W5" s="15">
        <v>0</v>
      </c>
      <c r="X5" s="15">
        <f>IF(O5='Udvaskning nøgletal'!$D$65,1,IF(O5='Udvaskning nøgletal'!$D$66,2,IF(O5='Udvaskning nøgletal'!$D$67,3,IF(O5='Udvaskning nøgletal'!$D$68,2,""))))</f>
        <v>1</v>
      </c>
      <c r="Y5" s="15">
        <f>LOOKUP(K5,'Udvaskning nøgletal'!$C$12:$C$60,'Udvaskning nøgletal'!$H$12:$H$60)</f>
        <v>5</v>
      </c>
      <c r="Z5" s="10">
        <f>IF(X5=1,LOOKUP(K5,'Udvaskning nøgletal'!$C$12:$C$60,'Udvaskning nøgletal'!$E$12:$E$60)+Markniveau!Y5*Markniveau!S5/100,IF(X5=2,LOOKUP(K5,'Udvaskning nøgletal'!$C$12:$C$60,'Udvaskning nøgletal'!$F$12:$F$60)+Markniveau!Y5*Markniveau!S5/100,IF(X5=3,LOOKUP(K5,'Udvaskning nøgletal'!$C$12:$C$60,'Udvaskning nøgletal'!G15:G63)+Markniveau!Y5*Markniveau!S5/100,"")))</f>
        <v>64.66</v>
      </c>
      <c r="AA5" s="10">
        <f t="shared" si="0"/>
        <v>287.73700000000002</v>
      </c>
      <c r="AB5" s="10">
        <f t="shared" si="1"/>
        <v>48.494999999999997</v>
      </c>
      <c r="AC5" s="10">
        <f t="shared" si="2"/>
        <v>215.80275</v>
      </c>
      <c r="AD5" s="10">
        <f>IF(AND(Q5&gt;0,Q5&lt;30,K5&lt;8),Markniveau!Z5*'Udvaskning nøgletal'!$I$12/100,IF(AND(Q5&gt;0,Q5&lt;30,K5=216),Markniveau!Z5*'Udvaskning nøgletal'!$I$34/100,Markniveau!Z5))</f>
        <v>32.33</v>
      </c>
      <c r="AE5" s="10">
        <f t="shared" si="3"/>
        <v>143.86850000000001</v>
      </c>
      <c r="AF5" s="10">
        <f t="shared" si="4"/>
        <v>24.247499999999999</v>
      </c>
      <c r="AG5" s="10">
        <f t="shared" si="5"/>
        <v>107.901375</v>
      </c>
      <c r="AH5" s="10">
        <f>IF(AND(Q5&gt;0,Q5&lt;30,K5=216),'Udvaskning nøgletal'!$C$42,IF(AND(Q5&gt;0,Q5&lt;30,K5&gt;7,K5&lt;17),'Udvaskning nøgletal'!$C$61,IF(AND(Q5&gt;0,Q5&lt;30,K5&lt;7),'Udvaskning nøgletal'!$C$62,"")))</f>
        <v>1002</v>
      </c>
      <c r="AI5" s="10">
        <f t="shared" si="6"/>
        <v>1002</v>
      </c>
      <c r="AJ5" s="10">
        <f>IF($X5=1,LOOKUP(AI5,'Udvaskning nøgletal'!$C$12:$C$62,'Udvaskning nøgletal'!$E$12:$E$62)+Markniveau!$Y5*Markniveau!$S5/100,IF($X5=2,LOOKUP(AI5,'Udvaskning nøgletal'!$C$12:$C$62,'Udvaskning nøgletal'!$F$12:$F$62)+Markniveau!$Y5*Markniveau!$S5/100,IF($X5=3,LOOKUP(AI5,'Udvaskning nøgletal'!$C$12:$C$62,'Udvaskning nøgletal'!Q15:Q65)+Markniveau!$Y5*Markniveau!$S5/100,"")))</f>
        <v>30.5</v>
      </c>
      <c r="AK5" s="10">
        <f t="shared" si="7"/>
        <v>135.72499999999999</v>
      </c>
      <c r="AL5" s="10">
        <f t="shared" si="8"/>
        <v>22.875</v>
      </c>
      <c r="AM5" s="10">
        <f t="shared" si="9"/>
        <v>101.79375</v>
      </c>
    </row>
    <row r="6" spans="1:39" x14ac:dyDescent="0.25">
      <c r="A6" s="15">
        <v>10225531</v>
      </c>
      <c r="B6" s="15">
        <v>9.4600000000000009</v>
      </c>
      <c r="C6" s="15">
        <v>446955</v>
      </c>
      <c r="D6" s="15">
        <v>21858</v>
      </c>
      <c r="E6" s="15" t="s">
        <v>30</v>
      </c>
      <c r="F6" s="15">
        <v>2011</v>
      </c>
      <c r="G6" s="15">
        <v>20110217</v>
      </c>
      <c r="H6" s="15">
        <v>21673</v>
      </c>
      <c r="I6" s="15">
        <v>2.17</v>
      </c>
      <c r="J6" s="6" t="s">
        <v>35</v>
      </c>
      <c r="K6" s="15">
        <v>1</v>
      </c>
      <c r="L6" s="15" t="s">
        <v>32</v>
      </c>
      <c r="M6" s="15" t="s">
        <v>5</v>
      </c>
      <c r="N6" s="11" t="s">
        <v>1384</v>
      </c>
      <c r="O6" s="11" t="s">
        <v>28</v>
      </c>
      <c r="P6" s="11" t="s">
        <v>33</v>
      </c>
      <c r="Q6" s="15">
        <v>25</v>
      </c>
      <c r="R6" s="11" t="s">
        <v>7</v>
      </c>
      <c r="S6" s="10">
        <v>0</v>
      </c>
      <c r="T6" s="15">
        <v>80</v>
      </c>
      <c r="U6" s="15">
        <v>0</v>
      </c>
      <c r="V6" s="15">
        <v>0</v>
      </c>
      <c r="W6" s="15">
        <v>0</v>
      </c>
      <c r="X6" s="15">
        <f>IF(O6='Udvaskning nøgletal'!$D$65,1,IF(O6='Udvaskning nøgletal'!$D$66,2,IF(O6='Udvaskning nøgletal'!$D$67,3,IF(O6='Udvaskning nøgletal'!$D$68,2,""))))</f>
        <v>1</v>
      </c>
      <c r="Y6" s="15">
        <f>LOOKUP(K6,'Udvaskning nøgletal'!$C$12:$C$60,'Udvaskning nøgletal'!$H$12:$H$60)</f>
        <v>5</v>
      </c>
      <c r="Z6" s="10">
        <f>IF(X6=1,LOOKUP(K6,'Udvaskning nøgletal'!$C$12:$C$60,'Udvaskning nøgletal'!$E$12:$E$60)+Markniveau!Y6*Markniveau!S6/100,IF(X6=2,LOOKUP(K6,'Udvaskning nøgletal'!$C$12:$C$60,'Udvaskning nøgletal'!$F$12:$F$60)+Markniveau!Y6*Markniveau!S6/100,IF(X6=3,LOOKUP(K6,'Udvaskning nøgletal'!$C$12:$C$60,'Udvaskning nøgletal'!G16:G64)+Markniveau!Y6*Markniveau!S6/100,"")))</f>
        <v>64.66</v>
      </c>
      <c r="AA6" s="10">
        <f t="shared" si="0"/>
        <v>140.31219999999999</v>
      </c>
      <c r="AB6" s="10">
        <f t="shared" si="1"/>
        <v>48.494999999999997</v>
      </c>
      <c r="AC6" s="10">
        <f t="shared" si="2"/>
        <v>105.23414999999999</v>
      </c>
      <c r="AD6" s="10">
        <f>IF(AND(Q6&gt;0,Q6&lt;30,K6&lt;8),Markniveau!Z6*'Udvaskning nøgletal'!$I$12/100,IF(AND(Q6&gt;0,Q6&lt;30,K6=216),Markniveau!Z6*'Udvaskning nøgletal'!$I$34/100,Markniveau!Z6))</f>
        <v>32.33</v>
      </c>
      <c r="AE6" s="10">
        <f t="shared" si="3"/>
        <v>70.156099999999995</v>
      </c>
      <c r="AF6" s="10">
        <f t="shared" si="4"/>
        <v>24.247499999999999</v>
      </c>
      <c r="AG6" s="10">
        <f t="shared" si="5"/>
        <v>52.617074999999993</v>
      </c>
      <c r="AH6" s="10">
        <f>IF(AND(Q6&gt;0,Q6&lt;30,K6=216),'Udvaskning nøgletal'!$C$42,IF(AND(Q6&gt;0,Q6&lt;30,K6&gt;7,K6&lt;17),'Udvaskning nøgletal'!$C$61,IF(AND(Q6&gt;0,Q6&lt;30,K6&lt;7),'Udvaskning nøgletal'!$C$62,"")))</f>
        <v>1002</v>
      </c>
      <c r="AI6" s="10">
        <f t="shared" si="6"/>
        <v>1002</v>
      </c>
      <c r="AJ6" s="10">
        <f>IF($X6=1,LOOKUP(AI6,'Udvaskning nøgletal'!$C$12:$C$62,'Udvaskning nøgletal'!$E$12:$E$62)+Markniveau!$Y6*Markniveau!$S6/100,IF($X6=2,LOOKUP(AI6,'Udvaskning nøgletal'!$C$12:$C$62,'Udvaskning nøgletal'!$F$12:$F$62)+Markniveau!$Y6*Markniveau!$S6/100,IF($X6=3,LOOKUP(AI6,'Udvaskning nøgletal'!$C$12:$C$62,'Udvaskning nøgletal'!Q16:Q66)+Markniveau!$Y6*Markniveau!$S6/100,"")))</f>
        <v>30.5</v>
      </c>
      <c r="AK6" s="10">
        <f t="shared" si="7"/>
        <v>66.185000000000002</v>
      </c>
      <c r="AL6" s="10">
        <f t="shared" si="8"/>
        <v>22.875</v>
      </c>
      <c r="AM6" s="10">
        <f t="shared" si="9"/>
        <v>49.638750000000002</v>
      </c>
    </row>
    <row r="7" spans="1:39" x14ac:dyDescent="0.25">
      <c r="A7" s="15">
        <v>10225531</v>
      </c>
      <c r="B7" s="15">
        <v>9.4600000000000009</v>
      </c>
      <c r="C7" s="15">
        <v>446956</v>
      </c>
      <c r="D7" s="15">
        <v>21858</v>
      </c>
      <c r="E7" s="15" t="s">
        <v>30</v>
      </c>
      <c r="F7" s="15">
        <v>2011</v>
      </c>
      <c r="G7" s="15">
        <v>20110217</v>
      </c>
      <c r="H7" s="15">
        <v>189620</v>
      </c>
      <c r="I7" s="15">
        <v>18.96</v>
      </c>
      <c r="J7" s="6" t="s">
        <v>36</v>
      </c>
      <c r="K7" s="15">
        <v>1</v>
      </c>
      <c r="L7" s="15" t="s">
        <v>32</v>
      </c>
      <c r="M7" s="15" t="s">
        <v>5</v>
      </c>
      <c r="N7" s="11" t="s">
        <v>1384</v>
      </c>
      <c r="O7" s="11" t="s">
        <v>28</v>
      </c>
      <c r="P7" s="11" t="s">
        <v>33</v>
      </c>
      <c r="Q7" s="15">
        <v>0</v>
      </c>
      <c r="R7" s="11" t="s">
        <v>1386</v>
      </c>
      <c r="S7" s="10">
        <v>0</v>
      </c>
      <c r="T7" s="15">
        <v>80</v>
      </c>
      <c r="U7" s="15">
        <v>0</v>
      </c>
      <c r="V7" s="15">
        <v>0</v>
      </c>
      <c r="W7" s="15">
        <v>0</v>
      </c>
      <c r="X7" s="15">
        <f>IF(O7='Udvaskning nøgletal'!$D$65,1,IF(O7='Udvaskning nøgletal'!$D$66,2,IF(O7='Udvaskning nøgletal'!$D$67,3,IF(O7='Udvaskning nøgletal'!$D$68,2,""))))</f>
        <v>1</v>
      </c>
      <c r="Y7" s="15">
        <f>LOOKUP(K7,'Udvaskning nøgletal'!$C$12:$C$60,'Udvaskning nøgletal'!$H$12:$H$60)</f>
        <v>5</v>
      </c>
      <c r="Z7" s="10">
        <f>IF(X7=1,LOOKUP(K7,'Udvaskning nøgletal'!$C$12:$C$60,'Udvaskning nøgletal'!$E$12:$E$60)+Markniveau!Y7*Markniveau!S7/100,IF(X7=2,LOOKUP(K7,'Udvaskning nøgletal'!$C$12:$C$60,'Udvaskning nøgletal'!$F$12:$F$60)+Markniveau!Y7*Markniveau!S7/100,IF(X7=3,LOOKUP(K7,'Udvaskning nøgletal'!$C$12:$C$60,'Udvaskning nøgletal'!G17:G65)+Markniveau!Y7*Markniveau!S7/100,"")))</f>
        <v>64.66</v>
      </c>
      <c r="AA7" s="10">
        <f t="shared" si="0"/>
        <v>1225.9536000000001</v>
      </c>
      <c r="AB7" s="10" t="str">
        <f t="shared" si="1"/>
        <v/>
      </c>
      <c r="AC7" s="10" t="str">
        <f t="shared" si="2"/>
        <v/>
      </c>
      <c r="AD7" s="10">
        <f>IF(AND(Q7&gt;0,Q7&lt;30,K7&lt;8),Markniveau!Z7*'Udvaskning nøgletal'!$I$12/100,IF(AND(Q7&gt;0,Q7&lt;30,K7=216),Markniveau!Z7*'Udvaskning nøgletal'!$I$34/100,Markniveau!Z7))</f>
        <v>64.66</v>
      </c>
      <c r="AE7" s="10">
        <f t="shared" si="3"/>
        <v>1225.9536000000001</v>
      </c>
      <c r="AF7" s="10" t="str">
        <f t="shared" si="4"/>
        <v/>
      </c>
      <c r="AG7" s="10" t="str">
        <f t="shared" si="5"/>
        <v/>
      </c>
      <c r="AH7" s="10" t="str">
        <f>IF(AND(Q7&gt;0,Q7&lt;30,K7=216),'Udvaskning nøgletal'!$C$42,IF(AND(Q7&gt;0,Q7&lt;30,K7&gt;7,K7&lt;17),'Udvaskning nøgletal'!$C$61,IF(AND(Q7&gt;0,Q7&lt;30,K7&lt;7),'Udvaskning nøgletal'!$C$62,"")))</f>
        <v/>
      </c>
      <c r="AI7" s="10">
        <f t="shared" si="6"/>
        <v>1</v>
      </c>
      <c r="AJ7" s="10">
        <f>IF($X7=1,LOOKUP(AI7,'Udvaskning nøgletal'!$C$12:$C$62,'Udvaskning nøgletal'!$E$12:$E$62)+Markniveau!$Y7*Markniveau!$S7/100,IF($X7=2,LOOKUP(AI7,'Udvaskning nøgletal'!$C$12:$C$62,'Udvaskning nøgletal'!$F$12:$F$62)+Markniveau!$Y7*Markniveau!$S7/100,IF($X7=3,LOOKUP(AI7,'Udvaskning nøgletal'!$C$12:$C$62,'Udvaskning nøgletal'!Q17:Q67)+Markniveau!$Y7*Markniveau!$S7/100,"")))</f>
        <v>64.66</v>
      </c>
      <c r="AK7" s="10">
        <f t="shared" si="7"/>
        <v>1225.9536000000001</v>
      </c>
      <c r="AL7" s="10" t="str">
        <f t="shared" si="8"/>
        <v/>
      </c>
      <c r="AM7" s="10" t="str">
        <f t="shared" si="9"/>
        <v/>
      </c>
    </row>
    <row r="8" spans="1:39" x14ac:dyDescent="0.25">
      <c r="A8" s="15">
        <v>10225531</v>
      </c>
      <c r="B8" s="15">
        <v>9.4600000000000009</v>
      </c>
      <c r="C8" s="15">
        <v>449796</v>
      </c>
      <c r="D8" s="15">
        <v>21858</v>
      </c>
      <c r="E8" s="15" t="s">
        <v>25</v>
      </c>
      <c r="F8" s="15">
        <v>2011</v>
      </c>
      <c r="G8" s="15">
        <v>20110217</v>
      </c>
      <c r="H8" s="15">
        <v>7829</v>
      </c>
      <c r="I8" s="15">
        <v>0.78</v>
      </c>
      <c r="J8" s="6" t="s">
        <v>1387</v>
      </c>
      <c r="K8" s="15">
        <v>254</v>
      </c>
      <c r="L8" s="15" t="s">
        <v>27</v>
      </c>
      <c r="M8" s="15" t="s">
        <v>4</v>
      </c>
      <c r="N8" s="11" t="s">
        <v>1384</v>
      </c>
      <c r="O8" s="11" t="s">
        <v>28</v>
      </c>
      <c r="P8" s="11" t="s">
        <v>29</v>
      </c>
      <c r="Q8" s="15">
        <v>95</v>
      </c>
      <c r="R8" s="11" t="s">
        <v>3</v>
      </c>
      <c r="S8" s="10">
        <v>0</v>
      </c>
      <c r="T8" s="15">
        <v>80</v>
      </c>
      <c r="U8" s="15">
        <v>0</v>
      </c>
      <c r="V8" s="15">
        <v>0</v>
      </c>
      <c r="W8" s="15">
        <v>0</v>
      </c>
      <c r="X8" s="15">
        <f>IF(O8='Udvaskning nøgletal'!$D$65,1,IF(O8='Udvaskning nøgletal'!$D$66,2,IF(O8='Udvaskning nøgletal'!$D$67,3,IF(O8='Udvaskning nøgletal'!$D$68,2,""))))</f>
        <v>1</v>
      </c>
      <c r="Y8" s="15">
        <f>LOOKUP(K8,'Udvaskning nøgletal'!$C$12:$C$60,'Udvaskning nøgletal'!$H$12:$H$60)</f>
        <v>0</v>
      </c>
      <c r="Z8" s="10">
        <f>IF(X8=1,LOOKUP(K8,'Udvaskning nøgletal'!$C$12:$C$60,'Udvaskning nøgletal'!$E$12:$E$60)+Markniveau!Y8*Markniveau!S8/100,IF(X8=2,LOOKUP(K8,'Udvaskning nøgletal'!$C$12:$C$60,'Udvaskning nøgletal'!$F$12:$F$60)+Markniveau!Y8*Markniveau!S8/100,IF(X8=3,LOOKUP(K8,'Udvaskning nøgletal'!$C$12:$C$60,'Udvaskning nøgletal'!G18:G66)+Markniveau!Y8*Markniveau!S8/100,"")))</f>
        <v>21.2</v>
      </c>
      <c r="AA8" s="10">
        <f t="shared" si="0"/>
        <v>16.536000000000001</v>
      </c>
      <c r="AB8" s="10">
        <f t="shared" si="1"/>
        <v>1.06</v>
      </c>
      <c r="AC8" s="10">
        <f t="shared" si="2"/>
        <v>0.82680000000000009</v>
      </c>
      <c r="AD8" s="10">
        <f>IF(AND(Q8&gt;0,Q8&lt;30,K8&lt;8),Markniveau!Z8*'Udvaskning nøgletal'!$I$12/100,IF(AND(Q8&gt;0,Q8&lt;30,K8=216),Markniveau!Z8*'Udvaskning nøgletal'!$I$34/100,Markniveau!Z8))</f>
        <v>21.2</v>
      </c>
      <c r="AE8" s="10">
        <f t="shared" si="3"/>
        <v>16.536000000000001</v>
      </c>
      <c r="AF8" s="10">
        <f t="shared" si="4"/>
        <v>1.06</v>
      </c>
      <c r="AG8" s="10">
        <f t="shared" si="5"/>
        <v>0.82680000000000009</v>
      </c>
      <c r="AH8" s="10" t="str">
        <f>IF(AND(Q8&gt;0,Q8&lt;30,K8=216),'Udvaskning nøgletal'!$C$42,IF(AND(Q8&gt;0,Q8&lt;30,K8&gt;7,K8&lt;17),'Udvaskning nøgletal'!$C$61,IF(AND(Q8&gt;0,Q8&lt;30,K8&lt;7),'Udvaskning nøgletal'!$C$62,"")))</f>
        <v/>
      </c>
      <c r="AI8" s="10">
        <f t="shared" ref="AI8:AI71" si="10">IF(SUM(AH8)&gt;0,AH8,K8)</f>
        <v>254</v>
      </c>
      <c r="AJ8" s="10">
        <f>IF($X8=1,LOOKUP(AI8,'Udvaskning nøgletal'!$C$12:$C$62,'Udvaskning nøgletal'!$E$12:$E$62)+Markniveau!$Y8*Markniveau!$S8/100,IF($X8=2,LOOKUP(AI8,'Udvaskning nøgletal'!$C$12:$C$62,'Udvaskning nøgletal'!$F$12:$F$62)+Markniveau!$Y8*Markniveau!$S8/100,IF($X8=3,LOOKUP(AI8,'Udvaskning nøgletal'!$C$12:$C$62,'Udvaskning nøgletal'!Q18:Q68)+Markniveau!$Y8*Markniveau!$S8/100,"")))</f>
        <v>21.2</v>
      </c>
      <c r="AK8" s="10">
        <f t="shared" si="7"/>
        <v>16.536000000000001</v>
      </c>
      <c r="AL8" s="10">
        <f t="shared" si="8"/>
        <v>1.06</v>
      </c>
      <c r="AM8" s="10">
        <f t="shared" si="9"/>
        <v>0.82680000000000009</v>
      </c>
    </row>
    <row r="9" spans="1:39" x14ac:dyDescent="0.25">
      <c r="A9" s="15">
        <v>10225531</v>
      </c>
      <c r="B9" s="15">
        <v>9.4600000000000009</v>
      </c>
      <c r="C9" s="15">
        <v>459402</v>
      </c>
      <c r="D9" s="15">
        <v>21858</v>
      </c>
      <c r="E9" s="15" t="s">
        <v>25</v>
      </c>
      <c r="F9" s="15">
        <v>2011</v>
      </c>
      <c r="G9" s="15">
        <v>20110217</v>
      </c>
      <c r="H9" s="15">
        <v>23406</v>
      </c>
      <c r="I9" s="15">
        <v>2.34</v>
      </c>
      <c r="J9" s="6" t="s">
        <v>1388</v>
      </c>
      <c r="K9" s="15">
        <v>254</v>
      </c>
      <c r="L9" s="15" t="s">
        <v>27</v>
      </c>
      <c r="M9" s="15" t="s">
        <v>4</v>
      </c>
      <c r="N9" s="11" t="s">
        <v>1384</v>
      </c>
      <c r="O9" s="11" t="s">
        <v>28</v>
      </c>
      <c r="P9" s="11" t="s">
        <v>29</v>
      </c>
      <c r="Q9" s="15">
        <v>1</v>
      </c>
      <c r="R9" s="11" t="s">
        <v>11</v>
      </c>
      <c r="S9" s="10">
        <v>0</v>
      </c>
      <c r="T9" s="15">
        <v>80</v>
      </c>
      <c r="U9" s="15">
        <v>0</v>
      </c>
      <c r="V9" s="15">
        <v>0</v>
      </c>
      <c r="W9" s="15">
        <v>0</v>
      </c>
      <c r="X9" s="15">
        <f>IF(O9='Udvaskning nøgletal'!$D$65,1,IF(O9='Udvaskning nøgletal'!$D$66,2,IF(O9='Udvaskning nøgletal'!$D$67,3,IF(O9='Udvaskning nøgletal'!$D$68,2,""))))</f>
        <v>1</v>
      </c>
      <c r="Y9" s="15">
        <f>LOOKUP(K9,'Udvaskning nøgletal'!$C$12:$C$60,'Udvaskning nøgletal'!$H$12:$H$60)</f>
        <v>0</v>
      </c>
      <c r="Z9" s="10">
        <f>IF(X9=1,LOOKUP(K9,'Udvaskning nøgletal'!$C$12:$C$60,'Udvaskning nøgletal'!$E$12:$E$60)+Markniveau!Y9*Markniveau!S9/100,IF(X9=2,LOOKUP(K9,'Udvaskning nøgletal'!$C$12:$C$60,'Udvaskning nøgletal'!$F$12:$F$60)+Markniveau!Y9*Markniveau!S9/100,IF(X9=3,LOOKUP(K9,'Udvaskning nøgletal'!$C$12:$C$60,'Udvaskning nøgletal'!G19:G67)+Markniveau!Y9*Markniveau!S9/100,"")))</f>
        <v>21.2</v>
      </c>
      <c r="AA9" s="10">
        <f t="shared" si="0"/>
        <v>49.607999999999997</v>
      </c>
      <c r="AB9" s="10">
        <f t="shared" si="1"/>
        <v>20.987999999999996</v>
      </c>
      <c r="AC9" s="10">
        <f t="shared" si="2"/>
        <v>49.111919999999991</v>
      </c>
      <c r="AD9" s="10">
        <f>IF(AND(Q9&gt;0,Q9&lt;30,K9&lt;8),Markniveau!Z9*'Udvaskning nøgletal'!$I$12/100,IF(AND(Q9&gt;0,Q9&lt;30,K9=216),Markniveau!Z9*'Udvaskning nøgletal'!$I$34/100,Markniveau!Z9))</f>
        <v>21.2</v>
      </c>
      <c r="AE9" s="10">
        <f t="shared" si="3"/>
        <v>49.607999999999997</v>
      </c>
      <c r="AF9" s="10">
        <f t="shared" si="4"/>
        <v>20.987999999999996</v>
      </c>
      <c r="AG9" s="10">
        <f t="shared" si="5"/>
        <v>49.111919999999991</v>
      </c>
      <c r="AH9" s="10" t="str">
        <f>IF(AND(Q9&gt;0,Q9&lt;30,K9=216),'Udvaskning nøgletal'!$C$42,IF(AND(Q9&gt;0,Q9&lt;30,K9&gt;7,K9&lt;17),'Udvaskning nøgletal'!$C$61,IF(AND(Q9&gt;0,Q9&lt;30,K9&lt;7),'Udvaskning nøgletal'!$C$62,"")))</f>
        <v/>
      </c>
      <c r="AI9" s="10">
        <f t="shared" si="10"/>
        <v>254</v>
      </c>
      <c r="AJ9" s="10">
        <f>IF($X9=1,LOOKUP(AI9,'Udvaskning nøgletal'!$C$12:$C$62,'Udvaskning nøgletal'!$E$12:$E$62)+Markniveau!$Y9*Markniveau!$S9/100,IF($X9=2,LOOKUP(AI9,'Udvaskning nøgletal'!$C$12:$C$62,'Udvaskning nøgletal'!$F$12:$F$62)+Markniveau!$Y9*Markniveau!$S9/100,IF($X9=3,LOOKUP(AI9,'Udvaskning nøgletal'!$C$12:$C$62,'Udvaskning nøgletal'!Q19:Q69)+Markniveau!$Y9*Markniveau!$S9/100,"")))</f>
        <v>21.2</v>
      </c>
      <c r="AK9" s="10">
        <f t="shared" si="7"/>
        <v>49.607999999999997</v>
      </c>
      <c r="AL9" s="10">
        <f t="shared" si="8"/>
        <v>20.987999999999996</v>
      </c>
      <c r="AM9" s="10">
        <f t="shared" si="9"/>
        <v>49.111919999999991</v>
      </c>
    </row>
    <row r="10" spans="1:39" x14ac:dyDescent="0.25">
      <c r="A10" s="15">
        <v>10225531</v>
      </c>
      <c r="B10" s="15">
        <v>9.4600000000000009</v>
      </c>
      <c r="C10" s="15">
        <v>288562</v>
      </c>
      <c r="D10" s="15">
        <v>21858</v>
      </c>
      <c r="E10" s="15" t="s">
        <v>25</v>
      </c>
      <c r="F10" s="15">
        <v>2011</v>
      </c>
      <c r="G10" s="15">
        <v>20110217</v>
      </c>
      <c r="H10" s="15">
        <v>35701</v>
      </c>
      <c r="I10" s="15">
        <v>3.57</v>
      </c>
      <c r="J10" s="6" t="s">
        <v>37</v>
      </c>
      <c r="K10" s="15">
        <v>1</v>
      </c>
      <c r="L10" s="15" t="s">
        <v>32</v>
      </c>
      <c r="M10" s="15" t="s">
        <v>5</v>
      </c>
      <c r="N10" s="11" t="s">
        <v>1384</v>
      </c>
      <c r="O10" s="11" t="s">
        <v>28</v>
      </c>
      <c r="P10" s="11" t="s">
        <v>29</v>
      </c>
      <c r="Q10" s="15">
        <v>95</v>
      </c>
      <c r="R10" s="11" t="s">
        <v>3</v>
      </c>
      <c r="S10" s="10">
        <v>0</v>
      </c>
      <c r="T10" s="15">
        <v>80</v>
      </c>
      <c r="U10" s="15">
        <v>0</v>
      </c>
      <c r="V10" s="15">
        <v>0</v>
      </c>
      <c r="W10" s="15">
        <v>0</v>
      </c>
      <c r="X10" s="15">
        <f>IF(O10='Udvaskning nøgletal'!$D$65,1,IF(O10='Udvaskning nøgletal'!$D$66,2,IF(O10='Udvaskning nøgletal'!$D$67,3,IF(O10='Udvaskning nøgletal'!$D$68,2,""))))</f>
        <v>1</v>
      </c>
      <c r="Y10" s="15">
        <f>LOOKUP(K10,'Udvaskning nøgletal'!$C$12:$C$60,'Udvaskning nøgletal'!$H$12:$H$60)</f>
        <v>5</v>
      </c>
      <c r="Z10" s="10">
        <f>IF(X10=1,LOOKUP(K10,'Udvaskning nøgletal'!$C$12:$C$60,'Udvaskning nøgletal'!$E$12:$E$60)+Markniveau!Y10*Markniveau!S10/100,IF(X10=2,LOOKUP(K10,'Udvaskning nøgletal'!$C$12:$C$60,'Udvaskning nøgletal'!$F$12:$F$60)+Markniveau!Y10*Markniveau!S10/100,IF(X10=3,LOOKUP(K10,'Udvaskning nøgletal'!$C$12:$C$60,'Udvaskning nøgletal'!G20:G68)+Markniveau!Y10*Markniveau!S10/100,"")))</f>
        <v>64.66</v>
      </c>
      <c r="AA10" s="10">
        <f t="shared" si="0"/>
        <v>230.83619999999999</v>
      </c>
      <c r="AB10" s="10">
        <f t="shared" si="1"/>
        <v>3.2329999999999997</v>
      </c>
      <c r="AC10" s="10">
        <f t="shared" si="2"/>
        <v>11.541809999999998</v>
      </c>
      <c r="AD10" s="10">
        <f>IF(AND(Q10&gt;0,Q10&lt;30,K10&lt;8),Markniveau!Z10*'Udvaskning nøgletal'!$I$12/100,IF(AND(Q10&gt;0,Q10&lt;30,K10=216),Markniveau!Z10*'Udvaskning nøgletal'!$I$34/100,Markniveau!Z10))</f>
        <v>64.66</v>
      </c>
      <c r="AE10" s="10">
        <f t="shared" si="3"/>
        <v>230.83619999999999</v>
      </c>
      <c r="AF10" s="10">
        <f t="shared" si="4"/>
        <v>3.2329999999999997</v>
      </c>
      <c r="AG10" s="10">
        <f t="shared" si="5"/>
        <v>11.541809999999998</v>
      </c>
      <c r="AH10" s="10" t="str">
        <f>IF(AND(Q10&gt;0,Q10&lt;30,K10=216),'Udvaskning nøgletal'!$C$42,IF(AND(Q10&gt;0,Q10&lt;30,K10&gt;7,K10&lt;17),'Udvaskning nøgletal'!$C$61,IF(AND(Q10&gt;0,Q10&lt;30,K10&lt;7),'Udvaskning nøgletal'!$C$62,"")))</f>
        <v/>
      </c>
      <c r="AI10" s="10">
        <f t="shared" si="10"/>
        <v>1</v>
      </c>
      <c r="AJ10" s="10">
        <f>IF($X10=1,LOOKUP(AI10,'Udvaskning nøgletal'!$C$12:$C$62,'Udvaskning nøgletal'!$E$12:$E$62)+Markniveau!$Y10*Markniveau!$S10/100,IF($X10=2,LOOKUP(AI10,'Udvaskning nøgletal'!$C$12:$C$62,'Udvaskning nøgletal'!$F$12:$F$62)+Markniveau!$Y10*Markniveau!$S10/100,IF($X10=3,LOOKUP(AI10,'Udvaskning nøgletal'!$C$12:$C$62,'Udvaskning nøgletal'!Q20:Q70)+Markniveau!$Y10*Markniveau!$S10/100,"")))</f>
        <v>64.66</v>
      </c>
      <c r="AK10" s="10">
        <f t="shared" si="7"/>
        <v>230.83619999999999</v>
      </c>
      <c r="AL10" s="10">
        <f t="shared" si="8"/>
        <v>3.2329999999999997</v>
      </c>
      <c r="AM10" s="10">
        <f t="shared" si="9"/>
        <v>11.541809999999998</v>
      </c>
    </row>
    <row r="11" spans="1:39" x14ac:dyDescent="0.25">
      <c r="A11" s="15">
        <v>10225531</v>
      </c>
      <c r="B11" s="15">
        <v>9.4600000000000009</v>
      </c>
      <c r="C11" s="15">
        <v>446306</v>
      </c>
      <c r="D11" s="15">
        <v>21858</v>
      </c>
      <c r="E11" s="15" t="s">
        <v>25</v>
      </c>
      <c r="F11" s="15">
        <v>2011</v>
      </c>
      <c r="G11" s="15">
        <v>20110217</v>
      </c>
      <c r="H11" s="15">
        <v>6828</v>
      </c>
      <c r="I11" s="15">
        <v>0.68</v>
      </c>
      <c r="J11" s="6" t="s">
        <v>38</v>
      </c>
      <c r="K11" s="15">
        <v>263</v>
      </c>
      <c r="L11" s="15" t="s">
        <v>39</v>
      </c>
      <c r="M11" s="15" t="s">
        <v>5</v>
      </c>
      <c r="N11" s="11" t="s">
        <v>1384</v>
      </c>
      <c r="O11" s="11" t="s">
        <v>28</v>
      </c>
      <c r="P11" s="11" t="s">
        <v>29</v>
      </c>
      <c r="Q11" s="15">
        <v>1</v>
      </c>
      <c r="R11" s="11" t="s">
        <v>11</v>
      </c>
      <c r="S11" s="10">
        <v>0</v>
      </c>
      <c r="T11" s="15">
        <v>80</v>
      </c>
      <c r="U11" s="15">
        <v>0</v>
      </c>
      <c r="V11" s="15">
        <v>0</v>
      </c>
      <c r="W11" s="15">
        <v>0</v>
      </c>
      <c r="X11" s="15">
        <f>IF(O11='Udvaskning nøgletal'!$D$65,1,IF(O11='Udvaskning nøgletal'!$D$66,2,IF(O11='Udvaskning nøgletal'!$D$67,3,IF(O11='Udvaskning nøgletal'!$D$68,2,""))))</f>
        <v>1</v>
      </c>
      <c r="Y11" s="15">
        <f>LOOKUP(K11,'Udvaskning nøgletal'!$C$12:$C$60,'Udvaskning nøgletal'!$H$12:$H$60)</f>
        <v>0</v>
      </c>
      <c r="Z11" s="10">
        <f>IF(X11=1,LOOKUP(K11,'Udvaskning nøgletal'!$C$12:$C$60,'Udvaskning nøgletal'!$E$12:$E$60)+Markniveau!Y11*Markniveau!S11/100,IF(X11=2,LOOKUP(K11,'Udvaskning nøgletal'!$C$12:$C$60,'Udvaskning nøgletal'!$F$12:$F$60)+Markniveau!Y11*Markniveau!S11/100,IF(X11=3,LOOKUP(K11,'Udvaskning nøgletal'!$C$12:$C$60,'Udvaskning nøgletal'!G21:G69)+Markniveau!Y11*Markniveau!S11/100,"")))</f>
        <v>33.723295792149436</v>
      </c>
      <c r="AA11" s="10">
        <f t="shared" si="0"/>
        <v>22.931841138661618</v>
      </c>
      <c r="AB11" s="10">
        <f t="shared" si="1"/>
        <v>33.386062834227943</v>
      </c>
      <c r="AC11" s="10">
        <f t="shared" si="2"/>
        <v>22.702522727275003</v>
      </c>
      <c r="AD11" s="10">
        <f>IF(AND(Q11&gt;0,Q11&lt;30,K11&lt;8),Markniveau!Z11*'Udvaskning nøgletal'!$I$12/100,IF(AND(Q11&gt;0,Q11&lt;30,K11=216),Markniveau!Z11*'Udvaskning nøgletal'!$I$34/100,Markniveau!Z11))</f>
        <v>33.723295792149436</v>
      </c>
      <c r="AE11" s="10">
        <f t="shared" si="3"/>
        <v>22.931841138661618</v>
      </c>
      <c r="AF11" s="10">
        <f t="shared" si="4"/>
        <v>33.386062834227943</v>
      </c>
      <c r="AG11" s="10">
        <f t="shared" si="5"/>
        <v>22.702522727275003</v>
      </c>
      <c r="AH11" s="10" t="str">
        <f>IF(AND(Q11&gt;0,Q11&lt;30,K11=216),'Udvaskning nøgletal'!$C$42,IF(AND(Q11&gt;0,Q11&lt;30,K11&gt;7,K11&lt;17),'Udvaskning nøgletal'!$C$61,IF(AND(Q11&gt;0,Q11&lt;30,K11&lt;7),'Udvaskning nøgletal'!$C$62,"")))</f>
        <v/>
      </c>
      <c r="AI11" s="10">
        <f t="shared" si="10"/>
        <v>263</v>
      </c>
      <c r="AJ11" s="10">
        <f>IF($X11=1,LOOKUP(AI11,'Udvaskning nøgletal'!$C$12:$C$62,'Udvaskning nøgletal'!$E$12:$E$62)+Markniveau!$Y11*Markniveau!$S11/100,IF($X11=2,LOOKUP(AI11,'Udvaskning nøgletal'!$C$12:$C$62,'Udvaskning nøgletal'!$F$12:$F$62)+Markniveau!$Y11*Markniveau!$S11/100,IF($X11=3,LOOKUP(AI11,'Udvaskning nøgletal'!$C$12:$C$62,'Udvaskning nøgletal'!Q21:Q71)+Markniveau!$Y11*Markniveau!$S11/100,"")))</f>
        <v>33.723295792149436</v>
      </c>
      <c r="AK11" s="10">
        <f t="shared" si="7"/>
        <v>22.931841138661618</v>
      </c>
      <c r="AL11" s="10">
        <f t="shared" ref="AL11:AL74" si="11">IF($Q11&gt;0,(100-$Q11)*AJ11/100,"")</f>
        <v>33.386062834227943</v>
      </c>
      <c r="AM11" s="10">
        <f t="shared" ref="AM11:AM74" si="12">IF($Q11&gt;0,(100-$Q11)*AJ11/100*I11,"")</f>
        <v>22.702522727275003</v>
      </c>
    </row>
    <row r="12" spans="1:39" x14ac:dyDescent="0.25">
      <c r="A12" s="15">
        <v>10799686</v>
      </c>
      <c r="B12" s="15">
        <v>9.76</v>
      </c>
      <c r="C12" s="15">
        <v>318381</v>
      </c>
      <c r="D12" s="15">
        <v>11380</v>
      </c>
      <c r="E12" s="15" t="s">
        <v>40</v>
      </c>
      <c r="F12" s="15">
        <v>2011</v>
      </c>
      <c r="G12" s="15">
        <v>20110301</v>
      </c>
      <c r="H12" s="15">
        <v>13488</v>
      </c>
      <c r="I12" s="15">
        <v>1.35</v>
      </c>
      <c r="J12" s="6" t="s">
        <v>1389</v>
      </c>
      <c r="K12" s="15">
        <v>252</v>
      </c>
      <c r="L12" s="15" t="s">
        <v>41</v>
      </c>
      <c r="M12" s="15" t="s">
        <v>4</v>
      </c>
      <c r="N12" s="11" t="s">
        <v>1390</v>
      </c>
      <c r="O12" s="11" t="s">
        <v>42</v>
      </c>
      <c r="P12" s="11" t="s">
        <v>33</v>
      </c>
      <c r="Q12" s="15">
        <v>0</v>
      </c>
      <c r="R12" s="11" t="s">
        <v>1386</v>
      </c>
      <c r="S12" s="10">
        <v>119.49092452337</v>
      </c>
      <c r="T12" s="15">
        <v>80</v>
      </c>
      <c r="U12" s="15">
        <v>0</v>
      </c>
      <c r="V12" s="15">
        <v>1</v>
      </c>
      <c r="W12" s="15">
        <v>1</v>
      </c>
      <c r="X12" s="15">
        <f>IF(O12='Udvaskning nøgletal'!$D$65,1,IF(O12='Udvaskning nøgletal'!$D$66,2,IF(O12='Udvaskning nøgletal'!$D$67,3,IF(O12='Udvaskning nøgletal'!$D$68,2,""))))</f>
        <v>2</v>
      </c>
      <c r="Y12" s="15">
        <f>LOOKUP(K12,'Udvaskning nøgletal'!$C$12:$C$60,'Udvaskning nøgletal'!$H$12:$H$60)</f>
        <v>0</v>
      </c>
      <c r="Z12" s="10">
        <f>IF(X12=1,LOOKUP(K12,'Udvaskning nøgletal'!$C$12:$C$60,'Udvaskning nøgletal'!$E$12:$E$60)+Markniveau!Y12*Markniveau!S12/100,IF(X12=2,LOOKUP(K12,'Udvaskning nøgletal'!$C$12:$C$60,'Udvaskning nøgletal'!$F$12:$F$60)+Markniveau!Y12*Markniveau!S12/100,IF(X12=3,LOOKUP(K12,'Udvaskning nøgletal'!$C$12:$C$60,'Udvaskning nøgletal'!G22:G70)+Markniveau!Y12*Markniveau!S12/100,"")))</f>
        <v>21.2</v>
      </c>
      <c r="AA12" s="10">
        <f t="shared" si="0"/>
        <v>28.62</v>
      </c>
      <c r="AB12" s="10" t="str">
        <f t="shared" si="1"/>
        <v/>
      </c>
      <c r="AC12" s="10" t="str">
        <f t="shared" si="2"/>
        <v/>
      </c>
      <c r="AD12" s="10">
        <f>IF(AND(Q12&gt;0,Q12&lt;30,K12&lt;8),Markniveau!Z12*'Udvaskning nøgletal'!$I$12/100,IF(AND(Q12&gt;0,Q12&lt;30,K12=216),Markniveau!Z12*'Udvaskning nøgletal'!$I$34/100,Markniveau!Z12))</f>
        <v>21.2</v>
      </c>
      <c r="AE12" s="10">
        <f t="shared" si="3"/>
        <v>28.62</v>
      </c>
      <c r="AF12" s="10" t="str">
        <f t="shared" si="4"/>
        <v/>
      </c>
      <c r="AG12" s="10" t="str">
        <f t="shared" si="5"/>
        <v/>
      </c>
      <c r="AH12" s="10" t="str">
        <f>IF(AND(Q12&gt;0,Q12&lt;30,K12=216),'Udvaskning nøgletal'!$C$42,IF(AND(Q12&gt;0,Q12&lt;30,K12&gt;7,K12&lt;17),'Udvaskning nøgletal'!$C$61,IF(AND(Q12&gt;0,Q12&lt;30,K12&lt;7),'Udvaskning nøgletal'!$C$62,"")))</f>
        <v/>
      </c>
      <c r="AI12" s="10">
        <f t="shared" si="10"/>
        <v>252</v>
      </c>
      <c r="AJ12" s="10">
        <f>IF($X12=1,LOOKUP(AI12,'Udvaskning nøgletal'!$C$12:$C$62,'Udvaskning nøgletal'!$E$12:$E$62)+Markniveau!$Y12*Markniveau!$S12/100,IF($X12=2,LOOKUP(AI12,'Udvaskning nøgletal'!$C$12:$C$62,'Udvaskning nøgletal'!$F$12:$F$62)+Markniveau!$Y12*Markniveau!$S12/100,IF($X12=3,LOOKUP(AI12,'Udvaskning nøgletal'!$C$12:$C$62,'Udvaskning nøgletal'!Q22:Q72)+Markniveau!$Y12*Markniveau!$S12/100,"")))</f>
        <v>21.2</v>
      </c>
      <c r="AK12" s="10">
        <f t="shared" si="7"/>
        <v>28.62</v>
      </c>
      <c r="AL12" s="10" t="str">
        <f t="shared" si="11"/>
        <v/>
      </c>
      <c r="AM12" s="10" t="str">
        <f t="shared" si="12"/>
        <v/>
      </c>
    </row>
    <row r="13" spans="1:39" x14ac:dyDescent="0.25">
      <c r="A13" s="15">
        <v>10799686</v>
      </c>
      <c r="B13" s="15">
        <v>9.76</v>
      </c>
      <c r="C13" s="15">
        <v>319163</v>
      </c>
      <c r="D13" s="15">
        <v>11380</v>
      </c>
      <c r="E13" s="15" t="s">
        <v>43</v>
      </c>
      <c r="F13" s="15">
        <v>2011</v>
      </c>
      <c r="G13" s="15">
        <v>20110301</v>
      </c>
      <c r="H13" s="15">
        <v>5486</v>
      </c>
      <c r="I13" s="15">
        <v>0.55000000000000004</v>
      </c>
      <c r="J13" s="6" t="s">
        <v>44</v>
      </c>
      <c r="K13" s="15">
        <v>260</v>
      </c>
      <c r="L13" s="15" t="s">
        <v>45</v>
      </c>
      <c r="M13" s="15" t="s">
        <v>5</v>
      </c>
      <c r="N13" s="11" t="s">
        <v>1391</v>
      </c>
      <c r="O13" s="11" t="s">
        <v>46</v>
      </c>
      <c r="P13" s="11" t="s">
        <v>33</v>
      </c>
      <c r="Q13" s="15">
        <v>0</v>
      </c>
      <c r="R13" s="11" t="s">
        <v>1386</v>
      </c>
      <c r="S13" s="10">
        <v>119.49092452337</v>
      </c>
      <c r="T13" s="15">
        <v>80</v>
      </c>
      <c r="U13" s="15">
        <v>0</v>
      </c>
      <c r="V13" s="15">
        <v>1</v>
      </c>
      <c r="W13" s="15">
        <v>1</v>
      </c>
      <c r="X13" s="15">
        <f>IF(O13='Udvaskning nøgletal'!$D$65,1,IF(O13='Udvaskning nøgletal'!$D$66,2,IF(O13='Udvaskning nøgletal'!$D$67,3,IF(O13='Udvaskning nøgletal'!$D$68,2,""))))</f>
        <v>2</v>
      </c>
      <c r="Y13" s="15">
        <f>LOOKUP(K13,'Udvaskning nøgletal'!$C$12:$C$60,'Udvaskning nøgletal'!$H$12:$H$60)</f>
        <v>0</v>
      </c>
      <c r="Z13" s="10">
        <f>IF(X13=1,LOOKUP(K13,'Udvaskning nøgletal'!$C$12:$C$60,'Udvaskning nøgletal'!$E$12:$E$60)+Markniveau!Y13*Markniveau!S13/100,IF(X13=2,LOOKUP(K13,'Udvaskning nøgletal'!$C$12:$C$60,'Udvaskning nøgletal'!$F$12:$F$60)+Markniveau!Y13*Markniveau!S13/100,IF(X13=3,LOOKUP(K13,'Udvaskning nøgletal'!$C$12:$C$60,'Udvaskning nøgletal'!G23:G71)+Markniveau!Y13*Markniveau!S13/100,"")))</f>
        <v>27.331185321443094</v>
      </c>
      <c r="AA13" s="10">
        <f t="shared" si="0"/>
        <v>15.032151926793702</v>
      </c>
      <c r="AB13" s="10" t="str">
        <f t="shared" si="1"/>
        <v/>
      </c>
      <c r="AC13" s="10" t="str">
        <f t="shared" si="2"/>
        <v/>
      </c>
      <c r="AD13" s="10">
        <f>IF(AND(Q13&gt;0,Q13&lt;30,K13&lt;8),Markniveau!Z13*'Udvaskning nøgletal'!$I$12/100,IF(AND(Q13&gt;0,Q13&lt;30,K13=216),Markniveau!Z13*'Udvaskning nøgletal'!$I$34/100,Markniveau!Z13))</f>
        <v>27.331185321443094</v>
      </c>
      <c r="AE13" s="10">
        <f t="shared" si="3"/>
        <v>15.032151926793702</v>
      </c>
      <c r="AF13" s="10" t="str">
        <f t="shared" si="4"/>
        <v/>
      </c>
      <c r="AG13" s="10" t="str">
        <f t="shared" si="5"/>
        <v/>
      </c>
      <c r="AH13" s="10" t="str">
        <f>IF(AND(Q13&gt;0,Q13&lt;30,K13=216),'Udvaskning nøgletal'!$C$42,IF(AND(Q13&gt;0,Q13&lt;30,K13&gt;7,K13&lt;17),'Udvaskning nøgletal'!$C$61,IF(AND(Q13&gt;0,Q13&lt;30,K13&lt;7),'Udvaskning nøgletal'!$C$62,"")))</f>
        <v/>
      </c>
      <c r="AI13" s="10">
        <f t="shared" si="10"/>
        <v>260</v>
      </c>
      <c r="AJ13" s="10">
        <f>IF($X13=1,LOOKUP(AI13,'Udvaskning nøgletal'!$C$12:$C$62,'Udvaskning nøgletal'!$E$12:$E$62)+Markniveau!$Y13*Markniveau!$S13/100,IF($X13=2,LOOKUP(AI13,'Udvaskning nøgletal'!$C$12:$C$62,'Udvaskning nøgletal'!$F$12:$F$62)+Markniveau!$Y13*Markniveau!$S13/100,IF($X13=3,LOOKUP(AI13,'Udvaskning nøgletal'!$C$12:$C$62,'Udvaskning nøgletal'!Q23:Q73)+Markniveau!$Y13*Markniveau!$S13/100,"")))</f>
        <v>27.331185321443094</v>
      </c>
      <c r="AK13" s="10">
        <f t="shared" si="7"/>
        <v>15.032151926793702</v>
      </c>
      <c r="AL13" s="10" t="str">
        <f t="shared" si="11"/>
        <v/>
      </c>
      <c r="AM13" s="10" t="str">
        <f t="shared" si="12"/>
        <v/>
      </c>
    </row>
    <row r="14" spans="1:39" x14ac:dyDescent="0.25">
      <c r="A14" s="15">
        <v>10799686</v>
      </c>
      <c r="B14" s="15">
        <v>9.76</v>
      </c>
      <c r="C14" s="15">
        <v>359696</v>
      </c>
      <c r="D14" s="15">
        <v>11380</v>
      </c>
      <c r="E14" s="15" t="s">
        <v>47</v>
      </c>
      <c r="F14" s="15">
        <v>2011</v>
      </c>
      <c r="G14" s="15">
        <v>20110301</v>
      </c>
      <c r="H14" s="15">
        <v>2957</v>
      </c>
      <c r="I14" s="15">
        <v>0.3</v>
      </c>
      <c r="J14" s="6" t="s">
        <v>1392</v>
      </c>
      <c r="K14" s="15">
        <v>252</v>
      </c>
      <c r="L14" s="15" t="s">
        <v>41</v>
      </c>
      <c r="M14" s="15" t="s">
        <v>4</v>
      </c>
      <c r="N14" s="11" t="s">
        <v>1391</v>
      </c>
      <c r="O14" s="11" t="s">
        <v>46</v>
      </c>
      <c r="P14" s="11" t="s">
        <v>33</v>
      </c>
      <c r="Q14" s="15">
        <v>0</v>
      </c>
      <c r="R14" s="11" t="s">
        <v>1386</v>
      </c>
      <c r="S14" s="10">
        <v>119.49092452337</v>
      </c>
      <c r="T14" s="15">
        <v>80</v>
      </c>
      <c r="U14" s="15">
        <v>0</v>
      </c>
      <c r="V14" s="15">
        <v>1</v>
      </c>
      <c r="W14" s="15">
        <v>1</v>
      </c>
      <c r="X14" s="15">
        <f>IF(O14='Udvaskning nøgletal'!$D$65,1,IF(O14='Udvaskning nøgletal'!$D$66,2,IF(O14='Udvaskning nøgletal'!$D$67,3,IF(O14='Udvaskning nøgletal'!$D$68,2,""))))</f>
        <v>2</v>
      </c>
      <c r="Y14" s="15">
        <f>LOOKUP(K14,'Udvaskning nøgletal'!$C$12:$C$60,'Udvaskning nøgletal'!$H$12:$H$60)</f>
        <v>0</v>
      </c>
      <c r="Z14" s="10">
        <f>IF(X14=1,LOOKUP(K14,'Udvaskning nøgletal'!$C$12:$C$60,'Udvaskning nøgletal'!$E$12:$E$60)+Markniveau!Y14*Markniveau!S14/100,IF(X14=2,LOOKUP(K14,'Udvaskning nøgletal'!$C$12:$C$60,'Udvaskning nøgletal'!$F$12:$F$60)+Markniveau!Y14*Markniveau!S14/100,IF(X14=3,LOOKUP(K14,'Udvaskning nøgletal'!$C$12:$C$60,'Udvaskning nøgletal'!G24:G72)+Markniveau!Y14*Markniveau!S14/100,"")))</f>
        <v>21.2</v>
      </c>
      <c r="AA14" s="10">
        <f t="shared" si="0"/>
        <v>6.3599999999999994</v>
      </c>
      <c r="AB14" s="10" t="str">
        <f t="shared" si="1"/>
        <v/>
      </c>
      <c r="AC14" s="10" t="str">
        <f t="shared" si="2"/>
        <v/>
      </c>
      <c r="AD14" s="10">
        <f>IF(AND(Q14&gt;0,Q14&lt;30,K14&lt;8),Markniveau!Z14*'Udvaskning nøgletal'!$I$12/100,IF(AND(Q14&gt;0,Q14&lt;30,K14=216),Markniveau!Z14*'Udvaskning nøgletal'!$I$34/100,Markniveau!Z14))</f>
        <v>21.2</v>
      </c>
      <c r="AE14" s="10">
        <f t="shared" si="3"/>
        <v>6.3599999999999994</v>
      </c>
      <c r="AF14" s="10" t="str">
        <f t="shared" si="4"/>
        <v/>
      </c>
      <c r="AG14" s="10" t="str">
        <f t="shared" si="5"/>
        <v/>
      </c>
      <c r="AH14" s="10" t="str">
        <f>IF(AND(Q14&gt;0,Q14&lt;30,K14=216),'Udvaskning nøgletal'!$C$42,IF(AND(Q14&gt;0,Q14&lt;30,K14&gt;7,K14&lt;17),'Udvaskning nøgletal'!$C$61,IF(AND(Q14&gt;0,Q14&lt;30,K14&lt;7),'Udvaskning nøgletal'!$C$62,"")))</f>
        <v/>
      </c>
      <c r="AI14" s="10">
        <f t="shared" si="10"/>
        <v>252</v>
      </c>
      <c r="AJ14" s="10">
        <f>IF($X14=1,LOOKUP(AI14,'Udvaskning nøgletal'!$C$12:$C$62,'Udvaskning nøgletal'!$E$12:$E$62)+Markniveau!$Y14*Markniveau!$S14/100,IF($X14=2,LOOKUP(AI14,'Udvaskning nøgletal'!$C$12:$C$62,'Udvaskning nøgletal'!$F$12:$F$62)+Markniveau!$Y14*Markniveau!$S14/100,IF($X14=3,LOOKUP(AI14,'Udvaskning nøgletal'!$C$12:$C$62,'Udvaskning nøgletal'!Q24:Q74)+Markniveau!$Y14*Markniveau!$S14/100,"")))</f>
        <v>21.2</v>
      </c>
      <c r="AK14" s="10">
        <f t="shared" si="7"/>
        <v>6.3599999999999994</v>
      </c>
      <c r="AL14" s="10" t="str">
        <f t="shared" si="11"/>
        <v/>
      </c>
      <c r="AM14" s="10" t="str">
        <f t="shared" si="12"/>
        <v/>
      </c>
    </row>
    <row r="15" spans="1:39" x14ac:dyDescent="0.25">
      <c r="A15" s="15">
        <v>10799686</v>
      </c>
      <c r="B15" s="15">
        <v>9.76</v>
      </c>
      <c r="C15" s="15">
        <v>362459</v>
      </c>
      <c r="D15" s="15">
        <v>11380</v>
      </c>
      <c r="E15" s="15" t="s">
        <v>48</v>
      </c>
      <c r="F15" s="15">
        <v>2011</v>
      </c>
      <c r="G15" s="15">
        <v>20110301</v>
      </c>
      <c r="H15" s="15">
        <v>30643</v>
      </c>
      <c r="I15" s="15">
        <v>3.06</v>
      </c>
      <c r="J15" s="6" t="s">
        <v>1393</v>
      </c>
      <c r="K15" s="15">
        <v>2</v>
      </c>
      <c r="L15" s="15" t="s">
        <v>49</v>
      </c>
      <c r="M15" s="15" t="s">
        <v>5</v>
      </c>
      <c r="N15" s="11" t="s">
        <v>1384</v>
      </c>
      <c r="O15" s="11" t="s">
        <v>28</v>
      </c>
      <c r="P15" s="11" t="s">
        <v>29</v>
      </c>
      <c r="Q15" s="15">
        <v>95</v>
      </c>
      <c r="R15" s="11" t="s">
        <v>3</v>
      </c>
      <c r="S15" s="10">
        <v>119.49092452337</v>
      </c>
      <c r="T15" s="15">
        <v>80</v>
      </c>
      <c r="U15" s="15">
        <v>0</v>
      </c>
      <c r="V15" s="15">
        <v>1</v>
      </c>
      <c r="W15" s="15">
        <v>1</v>
      </c>
      <c r="X15" s="15">
        <f>IF(O15='Udvaskning nøgletal'!$D$65,1,IF(O15='Udvaskning nøgletal'!$D$66,2,IF(O15='Udvaskning nøgletal'!$D$67,3,IF(O15='Udvaskning nøgletal'!$D$68,2,""))))</f>
        <v>1</v>
      </c>
      <c r="Y15" s="15">
        <f>LOOKUP(K15,'Udvaskning nøgletal'!$C$12:$C$60,'Udvaskning nøgletal'!$H$12:$H$60)</f>
        <v>5</v>
      </c>
      <c r="Z15" s="10">
        <f>IF(X15=1,LOOKUP(K15,'Udvaskning nøgletal'!$C$12:$C$60,'Udvaskning nøgletal'!$E$12:$E$60)+Markniveau!Y15*Markniveau!S15/100,IF(X15=2,LOOKUP(K15,'Udvaskning nøgletal'!$C$12:$C$60,'Udvaskning nøgletal'!$F$12:$F$60)+Markniveau!Y15*Markniveau!S15/100,IF(X15=3,LOOKUP(K15,'Udvaskning nøgletal'!$C$12:$C$60,'Udvaskning nøgletal'!G25:G73)+Markniveau!Y15*Markniveau!S15/100,"")))</f>
        <v>70.634546226168496</v>
      </c>
      <c r="AA15" s="10">
        <f t="shared" si="0"/>
        <v>216.14171145207561</v>
      </c>
      <c r="AB15" s="10">
        <f t="shared" si="1"/>
        <v>3.5317273113084244</v>
      </c>
      <c r="AC15" s="10">
        <f t="shared" si="2"/>
        <v>10.807085572603778</v>
      </c>
      <c r="AD15" s="10">
        <f>IF(AND(Q15&gt;0,Q15&lt;30,K15&lt;8),Markniveau!Z15*'Udvaskning nøgletal'!$I$12/100,IF(AND(Q15&gt;0,Q15&lt;30,K15=216),Markniveau!Z15*'Udvaskning nøgletal'!$I$34/100,Markniveau!Z15))</f>
        <v>70.634546226168496</v>
      </c>
      <c r="AE15" s="10">
        <f t="shared" si="3"/>
        <v>216.14171145207561</v>
      </c>
      <c r="AF15" s="10">
        <f t="shared" si="4"/>
        <v>3.5317273113084244</v>
      </c>
      <c r="AG15" s="10">
        <f t="shared" si="5"/>
        <v>10.807085572603778</v>
      </c>
      <c r="AH15" s="10" t="str">
        <f>IF(AND(Q15&gt;0,Q15&lt;30,K15=216),'Udvaskning nøgletal'!$C$42,IF(AND(Q15&gt;0,Q15&lt;30,K15&gt;7,K15&lt;17),'Udvaskning nøgletal'!$C$61,IF(AND(Q15&gt;0,Q15&lt;30,K15&lt;7),'Udvaskning nøgletal'!$C$62,"")))</f>
        <v/>
      </c>
      <c r="AI15" s="10">
        <f t="shared" si="10"/>
        <v>2</v>
      </c>
      <c r="AJ15" s="10">
        <f>IF($X15=1,LOOKUP(AI15,'Udvaskning nøgletal'!$C$12:$C$62,'Udvaskning nøgletal'!$E$12:$E$62)+Markniveau!$Y15*Markniveau!$S15/100,IF($X15=2,LOOKUP(AI15,'Udvaskning nøgletal'!$C$12:$C$62,'Udvaskning nøgletal'!$F$12:$F$62)+Markniveau!$Y15*Markniveau!$S15/100,IF($X15=3,LOOKUP(AI15,'Udvaskning nøgletal'!$C$12:$C$62,'Udvaskning nøgletal'!Q25:Q75)+Markniveau!$Y15*Markniveau!$S15/100,"")))</f>
        <v>70.634546226168496</v>
      </c>
      <c r="AK15" s="10">
        <f t="shared" si="7"/>
        <v>216.14171145207561</v>
      </c>
      <c r="AL15" s="10">
        <f t="shared" si="11"/>
        <v>3.5317273113084244</v>
      </c>
      <c r="AM15" s="10">
        <f t="shared" si="12"/>
        <v>10.807085572603778</v>
      </c>
    </row>
    <row r="16" spans="1:39" x14ac:dyDescent="0.25">
      <c r="A16" s="15">
        <v>10799686</v>
      </c>
      <c r="B16" s="15">
        <v>9.76</v>
      </c>
      <c r="C16" s="15">
        <v>369206</v>
      </c>
      <c r="D16" s="15">
        <v>11380</v>
      </c>
      <c r="E16" s="15" t="s">
        <v>50</v>
      </c>
      <c r="F16" s="15">
        <v>2011</v>
      </c>
      <c r="G16" s="15">
        <v>20110301</v>
      </c>
      <c r="H16" s="15">
        <v>4568</v>
      </c>
      <c r="I16" s="15">
        <v>0.46</v>
      </c>
      <c r="J16" s="6" t="s">
        <v>51</v>
      </c>
      <c r="K16" s="15">
        <v>2</v>
      </c>
      <c r="L16" s="15" t="s">
        <v>49</v>
      </c>
      <c r="M16" s="15" t="s">
        <v>5</v>
      </c>
      <c r="N16" s="11" t="s">
        <v>1384</v>
      </c>
      <c r="O16" s="11" t="s">
        <v>28</v>
      </c>
      <c r="P16" s="11" t="s">
        <v>33</v>
      </c>
      <c r="Q16" s="15">
        <v>0</v>
      </c>
      <c r="R16" s="11" t="s">
        <v>1386</v>
      </c>
      <c r="S16" s="10">
        <v>119.49092452337</v>
      </c>
      <c r="T16" s="15">
        <v>80</v>
      </c>
      <c r="U16" s="15">
        <v>0</v>
      </c>
      <c r="V16" s="15">
        <v>1</v>
      </c>
      <c r="W16" s="15">
        <v>1</v>
      </c>
      <c r="X16" s="15">
        <f>IF(O16='Udvaskning nøgletal'!$D$65,1,IF(O16='Udvaskning nøgletal'!$D$66,2,IF(O16='Udvaskning nøgletal'!$D$67,3,IF(O16='Udvaskning nøgletal'!$D$68,2,""))))</f>
        <v>1</v>
      </c>
      <c r="Y16" s="15">
        <f>LOOKUP(K16,'Udvaskning nøgletal'!$C$12:$C$60,'Udvaskning nøgletal'!$H$12:$H$60)</f>
        <v>5</v>
      </c>
      <c r="Z16" s="10">
        <f>IF(X16=1,LOOKUP(K16,'Udvaskning nøgletal'!$C$12:$C$60,'Udvaskning nøgletal'!$E$12:$E$60)+Markniveau!Y16*Markniveau!S16/100,IF(X16=2,LOOKUP(K16,'Udvaskning nøgletal'!$C$12:$C$60,'Udvaskning nøgletal'!$F$12:$F$60)+Markniveau!Y16*Markniveau!S16/100,IF(X16=3,LOOKUP(K16,'Udvaskning nøgletal'!$C$12:$C$60,'Udvaskning nøgletal'!G26:G74)+Markniveau!Y16*Markniveau!S16/100,"")))</f>
        <v>70.634546226168496</v>
      </c>
      <c r="AA16" s="10">
        <f t="shared" si="0"/>
        <v>32.491891264037513</v>
      </c>
      <c r="AB16" s="10" t="str">
        <f t="shared" si="1"/>
        <v/>
      </c>
      <c r="AC16" s="10" t="str">
        <f t="shared" si="2"/>
        <v/>
      </c>
      <c r="AD16" s="10">
        <f>IF(AND(Q16&gt;0,Q16&lt;30,K16&lt;8),Markniveau!Z16*'Udvaskning nøgletal'!$I$12/100,IF(AND(Q16&gt;0,Q16&lt;30,K16=216),Markniveau!Z16*'Udvaskning nøgletal'!$I$34/100,Markniveau!Z16))</f>
        <v>70.634546226168496</v>
      </c>
      <c r="AE16" s="10">
        <f t="shared" si="3"/>
        <v>32.491891264037513</v>
      </c>
      <c r="AF16" s="10" t="str">
        <f t="shared" si="4"/>
        <v/>
      </c>
      <c r="AG16" s="10" t="str">
        <f t="shared" si="5"/>
        <v/>
      </c>
      <c r="AH16" s="10" t="str">
        <f>IF(AND(Q16&gt;0,Q16&lt;30,K16=216),'Udvaskning nøgletal'!$C$42,IF(AND(Q16&gt;0,Q16&lt;30,K16&gt;7,K16&lt;17),'Udvaskning nøgletal'!$C$61,IF(AND(Q16&gt;0,Q16&lt;30,K16&lt;7),'Udvaskning nøgletal'!$C$62,"")))</f>
        <v/>
      </c>
      <c r="AI16" s="10">
        <f t="shared" si="10"/>
        <v>2</v>
      </c>
      <c r="AJ16" s="10">
        <f>IF($X16=1,LOOKUP(AI16,'Udvaskning nøgletal'!$C$12:$C$62,'Udvaskning nøgletal'!$E$12:$E$62)+Markniveau!$Y16*Markniveau!$S16/100,IF($X16=2,LOOKUP(AI16,'Udvaskning nøgletal'!$C$12:$C$62,'Udvaskning nøgletal'!$F$12:$F$62)+Markniveau!$Y16*Markniveau!$S16/100,IF($X16=3,LOOKUP(AI16,'Udvaskning nøgletal'!$C$12:$C$62,'Udvaskning nøgletal'!Q26:Q76)+Markniveau!$Y16*Markniveau!$S16/100,"")))</f>
        <v>70.634546226168496</v>
      </c>
      <c r="AK16" s="10">
        <f t="shared" si="7"/>
        <v>32.491891264037513</v>
      </c>
      <c r="AL16" s="10" t="str">
        <f t="shared" si="11"/>
        <v/>
      </c>
      <c r="AM16" s="10" t="str">
        <f t="shared" si="12"/>
        <v/>
      </c>
    </row>
    <row r="17" spans="1:39" x14ac:dyDescent="0.25">
      <c r="A17" s="15">
        <v>10799686</v>
      </c>
      <c r="B17" s="15">
        <v>9.76</v>
      </c>
      <c r="C17" s="15">
        <v>370776</v>
      </c>
      <c r="D17" s="15">
        <v>11380</v>
      </c>
      <c r="E17" s="15" t="s">
        <v>52</v>
      </c>
      <c r="F17" s="15">
        <v>2011</v>
      </c>
      <c r="G17" s="15">
        <v>20110301</v>
      </c>
      <c r="H17" s="15">
        <v>95920</v>
      </c>
      <c r="I17" s="15">
        <v>9.59</v>
      </c>
      <c r="J17" s="6" t="s">
        <v>53</v>
      </c>
      <c r="K17" s="15">
        <v>260</v>
      </c>
      <c r="L17" s="15" t="s">
        <v>45</v>
      </c>
      <c r="M17" s="15" t="s">
        <v>5</v>
      </c>
      <c r="N17" s="11" t="s">
        <v>1384</v>
      </c>
      <c r="O17" s="11" t="s">
        <v>28</v>
      </c>
      <c r="P17" s="11" t="s">
        <v>33</v>
      </c>
      <c r="Q17" s="15">
        <v>0</v>
      </c>
      <c r="R17" s="11" t="s">
        <v>1386</v>
      </c>
      <c r="S17" s="10">
        <v>119.49092452337</v>
      </c>
      <c r="T17" s="15">
        <v>80</v>
      </c>
      <c r="U17" s="15">
        <v>0</v>
      </c>
      <c r="V17" s="15">
        <v>1</v>
      </c>
      <c r="W17" s="15">
        <v>1</v>
      </c>
      <c r="X17" s="15">
        <f>IF(O17='Udvaskning nøgletal'!$D$65,1,IF(O17='Udvaskning nøgletal'!$D$66,2,IF(O17='Udvaskning nøgletal'!$D$67,3,IF(O17='Udvaskning nøgletal'!$D$68,2,""))))</f>
        <v>1</v>
      </c>
      <c r="Y17" s="15">
        <f>LOOKUP(K17,'Udvaskning nøgletal'!$C$12:$C$60,'Udvaskning nøgletal'!$H$12:$H$60)</f>
        <v>0</v>
      </c>
      <c r="Z17" s="10">
        <f>IF(X17=1,LOOKUP(K17,'Udvaskning nøgletal'!$C$12:$C$60,'Udvaskning nøgletal'!$E$12:$E$60)+Markniveau!Y17*Markniveau!S17/100,IF(X17=2,LOOKUP(K17,'Udvaskning nøgletal'!$C$12:$C$60,'Udvaskning nøgletal'!$F$12:$F$60)+Markniveau!Y17*Markniveau!S17/100,IF(X17=3,LOOKUP(K17,'Udvaskning nøgletal'!$C$12:$C$60,'Udvaskning nøgletal'!G27:G75)+Markniveau!Y17*Markniveau!S17/100,"")))</f>
        <v>33.723295792149436</v>
      </c>
      <c r="AA17" s="10">
        <f t="shared" si="0"/>
        <v>323.40640664671309</v>
      </c>
      <c r="AB17" s="10" t="str">
        <f t="shared" si="1"/>
        <v/>
      </c>
      <c r="AC17" s="10" t="str">
        <f t="shared" si="2"/>
        <v/>
      </c>
      <c r="AD17" s="10">
        <f>IF(AND(Q17&gt;0,Q17&lt;30,K17&lt;8),Markniveau!Z17*'Udvaskning nøgletal'!$I$12/100,IF(AND(Q17&gt;0,Q17&lt;30,K17=216),Markniveau!Z17*'Udvaskning nøgletal'!$I$34/100,Markniveau!Z17))</f>
        <v>33.723295792149436</v>
      </c>
      <c r="AE17" s="10">
        <f t="shared" ref="AE17:AE80" si="13">AD17*I17</f>
        <v>323.40640664671309</v>
      </c>
      <c r="AF17" s="10" t="str">
        <f t="shared" si="4"/>
        <v/>
      </c>
      <c r="AG17" s="10" t="str">
        <f t="shared" ref="AG17:AG80" si="14">IF($Q17&gt;0,(100-$Q17)*$AD17/100*I17,"")</f>
        <v/>
      </c>
      <c r="AH17" s="10" t="str">
        <f>IF(AND(Q17&gt;0,Q17&lt;30,K17=216),'Udvaskning nøgletal'!$C$42,IF(AND(Q17&gt;0,Q17&lt;30,K17&gt;7,K17&lt;17),'Udvaskning nøgletal'!$C$61,IF(AND(Q17&gt;0,Q17&lt;30,K17&lt;7),'Udvaskning nøgletal'!$C$62,"")))</f>
        <v/>
      </c>
      <c r="AI17" s="10">
        <f t="shared" si="10"/>
        <v>260</v>
      </c>
      <c r="AJ17" s="10">
        <f>IF($X17=1,LOOKUP(AI17,'Udvaskning nøgletal'!$C$12:$C$62,'Udvaskning nøgletal'!$E$12:$E$62)+Markniveau!$Y17*Markniveau!$S17/100,IF($X17=2,LOOKUP(AI17,'Udvaskning nøgletal'!$C$12:$C$62,'Udvaskning nøgletal'!$F$12:$F$62)+Markniveau!$Y17*Markniveau!$S17/100,IF($X17=3,LOOKUP(AI17,'Udvaskning nøgletal'!$C$12:$C$62,'Udvaskning nøgletal'!Q27:Q77)+Markniveau!$Y17*Markniveau!$S17/100,"")))</f>
        <v>33.723295792149436</v>
      </c>
      <c r="AK17" s="10">
        <f t="shared" si="7"/>
        <v>323.40640664671309</v>
      </c>
      <c r="AL17" s="10" t="str">
        <f t="shared" si="11"/>
        <v/>
      </c>
      <c r="AM17" s="10" t="str">
        <f t="shared" si="12"/>
        <v/>
      </c>
    </row>
    <row r="18" spans="1:39" x14ac:dyDescent="0.25">
      <c r="A18" s="15">
        <v>10799686</v>
      </c>
      <c r="B18" s="15">
        <v>9.76</v>
      </c>
      <c r="C18" s="15">
        <v>370777</v>
      </c>
      <c r="D18" s="15">
        <v>11380</v>
      </c>
      <c r="E18" s="15" t="s">
        <v>54</v>
      </c>
      <c r="F18" s="15">
        <v>2011</v>
      </c>
      <c r="G18" s="15">
        <v>20110301</v>
      </c>
      <c r="H18" s="15">
        <v>81242</v>
      </c>
      <c r="I18" s="15">
        <v>8.1199999999999992</v>
      </c>
      <c r="J18" s="6" t="s">
        <v>55</v>
      </c>
      <c r="K18" s="15">
        <v>214</v>
      </c>
      <c r="L18" s="15" t="s">
        <v>56</v>
      </c>
      <c r="M18" s="15" t="s">
        <v>5</v>
      </c>
      <c r="N18" s="11" t="s">
        <v>1391</v>
      </c>
      <c r="O18" s="11" t="s">
        <v>46</v>
      </c>
      <c r="P18" s="11" t="s">
        <v>33</v>
      </c>
      <c r="Q18" s="15">
        <v>0</v>
      </c>
      <c r="R18" s="11" t="s">
        <v>1386</v>
      </c>
      <c r="S18" s="10">
        <v>119.49092452337</v>
      </c>
      <c r="T18" s="15">
        <v>80</v>
      </c>
      <c r="U18" s="15">
        <v>0</v>
      </c>
      <c r="V18" s="15">
        <v>1</v>
      </c>
      <c r="W18" s="15">
        <v>1</v>
      </c>
      <c r="X18" s="15">
        <f>IF(O18='Udvaskning nøgletal'!$D$65,1,IF(O18='Udvaskning nøgletal'!$D$66,2,IF(O18='Udvaskning nøgletal'!$D$67,3,IF(O18='Udvaskning nøgletal'!$D$68,2,""))))</f>
        <v>2</v>
      </c>
      <c r="Y18" s="15">
        <f>LOOKUP(K18,'Udvaskning nøgletal'!$C$12:$C$60,'Udvaskning nøgletal'!$H$12:$H$60)</f>
        <v>0</v>
      </c>
      <c r="Z18" s="10">
        <f>IF(X18=1,LOOKUP(K18,'Udvaskning nøgletal'!$C$12:$C$60,'Udvaskning nøgletal'!$E$12:$E$60)+Markniveau!Y18*Markniveau!S18/100,IF(X18=2,LOOKUP(K18,'Udvaskning nøgletal'!$C$12:$C$60,'Udvaskning nøgletal'!$F$12:$F$60)+Markniveau!Y18*Markniveau!S18/100,IF(X18=3,LOOKUP(K18,'Udvaskning nøgletal'!$C$12:$C$60,'Udvaskning nøgletal'!G28:G76)+Markniveau!Y18*Markniveau!S18/100,"")))</f>
        <v>31.161328188970323</v>
      </c>
      <c r="AA18" s="10">
        <f t="shared" si="0"/>
        <v>253.029984894439</v>
      </c>
      <c r="AB18" s="10" t="str">
        <f t="shared" si="1"/>
        <v/>
      </c>
      <c r="AC18" s="10" t="str">
        <f t="shared" si="2"/>
        <v/>
      </c>
      <c r="AD18" s="10">
        <f>IF(AND(Q18&gt;0,Q18&lt;30,K18&lt;8),Markniveau!Z18*'Udvaskning nøgletal'!$I$12/100,IF(AND(Q18&gt;0,Q18&lt;30,K18=216),Markniveau!Z18*'Udvaskning nøgletal'!$I$34/100,Markniveau!Z18))</f>
        <v>31.161328188970323</v>
      </c>
      <c r="AE18" s="10">
        <f t="shared" si="13"/>
        <v>253.029984894439</v>
      </c>
      <c r="AF18" s="10" t="str">
        <f t="shared" si="4"/>
        <v/>
      </c>
      <c r="AG18" s="10" t="str">
        <f t="shared" si="14"/>
        <v/>
      </c>
      <c r="AH18" s="10" t="str">
        <f>IF(AND(Q18&gt;0,Q18&lt;30,K18=216),'Udvaskning nøgletal'!$C$42,IF(AND(Q18&gt;0,Q18&lt;30,K18&gt;7,K18&lt;17),'Udvaskning nøgletal'!$C$61,IF(AND(Q18&gt;0,Q18&lt;30,K18&lt;7),'Udvaskning nøgletal'!$C$62,"")))</f>
        <v/>
      </c>
      <c r="AI18" s="10">
        <f t="shared" si="10"/>
        <v>214</v>
      </c>
      <c r="AJ18" s="10">
        <f>IF($X18=1,LOOKUP(AI18,'Udvaskning nøgletal'!$C$12:$C$62,'Udvaskning nøgletal'!$E$12:$E$62)+Markniveau!$Y18*Markniveau!$S18/100,IF($X18=2,LOOKUP(AI18,'Udvaskning nøgletal'!$C$12:$C$62,'Udvaskning nøgletal'!$F$12:$F$62)+Markniveau!$Y18*Markniveau!$S18/100,IF($X18=3,LOOKUP(AI18,'Udvaskning nøgletal'!$C$12:$C$62,'Udvaskning nøgletal'!Q28:Q78)+Markniveau!$Y18*Markniveau!$S18/100,"")))</f>
        <v>31.161328188970323</v>
      </c>
      <c r="AK18" s="10">
        <f t="shared" si="7"/>
        <v>253.029984894439</v>
      </c>
      <c r="AL18" s="10" t="str">
        <f t="shared" si="11"/>
        <v/>
      </c>
      <c r="AM18" s="10" t="str">
        <f t="shared" si="12"/>
        <v/>
      </c>
    </row>
    <row r="19" spans="1:39" x14ac:dyDescent="0.25">
      <c r="A19" s="15">
        <v>10799686</v>
      </c>
      <c r="B19" s="15">
        <v>9.76</v>
      </c>
      <c r="C19" s="15">
        <v>375401</v>
      </c>
      <c r="D19" s="15">
        <v>11380</v>
      </c>
      <c r="E19" s="15" t="s">
        <v>57</v>
      </c>
      <c r="F19" s="15">
        <v>2011</v>
      </c>
      <c r="G19" s="15">
        <v>20110301</v>
      </c>
      <c r="H19" s="15">
        <v>61158</v>
      </c>
      <c r="I19" s="15">
        <v>6.12</v>
      </c>
      <c r="J19" s="6" t="s">
        <v>58</v>
      </c>
      <c r="K19" s="15">
        <v>214</v>
      </c>
      <c r="L19" s="15" t="s">
        <v>56</v>
      </c>
      <c r="M19" s="15" t="s">
        <v>5</v>
      </c>
      <c r="N19" s="11" t="s">
        <v>1384</v>
      </c>
      <c r="O19" s="11" t="s">
        <v>28</v>
      </c>
      <c r="P19" s="11" t="s">
        <v>33</v>
      </c>
      <c r="Q19" s="15">
        <v>0</v>
      </c>
      <c r="R19" s="11" t="s">
        <v>1386</v>
      </c>
      <c r="S19" s="10">
        <v>119.49092452337</v>
      </c>
      <c r="T19" s="15">
        <v>80</v>
      </c>
      <c r="U19" s="15">
        <v>0</v>
      </c>
      <c r="V19" s="15">
        <v>1</v>
      </c>
      <c r="W19" s="15">
        <v>1</v>
      </c>
      <c r="X19" s="15">
        <f>IF(O19='Udvaskning nøgletal'!$D$65,1,IF(O19='Udvaskning nøgletal'!$D$66,2,IF(O19='Udvaskning nøgletal'!$D$67,3,IF(O19='Udvaskning nøgletal'!$D$68,2,""))))</f>
        <v>1</v>
      </c>
      <c r="Y19" s="15">
        <f>LOOKUP(K19,'Udvaskning nøgletal'!$C$12:$C$60,'Udvaskning nøgletal'!$H$12:$H$60)</f>
        <v>0</v>
      </c>
      <c r="Z19" s="10">
        <f>IF(X19=1,LOOKUP(K19,'Udvaskning nøgletal'!$C$12:$C$60,'Udvaskning nøgletal'!$E$12:$E$60)+Markniveau!Y19*Markniveau!S19/100,IF(X19=2,LOOKUP(K19,'Udvaskning nøgletal'!$C$12:$C$60,'Udvaskning nøgletal'!$F$12:$F$60)+Markniveau!Y19*Markniveau!S19/100,IF(X19=3,LOOKUP(K19,'Udvaskning nøgletal'!$C$12:$C$60,'Udvaskning nøgletal'!G29:G77)+Markniveau!Y19*Markniveau!S19/100,"")))</f>
        <v>38.620385460262987</v>
      </c>
      <c r="AA19" s="10">
        <f t="shared" si="0"/>
        <v>236.35675901680949</v>
      </c>
      <c r="AB19" s="10" t="str">
        <f t="shared" si="1"/>
        <v/>
      </c>
      <c r="AC19" s="10" t="str">
        <f t="shared" si="2"/>
        <v/>
      </c>
      <c r="AD19" s="10">
        <f>IF(AND(Q19&gt;0,Q19&lt;30,K19&lt;8),Markniveau!Z19*'Udvaskning nøgletal'!$I$12/100,IF(AND(Q19&gt;0,Q19&lt;30,K19=216),Markniveau!Z19*'Udvaskning nøgletal'!$I$34/100,Markniveau!Z19))</f>
        <v>38.620385460262987</v>
      </c>
      <c r="AE19" s="10">
        <f t="shared" si="13"/>
        <v>236.35675901680949</v>
      </c>
      <c r="AF19" s="10" t="str">
        <f t="shared" si="4"/>
        <v/>
      </c>
      <c r="AG19" s="10" t="str">
        <f t="shared" si="14"/>
        <v/>
      </c>
      <c r="AH19" s="10" t="str">
        <f>IF(AND(Q19&gt;0,Q19&lt;30,K19=216),'Udvaskning nøgletal'!$C$42,IF(AND(Q19&gt;0,Q19&lt;30,K19&gt;7,K19&lt;17),'Udvaskning nøgletal'!$C$61,IF(AND(Q19&gt;0,Q19&lt;30,K19&lt;7),'Udvaskning nøgletal'!$C$62,"")))</f>
        <v/>
      </c>
      <c r="AI19" s="10">
        <f t="shared" si="10"/>
        <v>214</v>
      </c>
      <c r="AJ19" s="10">
        <f>IF($X19=1,LOOKUP(AI19,'Udvaskning nøgletal'!$C$12:$C$62,'Udvaskning nøgletal'!$E$12:$E$62)+Markniveau!$Y19*Markniveau!$S19/100,IF($X19=2,LOOKUP(AI19,'Udvaskning nøgletal'!$C$12:$C$62,'Udvaskning nøgletal'!$F$12:$F$62)+Markniveau!$Y19*Markniveau!$S19/100,IF($X19=3,LOOKUP(AI19,'Udvaskning nøgletal'!$C$12:$C$62,'Udvaskning nøgletal'!Q29:Q79)+Markniveau!$Y19*Markniveau!$S19/100,"")))</f>
        <v>38.620385460262987</v>
      </c>
      <c r="AK19" s="10">
        <f t="shared" si="7"/>
        <v>236.35675901680949</v>
      </c>
      <c r="AL19" s="10" t="str">
        <f t="shared" si="11"/>
        <v/>
      </c>
      <c r="AM19" s="10" t="str">
        <f t="shared" si="12"/>
        <v/>
      </c>
    </row>
    <row r="20" spans="1:39" x14ac:dyDescent="0.25">
      <c r="A20" s="15">
        <v>10799686</v>
      </c>
      <c r="B20" s="15">
        <v>9.76</v>
      </c>
      <c r="C20" s="15">
        <v>377181</v>
      </c>
      <c r="D20" s="15">
        <v>11380</v>
      </c>
      <c r="E20" s="15" t="s">
        <v>59</v>
      </c>
      <c r="F20" s="15">
        <v>2011</v>
      </c>
      <c r="G20" s="15">
        <v>20110301</v>
      </c>
      <c r="H20" s="15">
        <v>14675</v>
      </c>
      <c r="I20" s="15">
        <v>1.47</v>
      </c>
      <c r="J20" s="6" t="s">
        <v>60</v>
      </c>
      <c r="K20" s="15">
        <v>260</v>
      </c>
      <c r="L20" s="15" t="s">
        <v>45</v>
      </c>
      <c r="M20" s="15" t="s">
        <v>5</v>
      </c>
      <c r="N20" s="11" t="s">
        <v>1391</v>
      </c>
      <c r="O20" s="11" t="s">
        <v>46</v>
      </c>
      <c r="P20" s="11" t="s">
        <v>33</v>
      </c>
      <c r="Q20" s="15">
        <v>0</v>
      </c>
      <c r="R20" s="11" t="s">
        <v>1386</v>
      </c>
      <c r="S20" s="10">
        <v>119.49092452337</v>
      </c>
      <c r="T20" s="15">
        <v>80</v>
      </c>
      <c r="U20" s="15">
        <v>0</v>
      </c>
      <c r="V20" s="15">
        <v>1</v>
      </c>
      <c r="W20" s="15">
        <v>1</v>
      </c>
      <c r="X20" s="15">
        <f>IF(O20='Udvaskning nøgletal'!$D$65,1,IF(O20='Udvaskning nøgletal'!$D$66,2,IF(O20='Udvaskning nøgletal'!$D$67,3,IF(O20='Udvaskning nøgletal'!$D$68,2,""))))</f>
        <v>2</v>
      </c>
      <c r="Y20" s="15">
        <f>LOOKUP(K20,'Udvaskning nøgletal'!$C$12:$C$60,'Udvaskning nøgletal'!$H$12:$H$60)</f>
        <v>0</v>
      </c>
      <c r="Z20" s="10">
        <f>IF(X20=1,LOOKUP(K20,'Udvaskning nøgletal'!$C$12:$C$60,'Udvaskning nøgletal'!$E$12:$E$60)+Markniveau!Y20*Markniveau!S20/100,IF(X20=2,LOOKUP(K20,'Udvaskning nøgletal'!$C$12:$C$60,'Udvaskning nøgletal'!$F$12:$F$60)+Markniveau!Y20*Markniveau!S20/100,IF(X20=3,LOOKUP(K20,'Udvaskning nøgletal'!$C$12:$C$60,'Udvaskning nøgletal'!G30:G78)+Markniveau!Y20*Markniveau!S20/100,"")))</f>
        <v>27.331185321443094</v>
      </c>
      <c r="AA20" s="10">
        <f t="shared" si="0"/>
        <v>40.176842422521347</v>
      </c>
      <c r="AB20" s="10" t="str">
        <f t="shared" si="1"/>
        <v/>
      </c>
      <c r="AC20" s="10" t="str">
        <f t="shared" si="2"/>
        <v/>
      </c>
      <c r="AD20" s="10">
        <f>IF(AND(Q20&gt;0,Q20&lt;30,K20&lt;8),Markniveau!Z20*'Udvaskning nøgletal'!$I$12/100,IF(AND(Q20&gt;0,Q20&lt;30,K20=216),Markniveau!Z20*'Udvaskning nøgletal'!$I$34/100,Markniveau!Z20))</f>
        <v>27.331185321443094</v>
      </c>
      <c r="AE20" s="10">
        <f t="shared" si="13"/>
        <v>40.176842422521347</v>
      </c>
      <c r="AF20" s="10" t="str">
        <f t="shared" si="4"/>
        <v/>
      </c>
      <c r="AG20" s="10" t="str">
        <f t="shared" si="14"/>
        <v/>
      </c>
      <c r="AH20" s="10" t="str">
        <f>IF(AND(Q20&gt;0,Q20&lt;30,K20=216),'Udvaskning nøgletal'!$C$42,IF(AND(Q20&gt;0,Q20&lt;30,K20&gt;7,K20&lt;17),'Udvaskning nøgletal'!$C$61,IF(AND(Q20&gt;0,Q20&lt;30,K20&lt;7),'Udvaskning nøgletal'!$C$62,"")))</f>
        <v/>
      </c>
      <c r="AI20" s="10">
        <f t="shared" si="10"/>
        <v>260</v>
      </c>
      <c r="AJ20" s="10">
        <f>IF($X20=1,LOOKUP(AI20,'Udvaskning nøgletal'!$C$12:$C$62,'Udvaskning nøgletal'!$E$12:$E$62)+Markniveau!$Y20*Markniveau!$S20/100,IF($X20=2,LOOKUP(AI20,'Udvaskning nøgletal'!$C$12:$C$62,'Udvaskning nøgletal'!$F$12:$F$62)+Markniveau!$Y20*Markniveau!$S20/100,IF($X20=3,LOOKUP(AI20,'Udvaskning nøgletal'!$C$12:$C$62,'Udvaskning nøgletal'!Q30:Q80)+Markniveau!$Y20*Markniveau!$S20/100,"")))</f>
        <v>27.331185321443094</v>
      </c>
      <c r="AK20" s="10">
        <f t="shared" si="7"/>
        <v>40.176842422521347</v>
      </c>
      <c r="AL20" s="10" t="str">
        <f t="shared" si="11"/>
        <v/>
      </c>
      <c r="AM20" s="10" t="str">
        <f t="shared" si="12"/>
        <v/>
      </c>
    </row>
    <row r="21" spans="1:39" x14ac:dyDescent="0.25">
      <c r="A21" s="15">
        <v>10799686</v>
      </c>
      <c r="B21" s="15">
        <v>9.76</v>
      </c>
      <c r="C21" s="15">
        <v>379461</v>
      </c>
      <c r="D21" s="15">
        <v>11380</v>
      </c>
      <c r="E21" s="15" t="s">
        <v>47</v>
      </c>
      <c r="F21" s="15">
        <v>2011</v>
      </c>
      <c r="G21" s="15">
        <v>20110301</v>
      </c>
      <c r="H21" s="15">
        <v>46852</v>
      </c>
      <c r="I21" s="15">
        <v>4.6900000000000004</v>
      </c>
      <c r="J21" s="6" t="s">
        <v>61</v>
      </c>
      <c r="K21" s="15">
        <v>2</v>
      </c>
      <c r="L21" s="15" t="s">
        <v>49</v>
      </c>
      <c r="M21" s="15" t="s">
        <v>5</v>
      </c>
      <c r="N21" s="11" t="s">
        <v>1391</v>
      </c>
      <c r="O21" s="11" t="s">
        <v>46</v>
      </c>
      <c r="P21" s="11" t="s">
        <v>33</v>
      </c>
      <c r="Q21" s="15">
        <v>0</v>
      </c>
      <c r="R21" s="11" t="s">
        <v>1386</v>
      </c>
      <c r="S21" s="10">
        <v>119.49092452337</v>
      </c>
      <c r="T21" s="15">
        <v>80</v>
      </c>
      <c r="U21" s="15">
        <v>0</v>
      </c>
      <c r="V21" s="15">
        <v>1</v>
      </c>
      <c r="W21" s="15">
        <v>1</v>
      </c>
      <c r="X21" s="15">
        <f>IF(O21='Udvaskning nøgletal'!$D$65,1,IF(O21='Udvaskning nøgletal'!$D$66,2,IF(O21='Udvaskning nøgletal'!$D$67,3,IF(O21='Udvaskning nøgletal'!$D$68,2,""))))</f>
        <v>2</v>
      </c>
      <c r="Y21" s="15">
        <f>LOOKUP(K21,'Udvaskning nøgletal'!$C$12:$C$60,'Udvaskning nøgletal'!$H$12:$H$60)</f>
        <v>5</v>
      </c>
      <c r="Z21" s="10">
        <f>IF(X21=1,LOOKUP(K21,'Udvaskning nøgletal'!$C$12:$C$60,'Udvaskning nøgletal'!$E$12:$E$60)+Markniveau!Y21*Markniveau!S21/100,IF(X21=2,LOOKUP(K21,'Udvaskning nøgletal'!$C$12:$C$60,'Udvaskning nøgletal'!$F$12:$F$60)+Markniveau!Y21*Markniveau!S21/100,IF(X21=3,LOOKUP(K21,'Udvaskning nøgletal'!$C$12:$C$60,'Udvaskning nøgletal'!G31:G79)+Markniveau!Y21*Markniveau!S21/100,"")))</f>
        <v>56.854546226168502</v>
      </c>
      <c r="AA21" s="10">
        <f t="shared" si="0"/>
        <v>266.6478218007303</v>
      </c>
      <c r="AB21" s="10" t="str">
        <f t="shared" si="1"/>
        <v/>
      </c>
      <c r="AC21" s="10" t="str">
        <f t="shared" si="2"/>
        <v/>
      </c>
      <c r="AD21" s="10">
        <f>IF(AND(Q21&gt;0,Q21&lt;30,K21&lt;8),Markniveau!Z21*'Udvaskning nøgletal'!$I$12/100,IF(AND(Q21&gt;0,Q21&lt;30,K21=216),Markniveau!Z21*'Udvaskning nøgletal'!$I$34/100,Markniveau!Z21))</f>
        <v>56.854546226168502</v>
      </c>
      <c r="AE21" s="10">
        <f t="shared" si="13"/>
        <v>266.6478218007303</v>
      </c>
      <c r="AF21" s="10" t="str">
        <f t="shared" si="4"/>
        <v/>
      </c>
      <c r="AG21" s="10" t="str">
        <f t="shared" si="14"/>
        <v/>
      </c>
      <c r="AH21" s="10" t="str">
        <f>IF(AND(Q21&gt;0,Q21&lt;30,K21=216),'Udvaskning nøgletal'!$C$42,IF(AND(Q21&gt;0,Q21&lt;30,K21&gt;7,K21&lt;17),'Udvaskning nøgletal'!$C$61,IF(AND(Q21&gt;0,Q21&lt;30,K21&lt;7),'Udvaskning nøgletal'!$C$62,"")))</f>
        <v/>
      </c>
      <c r="AI21" s="10">
        <f t="shared" si="10"/>
        <v>2</v>
      </c>
      <c r="AJ21" s="10">
        <f>IF($X21=1,LOOKUP(AI21,'Udvaskning nøgletal'!$C$12:$C$62,'Udvaskning nøgletal'!$E$12:$E$62)+Markniveau!$Y21*Markniveau!$S21/100,IF($X21=2,LOOKUP(AI21,'Udvaskning nøgletal'!$C$12:$C$62,'Udvaskning nøgletal'!$F$12:$F$62)+Markniveau!$Y21*Markniveau!$S21/100,IF($X21=3,LOOKUP(AI21,'Udvaskning nøgletal'!$C$12:$C$62,'Udvaskning nøgletal'!Q31:Q81)+Markniveau!$Y21*Markniveau!$S21/100,"")))</f>
        <v>56.854546226168502</v>
      </c>
      <c r="AK21" s="10">
        <f t="shared" si="7"/>
        <v>266.6478218007303</v>
      </c>
      <c r="AL21" s="10" t="str">
        <f t="shared" si="11"/>
        <v/>
      </c>
      <c r="AM21" s="10" t="str">
        <f t="shared" si="12"/>
        <v/>
      </c>
    </row>
    <row r="22" spans="1:39" x14ac:dyDescent="0.25">
      <c r="A22" s="15">
        <v>10799686</v>
      </c>
      <c r="B22" s="15">
        <v>9.76</v>
      </c>
      <c r="C22" s="15">
        <v>399238</v>
      </c>
      <c r="D22" s="15">
        <v>11380</v>
      </c>
      <c r="E22" s="15" t="s">
        <v>62</v>
      </c>
      <c r="F22" s="15">
        <v>2011</v>
      </c>
      <c r="G22" s="15">
        <v>20110301</v>
      </c>
      <c r="H22" s="15">
        <v>32376</v>
      </c>
      <c r="I22" s="15">
        <v>3.24</v>
      </c>
      <c r="J22" s="6" t="s">
        <v>63</v>
      </c>
      <c r="K22" s="15">
        <v>260</v>
      </c>
      <c r="L22" s="15" t="s">
        <v>45</v>
      </c>
      <c r="M22" s="15" t="s">
        <v>5</v>
      </c>
      <c r="N22" s="11" t="s">
        <v>1391</v>
      </c>
      <c r="O22" s="11" t="s">
        <v>46</v>
      </c>
      <c r="P22" s="11" t="s">
        <v>33</v>
      </c>
      <c r="Q22" s="15">
        <v>0</v>
      </c>
      <c r="R22" s="11" t="s">
        <v>1386</v>
      </c>
      <c r="S22" s="10">
        <v>119.49092452337</v>
      </c>
      <c r="T22" s="15">
        <v>80</v>
      </c>
      <c r="U22" s="15">
        <v>0</v>
      </c>
      <c r="V22" s="15">
        <v>1</v>
      </c>
      <c r="W22" s="15">
        <v>1</v>
      </c>
      <c r="X22" s="15">
        <f>IF(O22='Udvaskning nøgletal'!$D$65,1,IF(O22='Udvaskning nøgletal'!$D$66,2,IF(O22='Udvaskning nøgletal'!$D$67,3,IF(O22='Udvaskning nøgletal'!$D$68,2,""))))</f>
        <v>2</v>
      </c>
      <c r="Y22" s="15">
        <f>LOOKUP(K22,'Udvaskning nøgletal'!$C$12:$C$60,'Udvaskning nøgletal'!$H$12:$H$60)</f>
        <v>0</v>
      </c>
      <c r="Z22" s="10">
        <f>IF(X22=1,LOOKUP(K22,'Udvaskning nøgletal'!$C$12:$C$60,'Udvaskning nøgletal'!$E$12:$E$60)+Markniveau!Y22*Markniveau!S22/100,IF(X22=2,LOOKUP(K22,'Udvaskning nøgletal'!$C$12:$C$60,'Udvaskning nøgletal'!$F$12:$F$60)+Markniveau!Y22*Markniveau!S22/100,IF(X22=3,LOOKUP(K22,'Udvaskning nøgletal'!$C$12:$C$60,'Udvaskning nøgletal'!G32:G80)+Markniveau!Y22*Markniveau!S22/100,"")))</f>
        <v>27.331185321443094</v>
      </c>
      <c r="AA22" s="10">
        <f t="shared" si="0"/>
        <v>88.55304044147563</v>
      </c>
      <c r="AB22" s="10" t="str">
        <f t="shared" si="1"/>
        <v/>
      </c>
      <c r="AC22" s="10" t="str">
        <f t="shared" si="2"/>
        <v/>
      </c>
      <c r="AD22" s="10">
        <f>IF(AND(Q22&gt;0,Q22&lt;30,K22&lt;8),Markniveau!Z22*'Udvaskning nøgletal'!$I$12/100,IF(AND(Q22&gt;0,Q22&lt;30,K22=216),Markniveau!Z22*'Udvaskning nøgletal'!$I$34/100,Markniveau!Z22))</f>
        <v>27.331185321443094</v>
      </c>
      <c r="AE22" s="10">
        <f t="shared" si="13"/>
        <v>88.55304044147563</v>
      </c>
      <c r="AF22" s="10" t="str">
        <f t="shared" si="4"/>
        <v/>
      </c>
      <c r="AG22" s="10" t="str">
        <f t="shared" si="14"/>
        <v/>
      </c>
      <c r="AH22" s="10" t="str">
        <f>IF(AND(Q22&gt;0,Q22&lt;30,K22=216),'Udvaskning nøgletal'!$C$42,IF(AND(Q22&gt;0,Q22&lt;30,K22&gt;7,K22&lt;17),'Udvaskning nøgletal'!$C$61,IF(AND(Q22&gt;0,Q22&lt;30,K22&lt;7),'Udvaskning nøgletal'!$C$62,"")))</f>
        <v/>
      </c>
      <c r="AI22" s="10">
        <f t="shared" si="10"/>
        <v>260</v>
      </c>
      <c r="AJ22" s="10">
        <f>IF($X22=1,LOOKUP(AI22,'Udvaskning nøgletal'!$C$12:$C$62,'Udvaskning nøgletal'!$E$12:$E$62)+Markniveau!$Y22*Markniveau!$S22/100,IF($X22=2,LOOKUP(AI22,'Udvaskning nøgletal'!$C$12:$C$62,'Udvaskning nøgletal'!$F$12:$F$62)+Markniveau!$Y22*Markniveau!$S22/100,IF($X22=3,LOOKUP(AI22,'Udvaskning nøgletal'!$C$12:$C$62,'Udvaskning nøgletal'!Q32:Q82)+Markniveau!$Y22*Markniveau!$S22/100,"")))</f>
        <v>27.331185321443094</v>
      </c>
      <c r="AK22" s="10">
        <f t="shared" si="7"/>
        <v>88.55304044147563</v>
      </c>
      <c r="AL22" s="10" t="str">
        <f t="shared" si="11"/>
        <v/>
      </c>
      <c r="AM22" s="10" t="str">
        <f t="shared" si="12"/>
        <v/>
      </c>
    </row>
    <row r="23" spans="1:39" x14ac:dyDescent="0.25">
      <c r="A23" s="15">
        <v>10799686</v>
      </c>
      <c r="B23" s="15">
        <v>9.76</v>
      </c>
      <c r="C23" s="15">
        <v>399866</v>
      </c>
      <c r="D23" s="15">
        <v>11380</v>
      </c>
      <c r="E23" s="15" t="s">
        <v>64</v>
      </c>
      <c r="F23" s="15">
        <v>2011</v>
      </c>
      <c r="G23" s="15">
        <v>20110301</v>
      </c>
      <c r="H23" s="15">
        <v>14188</v>
      </c>
      <c r="I23" s="15">
        <v>1.42</v>
      </c>
      <c r="J23" s="6" t="s">
        <v>1394</v>
      </c>
      <c r="K23" s="15">
        <v>260</v>
      </c>
      <c r="L23" s="15" t="s">
        <v>45</v>
      </c>
      <c r="M23" s="15" t="s">
        <v>5</v>
      </c>
      <c r="N23" s="11" t="s">
        <v>1391</v>
      </c>
      <c r="O23" s="11" t="s">
        <v>46</v>
      </c>
      <c r="P23" s="11" t="s">
        <v>33</v>
      </c>
      <c r="Q23" s="15">
        <v>0</v>
      </c>
      <c r="R23" s="11" t="s">
        <v>1386</v>
      </c>
      <c r="S23" s="10">
        <v>119.49092452337</v>
      </c>
      <c r="T23" s="15">
        <v>80</v>
      </c>
      <c r="U23" s="15">
        <v>0</v>
      </c>
      <c r="V23" s="15">
        <v>1</v>
      </c>
      <c r="W23" s="15">
        <v>1</v>
      </c>
      <c r="X23" s="15">
        <f>IF(O23='Udvaskning nøgletal'!$D$65,1,IF(O23='Udvaskning nøgletal'!$D$66,2,IF(O23='Udvaskning nøgletal'!$D$67,3,IF(O23='Udvaskning nøgletal'!$D$68,2,""))))</f>
        <v>2</v>
      </c>
      <c r="Y23" s="15">
        <f>LOOKUP(K23,'Udvaskning nøgletal'!$C$12:$C$60,'Udvaskning nøgletal'!$H$12:$H$60)</f>
        <v>0</v>
      </c>
      <c r="Z23" s="10">
        <f>IF(X23=1,LOOKUP(K23,'Udvaskning nøgletal'!$C$12:$C$60,'Udvaskning nøgletal'!$E$12:$E$60)+Markniveau!Y23*Markniveau!S23/100,IF(X23=2,LOOKUP(K23,'Udvaskning nøgletal'!$C$12:$C$60,'Udvaskning nøgletal'!$F$12:$F$60)+Markniveau!Y23*Markniveau!S23/100,IF(X23=3,LOOKUP(K23,'Udvaskning nøgletal'!$C$12:$C$60,'Udvaskning nøgletal'!G33:G81)+Markniveau!Y23*Markniveau!S23/100,"")))</f>
        <v>27.331185321443094</v>
      </c>
      <c r="AA23" s="10">
        <f t="shared" si="0"/>
        <v>38.810283156449195</v>
      </c>
      <c r="AB23" s="10" t="str">
        <f t="shared" si="1"/>
        <v/>
      </c>
      <c r="AC23" s="10" t="str">
        <f t="shared" si="2"/>
        <v/>
      </c>
      <c r="AD23" s="10">
        <f>IF(AND(Q23&gt;0,Q23&lt;30,K23&lt;8),Markniveau!Z23*'Udvaskning nøgletal'!$I$12/100,IF(AND(Q23&gt;0,Q23&lt;30,K23=216),Markniveau!Z23*'Udvaskning nøgletal'!$I$34/100,Markniveau!Z23))</f>
        <v>27.331185321443094</v>
      </c>
      <c r="AE23" s="10">
        <f t="shared" si="13"/>
        <v>38.810283156449195</v>
      </c>
      <c r="AF23" s="10" t="str">
        <f t="shared" si="4"/>
        <v/>
      </c>
      <c r="AG23" s="10" t="str">
        <f t="shared" si="14"/>
        <v/>
      </c>
      <c r="AH23" s="10" t="str">
        <f>IF(AND(Q23&gt;0,Q23&lt;30,K23=216),'Udvaskning nøgletal'!$C$42,IF(AND(Q23&gt;0,Q23&lt;30,K23&gt;7,K23&lt;17),'Udvaskning nøgletal'!$C$61,IF(AND(Q23&gt;0,Q23&lt;30,K23&lt;7),'Udvaskning nøgletal'!$C$62,"")))</f>
        <v/>
      </c>
      <c r="AI23" s="10">
        <f t="shared" si="10"/>
        <v>260</v>
      </c>
      <c r="AJ23" s="10">
        <f>IF($X23=1,LOOKUP(AI23,'Udvaskning nøgletal'!$C$12:$C$62,'Udvaskning nøgletal'!$E$12:$E$62)+Markniveau!$Y23*Markniveau!$S23/100,IF($X23=2,LOOKUP(AI23,'Udvaskning nøgletal'!$C$12:$C$62,'Udvaskning nøgletal'!$F$12:$F$62)+Markniveau!$Y23*Markniveau!$S23/100,IF($X23=3,LOOKUP(AI23,'Udvaskning nøgletal'!$C$12:$C$62,'Udvaskning nøgletal'!Q33:Q83)+Markniveau!$Y23*Markniveau!$S23/100,"")))</f>
        <v>27.331185321443094</v>
      </c>
      <c r="AK23" s="10">
        <f t="shared" si="7"/>
        <v>38.810283156449195</v>
      </c>
      <c r="AL23" s="10" t="str">
        <f t="shared" si="11"/>
        <v/>
      </c>
      <c r="AM23" s="10" t="str">
        <f t="shared" si="12"/>
        <v/>
      </c>
    </row>
    <row r="24" spans="1:39" x14ac:dyDescent="0.25">
      <c r="A24" s="15">
        <v>10799686</v>
      </c>
      <c r="B24" s="15">
        <v>9.76</v>
      </c>
      <c r="C24" s="15">
        <v>401566</v>
      </c>
      <c r="D24" s="15">
        <v>11380</v>
      </c>
      <c r="E24" s="15" t="s">
        <v>50</v>
      </c>
      <c r="F24" s="15">
        <v>2011</v>
      </c>
      <c r="G24" s="15">
        <v>20110301</v>
      </c>
      <c r="H24" s="15">
        <v>22343</v>
      </c>
      <c r="I24" s="15">
        <v>2.23</v>
      </c>
      <c r="J24" s="6" t="s">
        <v>65</v>
      </c>
      <c r="K24" s="15">
        <v>2</v>
      </c>
      <c r="L24" s="15" t="s">
        <v>49</v>
      </c>
      <c r="M24" s="15" t="s">
        <v>5</v>
      </c>
      <c r="N24" s="11" t="s">
        <v>1384</v>
      </c>
      <c r="O24" s="11" t="s">
        <v>28</v>
      </c>
      <c r="P24" s="11" t="s">
        <v>33</v>
      </c>
      <c r="Q24" s="15">
        <v>0</v>
      </c>
      <c r="R24" s="11" t="s">
        <v>1386</v>
      </c>
      <c r="S24" s="10">
        <v>119.49092452337</v>
      </c>
      <c r="T24" s="15">
        <v>80</v>
      </c>
      <c r="U24" s="15">
        <v>0</v>
      </c>
      <c r="V24" s="15">
        <v>1</v>
      </c>
      <c r="W24" s="15">
        <v>1</v>
      </c>
      <c r="X24" s="15">
        <f>IF(O24='Udvaskning nøgletal'!$D$65,1,IF(O24='Udvaskning nøgletal'!$D$66,2,IF(O24='Udvaskning nøgletal'!$D$67,3,IF(O24='Udvaskning nøgletal'!$D$68,2,""))))</f>
        <v>1</v>
      </c>
      <c r="Y24" s="15">
        <f>LOOKUP(K24,'Udvaskning nøgletal'!$C$12:$C$60,'Udvaskning nøgletal'!$H$12:$H$60)</f>
        <v>5</v>
      </c>
      <c r="Z24" s="10">
        <f>IF(X24=1,LOOKUP(K24,'Udvaskning nøgletal'!$C$12:$C$60,'Udvaskning nøgletal'!$E$12:$E$60)+Markniveau!Y24*Markniveau!S24/100,IF(X24=2,LOOKUP(K24,'Udvaskning nøgletal'!$C$12:$C$60,'Udvaskning nøgletal'!$F$12:$F$60)+Markniveau!Y24*Markniveau!S24/100,IF(X24=3,LOOKUP(K24,'Udvaskning nøgletal'!$C$12:$C$60,'Udvaskning nøgletal'!G34:G82)+Markniveau!Y24*Markniveau!S24/100,"")))</f>
        <v>70.634546226168496</v>
      </c>
      <c r="AA24" s="10">
        <f t="shared" si="0"/>
        <v>157.51503808435575</v>
      </c>
      <c r="AB24" s="10" t="str">
        <f t="shared" si="1"/>
        <v/>
      </c>
      <c r="AC24" s="10" t="str">
        <f t="shared" si="2"/>
        <v/>
      </c>
      <c r="AD24" s="10">
        <f>IF(AND(Q24&gt;0,Q24&lt;30,K24&lt;8),Markniveau!Z24*'Udvaskning nøgletal'!$I$12/100,IF(AND(Q24&gt;0,Q24&lt;30,K24=216),Markniveau!Z24*'Udvaskning nøgletal'!$I$34/100,Markniveau!Z24))</f>
        <v>70.634546226168496</v>
      </c>
      <c r="AE24" s="10">
        <f t="shared" si="13"/>
        <v>157.51503808435575</v>
      </c>
      <c r="AF24" s="10" t="str">
        <f t="shared" si="4"/>
        <v/>
      </c>
      <c r="AG24" s="10" t="str">
        <f t="shared" si="14"/>
        <v/>
      </c>
      <c r="AH24" s="10" t="str">
        <f>IF(AND(Q24&gt;0,Q24&lt;30,K24=216),'Udvaskning nøgletal'!$C$42,IF(AND(Q24&gt;0,Q24&lt;30,K24&gt;7,K24&lt;17),'Udvaskning nøgletal'!$C$61,IF(AND(Q24&gt;0,Q24&lt;30,K24&lt;7),'Udvaskning nøgletal'!$C$62,"")))</f>
        <v/>
      </c>
      <c r="AI24" s="10">
        <f t="shared" si="10"/>
        <v>2</v>
      </c>
      <c r="AJ24" s="10">
        <f>IF($X24=1,LOOKUP(AI24,'Udvaskning nøgletal'!$C$12:$C$62,'Udvaskning nøgletal'!$E$12:$E$62)+Markniveau!$Y24*Markniveau!$S24/100,IF($X24=2,LOOKUP(AI24,'Udvaskning nøgletal'!$C$12:$C$62,'Udvaskning nøgletal'!$F$12:$F$62)+Markniveau!$Y24*Markniveau!$S24/100,IF($X24=3,LOOKUP(AI24,'Udvaskning nøgletal'!$C$12:$C$62,'Udvaskning nøgletal'!Q34:Q84)+Markniveau!$Y24*Markniveau!$S24/100,"")))</f>
        <v>70.634546226168496</v>
      </c>
      <c r="AK24" s="10">
        <f t="shared" si="7"/>
        <v>157.51503808435575</v>
      </c>
      <c r="AL24" s="10" t="str">
        <f t="shared" si="11"/>
        <v/>
      </c>
      <c r="AM24" s="10" t="str">
        <f t="shared" si="12"/>
        <v/>
      </c>
    </row>
    <row r="25" spans="1:39" x14ac:dyDescent="0.25">
      <c r="A25" s="15">
        <v>10799686</v>
      </c>
      <c r="B25" s="15">
        <v>9.76</v>
      </c>
      <c r="C25" s="15">
        <v>401712</v>
      </c>
      <c r="D25" s="15">
        <v>11380</v>
      </c>
      <c r="E25" s="15" t="s">
        <v>59</v>
      </c>
      <c r="F25" s="15">
        <v>2011</v>
      </c>
      <c r="G25" s="15">
        <v>20110301</v>
      </c>
      <c r="H25" s="15">
        <v>11729</v>
      </c>
      <c r="I25" s="15">
        <v>1.17</v>
      </c>
      <c r="J25" s="6" t="s">
        <v>66</v>
      </c>
      <c r="K25" s="15">
        <v>260</v>
      </c>
      <c r="L25" s="15" t="s">
        <v>45</v>
      </c>
      <c r="M25" s="15" t="s">
        <v>5</v>
      </c>
      <c r="N25" s="11" t="s">
        <v>1391</v>
      </c>
      <c r="O25" s="11" t="s">
        <v>46</v>
      </c>
      <c r="P25" s="11" t="s">
        <v>33</v>
      </c>
      <c r="Q25" s="15">
        <v>0</v>
      </c>
      <c r="R25" s="11" t="s">
        <v>1386</v>
      </c>
      <c r="S25" s="10">
        <v>119.49092452337</v>
      </c>
      <c r="T25" s="15">
        <v>80</v>
      </c>
      <c r="U25" s="15">
        <v>0</v>
      </c>
      <c r="V25" s="15">
        <v>1</v>
      </c>
      <c r="W25" s="15">
        <v>1</v>
      </c>
      <c r="X25" s="15">
        <f>IF(O25='Udvaskning nøgletal'!$D$65,1,IF(O25='Udvaskning nøgletal'!$D$66,2,IF(O25='Udvaskning nøgletal'!$D$67,3,IF(O25='Udvaskning nøgletal'!$D$68,2,""))))</f>
        <v>2</v>
      </c>
      <c r="Y25" s="15">
        <f>LOOKUP(K25,'Udvaskning nøgletal'!$C$12:$C$60,'Udvaskning nøgletal'!$H$12:$H$60)</f>
        <v>0</v>
      </c>
      <c r="Z25" s="10">
        <f>IF(X25=1,LOOKUP(K25,'Udvaskning nøgletal'!$C$12:$C$60,'Udvaskning nøgletal'!$E$12:$E$60)+Markniveau!Y25*Markniveau!S25/100,IF(X25=2,LOOKUP(K25,'Udvaskning nøgletal'!$C$12:$C$60,'Udvaskning nøgletal'!$F$12:$F$60)+Markniveau!Y25*Markniveau!S25/100,IF(X25=3,LOOKUP(K25,'Udvaskning nøgletal'!$C$12:$C$60,'Udvaskning nøgletal'!G35:G83)+Markniveau!Y25*Markniveau!S25/100,"")))</f>
        <v>27.331185321443094</v>
      </c>
      <c r="AA25" s="10">
        <f t="shared" si="0"/>
        <v>31.97748682608842</v>
      </c>
      <c r="AB25" s="10" t="str">
        <f t="shared" si="1"/>
        <v/>
      </c>
      <c r="AC25" s="10" t="str">
        <f t="shared" si="2"/>
        <v/>
      </c>
      <c r="AD25" s="10">
        <f>IF(AND(Q25&gt;0,Q25&lt;30,K25&lt;8),Markniveau!Z25*'Udvaskning nøgletal'!$I$12/100,IF(AND(Q25&gt;0,Q25&lt;30,K25=216),Markniveau!Z25*'Udvaskning nøgletal'!$I$34/100,Markniveau!Z25))</f>
        <v>27.331185321443094</v>
      </c>
      <c r="AE25" s="10">
        <f t="shared" si="13"/>
        <v>31.97748682608842</v>
      </c>
      <c r="AF25" s="10" t="str">
        <f t="shared" si="4"/>
        <v/>
      </c>
      <c r="AG25" s="10" t="str">
        <f t="shared" si="14"/>
        <v/>
      </c>
      <c r="AH25" s="10" t="str">
        <f>IF(AND(Q25&gt;0,Q25&lt;30,K25=216),'Udvaskning nøgletal'!$C$42,IF(AND(Q25&gt;0,Q25&lt;30,K25&gt;7,K25&lt;17),'Udvaskning nøgletal'!$C$61,IF(AND(Q25&gt;0,Q25&lt;30,K25&lt;7),'Udvaskning nøgletal'!$C$62,"")))</f>
        <v/>
      </c>
      <c r="AI25" s="10">
        <f t="shared" si="10"/>
        <v>260</v>
      </c>
      <c r="AJ25" s="10">
        <f>IF($X25=1,LOOKUP(AI25,'Udvaskning nøgletal'!$C$12:$C$62,'Udvaskning nøgletal'!$E$12:$E$62)+Markniveau!$Y25*Markniveau!$S25/100,IF($X25=2,LOOKUP(AI25,'Udvaskning nøgletal'!$C$12:$C$62,'Udvaskning nøgletal'!$F$12:$F$62)+Markniveau!$Y25*Markniveau!$S25/100,IF($X25=3,LOOKUP(AI25,'Udvaskning nøgletal'!$C$12:$C$62,'Udvaskning nøgletal'!Q35:Q85)+Markniveau!$Y25*Markniveau!$S25/100,"")))</f>
        <v>27.331185321443094</v>
      </c>
      <c r="AK25" s="10">
        <f t="shared" si="7"/>
        <v>31.97748682608842</v>
      </c>
      <c r="AL25" s="10" t="str">
        <f t="shared" si="11"/>
        <v/>
      </c>
      <c r="AM25" s="10" t="str">
        <f t="shared" si="12"/>
        <v/>
      </c>
    </row>
    <row r="26" spans="1:39" x14ac:dyDescent="0.25">
      <c r="A26" s="15">
        <v>10799686</v>
      </c>
      <c r="B26" s="15">
        <v>9.76</v>
      </c>
      <c r="C26" s="15">
        <v>406936</v>
      </c>
      <c r="D26" s="15">
        <v>11380</v>
      </c>
      <c r="E26" s="15" t="s">
        <v>50</v>
      </c>
      <c r="F26" s="15">
        <v>2011</v>
      </c>
      <c r="G26" s="15">
        <v>20110301</v>
      </c>
      <c r="H26" s="15">
        <v>27515</v>
      </c>
      <c r="I26" s="15">
        <v>2.75</v>
      </c>
      <c r="J26" s="6" t="s">
        <v>67</v>
      </c>
      <c r="K26" s="15">
        <v>2</v>
      </c>
      <c r="L26" s="15" t="s">
        <v>49</v>
      </c>
      <c r="M26" s="15" t="s">
        <v>5</v>
      </c>
      <c r="N26" s="11" t="s">
        <v>1384</v>
      </c>
      <c r="O26" s="11" t="s">
        <v>28</v>
      </c>
      <c r="P26" s="11" t="s">
        <v>33</v>
      </c>
      <c r="Q26" s="15">
        <v>0</v>
      </c>
      <c r="R26" s="11" t="s">
        <v>1386</v>
      </c>
      <c r="S26" s="10">
        <v>119.49092452337</v>
      </c>
      <c r="T26" s="15">
        <v>80</v>
      </c>
      <c r="U26" s="15">
        <v>0</v>
      </c>
      <c r="V26" s="15">
        <v>1</v>
      </c>
      <c r="W26" s="15">
        <v>1</v>
      </c>
      <c r="X26" s="15">
        <f>IF(O26='Udvaskning nøgletal'!$D$65,1,IF(O26='Udvaskning nøgletal'!$D$66,2,IF(O26='Udvaskning nøgletal'!$D$67,3,IF(O26='Udvaskning nøgletal'!$D$68,2,""))))</f>
        <v>1</v>
      </c>
      <c r="Y26" s="15">
        <f>LOOKUP(K26,'Udvaskning nøgletal'!$C$12:$C$60,'Udvaskning nøgletal'!$H$12:$H$60)</f>
        <v>5</v>
      </c>
      <c r="Z26" s="10">
        <f>IF(X26=1,LOOKUP(K26,'Udvaskning nøgletal'!$C$12:$C$60,'Udvaskning nøgletal'!$E$12:$E$60)+Markniveau!Y26*Markniveau!S26/100,IF(X26=2,LOOKUP(K26,'Udvaskning nøgletal'!$C$12:$C$60,'Udvaskning nøgletal'!$F$12:$F$60)+Markniveau!Y26*Markniveau!S26/100,IF(X26=3,LOOKUP(K26,'Udvaskning nøgletal'!$C$12:$C$60,'Udvaskning nøgletal'!G36:G84)+Markniveau!Y26*Markniveau!S26/100,"")))</f>
        <v>70.634546226168496</v>
      </c>
      <c r="AA26" s="10">
        <f t="shared" si="0"/>
        <v>194.24500212196335</v>
      </c>
      <c r="AB26" s="10" t="str">
        <f t="shared" si="1"/>
        <v/>
      </c>
      <c r="AC26" s="10" t="str">
        <f t="shared" si="2"/>
        <v/>
      </c>
      <c r="AD26" s="10">
        <f>IF(AND(Q26&gt;0,Q26&lt;30,K26&lt;8),Markniveau!Z26*'Udvaskning nøgletal'!$I$12/100,IF(AND(Q26&gt;0,Q26&lt;30,K26=216),Markniveau!Z26*'Udvaskning nøgletal'!$I$34/100,Markniveau!Z26))</f>
        <v>70.634546226168496</v>
      </c>
      <c r="AE26" s="10">
        <f t="shared" si="13"/>
        <v>194.24500212196335</v>
      </c>
      <c r="AF26" s="10" t="str">
        <f t="shared" si="4"/>
        <v/>
      </c>
      <c r="AG26" s="10" t="str">
        <f t="shared" si="14"/>
        <v/>
      </c>
      <c r="AH26" s="10" t="str">
        <f>IF(AND(Q26&gt;0,Q26&lt;30,K26=216),'Udvaskning nøgletal'!$C$42,IF(AND(Q26&gt;0,Q26&lt;30,K26&gt;7,K26&lt;17),'Udvaskning nøgletal'!$C$61,IF(AND(Q26&gt;0,Q26&lt;30,K26&lt;7),'Udvaskning nøgletal'!$C$62,"")))</f>
        <v/>
      </c>
      <c r="AI26" s="10">
        <f t="shared" si="10"/>
        <v>2</v>
      </c>
      <c r="AJ26" s="10">
        <f>IF($X26=1,LOOKUP(AI26,'Udvaskning nøgletal'!$C$12:$C$62,'Udvaskning nøgletal'!$E$12:$E$62)+Markniveau!$Y26*Markniveau!$S26/100,IF($X26=2,LOOKUP(AI26,'Udvaskning nøgletal'!$C$12:$C$62,'Udvaskning nøgletal'!$F$12:$F$62)+Markniveau!$Y26*Markniveau!$S26/100,IF($X26=3,LOOKUP(AI26,'Udvaskning nøgletal'!$C$12:$C$62,'Udvaskning nøgletal'!Q36:Q86)+Markniveau!$Y26*Markniveau!$S26/100,"")))</f>
        <v>70.634546226168496</v>
      </c>
      <c r="AK26" s="10">
        <f t="shared" si="7"/>
        <v>194.24500212196335</v>
      </c>
      <c r="AL26" s="10" t="str">
        <f t="shared" si="11"/>
        <v/>
      </c>
      <c r="AM26" s="10" t="str">
        <f t="shared" si="12"/>
        <v/>
      </c>
    </row>
    <row r="27" spans="1:39" x14ac:dyDescent="0.25">
      <c r="A27" s="15">
        <v>10799686</v>
      </c>
      <c r="B27" s="15">
        <v>9.76</v>
      </c>
      <c r="C27" s="15">
        <v>410346</v>
      </c>
      <c r="D27" s="15">
        <v>11380</v>
      </c>
      <c r="E27" s="15" t="s">
        <v>68</v>
      </c>
      <c r="F27" s="15">
        <v>2011</v>
      </c>
      <c r="G27" s="15">
        <v>20110301</v>
      </c>
      <c r="H27" s="15">
        <v>89746</v>
      </c>
      <c r="I27" s="15">
        <v>8.9700000000000006</v>
      </c>
      <c r="J27" s="6" t="s">
        <v>69</v>
      </c>
      <c r="K27" s="15">
        <v>260</v>
      </c>
      <c r="L27" s="15" t="s">
        <v>45</v>
      </c>
      <c r="M27" s="15" t="s">
        <v>5</v>
      </c>
      <c r="N27" s="11" t="s">
        <v>1391</v>
      </c>
      <c r="O27" s="11" t="s">
        <v>46</v>
      </c>
      <c r="P27" s="11" t="s">
        <v>33</v>
      </c>
      <c r="Q27" s="15">
        <v>0</v>
      </c>
      <c r="R27" s="11" t="s">
        <v>1386</v>
      </c>
      <c r="S27" s="10">
        <v>119.49092452337</v>
      </c>
      <c r="T27" s="15">
        <v>80</v>
      </c>
      <c r="U27" s="15">
        <v>0</v>
      </c>
      <c r="V27" s="15">
        <v>1</v>
      </c>
      <c r="W27" s="15">
        <v>1</v>
      </c>
      <c r="X27" s="15">
        <f>IF(O27='Udvaskning nøgletal'!$D$65,1,IF(O27='Udvaskning nøgletal'!$D$66,2,IF(O27='Udvaskning nøgletal'!$D$67,3,IF(O27='Udvaskning nøgletal'!$D$68,2,""))))</f>
        <v>2</v>
      </c>
      <c r="Y27" s="15">
        <f>LOOKUP(K27,'Udvaskning nøgletal'!$C$12:$C$60,'Udvaskning nøgletal'!$H$12:$H$60)</f>
        <v>0</v>
      </c>
      <c r="Z27" s="10">
        <f>IF(X27=1,LOOKUP(K27,'Udvaskning nøgletal'!$C$12:$C$60,'Udvaskning nøgletal'!$E$12:$E$60)+Markniveau!Y27*Markniveau!S27/100,IF(X27=2,LOOKUP(K27,'Udvaskning nøgletal'!$C$12:$C$60,'Udvaskning nøgletal'!$F$12:$F$60)+Markniveau!Y27*Markniveau!S27/100,IF(X27=3,LOOKUP(K27,'Udvaskning nøgletal'!$C$12:$C$60,'Udvaskning nøgletal'!G37:G85)+Markniveau!Y27*Markniveau!S27/100,"")))</f>
        <v>27.331185321443094</v>
      </c>
      <c r="AA27" s="10">
        <f t="shared" si="0"/>
        <v>245.16073233334458</v>
      </c>
      <c r="AB27" s="10" t="str">
        <f t="shared" si="1"/>
        <v/>
      </c>
      <c r="AC27" s="10" t="str">
        <f t="shared" si="2"/>
        <v/>
      </c>
      <c r="AD27" s="10">
        <f>IF(AND(Q27&gt;0,Q27&lt;30,K27&lt;8),Markniveau!Z27*'Udvaskning nøgletal'!$I$12/100,IF(AND(Q27&gt;0,Q27&lt;30,K27=216),Markniveau!Z27*'Udvaskning nøgletal'!$I$34/100,Markniveau!Z27))</f>
        <v>27.331185321443094</v>
      </c>
      <c r="AE27" s="10">
        <f t="shared" si="13"/>
        <v>245.16073233334458</v>
      </c>
      <c r="AF27" s="10" t="str">
        <f t="shared" si="4"/>
        <v/>
      </c>
      <c r="AG27" s="10" t="str">
        <f t="shared" si="14"/>
        <v/>
      </c>
      <c r="AH27" s="10" t="str">
        <f>IF(AND(Q27&gt;0,Q27&lt;30,K27=216),'Udvaskning nøgletal'!$C$42,IF(AND(Q27&gt;0,Q27&lt;30,K27&gt;7,K27&lt;17),'Udvaskning nøgletal'!$C$61,IF(AND(Q27&gt;0,Q27&lt;30,K27&lt;7),'Udvaskning nøgletal'!$C$62,"")))</f>
        <v/>
      </c>
      <c r="AI27" s="10">
        <f t="shared" si="10"/>
        <v>260</v>
      </c>
      <c r="AJ27" s="10">
        <f>IF($X27=1,LOOKUP(AI27,'Udvaskning nøgletal'!$C$12:$C$62,'Udvaskning nøgletal'!$E$12:$E$62)+Markniveau!$Y27*Markniveau!$S27/100,IF($X27=2,LOOKUP(AI27,'Udvaskning nøgletal'!$C$12:$C$62,'Udvaskning nøgletal'!$F$12:$F$62)+Markniveau!$Y27*Markniveau!$S27/100,IF($X27=3,LOOKUP(AI27,'Udvaskning nøgletal'!$C$12:$C$62,'Udvaskning nøgletal'!Q37:Q87)+Markniveau!$Y27*Markniveau!$S27/100,"")))</f>
        <v>27.331185321443094</v>
      </c>
      <c r="AK27" s="10">
        <f t="shared" si="7"/>
        <v>245.16073233334458</v>
      </c>
      <c r="AL27" s="10" t="str">
        <f t="shared" si="11"/>
        <v/>
      </c>
      <c r="AM27" s="10" t="str">
        <f t="shared" si="12"/>
        <v/>
      </c>
    </row>
    <row r="28" spans="1:39" x14ac:dyDescent="0.25">
      <c r="A28" s="15">
        <v>10799686</v>
      </c>
      <c r="B28" s="15">
        <v>9.76</v>
      </c>
      <c r="C28" s="15">
        <v>410347</v>
      </c>
      <c r="D28" s="15">
        <v>11380</v>
      </c>
      <c r="E28" s="15" t="s">
        <v>70</v>
      </c>
      <c r="F28" s="15">
        <v>2011</v>
      </c>
      <c r="G28" s="15">
        <v>20110301</v>
      </c>
      <c r="H28" s="15">
        <v>51737</v>
      </c>
      <c r="I28" s="15">
        <v>5.17</v>
      </c>
      <c r="J28" s="6" t="s">
        <v>71</v>
      </c>
      <c r="K28" s="15">
        <v>260</v>
      </c>
      <c r="L28" s="15" t="s">
        <v>45</v>
      </c>
      <c r="M28" s="15" t="s">
        <v>5</v>
      </c>
      <c r="N28" s="11" t="s">
        <v>1384</v>
      </c>
      <c r="O28" s="11" t="s">
        <v>28</v>
      </c>
      <c r="P28" s="11" t="s">
        <v>33</v>
      </c>
      <c r="Q28" s="15">
        <v>0</v>
      </c>
      <c r="R28" s="11" t="s">
        <v>1386</v>
      </c>
      <c r="S28" s="10">
        <v>119.49092452337</v>
      </c>
      <c r="T28" s="15">
        <v>80</v>
      </c>
      <c r="U28" s="15">
        <v>0</v>
      </c>
      <c r="V28" s="15">
        <v>1</v>
      </c>
      <c r="W28" s="15">
        <v>1</v>
      </c>
      <c r="X28" s="15">
        <f>IF(O28='Udvaskning nøgletal'!$D$65,1,IF(O28='Udvaskning nøgletal'!$D$66,2,IF(O28='Udvaskning nøgletal'!$D$67,3,IF(O28='Udvaskning nøgletal'!$D$68,2,""))))</f>
        <v>1</v>
      </c>
      <c r="Y28" s="15">
        <f>LOOKUP(K28,'Udvaskning nøgletal'!$C$12:$C$60,'Udvaskning nøgletal'!$H$12:$H$60)</f>
        <v>0</v>
      </c>
      <c r="Z28" s="10">
        <f>IF(X28=1,LOOKUP(K28,'Udvaskning nøgletal'!$C$12:$C$60,'Udvaskning nøgletal'!$E$12:$E$60)+Markniveau!Y28*Markniveau!S28/100,IF(X28=2,LOOKUP(K28,'Udvaskning nøgletal'!$C$12:$C$60,'Udvaskning nøgletal'!$F$12:$F$60)+Markniveau!Y28*Markniveau!S28/100,IF(X28=3,LOOKUP(K28,'Udvaskning nøgletal'!$C$12:$C$60,'Udvaskning nøgletal'!G38:G86)+Markniveau!Y28*Markniveau!S28/100,"")))</f>
        <v>33.723295792149436</v>
      </c>
      <c r="AA28" s="10">
        <f t="shared" si="0"/>
        <v>174.34943924541258</v>
      </c>
      <c r="AB28" s="10" t="str">
        <f t="shared" si="1"/>
        <v/>
      </c>
      <c r="AC28" s="10" t="str">
        <f t="shared" si="2"/>
        <v/>
      </c>
      <c r="AD28" s="10">
        <f>IF(AND(Q28&gt;0,Q28&lt;30,K28&lt;8),Markniveau!Z28*'Udvaskning nøgletal'!$I$12/100,IF(AND(Q28&gt;0,Q28&lt;30,K28=216),Markniveau!Z28*'Udvaskning nøgletal'!$I$34/100,Markniveau!Z28))</f>
        <v>33.723295792149436</v>
      </c>
      <c r="AE28" s="10">
        <f t="shared" si="13"/>
        <v>174.34943924541258</v>
      </c>
      <c r="AF28" s="10" t="str">
        <f t="shared" si="4"/>
        <v/>
      </c>
      <c r="AG28" s="10" t="str">
        <f t="shared" si="14"/>
        <v/>
      </c>
      <c r="AH28" s="10" t="str">
        <f>IF(AND(Q28&gt;0,Q28&lt;30,K28=216),'Udvaskning nøgletal'!$C$42,IF(AND(Q28&gt;0,Q28&lt;30,K28&gt;7,K28&lt;17),'Udvaskning nøgletal'!$C$61,IF(AND(Q28&gt;0,Q28&lt;30,K28&lt;7),'Udvaskning nøgletal'!$C$62,"")))</f>
        <v/>
      </c>
      <c r="AI28" s="10">
        <f t="shared" si="10"/>
        <v>260</v>
      </c>
      <c r="AJ28" s="10">
        <f>IF($X28=1,LOOKUP(AI28,'Udvaskning nøgletal'!$C$12:$C$62,'Udvaskning nøgletal'!$E$12:$E$62)+Markniveau!$Y28*Markniveau!$S28/100,IF($X28=2,LOOKUP(AI28,'Udvaskning nøgletal'!$C$12:$C$62,'Udvaskning nøgletal'!$F$12:$F$62)+Markniveau!$Y28*Markniveau!$S28/100,IF($X28=3,LOOKUP(AI28,'Udvaskning nøgletal'!$C$12:$C$62,'Udvaskning nøgletal'!Q38:Q88)+Markniveau!$Y28*Markniveau!$S28/100,"")))</f>
        <v>33.723295792149436</v>
      </c>
      <c r="AK28" s="10">
        <f t="shared" si="7"/>
        <v>174.34943924541258</v>
      </c>
      <c r="AL28" s="10" t="str">
        <f t="shared" si="11"/>
        <v/>
      </c>
      <c r="AM28" s="10" t="str">
        <f t="shared" si="12"/>
        <v/>
      </c>
    </row>
    <row r="29" spans="1:39" x14ac:dyDescent="0.25">
      <c r="A29" s="15">
        <v>10799686</v>
      </c>
      <c r="B29" s="15">
        <v>9.76</v>
      </c>
      <c r="C29" s="15">
        <v>427816</v>
      </c>
      <c r="D29" s="15">
        <v>11380</v>
      </c>
      <c r="E29" s="15" t="s">
        <v>72</v>
      </c>
      <c r="F29" s="15">
        <v>2011</v>
      </c>
      <c r="G29" s="15">
        <v>20110301</v>
      </c>
      <c r="H29" s="15">
        <v>68630</v>
      </c>
      <c r="I29" s="15">
        <v>6.86</v>
      </c>
      <c r="J29" s="6" t="s">
        <v>73</v>
      </c>
      <c r="K29" s="15">
        <v>214</v>
      </c>
      <c r="L29" s="15" t="s">
        <v>56</v>
      </c>
      <c r="M29" s="15" t="s">
        <v>5</v>
      </c>
      <c r="N29" s="11" t="s">
        <v>1391</v>
      </c>
      <c r="O29" s="11" t="s">
        <v>46</v>
      </c>
      <c r="P29" s="11" t="s">
        <v>33</v>
      </c>
      <c r="Q29" s="15">
        <v>0</v>
      </c>
      <c r="R29" s="11" t="s">
        <v>1386</v>
      </c>
      <c r="S29" s="10">
        <v>119.49092452337</v>
      </c>
      <c r="T29" s="15">
        <v>80</v>
      </c>
      <c r="U29" s="15">
        <v>0</v>
      </c>
      <c r="V29" s="15">
        <v>1</v>
      </c>
      <c r="W29" s="15">
        <v>1</v>
      </c>
      <c r="X29" s="15">
        <f>IF(O29='Udvaskning nøgletal'!$D$65,1,IF(O29='Udvaskning nøgletal'!$D$66,2,IF(O29='Udvaskning nøgletal'!$D$67,3,IF(O29='Udvaskning nøgletal'!$D$68,2,""))))</f>
        <v>2</v>
      </c>
      <c r="Y29" s="15">
        <f>LOOKUP(K29,'Udvaskning nøgletal'!$C$12:$C$60,'Udvaskning nøgletal'!$H$12:$H$60)</f>
        <v>0</v>
      </c>
      <c r="Z29" s="10">
        <f>IF(X29=1,LOOKUP(K29,'Udvaskning nøgletal'!$C$12:$C$60,'Udvaskning nøgletal'!$E$12:$E$60)+Markniveau!Y29*Markniveau!S29/100,IF(X29=2,LOOKUP(K29,'Udvaskning nøgletal'!$C$12:$C$60,'Udvaskning nøgletal'!$F$12:$F$60)+Markniveau!Y29*Markniveau!S29/100,IF(X29=3,LOOKUP(K29,'Udvaskning nøgletal'!$C$12:$C$60,'Udvaskning nøgletal'!G39:G87)+Markniveau!Y29*Markniveau!S29/100,"")))</f>
        <v>31.161328188970323</v>
      </c>
      <c r="AA29" s="10">
        <f t="shared" si="0"/>
        <v>213.76671137633642</v>
      </c>
      <c r="AB29" s="10" t="str">
        <f t="shared" si="1"/>
        <v/>
      </c>
      <c r="AC29" s="10" t="str">
        <f t="shared" si="2"/>
        <v/>
      </c>
      <c r="AD29" s="10">
        <f>IF(AND(Q29&gt;0,Q29&lt;30,K29&lt;8),Markniveau!Z29*'Udvaskning nøgletal'!$I$12/100,IF(AND(Q29&gt;0,Q29&lt;30,K29=216),Markniveau!Z29*'Udvaskning nøgletal'!$I$34/100,Markniveau!Z29))</f>
        <v>31.161328188970323</v>
      </c>
      <c r="AE29" s="10">
        <f t="shared" si="13"/>
        <v>213.76671137633642</v>
      </c>
      <c r="AF29" s="10" t="str">
        <f t="shared" si="4"/>
        <v/>
      </c>
      <c r="AG29" s="10" t="str">
        <f t="shared" si="14"/>
        <v/>
      </c>
      <c r="AH29" s="10" t="str">
        <f>IF(AND(Q29&gt;0,Q29&lt;30,K29=216),'Udvaskning nøgletal'!$C$42,IF(AND(Q29&gt;0,Q29&lt;30,K29&gt;7,K29&lt;17),'Udvaskning nøgletal'!$C$61,IF(AND(Q29&gt;0,Q29&lt;30,K29&lt;7),'Udvaskning nøgletal'!$C$62,"")))</f>
        <v/>
      </c>
      <c r="AI29" s="10">
        <f t="shared" si="10"/>
        <v>214</v>
      </c>
      <c r="AJ29" s="10">
        <f>IF($X29=1,LOOKUP(AI29,'Udvaskning nøgletal'!$C$12:$C$62,'Udvaskning nøgletal'!$E$12:$E$62)+Markniveau!$Y29*Markniveau!$S29/100,IF($X29=2,LOOKUP(AI29,'Udvaskning nøgletal'!$C$12:$C$62,'Udvaskning nøgletal'!$F$12:$F$62)+Markniveau!$Y29*Markniveau!$S29/100,IF($X29=3,LOOKUP(AI29,'Udvaskning nøgletal'!$C$12:$C$62,'Udvaskning nøgletal'!Q39:Q89)+Markniveau!$Y29*Markniveau!$S29/100,"")))</f>
        <v>31.161328188970323</v>
      </c>
      <c r="AK29" s="10">
        <f t="shared" si="7"/>
        <v>213.76671137633642</v>
      </c>
      <c r="AL29" s="10" t="str">
        <f t="shared" si="11"/>
        <v/>
      </c>
      <c r="AM29" s="10" t="str">
        <f t="shared" si="12"/>
        <v/>
      </c>
    </row>
    <row r="30" spans="1:39" x14ac:dyDescent="0.25">
      <c r="A30" s="15">
        <v>10799686</v>
      </c>
      <c r="B30" s="15">
        <v>9.76</v>
      </c>
      <c r="C30" s="15">
        <v>427817</v>
      </c>
      <c r="D30" s="15">
        <v>11380</v>
      </c>
      <c r="E30" s="15" t="s">
        <v>72</v>
      </c>
      <c r="F30" s="15">
        <v>2011</v>
      </c>
      <c r="G30" s="15">
        <v>20110301</v>
      </c>
      <c r="H30" s="15">
        <v>43958</v>
      </c>
      <c r="I30" s="15">
        <v>4.4000000000000004</v>
      </c>
      <c r="J30" s="6" t="s">
        <v>74</v>
      </c>
      <c r="K30" s="15">
        <v>214</v>
      </c>
      <c r="L30" s="15" t="s">
        <v>56</v>
      </c>
      <c r="M30" s="15" t="s">
        <v>5</v>
      </c>
      <c r="N30" s="11" t="s">
        <v>1391</v>
      </c>
      <c r="O30" s="11" t="s">
        <v>46</v>
      </c>
      <c r="P30" s="11" t="s">
        <v>33</v>
      </c>
      <c r="Q30" s="15">
        <v>0</v>
      </c>
      <c r="R30" s="11" t="s">
        <v>1386</v>
      </c>
      <c r="S30" s="10">
        <v>119.49092452337</v>
      </c>
      <c r="T30" s="15">
        <v>80</v>
      </c>
      <c r="U30" s="15">
        <v>0</v>
      </c>
      <c r="V30" s="15">
        <v>1</v>
      </c>
      <c r="W30" s="15">
        <v>1</v>
      </c>
      <c r="X30" s="15">
        <f>IF(O30='Udvaskning nøgletal'!$D$65,1,IF(O30='Udvaskning nøgletal'!$D$66,2,IF(O30='Udvaskning nøgletal'!$D$67,3,IF(O30='Udvaskning nøgletal'!$D$68,2,""))))</f>
        <v>2</v>
      </c>
      <c r="Y30" s="15">
        <f>LOOKUP(K30,'Udvaskning nøgletal'!$C$12:$C$60,'Udvaskning nøgletal'!$H$12:$H$60)</f>
        <v>0</v>
      </c>
      <c r="Z30" s="10">
        <f>IF(X30=1,LOOKUP(K30,'Udvaskning nøgletal'!$C$12:$C$60,'Udvaskning nøgletal'!$E$12:$E$60)+Markniveau!Y30*Markniveau!S30/100,IF(X30=2,LOOKUP(K30,'Udvaskning nøgletal'!$C$12:$C$60,'Udvaskning nøgletal'!$F$12:$F$60)+Markniveau!Y30*Markniveau!S30/100,IF(X30=3,LOOKUP(K30,'Udvaskning nøgletal'!$C$12:$C$60,'Udvaskning nøgletal'!G40:G88)+Markniveau!Y30*Markniveau!S30/100,"")))</f>
        <v>31.161328188970323</v>
      </c>
      <c r="AA30" s="10">
        <f t="shared" si="0"/>
        <v>137.10984403146944</v>
      </c>
      <c r="AB30" s="10" t="str">
        <f t="shared" si="1"/>
        <v/>
      </c>
      <c r="AC30" s="10" t="str">
        <f t="shared" si="2"/>
        <v/>
      </c>
      <c r="AD30" s="10">
        <f>IF(AND(Q30&gt;0,Q30&lt;30,K30&lt;8),Markniveau!Z30*'Udvaskning nøgletal'!$I$12/100,IF(AND(Q30&gt;0,Q30&lt;30,K30=216),Markniveau!Z30*'Udvaskning nøgletal'!$I$34/100,Markniveau!Z30))</f>
        <v>31.161328188970323</v>
      </c>
      <c r="AE30" s="10">
        <f t="shared" si="13"/>
        <v>137.10984403146944</v>
      </c>
      <c r="AF30" s="10" t="str">
        <f t="shared" si="4"/>
        <v/>
      </c>
      <c r="AG30" s="10" t="str">
        <f t="shared" si="14"/>
        <v/>
      </c>
      <c r="AH30" s="10" t="str">
        <f>IF(AND(Q30&gt;0,Q30&lt;30,K30=216),'Udvaskning nøgletal'!$C$42,IF(AND(Q30&gt;0,Q30&lt;30,K30&gt;7,K30&lt;17),'Udvaskning nøgletal'!$C$61,IF(AND(Q30&gt;0,Q30&lt;30,K30&lt;7),'Udvaskning nøgletal'!$C$62,"")))</f>
        <v/>
      </c>
      <c r="AI30" s="10">
        <f t="shared" si="10"/>
        <v>214</v>
      </c>
      <c r="AJ30" s="10">
        <f>IF($X30=1,LOOKUP(AI30,'Udvaskning nøgletal'!$C$12:$C$62,'Udvaskning nøgletal'!$E$12:$E$62)+Markniveau!$Y30*Markniveau!$S30/100,IF($X30=2,LOOKUP(AI30,'Udvaskning nøgletal'!$C$12:$C$62,'Udvaskning nøgletal'!$F$12:$F$62)+Markniveau!$Y30*Markniveau!$S30/100,IF($X30=3,LOOKUP(AI30,'Udvaskning nøgletal'!$C$12:$C$62,'Udvaskning nøgletal'!Q40:Q90)+Markniveau!$Y30*Markniveau!$S30/100,"")))</f>
        <v>31.161328188970323</v>
      </c>
      <c r="AK30" s="10">
        <f t="shared" si="7"/>
        <v>137.10984403146944</v>
      </c>
      <c r="AL30" s="10" t="str">
        <f t="shared" si="11"/>
        <v/>
      </c>
      <c r="AM30" s="10" t="str">
        <f t="shared" si="12"/>
        <v/>
      </c>
    </row>
    <row r="31" spans="1:39" x14ac:dyDescent="0.25">
      <c r="A31" s="15">
        <v>10799686</v>
      </c>
      <c r="B31" s="15">
        <v>9.76</v>
      </c>
      <c r="C31" s="15">
        <v>427818</v>
      </c>
      <c r="D31" s="15">
        <v>11380</v>
      </c>
      <c r="E31" s="15" t="s">
        <v>72</v>
      </c>
      <c r="F31" s="15">
        <v>2011</v>
      </c>
      <c r="G31" s="15">
        <v>20110301</v>
      </c>
      <c r="H31" s="15">
        <v>23962</v>
      </c>
      <c r="I31" s="15">
        <v>2.4</v>
      </c>
      <c r="J31" s="6" t="s">
        <v>1395</v>
      </c>
      <c r="K31" s="15">
        <v>260</v>
      </c>
      <c r="L31" s="15" t="s">
        <v>45</v>
      </c>
      <c r="M31" s="15" t="s">
        <v>5</v>
      </c>
      <c r="N31" s="11" t="s">
        <v>1391</v>
      </c>
      <c r="O31" s="11" t="s">
        <v>46</v>
      </c>
      <c r="P31" s="11" t="s">
        <v>33</v>
      </c>
      <c r="Q31" s="15">
        <v>0</v>
      </c>
      <c r="R31" s="11" t="s">
        <v>1386</v>
      </c>
      <c r="S31" s="10">
        <v>119.49092452337</v>
      </c>
      <c r="T31" s="15">
        <v>80</v>
      </c>
      <c r="U31" s="15">
        <v>0</v>
      </c>
      <c r="V31" s="15">
        <v>1</v>
      </c>
      <c r="W31" s="15">
        <v>1</v>
      </c>
      <c r="X31" s="15">
        <f>IF(O31='Udvaskning nøgletal'!$D$65,1,IF(O31='Udvaskning nøgletal'!$D$66,2,IF(O31='Udvaskning nøgletal'!$D$67,3,IF(O31='Udvaskning nøgletal'!$D$68,2,""))))</f>
        <v>2</v>
      </c>
      <c r="Y31" s="15">
        <f>LOOKUP(K31,'Udvaskning nøgletal'!$C$12:$C$60,'Udvaskning nøgletal'!$H$12:$H$60)</f>
        <v>0</v>
      </c>
      <c r="Z31" s="10">
        <f>IF(X31=1,LOOKUP(K31,'Udvaskning nøgletal'!$C$12:$C$60,'Udvaskning nøgletal'!$E$12:$E$60)+Markniveau!Y31*Markniveau!S31/100,IF(X31=2,LOOKUP(K31,'Udvaskning nøgletal'!$C$12:$C$60,'Udvaskning nøgletal'!$F$12:$F$60)+Markniveau!Y31*Markniveau!S31/100,IF(X31=3,LOOKUP(K31,'Udvaskning nøgletal'!$C$12:$C$60,'Udvaskning nøgletal'!G41:G89)+Markniveau!Y31*Markniveau!S31/100,"")))</f>
        <v>27.331185321443094</v>
      </c>
      <c r="AA31" s="10">
        <f t="shared" si="0"/>
        <v>65.594844771463428</v>
      </c>
      <c r="AB31" s="10" t="str">
        <f t="shared" si="1"/>
        <v/>
      </c>
      <c r="AC31" s="10" t="str">
        <f t="shared" si="2"/>
        <v/>
      </c>
      <c r="AD31" s="10">
        <f>IF(AND(Q31&gt;0,Q31&lt;30,K31&lt;8),Markniveau!Z31*'Udvaskning nøgletal'!$I$12/100,IF(AND(Q31&gt;0,Q31&lt;30,K31=216),Markniveau!Z31*'Udvaskning nøgletal'!$I$34/100,Markniveau!Z31))</f>
        <v>27.331185321443094</v>
      </c>
      <c r="AE31" s="10">
        <f t="shared" si="13"/>
        <v>65.594844771463428</v>
      </c>
      <c r="AF31" s="10" t="str">
        <f t="shared" si="4"/>
        <v/>
      </c>
      <c r="AG31" s="10" t="str">
        <f t="shared" si="14"/>
        <v/>
      </c>
      <c r="AH31" s="10" t="str">
        <f>IF(AND(Q31&gt;0,Q31&lt;30,K31=216),'Udvaskning nøgletal'!$C$42,IF(AND(Q31&gt;0,Q31&lt;30,K31&gt;7,K31&lt;17),'Udvaskning nøgletal'!$C$61,IF(AND(Q31&gt;0,Q31&lt;30,K31&lt;7),'Udvaskning nøgletal'!$C$62,"")))</f>
        <v/>
      </c>
      <c r="AI31" s="10">
        <f t="shared" si="10"/>
        <v>260</v>
      </c>
      <c r="AJ31" s="10">
        <f>IF($X31=1,LOOKUP(AI31,'Udvaskning nøgletal'!$C$12:$C$62,'Udvaskning nøgletal'!$E$12:$E$62)+Markniveau!$Y31*Markniveau!$S31/100,IF($X31=2,LOOKUP(AI31,'Udvaskning nøgletal'!$C$12:$C$62,'Udvaskning nøgletal'!$F$12:$F$62)+Markniveau!$Y31*Markniveau!$S31/100,IF($X31=3,LOOKUP(AI31,'Udvaskning nøgletal'!$C$12:$C$62,'Udvaskning nøgletal'!Q41:Q91)+Markniveau!$Y31*Markniveau!$S31/100,"")))</f>
        <v>27.331185321443094</v>
      </c>
      <c r="AK31" s="10">
        <f t="shared" si="7"/>
        <v>65.594844771463428</v>
      </c>
      <c r="AL31" s="10" t="str">
        <f t="shared" si="11"/>
        <v/>
      </c>
      <c r="AM31" s="10" t="str">
        <f t="shared" si="12"/>
        <v/>
      </c>
    </row>
    <row r="32" spans="1:39" x14ac:dyDescent="0.25">
      <c r="A32" s="15">
        <v>10799686</v>
      </c>
      <c r="B32" s="15">
        <v>9.76</v>
      </c>
      <c r="C32" s="15">
        <v>427819</v>
      </c>
      <c r="D32" s="15">
        <v>11380</v>
      </c>
      <c r="E32" s="15" t="s">
        <v>72</v>
      </c>
      <c r="F32" s="15">
        <v>2011</v>
      </c>
      <c r="G32" s="15">
        <v>20110301</v>
      </c>
      <c r="H32" s="15">
        <v>29178</v>
      </c>
      <c r="I32" s="15">
        <v>2.92</v>
      </c>
      <c r="J32" s="6" t="s">
        <v>75</v>
      </c>
      <c r="K32" s="15">
        <v>252</v>
      </c>
      <c r="L32" s="15" t="s">
        <v>41</v>
      </c>
      <c r="M32" s="15" t="s">
        <v>4</v>
      </c>
      <c r="N32" s="11" t="s">
        <v>1391</v>
      </c>
      <c r="O32" s="11" t="s">
        <v>46</v>
      </c>
      <c r="P32" s="11" t="s">
        <v>33</v>
      </c>
      <c r="Q32" s="15">
        <v>0</v>
      </c>
      <c r="R32" s="11" t="s">
        <v>1386</v>
      </c>
      <c r="S32" s="10">
        <v>119.49092452337</v>
      </c>
      <c r="T32" s="15">
        <v>80</v>
      </c>
      <c r="U32" s="15">
        <v>0</v>
      </c>
      <c r="V32" s="15">
        <v>1</v>
      </c>
      <c r="W32" s="15">
        <v>1</v>
      </c>
      <c r="X32" s="15">
        <f>IF(O32='Udvaskning nøgletal'!$D$65,1,IF(O32='Udvaskning nøgletal'!$D$66,2,IF(O32='Udvaskning nøgletal'!$D$67,3,IF(O32='Udvaskning nøgletal'!$D$68,2,""))))</f>
        <v>2</v>
      </c>
      <c r="Y32" s="15">
        <f>LOOKUP(K32,'Udvaskning nøgletal'!$C$12:$C$60,'Udvaskning nøgletal'!$H$12:$H$60)</f>
        <v>0</v>
      </c>
      <c r="Z32" s="10">
        <f>IF(X32=1,LOOKUP(K32,'Udvaskning nøgletal'!$C$12:$C$60,'Udvaskning nøgletal'!$E$12:$E$60)+Markniveau!Y32*Markniveau!S32/100,IF(X32=2,LOOKUP(K32,'Udvaskning nøgletal'!$C$12:$C$60,'Udvaskning nøgletal'!$F$12:$F$60)+Markniveau!Y32*Markniveau!S32/100,IF(X32=3,LOOKUP(K32,'Udvaskning nøgletal'!$C$12:$C$60,'Udvaskning nøgletal'!G42:G90)+Markniveau!Y32*Markniveau!S32/100,"")))</f>
        <v>21.2</v>
      </c>
      <c r="AA32" s="10">
        <f t="shared" si="0"/>
        <v>61.903999999999996</v>
      </c>
      <c r="AB32" s="10" t="str">
        <f t="shared" si="1"/>
        <v/>
      </c>
      <c r="AC32" s="10" t="str">
        <f t="shared" si="2"/>
        <v/>
      </c>
      <c r="AD32" s="10">
        <f>IF(AND(Q32&gt;0,Q32&lt;30,K32&lt;8),Markniveau!Z32*'Udvaskning nøgletal'!$I$12/100,IF(AND(Q32&gt;0,Q32&lt;30,K32=216),Markniveau!Z32*'Udvaskning nøgletal'!$I$34/100,Markniveau!Z32))</f>
        <v>21.2</v>
      </c>
      <c r="AE32" s="10">
        <f t="shared" si="13"/>
        <v>61.903999999999996</v>
      </c>
      <c r="AF32" s="10" t="str">
        <f t="shared" si="4"/>
        <v/>
      </c>
      <c r="AG32" s="10" t="str">
        <f t="shared" si="14"/>
        <v/>
      </c>
      <c r="AH32" s="10" t="str">
        <f>IF(AND(Q32&gt;0,Q32&lt;30,K32=216),'Udvaskning nøgletal'!$C$42,IF(AND(Q32&gt;0,Q32&lt;30,K32&gt;7,K32&lt;17),'Udvaskning nøgletal'!$C$61,IF(AND(Q32&gt;0,Q32&lt;30,K32&lt;7),'Udvaskning nøgletal'!$C$62,"")))</f>
        <v/>
      </c>
      <c r="AI32" s="10">
        <f t="shared" si="10"/>
        <v>252</v>
      </c>
      <c r="AJ32" s="10">
        <f>IF($X32=1,LOOKUP(AI32,'Udvaskning nøgletal'!$C$12:$C$62,'Udvaskning nøgletal'!$E$12:$E$62)+Markniveau!$Y32*Markniveau!$S32/100,IF($X32=2,LOOKUP(AI32,'Udvaskning nøgletal'!$C$12:$C$62,'Udvaskning nøgletal'!$F$12:$F$62)+Markniveau!$Y32*Markniveau!$S32/100,IF($X32=3,LOOKUP(AI32,'Udvaskning nøgletal'!$C$12:$C$62,'Udvaskning nøgletal'!Q42:Q92)+Markniveau!$Y32*Markniveau!$S32/100,"")))</f>
        <v>21.2</v>
      </c>
      <c r="AK32" s="10">
        <f t="shared" si="7"/>
        <v>61.903999999999996</v>
      </c>
      <c r="AL32" s="10" t="str">
        <f t="shared" si="11"/>
        <v/>
      </c>
      <c r="AM32" s="10" t="str">
        <f t="shared" si="12"/>
        <v/>
      </c>
    </row>
    <row r="33" spans="1:39" x14ac:dyDescent="0.25">
      <c r="A33" s="15">
        <v>10799686</v>
      </c>
      <c r="B33" s="15">
        <v>9.76</v>
      </c>
      <c r="C33" s="15">
        <v>427820</v>
      </c>
      <c r="D33" s="15">
        <v>11380</v>
      </c>
      <c r="E33" s="15" t="s">
        <v>72</v>
      </c>
      <c r="F33" s="15">
        <v>2011</v>
      </c>
      <c r="G33" s="15">
        <v>20110301</v>
      </c>
      <c r="H33" s="15">
        <v>12539</v>
      </c>
      <c r="I33" s="15">
        <v>1.25</v>
      </c>
      <c r="J33" s="6" t="s">
        <v>76</v>
      </c>
      <c r="K33" s="15">
        <v>252</v>
      </c>
      <c r="L33" s="15" t="s">
        <v>41</v>
      </c>
      <c r="M33" s="15" t="s">
        <v>4</v>
      </c>
      <c r="N33" s="11" t="s">
        <v>1391</v>
      </c>
      <c r="O33" s="11" t="s">
        <v>46</v>
      </c>
      <c r="P33" s="11" t="s">
        <v>33</v>
      </c>
      <c r="Q33" s="15">
        <v>0</v>
      </c>
      <c r="R33" s="11" t="s">
        <v>1386</v>
      </c>
      <c r="S33" s="10">
        <v>119.49092452337</v>
      </c>
      <c r="T33" s="15">
        <v>80</v>
      </c>
      <c r="U33" s="15">
        <v>0</v>
      </c>
      <c r="V33" s="15">
        <v>1</v>
      </c>
      <c r="W33" s="15">
        <v>1</v>
      </c>
      <c r="X33" s="15">
        <f>IF(O33='Udvaskning nøgletal'!$D$65,1,IF(O33='Udvaskning nøgletal'!$D$66,2,IF(O33='Udvaskning nøgletal'!$D$67,3,IF(O33='Udvaskning nøgletal'!$D$68,2,""))))</f>
        <v>2</v>
      </c>
      <c r="Y33" s="15">
        <f>LOOKUP(K33,'Udvaskning nøgletal'!$C$12:$C$60,'Udvaskning nøgletal'!$H$12:$H$60)</f>
        <v>0</v>
      </c>
      <c r="Z33" s="10">
        <f>IF(X33=1,LOOKUP(K33,'Udvaskning nøgletal'!$C$12:$C$60,'Udvaskning nøgletal'!$E$12:$E$60)+Markniveau!Y33*Markniveau!S33/100,IF(X33=2,LOOKUP(K33,'Udvaskning nøgletal'!$C$12:$C$60,'Udvaskning nøgletal'!$F$12:$F$60)+Markniveau!Y33*Markniveau!S33/100,IF(X33=3,LOOKUP(K33,'Udvaskning nøgletal'!$C$12:$C$60,'Udvaskning nøgletal'!G43:G91)+Markniveau!Y33*Markniveau!S33/100,"")))</f>
        <v>21.2</v>
      </c>
      <c r="AA33" s="10">
        <f t="shared" si="0"/>
        <v>26.5</v>
      </c>
      <c r="AB33" s="10" t="str">
        <f t="shared" si="1"/>
        <v/>
      </c>
      <c r="AC33" s="10" t="str">
        <f t="shared" si="2"/>
        <v/>
      </c>
      <c r="AD33" s="10">
        <f>IF(AND(Q33&gt;0,Q33&lt;30,K33&lt;8),Markniveau!Z33*'Udvaskning nøgletal'!$I$12/100,IF(AND(Q33&gt;0,Q33&lt;30,K33=216),Markniveau!Z33*'Udvaskning nøgletal'!$I$34/100,Markniveau!Z33))</f>
        <v>21.2</v>
      </c>
      <c r="AE33" s="10">
        <f t="shared" si="13"/>
        <v>26.5</v>
      </c>
      <c r="AF33" s="10" t="str">
        <f t="shared" si="4"/>
        <v/>
      </c>
      <c r="AG33" s="10" t="str">
        <f t="shared" si="14"/>
        <v/>
      </c>
      <c r="AH33" s="10" t="str">
        <f>IF(AND(Q33&gt;0,Q33&lt;30,K33=216),'Udvaskning nøgletal'!$C$42,IF(AND(Q33&gt;0,Q33&lt;30,K33&gt;7,K33&lt;17),'Udvaskning nøgletal'!$C$61,IF(AND(Q33&gt;0,Q33&lt;30,K33&lt;7),'Udvaskning nøgletal'!$C$62,"")))</f>
        <v/>
      </c>
      <c r="AI33" s="10">
        <f t="shared" si="10"/>
        <v>252</v>
      </c>
      <c r="AJ33" s="10">
        <f>IF($X33=1,LOOKUP(AI33,'Udvaskning nøgletal'!$C$12:$C$62,'Udvaskning nøgletal'!$E$12:$E$62)+Markniveau!$Y33*Markniveau!$S33/100,IF($X33=2,LOOKUP(AI33,'Udvaskning nøgletal'!$C$12:$C$62,'Udvaskning nøgletal'!$F$12:$F$62)+Markniveau!$Y33*Markniveau!$S33/100,IF($X33=3,LOOKUP(AI33,'Udvaskning nøgletal'!$C$12:$C$62,'Udvaskning nøgletal'!Q43:Q93)+Markniveau!$Y33*Markniveau!$S33/100,"")))</f>
        <v>21.2</v>
      </c>
      <c r="AK33" s="10">
        <f t="shared" si="7"/>
        <v>26.5</v>
      </c>
      <c r="AL33" s="10" t="str">
        <f t="shared" si="11"/>
        <v/>
      </c>
      <c r="AM33" s="10" t="str">
        <f t="shared" si="12"/>
        <v/>
      </c>
    </row>
    <row r="34" spans="1:39" x14ac:dyDescent="0.25">
      <c r="A34" s="15">
        <v>10799686</v>
      </c>
      <c r="B34" s="15">
        <v>9.76</v>
      </c>
      <c r="C34" s="15">
        <v>428384</v>
      </c>
      <c r="D34" s="15">
        <v>11380</v>
      </c>
      <c r="E34" s="15" t="s">
        <v>77</v>
      </c>
      <c r="F34" s="15">
        <v>2011</v>
      </c>
      <c r="G34" s="15">
        <v>20110301</v>
      </c>
      <c r="H34" s="15">
        <v>102766</v>
      </c>
      <c r="I34" s="15">
        <v>10.28</v>
      </c>
      <c r="J34" s="6" t="s">
        <v>38</v>
      </c>
      <c r="K34" s="15">
        <v>260</v>
      </c>
      <c r="L34" s="15" t="s">
        <v>45</v>
      </c>
      <c r="M34" s="15" t="s">
        <v>5</v>
      </c>
      <c r="N34" s="11" t="s">
        <v>1391</v>
      </c>
      <c r="O34" s="11" t="s">
        <v>46</v>
      </c>
      <c r="P34" s="11" t="s">
        <v>33</v>
      </c>
      <c r="Q34" s="15">
        <v>0</v>
      </c>
      <c r="R34" s="11" t="s">
        <v>1386</v>
      </c>
      <c r="S34" s="10">
        <v>119.49092452337</v>
      </c>
      <c r="T34" s="15">
        <v>80</v>
      </c>
      <c r="U34" s="15">
        <v>0</v>
      </c>
      <c r="V34" s="15">
        <v>1</v>
      </c>
      <c r="W34" s="15">
        <v>1</v>
      </c>
      <c r="X34" s="15">
        <f>IF(O34='Udvaskning nøgletal'!$D$65,1,IF(O34='Udvaskning nøgletal'!$D$66,2,IF(O34='Udvaskning nøgletal'!$D$67,3,IF(O34='Udvaskning nøgletal'!$D$68,2,""))))</f>
        <v>2</v>
      </c>
      <c r="Y34" s="15">
        <f>LOOKUP(K34,'Udvaskning nøgletal'!$C$12:$C$60,'Udvaskning nøgletal'!$H$12:$H$60)</f>
        <v>0</v>
      </c>
      <c r="Z34" s="10">
        <f>IF(X34=1,LOOKUP(K34,'Udvaskning nøgletal'!$C$12:$C$60,'Udvaskning nøgletal'!$E$12:$E$60)+Markniveau!Y34*Markniveau!S34/100,IF(X34=2,LOOKUP(K34,'Udvaskning nøgletal'!$C$12:$C$60,'Udvaskning nøgletal'!$F$12:$F$60)+Markniveau!Y34*Markniveau!S34/100,IF(X34=3,LOOKUP(K34,'Udvaskning nøgletal'!$C$12:$C$60,'Udvaskning nøgletal'!G44:G92)+Markniveau!Y34*Markniveau!S34/100,"")))</f>
        <v>27.331185321443094</v>
      </c>
      <c r="AA34" s="10">
        <f t="shared" si="0"/>
        <v>280.964585104435</v>
      </c>
      <c r="AB34" s="10" t="str">
        <f t="shared" si="1"/>
        <v/>
      </c>
      <c r="AC34" s="10" t="str">
        <f t="shared" si="2"/>
        <v/>
      </c>
      <c r="AD34" s="10">
        <f>IF(AND(Q34&gt;0,Q34&lt;30,K34&lt;8),Markniveau!Z34*'Udvaskning nøgletal'!$I$12/100,IF(AND(Q34&gt;0,Q34&lt;30,K34=216),Markniveau!Z34*'Udvaskning nøgletal'!$I$34/100,Markniveau!Z34))</f>
        <v>27.331185321443094</v>
      </c>
      <c r="AE34" s="10">
        <f t="shared" si="13"/>
        <v>280.964585104435</v>
      </c>
      <c r="AF34" s="10" t="str">
        <f t="shared" si="4"/>
        <v/>
      </c>
      <c r="AG34" s="10" t="str">
        <f t="shared" si="14"/>
        <v/>
      </c>
      <c r="AH34" s="10" t="str">
        <f>IF(AND(Q34&gt;0,Q34&lt;30,K34=216),'Udvaskning nøgletal'!$C$42,IF(AND(Q34&gt;0,Q34&lt;30,K34&gt;7,K34&lt;17),'Udvaskning nøgletal'!$C$61,IF(AND(Q34&gt;0,Q34&lt;30,K34&lt;7),'Udvaskning nøgletal'!$C$62,"")))</f>
        <v/>
      </c>
      <c r="AI34" s="10">
        <f t="shared" si="10"/>
        <v>260</v>
      </c>
      <c r="AJ34" s="10">
        <f>IF($X34=1,LOOKUP(AI34,'Udvaskning nøgletal'!$C$12:$C$62,'Udvaskning nøgletal'!$E$12:$E$62)+Markniveau!$Y34*Markniveau!$S34/100,IF($X34=2,LOOKUP(AI34,'Udvaskning nøgletal'!$C$12:$C$62,'Udvaskning nøgletal'!$F$12:$F$62)+Markniveau!$Y34*Markniveau!$S34/100,IF($X34=3,LOOKUP(AI34,'Udvaskning nøgletal'!$C$12:$C$62,'Udvaskning nøgletal'!Q44:Q94)+Markniveau!$Y34*Markniveau!$S34/100,"")))</f>
        <v>27.331185321443094</v>
      </c>
      <c r="AK34" s="10">
        <f t="shared" si="7"/>
        <v>280.964585104435</v>
      </c>
      <c r="AL34" s="10" t="str">
        <f t="shared" si="11"/>
        <v/>
      </c>
      <c r="AM34" s="10" t="str">
        <f t="shared" si="12"/>
        <v/>
      </c>
    </row>
    <row r="35" spans="1:39" x14ac:dyDescent="0.25">
      <c r="A35" s="15">
        <v>10799686</v>
      </c>
      <c r="B35" s="15">
        <v>9.76</v>
      </c>
      <c r="C35" s="15">
        <v>428385</v>
      </c>
      <c r="D35" s="15">
        <v>11380</v>
      </c>
      <c r="E35" s="15" t="s">
        <v>78</v>
      </c>
      <c r="F35" s="15">
        <v>2011</v>
      </c>
      <c r="G35" s="15">
        <v>20110301</v>
      </c>
      <c r="H35" s="15">
        <v>9208</v>
      </c>
      <c r="I35" s="15">
        <v>0.92</v>
      </c>
      <c r="J35" s="6" t="s">
        <v>1396</v>
      </c>
      <c r="K35" s="15">
        <v>260</v>
      </c>
      <c r="L35" s="15" t="s">
        <v>45</v>
      </c>
      <c r="M35" s="15" t="s">
        <v>5</v>
      </c>
      <c r="N35" s="11" t="s">
        <v>1391</v>
      </c>
      <c r="O35" s="11" t="s">
        <v>46</v>
      </c>
      <c r="P35" s="11" t="s">
        <v>33</v>
      </c>
      <c r="Q35" s="15">
        <v>0</v>
      </c>
      <c r="R35" s="11" t="s">
        <v>1386</v>
      </c>
      <c r="S35" s="10">
        <v>119.49092452337</v>
      </c>
      <c r="T35" s="15">
        <v>80</v>
      </c>
      <c r="U35" s="15">
        <v>0</v>
      </c>
      <c r="V35" s="15">
        <v>1</v>
      </c>
      <c r="W35" s="15">
        <v>1</v>
      </c>
      <c r="X35" s="15">
        <f>IF(O35='Udvaskning nøgletal'!$D$65,1,IF(O35='Udvaskning nøgletal'!$D$66,2,IF(O35='Udvaskning nøgletal'!$D$67,3,IF(O35='Udvaskning nøgletal'!$D$68,2,""))))</f>
        <v>2</v>
      </c>
      <c r="Y35" s="15">
        <f>LOOKUP(K35,'Udvaskning nøgletal'!$C$12:$C$60,'Udvaskning nøgletal'!$H$12:$H$60)</f>
        <v>0</v>
      </c>
      <c r="Z35" s="10">
        <f>IF(X35=1,LOOKUP(K35,'Udvaskning nøgletal'!$C$12:$C$60,'Udvaskning nøgletal'!$E$12:$E$60)+Markniveau!Y35*Markniveau!S35/100,IF(X35=2,LOOKUP(K35,'Udvaskning nøgletal'!$C$12:$C$60,'Udvaskning nøgletal'!$F$12:$F$60)+Markniveau!Y35*Markniveau!S35/100,IF(X35=3,LOOKUP(K35,'Udvaskning nøgletal'!$C$12:$C$60,'Udvaskning nøgletal'!G45:G93)+Markniveau!Y35*Markniveau!S35/100,"")))</f>
        <v>27.331185321443094</v>
      </c>
      <c r="AA35" s="10">
        <f t="shared" si="0"/>
        <v>25.144690495727648</v>
      </c>
      <c r="AB35" s="10" t="str">
        <f t="shared" si="1"/>
        <v/>
      </c>
      <c r="AC35" s="10" t="str">
        <f t="shared" si="2"/>
        <v/>
      </c>
      <c r="AD35" s="10">
        <f>IF(AND(Q35&gt;0,Q35&lt;30,K35&lt;8),Markniveau!Z35*'Udvaskning nøgletal'!$I$12/100,IF(AND(Q35&gt;0,Q35&lt;30,K35=216),Markniveau!Z35*'Udvaskning nøgletal'!$I$34/100,Markniveau!Z35))</f>
        <v>27.331185321443094</v>
      </c>
      <c r="AE35" s="10">
        <f t="shared" si="13"/>
        <v>25.144690495727648</v>
      </c>
      <c r="AF35" s="10" t="str">
        <f t="shared" si="4"/>
        <v/>
      </c>
      <c r="AG35" s="10" t="str">
        <f t="shared" si="14"/>
        <v/>
      </c>
      <c r="AH35" s="10" t="str">
        <f>IF(AND(Q35&gt;0,Q35&lt;30,K35=216),'Udvaskning nøgletal'!$C$42,IF(AND(Q35&gt;0,Q35&lt;30,K35&gt;7,K35&lt;17),'Udvaskning nøgletal'!$C$61,IF(AND(Q35&gt;0,Q35&lt;30,K35&lt;7),'Udvaskning nøgletal'!$C$62,"")))</f>
        <v/>
      </c>
      <c r="AI35" s="10">
        <f t="shared" si="10"/>
        <v>260</v>
      </c>
      <c r="AJ35" s="10">
        <f>IF($X35=1,LOOKUP(AI35,'Udvaskning nøgletal'!$C$12:$C$62,'Udvaskning nøgletal'!$E$12:$E$62)+Markniveau!$Y35*Markniveau!$S35/100,IF($X35=2,LOOKUP(AI35,'Udvaskning nøgletal'!$C$12:$C$62,'Udvaskning nøgletal'!$F$12:$F$62)+Markniveau!$Y35*Markniveau!$S35/100,IF($X35=3,LOOKUP(AI35,'Udvaskning nøgletal'!$C$12:$C$62,'Udvaskning nøgletal'!Q45:Q95)+Markniveau!$Y35*Markniveau!$S35/100,"")))</f>
        <v>27.331185321443094</v>
      </c>
      <c r="AK35" s="10">
        <f t="shared" si="7"/>
        <v>25.144690495727648</v>
      </c>
      <c r="AL35" s="10" t="str">
        <f t="shared" si="11"/>
        <v/>
      </c>
      <c r="AM35" s="10" t="str">
        <f t="shared" si="12"/>
        <v/>
      </c>
    </row>
    <row r="36" spans="1:39" x14ac:dyDescent="0.25">
      <c r="A36" s="15">
        <v>10799686</v>
      </c>
      <c r="B36" s="15">
        <v>9.76</v>
      </c>
      <c r="C36" s="15">
        <v>428388</v>
      </c>
      <c r="D36" s="15">
        <v>11380</v>
      </c>
      <c r="E36" s="15" t="s">
        <v>57</v>
      </c>
      <c r="F36" s="15">
        <v>2011</v>
      </c>
      <c r="G36" s="15">
        <v>20110301</v>
      </c>
      <c r="H36" s="15">
        <v>28321</v>
      </c>
      <c r="I36" s="15">
        <v>2.83</v>
      </c>
      <c r="J36" s="6" t="s">
        <v>1397</v>
      </c>
      <c r="K36" s="15">
        <v>214</v>
      </c>
      <c r="L36" s="15" t="s">
        <v>56</v>
      </c>
      <c r="M36" s="15" t="s">
        <v>5</v>
      </c>
      <c r="N36" s="11" t="s">
        <v>1384</v>
      </c>
      <c r="O36" s="11" t="s">
        <v>28</v>
      </c>
      <c r="P36" s="11" t="s">
        <v>33</v>
      </c>
      <c r="Q36" s="15">
        <v>0</v>
      </c>
      <c r="R36" s="11" t="s">
        <v>1386</v>
      </c>
      <c r="S36" s="10">
        <v>119.49092452337</v>
      </c>
      <c r="T36" s="15">
        <v>80</v>
      </c>
      <c r="U36" s="15">
        <v>0</v>
      </c>
      <c r="V36" s="15">
        <v>1</v>
      </c>
      <c r="W36" s="15">
        <v>1</v>
      </c>
      <c r="X36" s="15">
        <f>IF(O36='Udvaskning nøgletal'!$D$65,1,IF(O36='Udvaskning nøgletal'!$D$66,2,IF(O36='Udvaskning nøgletal'!$D$67,3,IF(O36='Udvaskning nøgletal'!$D$68,2,""))))</f>
        <v>1</v>
      </c>
      <c r="Y36" s="15">
        <f>LOOKUP(K36,'Udvaskning nøgletal'!$C$12:$C$60,'Udvaskning nøgletal'!$H$12:$H$60)</f>
        <v>0</v>
      </c>
      <c r="Z36" s="10">
        <f>IF(X36=1,LOOKUP(K36,'Udvaskning nøgletal'!$C$12:$C$60,'Udvaskning nøgletal'!$E$12:$E$60)+Markniveau!Y36*Markniveau!S36/100,IF(X36=2,LOOKUP(K36,'Udvaskning nøgletal'!$C$12:$C$60,'Udvaskning nøgletal'!$F$12:$F$60)+Markniveau!Y36*Markniveau!S36/100,IF(X36=3,LOOKUP(K36,'Udvaskning nøgletal'!$C$12:$C$60,'Udvaskning nøgletal'!G46:G94)+Markniveau!Y36*Markniveau!S36/100,"")))</f>
        <v>38.620385460262987</v>
      </c>
      <c r="AA36" s="10">
        <f t="shared" si="0"/>
        <v>109.29569085254425</v>
      </c>
      <c r="AB36" s="10" t="str">
        <f t="shared" si="1"/>
        <v/>
      </c>
      <c r="AC36" s="10" t="str">
        <f t="shared" si="2"/>
        <v/>
      </c>
      <c r="AD36" s="10">
        <f>IF(AND(Q36&gt;0,Q36&lt;30,K36&lt;8),Markniveau!Z36*'Udvaskning nøgletal'!$I$12/100,IF(AND(Q36&gt;0,Q36&lt;30,K36=216),Markniveau!Z36*'Udvaskning nøgletal'!$I$34/100,Markniveau!Z36))</f>
        <v>38.620385460262987</v>
      </c>
      <c r="AE36" s="10">
        <f t="shared" si="13"/>
        <v>109.29569085254425</v>
      </c>
      <c r="AF36" s="10" t="str">
        <f t="shared" si="4"/>
        <v/>
      </c>
      <c r="AG36" s="10" t="str">
        <f t="shared" si="14"/>
        <v/>
      </c>
      <c r="AH36" s="10" t="str">
        <f>IF(AND(Q36&gt;0,Q36&lt;30,K36=216),'Udvaskning nøgletal'!$C$42,IF(AND(Q36&gt;0,Q36&lt;30,K36&gt;7,K36&lt;17),'Udvaskning nøgletal'!$C$61,IF(AND(Q36&gt;0,Q36&lt;30,K36&lt;7),'Udvaskning nøgletal'!$C$62,"")))</f>
        <v/>
      </c>
      <c r="AI36" s="10">
        <f t="shared" si="10"/>
        <v>214</v>
      </c>
      <c r="AJ36" s="10">
        <f>IF($X36=1,LOOKUP(AI36,'Udvaskning nøgletal'!$C$12:$C$62,'Udvaskning nøgletal'!$E$12:$E$62)+Markniveau!$Y36*Markniveau!$S36/100,IF($X36=2,LOOKUP(AI36,'Udvaskning nøgletal'!$C$12:$C$62,'Udvaskning nøgletal'!$F$12:$F$62)+Markniveau!$Y36*Markniveau!$S36/100,IF($X36=3,LOOKUP(AI36,'Udvaskning nøgletal'!$C$12:$C$62,'Udvaskning nøgletal'!Q46:Q96)+Markniveau!$Y36*Markniveau!$S36/100,"")))</f>
        <v>38.620385460262987</v>
      </c>
      <c r="AK36" s="10">
        <f t="shared" si="7"/>
        <v>109.29569085254425</v>
      </c>
      <c r="AL36" s="10" t="str">
        <f t="shared" si="11"/>
        <v/>
      </c>
      <c r="AM36" s="10" t="str">
        <f t="shared" si="12"/>
        <v/>
      </c>
    </row>
    <row r="37" spans="1:39" x14ac:dyDescent="0.25">
      <c r="A37" s="15">
        <v>10799686</v>
      </c>
      <c r="B37" s="15">
        <v>9.76</v>
      </c>
      <c r="C37" s="15">
        <v>428920</v>
      </c>
      <c r="D37" s="15">
        <v>11380</v>
      </c>
      <c r="E37" s="15" t="s">
        <v>47</v>
      </c>
      <c r="F37" s="15">
        <v>2011</v>
      </c>
      <c r="G37" s="15">
        <v>20110301</v>
      </c>
      <c r="H37" s="15">
        <v>29986</v>
      </c>
      <c r="I37" s="15">
        <v>3</v>
      </c>
      <c r="J37" s="6" t="s">
        <v>1398</v>
      </c>
      <c r="K37" s="15">
        <v>260</v>
      </c>
      <c r="L37" s="15" t="s">
        <v>45</v>
      </c>
      <c r="M37" s="15" t="s">
        <v>5</v>
      </c>
      <c r="N37" s="11" t="s">
        <v>1384</v>
      </c>
      <c r="O37" s="11" t="s">
        <v>28</v>
      </c>
      <c r="P37" s="11" t="s">
        <v>33</v>
      </c>
      <c r="Q37" s="15">
        <v>0</v>
      </c>
      <c r="R37" s="11" t="s">
        <v>1386</v>
      </c>
      <c r="S37" s="10">
        <v>119.49092452337</v>
      </c>
      <c r="T37" s="15">
        <v>80</v>
      </c>
      <c r="U37" s="15">
        <v>0</v>
      </c>
      <c r="V37" s="15">
        <v>1</v>
      </c>
      <c r="W37" s="15">
        <v>1</v>
      </c>
      <c r="X37" s="15">
        <f>IF(O37='Udvaskning nøgletal'!$D$65,1,IF(O37='Udvaskning nøgletal'!$D$66,2,IF(O37='Udvaskning nøgletal'!$D$67,3,IF(O37='Udvaskning nøgletal'!$D$68,2,""))))</f>
        <v>1</v>
      </c>
      <c r="Y37" s="15">
        <f>LOOKUP(K37,'Udvaskning nøgletal'!$C$12:$C$60,'Udvaskning nøgletal'!$H$12:$H$60)</f>
        <v>0</v>
      </c>
      <c r="Z37" s="10">
        <f>IF(X37=1,LOOKUP(K37,'Udvaskning nøgletal'!$C$12:$C$60,'Udvaskning nøgletal'!$E$12:$E$60)+Markniveau!Y37*Markniveau!S37/100,IF(X37=2,LOOKUP(K37,'Udvaskning nøgletal'!$C$12:$C$60,'Udvaskning nøgletal'!$F$12:$F$60)+Markniveau!Y37*Markniveau!S37/100,IF(X37=3,LOOKUP(K37,'Udvaskning nøgletal'!$C$12:$C$60,'Udvaskning nøgletal'!G47:G95)+Markniveau!Y37*Markniveau!S37/100,"")))</f>
        <v>33.723295792149436</v>
      </c>
      <c r="AA37" s="10">
        <f t="shared" si="0"/>
        <v>101.16988737644832</v>
      </c>
      <c r="AB37" s="10" t="str">
        <f t="shared" si="1"/>
        <v/>
      </c>
      <c r="AC37" s="10" t="str">
        <f t="shared" si="2"/>
        <v/>
      </c>
      <c r="AD37" s="10">
        <f>IF(AND(Q37&gt;0,Q37&lt;30,K37&lt;8),Markniveau!Z37*'Udvaskning nøgletal'!$I$12/100,IF(AND(Q37&gt;0,Q37&lt;30,K37=216),Markniveau!Z37*'Udvaskning nøgletal'!$I$34/100,Markniveau!Z37))</f>
        <v>33.723295792149436</v>
      </c>
      <c r="AE37" s="10">
        <f t="shared" si="13"/>
        <v>101.16988737644832</v>
      </c>
      <c r="AF37" s="10" t="str">
        <f t="shared" si="4"/>
        <v/>
      </c>
      <c r="AG37" s="10" t="str">
        <f t="shared" si="14"/>
        <v/>
      </c>
      <c r="AH37" s="10" t="str">
        <f>IF(AND(Q37&gt;0,Q37&lt;30,K37=216),'Udvaskning nøgletal'!$C$42,IF(AND(Q37&gt;0,Q37&lt;30,K37&gt;7,K37&lt;17),'Udvaskning nøgletal'!$C$61,IF(AND(Q37&gt;0,Q37&lt;30,K37&lt;7),'Udvaskning nøgletal'!$C$62,"")))</f>
        <v/>
      </c>
      <c r="AI37" s="10">
        <f t="shared" si="10"/>
        <v>260</v>
      </c>
      <c r="AJ37" s="10">
        <f>IF($X37=1,LOOKUP(AI37,'Udvaskning nøgletal'!$C$12:$C$62,'Udvaskning nøgletal'!$E$12:$E$62)+Markniveau!$Y37*Markniveau!$S37/100,IF($X37=2,LOOKUP(AI37,'Udvaskning nøgletal'!$C$12:$C$62,'Udvaskning nøgletal'!$F$12:$F$62)+Markniveau!$Y37*Markniveau!$S37/100,IF($X37=3,LOOKUP(AI37,'Udvaskning nøgletal'!$C$12:$C$62,'Udvaskning nøgletal'!Q47:Q97)+Markniveau!$Y37*Markniveau!$S37/100,"")))</f>
        <v>33.723295792149436</v>
      </c>
      <c r="AK37" s="10">
        <f t="shared" si="7"/>
        <v>101.16988737644832</v>
      </c>
      <c r="AL37" s="10" t="str">
        <f t="shared" si="11"/>
        <v/>
      </c>
      <c r="AM37" s="10" t="str">
        <f t="shared" si="12"/>
        <v/>
      </c>
    </row>
    <row r="38" spans="1:39" x14ac:dyDescent="0.25">
      <c r="A38" s="15">
        <v>10799686</v>
      </c>
      <c r="B38" s="15">
        <v>9.76</v>
      </c>
      <c r="C38" s="15">
        <v>428921</v>
      </c>
      <c r="D38" s="15">
        <v>11380</v>
      </c>
      <c r="E38" s="15" t="s">
        <v>47</v>
      </c>
      <c r="F38" s="15">
        <v>2011</v>
      </c>
      <c r="G38" s="15">
        <v>20110301</v>
      </c>
      <c r="H38" s="15">
        <v>4913</v>
      </c>
      <c r="I38" s="15">
        <v>0.49</v>
      </c>
      <c r="J38" s="6" t="s">
        <v>79</v>
      </c>
      <c r="K38" s="15">
        <v>260</v>
      </c>
      <c r="L38" s="15" t="s">
        <v>45</v>
      </c>
      <c r="M38" s="15" t="s">
        <v>5</v>
      </c>
      <c r="N38" s="11" t="s">
        <v>1384</v>
      </c>
      <c r="O38" s="11" t="s">
        <v>28</v>
      </c>
      <c r="P38" s="11" t="s">
        <v>33</v>
      </c>
      <c r="Q38" s="15">
        <v>0</v>
      </c>
      <c r="R38" s="11" t="s">
        <v>1386</v>
      </c>
      <c r="S38" s="10">
        <v>119.49092452337</v>
      </c>
      <c r="T38" s="15">
        <v>80</v>
      </c>
      <c r="U38" s="15">
        <v>0</v>
      </c>
      <c r="V38" s="15">
        <v>1</v>
      </c>
      <c r="W38" s="15">
        <v>1</v>
      </c>
      <c r="X38" s="15">
        <f>IF(O38='Udvaskning nøgletal'!$D$65,1,IF(O38='Udvaskning nøgletal'!$D$66,2,IF(O38='Udvaskning nøgletal'!$D$67,3,IF(O38='Udvaskning nøgletal'!$D$68,2,""))))</f>
        <v>1</v>
      </c>
      <c r="Y38" s="15">
        <f>LOOKUP(K38,'Udvaskning nøgletal'!$C$12:$C$60,'Udvaskning nøgletal'!$H$12:$H$60)</f>
        <v>0</v>
      </c>
      <c r="Z38" s="10">
        <f>IF(X38=1,LOOKUP(K38,'Udvaskning nøgletal'!$C$12:$C$60,'Udvaskning nøgletal'!$E$12:$E$60)+Markniveau!Y38*Markniveau!S38/100,IF(X38=2,LOOKUP(K38,'Udvaskning nøgletal'!$C$12:$C$60,'Udvaskning nøgletal'!$F$12:$F$60)+Markniveau!Y38*Markniveau!S38/100,IF(X38=3,LOOKUP(K38,'Udvaskning nøgletal'!$C$12:$C$60,'Udvaskning nøgletal'!G48:G96)+Markniveau!Y38*Markniveau!S38/100,"")))</f>
        <v>33.723295792149436</v>
      </c>
      <c r="AA38" s="10">
        <f t="shared" si="0"/>
        <v>16.524414938153225</v>
      </c>
      <c r="AB38" s="10" t="str">
        <f t="shared" si="1"/>
        <v/>
      </c>
      <c r="AC38" s="10" t="str">
        <f t="shared" si="2"/>
        <v/>
      </c>
      <c r="AD38" s="10">
        <f>IF(AND(Q38&gt;0,Q38&lt;30,K38&lt;8),Markniveau!Z38*'Udvaskning nøgletal'!$I$12/100,IF(AND(Q38&gt;0,Q38&lt;30,K38=216),Markniveau!Z38*'Udvaskning nøgletal'!$I$34/100,Markniveau!Z38))</f>
        <v>33.723295792149436</v>
      </c>
      <c r="AE38" s="10">
        <f t="shared" si="13"/>
        <v>16.524414938153225</v>
      </c>
      <c r="AF38" s="10" t="str">
        <f t="shared" si="4"/>
        <v/>
      </c>
      <c r="AG38" s="10" t="str">
        <f t="shared" si="14"/>
        <v/>
      </c>
      <c r="AH38" s="10" t="str">
        <f>IF(AND(Q38&gt;0,Q38&lt;30,K38=216),'Udvaskning nøgletal'!$C$42,IF(AND(Q38&gt;0,Q38&lt;30,K38&gt;7,K38&lt;17),'Udvaskning nøgletal'!$C$61,IF(AND(Q38&gt;0,Q38&lt;30,K38&lt;7),'Udvaskning nøgletal'!$C$62,"")))</f>
        <v/>
      </c>
      <c r="AI38" s="10">
        <f t="shared" si="10"/>
        <v>260</v>
      </c>
      <c r="AJ38" s="10">
        <f>IF($X38=1,LOOKUP(AI38,'Udvaskning nøgletal'!$C$12:$C$62,'Udvaskning nøgletal'!$E$12:$E$62)+Markniveau!$Y38*Markniveau!$S38/100,IF($X38=2,LOOKUP(AI38,'Udvaskning nøgletal'!$C$12:$C$62,'Udvaskning nøgletal'!$F$12:$F$62)+Markniveau!$Y38*Markniveau!$S38/100,IF($X38=3,LOOKUP(AI38,'Udvaskning nøgletal'!$C$12:$C$62,'Udvaskning nøgletal'!Q48:Q98)+Markniveau!$Y38*Markniveau!$S38/100,"")))</f>
        <v>33.723295792149436</v>
      </c>
      <c r="AK38" s="10">
        <f t="shared" si="7"/>
        <v>16.524414938153225</v>
      </c>
      <c r="AL38" s="10" t="str">
        <f t="shared" si="11"/>
        <v/>
      </c>
      <c r="AM38" s="10" t="str">
        <f t="shared" si="12"/>
        <v/>
      </c>
    </row>
    <row r="39" spans="1:39" x14ac:dyDescent="0.25">
      <c r="A39" s="15">
        <v>10799686</v>
      </c>
      <c r="B39" s="15">
        <v>9.76</v>
      </c>
      <c r="C39" s="15">
        <v>428922</v>
      </c>
      <c r="D39" s="15">
        <v>11380</v>
      </c>
      <c r="E39" s="15" t="s">
        <v>47</v>
      </c>
      <c r="F39" s="15">
        <v>2011</v>
      </c>
      <c r="G39" s="15">
        <v>20110301</v>
      </c>
      <c r="H39" s="15">
        <v>52144</v>
      </c>
      <c r="I39" s="15">
        <v>5.21</v>
      </c>
      <c r="J39" s="6" t="s">
        <v>36</v>
      </c>
      <c r="K39" s="15">
        <v>252</v>
      </c>
      <c r="L39" s="15" t="s">
        <v>41</v>
      </c>
      <c r="M39" s="15" t="s">
        <v>4</v>
      </c>
      <c r="N39" s="11" t="s">
        <v>1384</v>
      </c>
      <c r="O39" s="11" t="s">
        <v>28</v>
      </c>
      <c r="P39" s="11" t="s">
        <v>33</v>
      </c>
      <c r="Q39" s="15">
        <v>0</v>
      </c>
      <c r="R39" s="11" t="s">
        <v>1386</v>
      </c>
      <c r="S39" s="10">
        <v>119.49092452337</v>
      </c>
      <c r="T39" s="15">
        <v>80</v>
      </c>
      <c r="U39" s="15">
        <v>0</v>
      </c>
      <c r="V39" s="15">
        <v>1</v>
      </c>
      <c r="W39" s="15">
        <v>1</v>
      </c>
      <c r="X39" s="15">
        <f>IF(O39='Udvaskning nøgletal'!$D$65,1,IF(O39='Udvaskning nøgletal'!$D$66,2,IF(O39='Udvaskning nøgletal'!$D$67,3,IF(O39='Udvaskning nøgletal'!$D$68,2,""))))</f>
        <v>1</v>
      </c>
      <c r="Y39" s="15">
        <f>LOOKUP(K39,'Udvaskning nøgletal'!$C$12:$C$60,'Udvaskning nøgletal'!$H$12:$H$60)</f>
        <v>0</v>
      </c>
      <c r="Z39" s="10">
        <f>IF(X39=1,LOOKUP(K39,'Udvaskning nøgletal'!$C$12:$C$60,'Udvaskning nøgletal'!$E$12:$E$60)+Markniveau!Y39*Markniveau!S39/100,IF(X39=2,LOOKUP(K39,'Udvaskning nøgletal'!$C$12:$C$60,'Udvaskning nøgletal'!$F$12:$F$60)+Markniveau!Y39*Markniveau!S39/100,IF(X39=3,LOOKUP(K39,'Udvaskning nøgletal'!$C$12:$C$60,'Udvaskning nøgletal'!G49:G97)+Markniveau!Y39*Markniveau!S39/100,"")))</f>
        <v>21.2</v>
      </c>
      <c r="AA39" s="10">
        <f t="shared" si="0"/>
        <v>110.452</v>
      </c>
      <c r="AB39" s="10" t="str">
        <f t="shared" si="1"/>
        <v/>
      </c>
      <c r="AC39" s="10" t="str">
        <f t="shared" si="2"/>
        <v/>
      </c>
      <c r="AD39" s="10">
        <f>IF(AND(Q39&gt;0,Q39&lt;30,K39&lt;8),Markniveau!Z39*'Udvaskning nøgletal'!$I$12/100,IF(AND(Q39&gt;0,Q39&lt;30,K39=216),Markniveau!Z39*'Udvaskning nøgletal'!$I$34/100,Markniveau!Z39))</f>
        <v>21.2</v>
      </c>
      <c r="AE39" s="10">
        <f t="shared" si="13"/>
        <v>110.452</v>
      </c>
      <c r="AF39" s="10" t="str">
        <f t="shared" si="4"/>
        <v/>
      </c>
      <c r="AG39" s="10" t="str">
        <f t="shared" si="14"/>
        <v/>
      </c>
      <c r="AH39" s="10" t="str">
        <f>IF(AND(Q39&gt;0,Q39&lt;30,K39=216),'Udvaskning nøgletal'!$C$42,IF(AND(Q39&gt;0,Q39&lt;30,K39&gt;7,K39&lt;17),'Udvaskning nøgletal'!$C$61,IF(AND(Q39&gt;0,Q39&lt;30,K39&lt;7),'Udvaskning nøgletal'!$C$62,"")))</f>
        <v/>
      </c>
      <c r="AI39" s="10">
        <f t="shared" si="10"/>
        <v>252</v>
      </c>
      <c r="AJ39" s="10">
        <f>IF($X39=1,LOOKUP(AI39,'Udvaskning nøgletal'!$C$12:$C$62,'Udvaskning nøgletal'!$E$12:$E$62)+Markniveau!$Y39*Markniveau!$S39/100,IF($X39=2,LOOKUP(AI39,'Udvaskning nøgletal'!$C$12:$C$62,'Udvaskning nøgletal'!$F$12:$F$62)+Markniveau!$Y39*Markniveau!$S39/100,IF($X39=3,LOOKUP(AI39,'Udvaskning nøgletal'!$C$12:$C$62,'Udvaskning nøgletal'!Q49:Q99)+Markniveau!$Y39*Markniveau!$S39/100,"")))</f>
        <v>21.2</v>
      </c>
      <c r="AK39" s="10">
        <f t="shared" si="7"/>
        <v>110.452</v>
      </c>
      <c r="AL39" s="10" t="str">
        <f t="shared" si="11"/>
        <v/>
      </c>
      <c r="AM39" s="10" t="str">
        <f t="shared" si="12"/>
        <v/>
      </c>
    </row>
    <row r="40" spans="1:39" x14ac:dyDescent="0.25">
      <c r="A40" s="15">
        <v>10799686</v>
      </c>
      <c r="B40" s="15">
        <v>9.76</v>
      </c>
      <c r="C40" s="15">
        <v>429434</v>
      </c>
      <c r="D40" s="15">
        <v>11380</v>
      </c>
      <c r="E40" s="15" t="s">
        <v>47</v>
      </c>
      <c r="F40" s="15">
        <v>2011</v>
      </c>
      <c r="G40" s="15">
        <v>20110301</v>
      </c>
      <c r="H40" s="15">
        <v>36247</v>
      </c>
      <c r="I40" s="15">
        <v>3.62</v>
      </c>
      <c r="J40" s="6" t="s">
        <v>1399</v>
      </c>
      <c r="K40" s="15">
        <v>901</v>
      </c>
      <c r="L40" s="15" t="s">
        <v>80</v>
      </c>
      <c r="M40" s="15" t="s">
        <v>81</v>
      </c>
      <c r="N40" s="11" t="s">
        <v>1384</v>
      </c>
      <c r="O40" s="11" t="s">
        <v>28</v>
      </c>
      <c r="P40" s="11" t="s">
        <v>33</v>
      </c>
      <c r="Q40" s="15">
        <v>0</v>
      </c>
      <c r="R40" s="11" t="s">
        <v>1386</v>
      </c>
      <c r="S40" s="10">
        <v>119.49092452337</v>
      </c>
      <c r="T40" s="15">
        <v>80</v>
      </c>
      <c r="U40" s="15">
        <v>0</v>
      </c>
      <c r="V40" s="15">
        <v>1</v>
      </c>
      <c r="W40" s="15">
        <v>1</v>
      </c>
      <c r="X40" s="15">
        <f>IF(O40='Udvaskning nøgletal'!$D$65,1,IF(O40='Udvaskning nøgletal'!$D$66,2,IF(O40='Udvaskning nøgletal'!$D$67,3,IF(O40='Udvaskning nøgletal'!$D$68,2,""))))</f>
        <v>1</v>
      </c>
      <c r="Y40" s="15">
        <f>LOOKUP(K40,'Udvaskning nøgletal'!$C$12:$C$60,'Udvaskning nøgletal'!$H$12:$H$60)</f>
        <v>0</v>
      </c>
      <c r="Z40" s="10">
        <f>IF(X40=1,LOOKUP(K40,'Udvaskning nøgletal'!$C$12:$C$60,'Udvaskning nøgletal'!$E$12:$E$60)+Markniveau!Y40*Markniveau!S40/100,IF(X40=2,LOOKUP(K40,'Udvaskning nøgletal'!$C$12:$C$60,'Udvaskning nøgletal'!$F$12:$F$60)+Markniveau!Y40*Markniveau!S40/100,IF(X40=3,LOOKUP(K40,'Udvaskning nøgletal'!$C$12:$C$60,'Udvaskning nøgletal'!G50:G98)+Markniveau!Y40*Markniveau!S40/100,"")))</f>
        <v>10</v>
      </c>
      <c r="AA40" s="10">
        <f t="shared" si="0"/>
        <v>36.200000000000003</v>
      </c>
      <c r="AB40" s="10" t="str">
        <f t="shared" si="1"/>
        <v/>
      </c>
      <c r="AC40" s="10" t="str">
        <f t="shared" si="2"/>
        <v/>
      </c>
      <c r="AD40" s="10">
        <f>IF(AND(Q40&gt;0,Q40&lt;30,K40&lt;8),Markniveau!Z40*'Udvaskning nøgletal'!$I$12/100,IF(AND(Q40&gt;0,Q40&lt;30,K40=216),Markniveau!Z40*'Udvaskning nøgletal'!$I$34/100,Markniveau!Z40))</f>
        <v>10</v>
      </c>
      <c r="AE40" s="10">
        <f t="shared" si="13"/>
        <v>36.200000000000003</v>
      </c>
      <c r="AF40" s="10" t="str">
        <f t="shared" si="4"/>
        <v/>
      </c>
      <c r="AG40" s="10" t="str">
        <f t="shared" si="14"/>
        <v/>
      </c>
      <c r="AH40" s="10" t="str">
        <f>IF(AND(Q40&gt;0,Q40&lt;30,K40=216),'Udvaskning nøgletal'!$C$42,IF(AND(Q40&gt;0,Q40&lt;30,K40&gt;7,K40&lt;17),'Udvaskning nøgletal'!$C$61,IF(AND(Q40&gt;0,Q40&lt;30,K40&lt;7),'Udvaskning nøgletal'!$C$62,"")))</f>
        <v/>
      </c>
      <c r="AI40" s="10">
        <f t="shared" si="10"/>
        <v>901</v>
      </c>
      <c r="AJ40" s="10">
        <f>IF($X40=1,LOOKUP(AI40,'Udvaskning nøgletal'!$C$12:$C$62,'Udvaskning nøgletal'!$E$12:$E$62)+Markniveau!$Y40*Markniveau!$S40/100,IF($X40=2,LOOKUP(AI40,'Udvaskning nøgletal'!$C$12:$C$62,'Udvaskning nøgletal'!$F$12:$F$62)+Markniveau!$Y40*Markniveau!$S40/100,IF($X40=3,LOOKUP(AI40,'Udvaskning nøgletal'!$C$12:$C$62,'Udvaskning nøgletal'!Q50:Q100)+Markniveau!$Y40*Markniveau!$S40/100,"")))</f>
        <v>10</v>
      </c>
      <c r="AK40" s="10">
        <f t="shared" si="7"/>
        <v>36.200000000000003</v>
      </c>
      <c r="AL40" s="10" t="str">
        <f t="shared" si="11"/>
        <v/>
      </c>
      <c r="AM40" s="10" t="str">
        <f t="shared" si="12"/>
        <v/>
      </c>
    </row>
    <row r="41" spans="1:39" x14ac:dyDescent="0.25">
      <c r="A41" s="15">
        <v>10799686</v>
      </c>
      <c r="B41" s="15">
        <v>9.76</v>
      </c>
      <c r="C41" s="15">
        <v>429946</v>
      </c>
      <c r="D41" s="15">
        <v>11380</v>
      </c>
      <c r="E41" s="15" t="s">
        <v>47</v>
      </c>
      <c r="F41" s="15">
        <v>2011</v>
      </c>
      <c r="G41" s="15">
        <v>20110301</v>
      </c>
      <c r="H41" s="15">
        <v>21430</v>
      </c>
      <c r="I41" s="15">
        <v>2.14</v>
      </c>
      <c r="J41" s="6" t="s">
        <v>1400</v>
      </c>
      <c r="K41" s="15">
        <v>260</v>
      </c>
      <c r="L41" s="15" t="s">
        <v>45</v>
      </c>
      <c r="M41" s="15" t="s">
        <v>5</v>
      </c>
      <c r="N41" s="11" t="s">
        <v>1391</v>
      </c>
      <c r="O41" s="11" t="s">
        <v>46</v>
      </c>
      <c r="P41" s="11" t="s">
        <v>33</v>
      </c>
      <c r="Q41" s="15">
        <v>0</v>
      </c>
      <c r="R41" s="11" t="s">
        <v>1386</v>
      </c>
      <c r="S41" s="10">
        <v>119.49092452337</v>
      </c>
      <c r="T41" s="15">
        <v>80</v>
      </c>
      <c r="U41" s="15">
        <v>0</v>
      </c>
      <c r="V41" s="15">
        <v>1</v>
      </c>
      <c r="W41" s="15">
        <v>1</v>
      </c>
      <c r="X41" s="15">
        <f>IF(O41='Udvaskning nøgletal'!$D$65,1,IF(O41='Udvaskning nøgletal'!$D$66,2,IF(O41='Udvaskning nøgletal'!$D$67,3,IF(O41='Udvaskning nøgletal'!$D$68,2,""))))</f>
        <v>2</v>
      </c>
      <c r="Y41" s="15">
        <f>LOOKUP(K41,'Udvaskning nøgletal'!$C$12:$C$60,'Udvaskning nøgletal'!$H$12:$H$60)</f>
        <v>0</v>
      </c>
      <c r="Z41" s="10">
        <f>IF(X41=1,LOOKUP(K41,'Udvaskning nøgletal'!$C$12:$C$60,'Udvaskning nøgletal'!$E$12:$E$60)+Markniveau!Y41*Markniveau!S41/100,IF(X41=2,LOOKUP(K41,'Udvaskning nøgletal'!$C$12:$C$60,'Udvaskning nøgletal'!$F$12:$F$60)+Markniveau!Y41*Markniveau!S41/100,IF(X41=3,LOOKUP(K41,'Udvaskning nøgletal'!$C$12:$C$60,'Udvaskning nøgletal'!G51:G99)+Markniveau!Y41*Markniveau!S41/100,"")))</f>
        <v>27.331185321443094</v>
      </c>
      <c r="AA41" s="10">
        <f t="shared" si="0"/>
        <v>58.488736587888226</v>
      </c>
      <c r="AB41" s="10" t="str">
        <f t="shared" si="1"/>
        <v/>
      </c>
      <c r="AC41" s="10" t="str">
        <f t="shared" si="2"/>
        <v/>
      </c>
      <c r="AD41" s="10">
        <f>IF(AND(Q41&gt;0,Q41&lt;30,K41&lt;8),Markniveau!Z41*'Udvaskning nøgletal'!$I$12/100,IF(AND(Q41&gt;0,Q41&lt;30,K41=216),Markniveau!Z41*'Udvaskning nøgletal'!$I$34/100,Markniveau!Z41))</f>
        <v>27.331185321443094</v>
      </c>
      <c r="AE41" s="10">
        <f t="shared" si="13"/>
        <v>58.488736587888226</v>
      </c>
      <c r="AF41" s="10" t="str">
        <f t="shared" si="4"/>
        <v/>
      </c>
      <c r="AG41" s="10" t="str">
        <f t="shared" si="14"/>
        <v/>
      </c>
      <c r="AH41" s="10" t="str">
        <f>IF(AND(Q41&gt;0,Q41&lt;30,K41=216),'Udvaskning nøgletal'!$C$42,IF(AND(Q41&gt;0,Q41&lt;30,K41&gt;7,K41&lt;17),'Udvaskning nøgletal'!$C$61,IF(AND(Q41&gt;0,Q41&lt;30,K41&lt;7),'Udvaskning nøgletal'!$C$62,"")))</f>
        <v/>
      </c>
      <c r="AI41" s="10">
        <f t="shared" si="10"/>
        <v>260</v>
      </c>
      <c r="AJ41" s="10">
        <f>IF($X41=1,LOOKUP(AI41,'Udvaskning nøgletal'!$C$12:$C$62,'Udvaskning nøgletal'!$E$12:$E$62)+Markniveau!$Y41*Markniveau!$S41/100,IF($X41=2,LOOKUP(AI41,'Udvaskning nøgletal'!$C$12:$C$62,'Udvaskning nøgletal'!$F$12:$F$62)+Markniveau!$Y41*Markniveau!$S41/100,IF($X41=3,LOOKUP(AI41,'Udvaskning nøgletal'!$C$12:$C$62,'Udvaskning nøgletal'!Q51:Q101)+Markniveau!$Y41*Markniveau!$S41/100,"")))</f>
        <v>27.331185321443094</v>
      </c>
      <c r="AK41" s="10">
        <f t="shared" si="7"/>
        <v>58.488736587888226</v>
      </c>
      <c r="AL41" s="10" t="str">
        <f t="shared" si="11"/>
        <v/>
      </c>
      <c r="AM41" s="10" t="str">
        <f t="shared" si="12"/>
        <v/>
      </c>
    </row>
    <row r="42" spans="1:39" x14ac:dyDescent="0.25">
      <c r="A42" s="15">
        <v>10799686</v>
      </c>
      <c r="B42" s="15">
        <v>9.76</v>
      </c>
      <c r="C42" s="15">
        <v>429949</v>
      </c>
      <c r="D42" s="15">
        <v>11380</v>
      </c>
      <c r="E42" s="15" t="s">
        <v>47</v>
      </c>
      <c r="F42" s="15">
        <v>2011</v>
      </c>
      <c r="G42" s="15">
        <v>20110301</v>
      </c>
      <c r="H42" s="15">
        <v>58785</v>
      </c>
      <c r="I42" s="15">
        <v>5.88</v>
      </c>
      <c r="J42" s="6" t="s">
        <v>37</v>
      </c>
      <c r="K42" s="15">
        <v>260</v>
      </c>
      <c r="L42" s="15" t="s">
        <v>45</v>
      </c>
      <c r="M42" s="15" t="s">
        <v>5</v>
      </c>
      <c r="N42" s="11" t="s">
        <v>1391</v>
      </c>
      <c r="O42" s="11" t="s">
        <v>46</v>
      </c>
      <c r="P42" s="11" t="s">
        <v>33</v>
      </c>
      <c r="Q42" s="15">
        <v>0</v>
      </c>
      <c r="R42" s="11" t="s">
        <v>1386</v>
      </c>
      <c r="S42" s="10">
        <v>119.49092452337</v>
      </c>
      <c r="T42" s="15">
        <v>80</v>
      </c>
      <c r="U42" s="15">
        <v>0</v>
      </c>
      <c r="V42" s="15">
        <v>1</v>
      </c>
      <c r="W42" s="15">
        <v>1</v>
      </c>
      <c r="X42" s="15">
        <f>IF(O42='Udvaskning nøgletal'!$D$65,1,IF(O42='Udvaskning nøgletal'!$D$66,2,IF(O42='Udvaskning nøgletal'!$D$67,3,IF(O42='Udvaskning nøgletal'!$D$68,2,""))))</f>
        <v>2</v>
      </c>
      <c r="Y42" s="15">
        <f>LOOKUP(K42,'Udvaskning nøgletal'!$C$12:$C$60,'Udvaskning nøgletal'!$H$12:$H$60)</f>
        <v>0</v>
      </c>
      <c r="Z42" s="10">
        <f>IF(X42=1,LOOKUP(K42,'Udvaskning nøgletal'!$C$12:$C$60,'Udvaskning nøgletal'!$E$12:$E$60)+Markniveau!Y42*Markniveau!S42/100,IF(X42=2,LOOKUP(K42,'Udvaskning nøgletal'!$C$12:$C$60,'Udvaskning nøgletal'!$F$12:$F$60)+Markniveau!Y42*Markniveau!S42/100,IF(X42=3,LOOKUP(K42,'Udvaskning nøgletal'!$C$12:$C$60,'Udvaskning nøgletal'!G52:G100)+Markniveau!Y42*Markniveau!S42/100,"")))</f>
        <v>27.331185321443094</v>
      </c>
      <c r="AA42" s="10">
        <f t="shared" si="0"/>
        <v>160.70736969008539</v>
      </c>
      <c r="AB42" s="10" t="str">
        <f t="shared" si="1"/>
        <v/>
      </c>
      <c r="AC42" s="10" t="str">
        <f t="shared" si="2"/>
        <v/>
      </c>
      <c r="AD42" s="10">
        <f>IF(AND(Q42&gt;0,Q42&lt;30,K42&lt;8),Markniveau!Z42*'Udvaskning nøgletal'!$I$12/100,IF(AND(Q42&gt;0,Q42&lt;30,K42=216),Markniveau!Z42*'Udvaskning nøgletal'!$I$34/100,Markniveau!Z42))</f>
        <v>27.331185321443094</v>
      </c>
      <c r="AE42" s="10">
        <f t="shared" si="13"/>
        <v>160.70736969008539</v>
      </c>
      <c r="AF42" s="10" t="str">
        <f t="shared" si="4"/>
        <v/>
      </c>
      <c r="AG42" s="10" t="str">
        <f t="shared" si="14"/>
        <v/>
      </c>
      <c r="AH42" s="10" t="str">
        <f>IF(AND(Q42&gt;0,Q42&lt;30,K42=216),'Udvaskning nøgletal'!$C$42,IF(AND(Q42&gt;0,Q42&lt;30,K42&gt;7,K42&lt;17),'Udvaskning nøgletal'!$C$61,IF(AND(Q42&gt;0,Q42&lt;30,K42&lt;7),'Udvaskning nøgletal'!$C$62,"")))</f>
        <v/>
      </c>
      <c r="AI42" s="10">
        <f t="shared" si="10"/>
        <v>260</v>
      </c>
      <c r="AJ42" s="10">
        <f>IF($X42=1,LOOKUP(AI42,'Udvaskning nøgletal'!$C$12:$C$62,'Udvaskning nøgletal'!$E$12:$E$62)+Markniveau!$Y42*Markniveau!$S42/100,IF($X42=2,LOOKUP(AI42,'Udvaskning nøgletal'!$C$12:$C$62,'Udvaskning nøgletal'!$F$12:$F$62)+Markniveau!$Y42*Markniveau!$S42/100,IF($X42=3,LOOKUP(AI42,'Udvaskning nøgletal'!$C$12:$C$62,'Udvaskning nøgletal'!Q52:Q102)+Markniveau!$Y42*Markniveau!$S42/100,"")))</f>
        <v>27.331185321443094</v>
      </c>
      <c r="AK42" s="10">
        <f t="shared" si="7"/>
        <v>160.70736969008539</v>
      </c>
      <c r="AL42" s="10" t="str">
        <f t="shared" si="11"/>
        <v/>
      </c>
      <c r="AM42" s="10" t="str">
        <f t="shared" si="12"/>
        <v/>
      </c>
    </row>
    <row r="43" spans="1:39" ht="14.45" x14ac:dyDescent="0.3">
      <c r="A43" s="15">
        <v>10799686</v>
      </c>
      <c r="B43" s="15">
        <v>9.76</v>
      </c>
      <c r="C43" s="15">
        <v>430460</v>
      </c>
      <c r="D43" s="15">
        <v>11380</v>
      </c>
      <c r="E43" s="15" t="s">
        <v>82</v>
      </c>
      <c r="F43" s="15">
        <v>2011</v>
      </c>
      <c r="G43" s="15">
        <v>20110301</v>
      </c>
      <c r="H43" s="15">
        <v>56939</v>
      </c>
      <c r="I43" s="15">
        <v>5.69</v>
      </c>
      <c r="J43" s="6" t="s">
        <v>34</v>
      </c>
      <c r="K43" s="15">
        <v>14</v>
      </c>
      <c r="L43" s="15" t="s">
        <v>83</v>
      </c>
      <c r="M43" s="15" t="s">
        <v>5</v>
      </c>
      <c r="N43" s="11" t="s">
        <v>1391</v>
      </c>
      <c r="O43" s="11" t="s">
        <v>46</v>
      </c>
      <c r="P43" s="11" t="s">
        <v>33</v>
      </c>
      <c r="Q43" s="15">
        <v>0</v>
      </c>
      <c r="R43" s="11" t="s">
        <v>1386</v>
      </c>
      <c r="S43" s="10">
        <v>119.49092452337</v>
      </c>
      <c r="T43" s="15">
        <v>80</v>
      </c>
      <c r="U43" s="15">
        <v>0</v>
      </c>
      <c r="V43" s="15">
        <v>1</v>
      </c>
      <c r="W43" s="15">
        <v>1</v>
      </c>
      <c r="X43" s="15">
        <f>IF(O43='Udvaskning nøgletal'!$D$65,1,IF(O43='Udvaskning nøgletal'!$D$66,2,IF(O43='Udvaskning nøgletal'!$D$67,3,IF(O43='Udvaskning nøgletal'!$D$68,2,""))))</f>
        <v>2</v>
      </c>
      <c r="Y43" s="15">
        <f>LOOKUP(K43,'Udvaskning nøgletal'!$C$12:$C$60,'Udvaskning nøgletal'!$H$12:$H$60)</f>
        <v>5</v>
      </c>
      <c r="Z43" s="10">
        <f>IF(X43=1,LOOKUP(K43,'Udvaskning nøgletal'!$C$12:$C$60,'Udvaskning nøgletal'!$E$12:$E$60)+Markniveau!Y43*Markniveau!S43/100,IF(X43=2,LOOKUP(K43,'Udvaskning nøgletal'!$C$12:$C$60,'Udvaskning nøgletal'!$F$12:$F$60)+Markniveau!Y43*Markniveau!S43/100,IF(X43=3,LOOKUP(K43,'Udvaskning nøgletal'!$C$12:$C$60,'Udvaskning nøgletal'!G53:G101)+Markniveau!Y43*Markniveau!S43/100,"")))</f>
        <v>56.854546226168502</v>
      </c>
      <c r="AA43" s="10">
        <f t="shared" si="0"/>
        <v>323.50236802689881</v>
      </c>
      <c r="AB43" s="10" t="str">
        <f t="shared" si="1"/>
        <v/>
      </c>
      <c r="AC43" s="10" t="str">
        <f t="shared" si="2"/>
        <v/>
      </c>
      <c r="AD43" s="10">
        <f>IF(AND(Q43&gt;0,Q43&lt;30,K43&lt;8),Markniveau!Z43*'Udvaskning nøgletal'!$I$12/100,IF(AND(Q43&gt;0,Q43&lt;30,K43=216),Markniveau!Z43*'Udvaskning nøgletal'!$I$34/100,Markniveau!Z43))</f>
        <v>56.854546226168502</v>
      </c>
      <c r="AE43" s="10">
        <f t="shared" si="13"/>
        <v>323.50236802689881</v>
      </c>
      <c r="AF43" s="10" t="str">
        <f t="shared" si="4"/>
        <v/>
      </c>
      <c r="AG43" s="10" t="str">
        <f t="shared" si="14"/>
        <v/>
      </c>
      <c r="AH43" s="10" t="str">
        <f>IF(AND(Q43&gt;0,Q43&lt;30,K43=216),'Udvaskning nøgletal'!$C$42,IF(AND(Q43&gt;0,Q43&lt;30,K43&gt;7,K43&lt;17),'Udvaskning nøgletal'!$C$61,IF(AND(Q43&gt;0,Q43&lt;30,K43&lt;7),'Udvaskning nøgletal'!$C$62,"")))</f>
        <v/>
      </c>
      <c r="AI43" s="10">
        <f t="shared" si="10"/>
        <v>14</v>
      </c>
      <c r="AJ43" s="10">
        <f>IF($X43=1,LOOKUP(AI43,'Udvaskning nøgletal'!$C$12:$C$62,'Udvaskning nøgletal'!$E$12:$E$62)+Markniveau!$Y43*Markniveau!$S43/100,IF($X43=2,LOOKUP(AI43,'Udvaskning nøgletal'!$C$12:$C$62,'Udvaskning nøgletal'!$F$12:$F$62)+Markniveau!$Y43*Markniveau!$S43/100,IF($X43=3,LOOKUP(AI43,'Udvaskning nøgletal'!$C$12:$C$62,'Udvaskning nøgletal'!Q53:Q103)+Markniveau!$Y43*Markniveau!$S43/100,"")))</f>
        <v>56.854546226168502</v>
      </c>
      <c r="AK43" s="10">
        <f t="shared" si="7"/>
        <v>323.50236802689881</v>
      </c>
      <c r="AL43" s="10" t="str">
        <f t="shared" si="11"/>
        <v/>
      </c>
      <c r="AM43" s="10" t="str">
        <f t="shared" si="12"/>
        <v/>
      </c>
    </row>
    <row r="44" spans="1:39" ht="14.45" x14ac:dyDescent="0.3">
      <c r="A44" s="15">
        <v>10799686</v>
      </c>
      <c r="B44" s="15">
        <v>9.76</v>
      </c>
      <c r="C44" s="15">
        <v>430461</v>
      </c>
      <c r="D44" s="15">
        <v>11380</v>
      </c>
      <c r="E44" s="15" t="s">
        <v>84</v>
      </c>
      <c r="F44" s="15">
        <v>2011</v>
      </c>
      <c r="G44" s="15">
        <v>20110301</v>
      </c>
      <c r="H44" s="15">
        <v>53255</v>
      </c>
      <c r="I44" s="15">
        <v>5.33</v>
      </c>
      <c r="J44" s="6" t="s">
        <v>1401</v>
      </c>
      <c r="K44" s="15">
        <v>14</v>
      </c>
      <c r="L44" s="15" t="s">
        <v>83</v>
      </c>
      <c r="M44" s="15" t="s">
        <v>5</v>
      </c>
      <c r="N44" s="11" t="s">
        <v>1391</v>
      </c>
      <c r="O44" s="11" t="s">
        <v>46</v>
      </c>
      <c r="P44" s="11" t="s">
        <v>33</v>
      </c>
      <c r="Q44" s="15">
        <v>0</v>
      </c>
      <c r="R44" s="11" t="s">
        <v>1386</v>
      </c>
      <c r="S44" s="10">
        <v>119.49092452337</v>
      </c>
      <c r="T44" s="15">
        <v>80</v>
      </c>
      <c r="U44" s="15">
        <v>0</v>
      </c>
      <c r="V44" s="15">
        <v>1</v>
      </c>
      <c r="W44" s="15">
        <v>1</v>
      </c>
      <c r="X44" s="15">
        <f>IF(O44='Udvaskning nøgletal'!$D$65,1,IF(O44='Udvaskning nøgletal'!$D$66,2,IF(O44='Udvaskning nøgletal'!$D$67,3,IF(O44='Udvaskning nøgletal'!$D$68,2,""))))</f>
        <v>2</v>
      </c>
      <c r="Y44" s="15">
        <f>LOOKUP(K44,'Udvaskning nøgletal'!$C$12:$C$60,'Udvaskning nøgletal'!$H$12:$H$60)</f>
        <v>5</v>
      </c>
      <c r="Z44" s="10">
        <f>IF(X44=1,LOOKUP(K44,'Udvaskning nøgletal'!$C$12:$C$60,'Udvaskning nøgletal'!$E$12:$E$60)+Markniveau!Y44*Markniveau!S44/100,IF(X44=2,LOOKUP(K44,'Udvaskning nøgletal'!$C$12:$C$60,'Udvaskning nøgletal'!$F$12:$F$60)+Markniveau!Y44*Markniveau!S44/100,IF(X44=3,LOOKUP(K44,'Udvaskning nøgletal'!$C$12:$C$60,'Udvaskning nøgletal'!G54:G102)+Markniveau!Y44*Markniveau!S44/100,"")))</f>
        <v>56.854546226168502</v>
      </c>
      <c r="AA44" s="10">
        <f t="shared" si="0"/>
        <v>303.0347313854781</v>
      </c>
      <c r="AB44" s="10" t="str">
        <f t="shared" si="1"/>
        <v/>
      </c>
      <c r="AC44" s="10" t="str">
        <f t="shared" si="2"/>
        <v/>
      </c>
      <c r="AD44" s="10">
        <f>IF(AND(Q44&gt;0,Q44&lt;30,K44&lt;8),Markniveau!Z44*'Udvaskning nøgletal'!$I$12/100,IF(AND(Q44&gt;0,Q44&lt;30,K44=216),Markniveau!Z44*'Udvaskning nøgletal'!$I$34/100,Markniveau!Z44))</f>
        <v>56.854546226168502</v>
      </c>
      <c r="AE44" s="10">
        <f t="shared" si="13"/>
        <v>303.0347313854781</v>
      </c>
      <c r="AF44" s="10" t="str">
        <f t="shared" si="4"/>
        <v/>
      </c>
      <c r="AG44" s="10" t="str">
        <f t="shared" si="14"/>
        <v/>
      </c>
      <c r="AH44" s="10" t="str">
        <f>IF(AND(Q44&gt;0,Q44&lt;30,K44=216),'Udvaskning nøgletal'!$C$42,IF(AND(Q44&gt;0,Q44&lt;30,K44&gt;7,K44&lt;17),'Udvaskning nøgletal'!$C$61,IF(AND(Q44&gt;0,Q44&lt;30,K44&lt;7),'Udvaskning nøgletal'!$C$62,"")))</f>
        <v/>
      </c>
      <c r="AI44" s="10">
        <f t="shared" si="10"/>
        <v>14</v>
      </c>
      <c r="AJ44" s="10">
        <f>IF($X44=1,LOOKUP(AI44,'Udvaskning nøgletal'!$C$12:$C$62,'Udvaskning nøgletal'!$E$12:$E$62)+Markniveau!$Y44*Markniveau!$S44/100,IF($X44=2,LOOKUP(AI44,'Udvaskning nøgletal'!$C$12:$C$62,'Udvaskning nøgletal'!$F$12:$F$62)+Markniveau!$Y44*Markniveau!$S44/100,IF($X44=3,LOOKUP(AI44,'Udvaskning nøgletal'!$C$12:$C$62,'Udvaskning nøgletal'!Q54:Q104)+Markniveau!$Y44*Markniveau!$S44/100,"")))</f>
        <v>56.854546226168502</v>
      </c>
      <c r="AK44" s="10">
        <f t="shared" si="7"/>
        <v>303.0347313854781</v>
      </c>
      <c r="AL44" s="10" t="str">
        <f t="shared" si="11"/>
        <v/>
      </c>
      <c r="AM44" s="10" t="str">
        <f t="shared" si="12"/>
        <v/>
      </c>
    </row>
    <row r="45" spans="1:39" x14ac:dyDescent="0.25">
      <c r="A45" s="15">
        <v>10799686</v>
      </c>
      <c r="B45" s="15">
        <v>9.76</v>
      </c>
      <c r="C45" s="15">
        <v>430462</v>
      </c>
      <c r="D45" s="15">
        <v>11380</v>
      </c>
      <c r="E45" s="15" t="s">
        <v>85</v>
      </c>
      <c r="F45" s="15">
        <v>2011</v>
      </c>
      <c r="G45" s="15">
        <v>20110301</v>
      </c>
      <c r="H45" s="15">
        <v>45912</v>
      </c>
      <c r="I45" s="15">
        <v>4.59</v>
      </c>
      <c r="J45" s="6" t="s">
        <v>1402</v>
      </c>
      <c r="K45" s="15">
        <v>260</v>
      </c>
      <c r="L45" s="15" t="s">
        <v>45</v>
      </c>
      <c r="M45" s="15" t="s">
        <v>5</v>
      </c>
      <c r="N45" s="11" t="s">
        <v>1391</v>
      </c>
      <c r="O45" s="11" t="s">
        <v>46</v>
      </c>
      <c r="P45" s="11" t="s">
        <v>33</v>
      </c>
      <c r="Q45" s="15">
        <v>0</v>
      </c>
      <c r="R45" s="11" t="s">
        <v>1386</v>
      </c>
      <c r="S45" s="10">
        <v>119.49092452337</v>
      </c>
      <c r="T45" s="15">
        <v>80</v>
      </c>
      <c r="U45" s="15">
        <v>0</v>
      </c>
      <c r="V45" s="15">
        <v>1</v>
      </c>
      <c r="W45" s="15">
        <v>1</v>
      </c>
      <c r="X45" s="15">
        <f>IF(O45='Udvaskning nøgletal'!$D$65,1,IF(O45='Udvaskning nøgletal'!$D$66,2,IF(O45='Udvaskning nøgletal'!$D$67,3,IF(O45='Udvaskning nøgletal'!$D$68,2,""))))</f>
        <v>2</v>
      </c>
      <c r="Y45" s="15">
        <f>LOOKUP(K45,'Udvaskning nøgletal'!$C$12:$C$60,'Udvaskning nøgletal'!$H$12:$H$60)</f>
        <v>0</v>
      </c>
      <c r="Z45" s="10">
        <f>IF(X45=1,LOOKUP(K45,'Udvaskning nøgletal'!$C$12:$C$60,'Udvaskning nøgletal'!$E$12:$E$60)+Markniveau!Y45*Markniveau!S45/100,IF(X45=2,LOOKUP(K45,'Udvaskning nøgletal'!$C$12:$C$60,'Udvaskning nøgletal'!$F$12:$F$60)+Markniveau!Y45*Markniveau!S45/100,IF(X45=3,LOOKUP(K45,'Udvaskning nøgletal'!$C$12:$C$60,'Udvaskning nøgletal'!G55:G103)+Markniveau!Y45*Markniveau!S45/100,"")))</f>
        <v>27.331185321443094</v>
      </c>
      <c r="AA45" s="10">
        <f t="shared" si="0"/>
        <v>125.4501406254238</v>
      </c>
      <c r="AB45" s="10" t="str">
        <f t="shared" si="1"/>
        <v/>
      </c>
      <c r="AC45" s="10" t="str">
        <f t="shared" si="2"/>
        <v/>
      </c>
      <c r="AD45" s="10">
        <f>IF(AND(Q45&gt;0,Q45&lt;30,K45&lt;8),Markniveau!Z45*'Udvaskning nøgletal'!$I$12/100,IF(AND(Q45&gt;0,Q45&lt;30,K45=216),Markniveau!Z45*'Udvaskning nøgletal'!$I$34/100,Markniveau!Z45))</f>
        <v>27.331185321443094</v>
      </c>
      <c r="AE45" s="10">
        <f t="shared" si="13"/>
        <v>125.4501406254238</v>
      </c>
      <c r="AF45" s="10" t="str">
        <f t="shared" si="4"/>
        <v/>
      </c>
      <c r="AG45" s="10" t="str">
        <f t="shared" si="14"/>
        <v/>
      </c>
      <c r="AH45" s="10" t="str">
        <f>IF(AND(Q45&gt;0,Q45&lt;30,K45=216),'Udvaskning nøgletal'!$C$42,IF(AND(Q45&gt;0,Q45&lt;30,K45&gt;7,K45&lt;17),'Udvaskning nøgletal'!$C$61,IF(AND(Q45&gt;0,Q45&lt;30,K45&lt;7),'Udvaskning nøgletal'!$C$62,"")))</f>
        <v/>
      </c>
      <c r="AI45" s="10">
        <f t="shared" si="10"/>
        <v>260</v>
      </c>
      <c r="AJ45" s="10">
        <f>IF($X45=1,LOOKUP(AI45,'Udvaskning nøgletal'!$C$12:$C$62,'Udvaskning nøgletal'!$E$12:$E$62)+Markniveau!$Y45*Markniveau!$S45/100,IF($X45=2,LOOKUP(AI45,'Udvaskning nøgletal'!$C$12:$C$62,'Udvaskning nøgletal'!$F$12:$F$62)+Markniveau!$Y45*Markniveau!$S45/100,IF($X45=3,LOOKUP(AI45,'Udvaskning nøgletal'!$C$12:$C$62,'Udvaskning nøgletal'!Q55:Q105)+Markniveau!$Y45*Markniveau!$S45/100,"")))</f>
        <v>27.331185321443094</v>
      </c>
      <c r="AK45" s="10">
        <f t="shared" si="7"/>
        <v>125.4501406254238</v>
      </c>
      <c r="AL45" s="10" t="str">
        <f t="shared" si="11"/>
        <v/>
      </c>
      <c r="AM45" s="10" t="str">
        <f t="shared" si="12"/>
        <v/>
      </c>
    </row>
    <row r="46" spans="1:39" x14ac:dyDescent="0.25">
      <c r="A46" s="15">
        <v>10799686</v>
      </c>
      <c r="B46" s="15">
        <v>9.76</v>
      </c>
      <c r="C46" s="15">
        <v>430463</v>
      </c>
      <c r="D46" s="15">
        <v>11380</v>
      </c>
      <c r="E46" s="15" t="s">
        <v>85</v>
      </c>
      <c r="F46" s="15">
        <v>2011</v>
      </c>
      <c r="G46" s="15">
        <v>20110301</v>
      </c>
      <c r="H46" s="15">
        <v>9192</v>
      </c>
      <c r="I46" s="15">
        <v>0.92</v>
      </c>
      <c r="J46" s="6" t="s">
        <v>86</v>
      </c>
      <c r="K46" s="15">
        <v>260</v>
      </c>
      <c r="L46" s="15" t="s">
        <v>45</v>
      </c>
      <c r="M46" s="15" t="s">
        <v>5</v>
      </c>
      <c r="N46" s="11" t="s">
        <v>1391</v>
      </c>
      <c r="O46" s="11" t="s">
        <v>46</v>
      </c>
      <c r="P46" s="11" t="s">
        <v>33</v>
      </c>
      <c r="Q46" s="15">
        <v>0</v>
      </c>
      <c r="R46" s="11" t="s">
        <v>1386</v>
      </c>
      <c r="S46" s="10">
        <v>119.49092452337</v>
      </c>
      <c r="T46" s="15">
        <v>80</v>
      </c>
      <c r="U46" s="15">
        <v>0</v>
      </c>
      <c r="V46" s="15">
        <v>1</v>
      </c>
      <c r="W46" s="15">
        <v>1</v>
      </c>
      <c r="X46" s="15">
        <f>IF(O46='Udvaskning nøgletal'!$D$65,1,IF(O46='Udvaskning nøgletal'!$D$66,2,IF(O46='Udvaskning nøgletal'!$D$67,3,IF(O46='Udvaskning nøgletal'!$D$68,2,""))))</f>
        <v>2</v>
      </c>
      <c r="Y46" s="15">
        <f>LOOKUP(K46,'Udvaskning nøgletal'!$C$12:$C$60,'Udvaskning nøgletal'!$H$12:$H$60)</f>
        <v>0</v>
      </c>
      <c r="Z46" s="10">
        <f>IF(X46=1,LOOKUP(K46,'Udvaskning nøgletal'!$C$12:$C$60,'Udvaskning nøgletal'!$E$12:$E$60)+Markniveau!Y46*Markniveau!S46/100,IF(X46=2,LOOKUP(K46,'Udvaskning nøgletal'!$C$12:$C$60,'Udvaskning nøgletal'!$F$12:$F$60)+Markniveau!Y46*Markniveau!S46/100,IF(X46=3,LOOKUP(K46,'Udvaskning nøgletal'!$C$12:$C$60,'Udvaskning nøgletal'!G56:G104)+Markniveau!Y46*Markniveau!S46/100,"")))</f>
        <v>27.331185321443094</v>
      </c>
      <c r="AA46" s="10">
        <f t="shared" si="0"/>
        <v>25.144690495727648</v>
      </c>
      <c r="AB46" s="10" t="str">
        <f t="shared" si="1"/>
        <v/>
      </c>
      <c r="AC46" s="10" t="str">
        <f t="shared" si="2"/>
        <v/>
      </c>
      <c r="AD46" s="10">
        <f>IF(AND(Q46&gt;0,Q46&lt;30,K46&lt;8),Markniveau!Z46*'Udvaskning nøgletal'!$I$12/100,IF(AND(Q46&gt;0,Q46&lt;30,K46=216),Markniveau!Z46*'Udvaskning nøgletal'!$I$34/100,Markniveau!Z46))</f>
        <v>27.331185321443094</v>
      </c>
      <c r="AE46" s="10">
        <f t="shared" si="13"/>
        <v>25.144690495727648</v>
      </c>
      <c r="AF46" s="10" t="str">
        <f t="shared" si="4"/>
        <v/>
      </c>
      <c r="AG46" s="10" t="str">
        <f t="shared" si="14"/>
        <v/>
      </c>
      <c r="AH46" s="10" t="str">
        <f>IF(AND(Q46&gt;0,Q46&lt;30,K46=216),'Udvaskning nøgletal'!$C$42,IF(AND(Q46&gt;0,Q46&lt;30,K46&gt;7,K46&lt;17),'Udvaskning nøgletal'!$C$61,IF(AND(Q46&gt;0,Q46&lt;30,K46&lt;7),'Udvaskning nøgletal'!$C$62,"")))</f>
        <v/>
      </c>
      <c r="AI46" s="10">
        <f t="shared" si="10"/>
        <v>260</v>
      </c>
      <c r="AJ46" s="10">
        <f>IF($X46=1,LOOKUP(AI46,'Udvaskning nøgletal'!$C$12:$C$62,'Udvaskning nøgletal'!$E$12:$E$62)+Markniveau!$Y46*Markniveau!$S46/100,IF($X46=2,LOOKUP(AI46,'Udvaskning nøgletal'!$C$12:$C$62,'Udvaskning nøgletal'!$F$12:$F$62)+Markniveau!$Y46*Markniveau!$S46/100,IF($X46=3,LOOKUP(AI46,'Udvaskning nøgletal'!$C$12:$C$62,'Udvaskning nøgletal'!Q56:Q106)+Markniveau!$Y46*Markniveau!$S46/100,"")))</f>
        <v>27.331185321443094</v>
      </c>
      <c r="AK46" s="10">
        <f t="shared" si="7"/>
        <v>25.144690495727648</v>
      </c>
      <c r="AL46" s="10" t="str">
        <f t="shared" si="11"/>
        <v/>
      </c>
      <c r="AM46" s="10" t="str">
        <f t="shared" si="12"/>
        <v/>
      </c>
    </row>
    <row r="47" spans="1:39" x14ac:dyDescent="0.25">
      <c r="A47" s="15">
        <v>10799686</v>
      </c>
      <c r="B47" s="15">
        <v>9.76</v>
      </c>
      <c r="C47" s="15">
        <v>430464</v>
      </c>
      <c r="D47" s="15">
        <v>11380</v>
      </c>
      <c r="E47" s="15" t="s">
        <v>85</v>
      </c>
      <c r="F47" s="15">
        <v>2011</v>
      </c>
      <c r="G47" s="15">
        <v>20110301</v>
      </c>
      <c r="H47" s="15">
        <v>17129</v>
      </c>
      <c r="I47" s="15">
        <v>1.71</v>
      </c>
      <c r="J47" s="6" t="s">
        <v>87</v>
      </c>
      <c r="K47" s="15">
        <v>260</v>
      </c>
      <c r="L47" s="15" t="s">
        <v>45</v>
      </c>
      <c r="M47" s="15" t="s">
        <v>5</v>
      </c>
      <c r="N47" s="11" t="s">
        <v>1391</v>
      </c>
      <c r="O47" s="11" t="s">
        <v>46</v>
      </c>
      <c r="P47" s="11" t="s">
        <v>33</v>
      </c>
      <c r="Q47" s="15">
        <v>0</v>
      </c>
      <c r="R47" s="11" t="s">
        <v>1386</v>
      </c>
      <c r="S47" s="10">
        <v>119.49092452337</v>
      </c>
      <c r="T47" s="15">
        <v>80</v>
      </c>
      <c r="U47" s="15">
        <v>0</v>
      </c>
      <c r="V47" s="15">
        <v>1</v>
      </c>
      <c r="W47" s="15">
        <v>1</v>
      </c>
      <c r="X47" s="15">
        <f>IF(O47='Udvaskning nøgletal'!$D$65,1,IF(O47='Udvaskning nøgletal'!$D$66,2,IF(O47='Udvaskning nøgletal'!$D$67,3,IF(O47='Udvaskning nøgletal'!$D$68,2,""))))</f>
        <v>2</v>
      </c>
      <c r="Y47" s="15">
        <f>LOOKUP(K47,'Udvaskning nøgletal'!$C$12:$C$60,'Udvaskning nøgletal'!$H$12:$H$60)</f>
        <v>0</v>
      </c>
      <c r="Z47" s="10">
        <f>IF(X47=1,LOOKUP(K47,'Udvaskning nøgletal'!$C$12:$C$60,'Udvaskning nøgletal'!$E$12:$E$60)+Markniveau!Y47*Markniveau!S47/100,IF(X47=2,LOOKUP(K47,'Udvaskning nøgletal'!$C$12:$C$60,'Udvaskning nøgletal'!$F$12:$F$60)+Markniveau!Y47*Markniveau!S47/100,IF(X47=3,LOOKUP(K47,'Udvaskning nøgletal'!$C$12:$C$60,'Udvaskning nøgletal'!G57:G105)+Markniveau!Y47*Markniveau!S47/100,"")))</f>
        <v>27.331185321443094</v>
      </c>
      <c r="AA47" s="10">
        <f t="shared" si="0"/>
        <v>46.736326899667688</v>
      </c>
      <c r="AB47" s="10" t="str">
        <f t="shared" si="1"/>
        <v/>
      </c>
      <c r="AC47" s="10" t="str">
        <f t="shared" si="2"/>
        <v/>
      </c>
      <c r="AD47" s="10">
        <f>IF(AND(Q47&gt;0,Q47&lt;30,K47&lt;8),Markniveau!Z47*'Udvaskning nøgletal'!$I$12/100,IF(AND(Q47&gt;0,Q47&lt;30,K47=216),Markniveau!Z47*'Udvaskning nøgletal'!$I$34/100,Markniveau!Z47))</f>
        <v>27.331185321443094</v>
      </c>
      <c r="AE47" s="10">
        <f t="shared" si="13"/>
        <v>46.736326899667688</v>
      </c>
      <c r="AF47" s="10" t="str">
        <f t="shared" si="4"/>
        <v/>
      </c>
      <c r="AG47" s="10" t="str">
        <f t="shared" si="14"/>
        <v/>
      </c>
      <c r="AH47" s="10" t="str">
        <f>IF(AND(Q47&gt;0,Q47&lt;30,K47=216),'Udvaskning nøgletal'!$C$42,IF(AND(Q47&gt;0,Q47&lt;30,K47&gt;7,K47&lt;17),'Udvaskning nøgletal'!$C$61,IF(AND(Q47&gt;0,Q47&lt;30,K47&lt;7),'Udvaskning nøgletal'!$C$62,"")))</f>
        <v/>
      </c>
      <c r="AI47" s="10">
        <f t="shared" si="10"/>
        <v>260</v>
      </c>
      <c r="AJ47" s="10">
        <f>IF($X47=1,LOOKUP(AI47,'Udvaskning nøgletal'!$C$12:$C$62,'Udvaskning nøgletal'!$E$12:$E$62)+Markniveau!$Y47*Markniveau!$S47/100,IF($X47=2,LOOKUP(AI47,'Udvaskning nøgletal'!$C$12:$C$62,'Udvaskning nøgletal'!$F$12:$F$62)+Markniveau!$Y47*Markniveau!$S47/100,IF($X47=3,LOOKUP(AI47,'Udvaskning nøgletal'!$C$12:$C$62,'Udvaskning nøgletal'!Q57:Q107)+Markniveau!$Y47*Markniveau!$S47/100,"")))</f>
        <v>27.331185321443094</v>
      </c>
      <c r="AK47" s="10">
        <f t="shared" si="7"/>
        <v>46.736326899667688</v>
      </c>
      <c r="AL47" s="10" t="str">
        <f t="shared" si="11"/>
        <v/>
      </c>
      <c r="AM47" s="10" t="str">
        <f t="shared" si="12"/>
        <v/>
      </c>
    </row>
    <row r="48" spans="1:39" x14ac:dyDescent="0.25">
      <c r="A48" s="15">
        <v>10799686</v>
      </c>
      <c r="B48" s="15">
        <v>9.76</v>
      </c>
      <c r="C48" s="15">
        <v>430984</v>
      </c>
      <c r="D48" s="15">
        <v>11380</v>
      </c>
      <c r="E48" s="15" t="s">
        <v>88</v>
      </c>
      <c r="F48" s="15">
        <v>2011</v>
      </c>
      <c r="G48" s="15">
        <v>20110301</v>
      </c>
      <c r="H48" s="15">
        <v>48964</v>
      </c>
      <c r="I48" s="15">
        <v>4.9000000000000004</v>
      </c>
      <c r="J48" s="6" t="s">
        <v>89</v>
      </c>
      <c r="K48" s="15">
        <v>260</v>
      </c>
      <c r="L48" s="15" t="s">
        <v>45</v>
      </c>
      <c r="M48" s="15" t="s">
        <v>5</v>
      </c>
      <c r="N48" s="11" t="s">
        <v>1391</v>
      </c>
      <c r="O48" s="11" t="s">
        <v>46</v>
      </c>
      <c r="P48" s="11" t="s">
        <v>33</v>
      </c>
      <c r="Q48" s="15">
        <v>0</v>
      </c>
      <c r="R48" s="11" t="s">
        <v>1386</v>
      </c>
      <c r="S48" s="10">
        <v>119.49092452337</v>
      </c>
      <c r="T48" s="15">
        <v>80</v>
      </c>
      <c r="U48" s="15">
        <v>0</v>
      </c>
      <c r="V48" s="15">
        <v>1</v>
      </c>
      <c r="W48" s="15">
        <v>1</v>
      </c>
      <c r="X48" s="15">
        <f>IF(O48='Udvaskning nøgletal'!$D$65,1,IF(O48='Udvaskning nøgletal'!$D$66,2,IF(O48='Udvaskning nøgletal'!$D$67,3,IF(O48='Udvaskning nøgletal'!$D$68,2,""))))</f>
        <v>2</v>
      </c>
      <c r="Y48" s="15">
        <f>LOOKUP(K48,'Udvaskning nøgletal'!$C$12:$C$60,'Udvaskning nøgletal'!$H$12:$H$60)</f>
        <v>0</v>
      </c>
      <c r="Z48" s="10">
        <f>IF(X48=1,LOOKUP(K48,'Udvaskning nøgletal'!$C$12:$C$60,'Udvaskning nøgletal'!$E$12:$E$60)+Markniveau!Y48*Markniveau!S48/100,IF(X48=2,LOOKUP(K48,'Udvaskning nøgletal'!$C$12:$C$60,'Udvaskning nøgletal'!$F$12:$F$60)+Markniveau!Y48*Markniveau!S48/100,IF(X48=3,LOOKUP(K48,'Udvaskning nøgletal'!$C$12:$C$60,'Udvaskning nøgletal'!G58:G106)+Markniveau!Y48*Markniveau!S48/100,"")))</f>
        <v>27.331185321443094</v>
      </c>
      <c r="AA48" s="10">
        <f t="shared" si="0"/>
        <v>133.92280807507117</v>
      </c>
      <c r="AB48" s="10" t="str">
        <f t="shared" si="1"/>
        <v/>
      </c>
      <c r="AC48" s="10" t="str">
        <f t="shared" si="2"/>
        <v/>
      </c>
      <c r="AD48" s="10">
        <f>IF(AND(Q48&gt;0,Q48&lt;30,K48&lt;8),Markniveau!Z48*'Udvaskning nøgletal'!$I$12/100,IF(AND(Q48&gt;0,Q48&lt;30,K48=216),Markniveau!Z48*'Udvaskning nøgletal'!$I$34/100,Markniveau!Z48))</f>
        <v>27.331185321443094</v>
      </c>
      <c r="AE48" s="10">
        <f t="shared" si="13"/>
        <v>133.92280807507117</v>
      </c>
      <c r="AF48" s="10" t="str">
        <f t="shared" si="4"/>
        <v/>
      </c>
      <c r="AG48" s="10" t="str">
        <f t="shared" si="14"/>
        <v/>
      </c>
      <c r="AH48" s="10" t="str">
        <f>IF(AND(Q48&gt;0,Q48&lt;30,K48=216),'Udvaskning nøgletal'!$C$42,IF(AND(Q48&gt;0,Q48&lt;30,K48&gt;7,K48&lt;17),'Udvaskning nøgletal'!$C$61,IF(AND(Q48&gt;0,Q48&lt;30,K48&lt;7),'Udvaskning nøgletal'!$C$62,"")))</f>
        <v/>
      </c>
      <c r="AI48" s="10">
        <f t="shared" si="10"/>
        <v>260</v>
      </c>
      <c r="AJ48" s="10">
        <f>IF($X48=1,LOOKUP(AI48,'Udvaskning nøgletal'!$C$12:$C$62,'Udvaskning nøgletal'!$E$12:$E$62)+Markniveau!$Y48*Markniveau!$S48/100,IF($X48=2,LOOKUP(AI48,'Udvaskning nøgletal'!$C$12:$C$62,'Udvaskning nøgletal'!$F$12:$F$62)+Markniveau!$Y48*Markniveau!$S48/100,IF($X48=3,LOOKUP(AI48,'Udvaskning nøgletal'!$C$12:$C$62,'Udvaskning nøgletal'!Q58:Q108)+Markniveau!$Y48*Markniveau!$S48/100,"")))</f>
        <v>27.331185321443094</v>
      </c>
      <c r="AK48" s="10">
        <f t="shared" si="7"/>
        <v>133.92280807507117</v>
      </c>
      <c r="AL48" s="10" t="str">
        <f t="shared" si="11"/>
        <v/>
      </c>
      <c r="AM48" s="10" t="str">
        <f t="shared" si="12"/>
        <v/>
      </c>
    </row>
    <row r="49" spans="1:39" x14ac:dyDescent="0.25">
      <c r="A49" s="15">
        <v>10799686</v>
      </c>
      <c r="B49" s="15">
        <v>9.76</v>
      </c>
      <c r="C49" s="15">
        <v>440769</v>
      </c>
      <c r="D49" s="15">
        <v>11380</v>
      </c>
      <c r="E49" s="15" t="s">
        <v>47</v>
      </c>
      <c r="F49" s="15">
        <v>2011</v>
      </c>
      <c r="G49" s="15">
        <v>20110301</v>
      </c>
      <c r="H49" s="15">
        <v>83308</v>
      </c>
      <c r="I49" s="15">
        <v>8.33</v>
      </c>
      <c r="J49" s="6" t="s">
        <v>31</v>
      </c>
      <c r="K49" s="15">
        <v>260</v>
      </c>
      <c r="L49" s="15" t="s">
        <v>45</v>
      </c>
      <c r="M49" s="15" t="s">
        <v>5</v>
      </c>
      <c r="N49" s="11" t="s">
        <v>1391</v>
      </c>
      <c r="O49" s="11" t="s">
        <v>46</v>
      </c>
      <c r="P49" s="11" t="s">
        <v>33</v>
      </c>
      <c r="Q49" s="15">
        <v>0</v>
      </c>
      <c r="R49" s="11" t="s">
        <v>1386</v>
      </c>
      <c r="S49" s="10">
        <v>119.49092452337</v>
      </c>
      <c r="T49" s="15">
        <v>80</v>
      </c>
      <c r="U49" s="15">
        <v>0</v>
      </c>
      <c r="V49" s="15">
        <v>1</v>
      </c>
      <c r="W49" s="15">
        <v>1</v>
      </c>
      <c r="X49" s="15">
        <f>IF(O49='Udvaskning nøgletal'!$D$65,1,IF(O49='Udvaskning nøgletal'!$D$66,2,IF(O49='Udvaskning nøgletal'!$D$67,3,IF(O49='Udvaskning nøgletal'!$D$68,2,""))))</f>
        <v>2</v>
      </c>
      <c r="Y49" s="15">
        <f>LOOKUP(K49,'Udvaskning nøgletal'!$C$12:$C$60,'Udvaskning nøgletal'!$H$12:$H$60)</f>
        <v>0</v>
      </c>
      <c r="Z49" s="10">
        <f>IF(X49=1,LOOKUP(K49,'Udvaskning nøgletal'!$C$12:$C$60,'Udvaskning nøgletal'!$E$12:$E$60)+Markniveau!Y49*Markniveau!S49/100,IF(X49=2,LOOKUP(K49,'Udvaskning nøgletal'!$C$12:$C$60,'Udvaskning nøgletal'!$F$12:$F$60)+Markniveau!Y49*Markniveau!S49/100,IF(X49=3,LOOKUP(K49,'Udvaskning nøgletal'!$C$12:$C$60,'Udvaskning nøgletal'!G59:G107)+Markniveau!Y49*Markniveau!S49/100,"")))</f>
        <v>27.331185321443094</v>
      </c>
      <c r="AA49" s="10">
        <f t="shared" si="0"/>
        <v>227.66877372762099</v>
      </c>
      <c r="AB49" s="10" t="str">
        <f t="shared" si="1"/>
        <v/>
      </c>
      <c r="AC49" s="10" t="str">
        <f t="shared" si="2"/>
        <v/>
      </c>
      <c r="AD49" s="10">
        <f>IF(AND(Q49&gt;0,Q49&lt;30,K49&lt;8),Markniveau!Z49*'Udvaskning nøgletal'!$I$12/100,IF(AND(Q49&gt;0,Q49&lt;30,K49=216),Markniveau!Z49*'Udvaskning nøgletal'!$I$34/100,Markniveau!Z49))</f>
        <v>27.331185321443094</v>
      </c>
      <c r="AE49" s="10">
        <f t="shared" si="13"/>
        <v>227.66877372762099</v>
      </c>
      <c r="AF49" s="10" t="str">
        <f t="shared" si="4"/>
        <v/>
      </c>
      <c r="AG49" s="10" t="str">
        <f t="shared" si="14"/>
        <v/>
      </c>
      <c r="AH49" s="10" t="str">
        <f>IF(AND(Q49&gt;0,Q49&lt;30,K49=216),'Udvaskning nøgletal'!$C$42,IF(AND(Q49&gt;0,Q49&lt;30,K49&gt;7,K49&lt;17),'Udvaskning nøgletal'!$C$61,IF(AND(Q49&gt;0,Q49&lt;30,K49&lt;7),'Udvaskning nøgletal'!$C$62,"")))</f>
        <v/>
      </c>
      <c r="AI49" s="10">
        <f t="shared" si="10"/>
        <v>260</v>
      </c>
      <c r="AJ49" s="10">
        <f>IF($X49=1,LOOKUP(AI49,'Udvaskning nøgletal'!$C$12:$C$62,'Udvaskning nøgletal'!$E$12:$E$62)+Markniveau!$Y49*Markniveau!$S49/100,IF($X49=2,LOOKUP(AI49,'Udvaskning nøgletal'!$C$12:$C$62,'Udvaskning nøgletal'!$F$12:$F$62)+Markniveau!$Y49*Markniveau!$S49/100,IF($X49=3,LOOKUP(AI49,'Udvaskning nøgletal'!$C$12:$C$62,'Udvaskning nøgletal'!Q59:Q109)+Markniveau!$Y49*Markniveau!$S49/100,"")))</f>
        <v>27.331185321443094</v>
      </c>
      <c r="AK49" s="10">
        <f t="shared" si="7"/>
        <v>227.66877372762099</v>
      </c>
      <c r="AL49" s="10" t="str">
        <f t="shared" si="11"/>
        <v/>
      </c>
      <c r="AM49" s="10" t="str">
        <f t="shared" si="12"/>
        <v/>
      </c>
    </row>
    <row r="50" spans="1:39" x14ac:dyDescent="0.25">
      <c r="A50" s="15">
        <v>10799686</v>
      </c>
      <c r="B50" s="15">
        <v>9.76</v>
      </c>
      <c r="C50" s="15">
        <v>444674</v>
      </c>
      <c r="D50" s="15">
        <v>11380</v>
      </c>
      <c r="E50" s="15" t="s">
        <v>90</v>
      </c>
      <c r="F50" s="15">
        <v>2011</v>
      </c>
      <c r="G50" s="15">
        <v>20110301</v>
      </c>
      <c r="H50" s="15">
        <v>13583</v>
      </c>
      <c r="I50" s="15">
        <v>1.36</v>
      </c>
      <c r="J50" s="6" t="s">
        <v>35</v>
      </c>
      <c r="K50" s="15">
        <v>260</v>
      </c>
      <c r="L50" s="15" t="s">
        <v>45</v>
      </c>
      <c r="M50" s="15" t="s">
        <v>5</v>
      </c>
      <c r="N50" s="11" t="s">
        <v>1384</v>
      </c>
      <c r="O50" s="11" t="s">
        <v>28</v>
      </c>
      <c r="P50" s="11" t="s">
        <v>33</v>
      </c>
      <c r="Q50" s="15">
        <v>0</v>
      </c>
      <c r="R50" s="11" t="s">
        <v>1386</v>
      </c>
      <c r="S50" s="10">
        <v>119.49092452337</v>
      </c>
      <c r="T50" s="15">
        <v>80</v>
      </c>
      <c r="U50" s="15">
        <v>0</v>
      </c>
      <c r="V50" s="15">
        <v>1</v>
      </c>
      <c r="W50" s="15">
        <v>1</v>
      </c>
      <c r="X50" s="15">
        <f>IF(O50='Udvaskning nøgletal'!$D$65,1,IF(O50='Udvaskning nøgletal'!$D$66,2,IF(O50='Udvaskning nøgletal'!$D$67,3,IF(O50='Udvaskning nøgletal'!$D$68,2,""))))</f>
        <v>1</v>
      </c>
      <c r="Y50" s="15">
        <f>LOOKUP(K50,'Udvaskning nøgletal'!$C$12:$C$60,'Udvaskning nøgletal'!$H$12:$H$60)</f>
        <v>0</v>
      </c>
      <c r="Z50" s="10">
        <f>IF(X50=1,LOOKUP(K50,'Udvaskning nøgletal'!$C$12:$C$60,'Udvaskning nøgletal'!$E$12:$E$60)+Markniveau!Y50*Markniveau!S50/100,IF(X50=2,LOOKUP(K50,'Udvaskning nøgletal'!$C$12:$C$60,'Udvaskning nøgletal'!$F$12:$F$60)+Markniveau!Y50*Markniveau!S50/100,IF(X50=3,LOOKUP(K50,'Udvaskning nøgletal'!$C$12:$C$60,'Udvaskning nøgletal'!G60:G108)+Markniveau!Y50*Markniveau!S50/100,"")))</f>
        <v>33.723295792149436</v>
      </c>
      <c r="AA50" s="10">
        <f t="shared" si="0"/>
        <v>45.863682277323235</v>
      </c>
      <c r="AB50" s="10" t="str">
        <f t="shared" si="1"/>
        <v/>
      </c>
      <c r="AC50" s="10" t="str">
        <f t="shared" si="2"/>
        <v/>
      </c>
      <c r="AD50" s="10">
        <f>IF(AND(Q50&gt;0,Q50&lt;30,K50&lt;8),Markniveau!Z50*'Udvaskning nøgletal'!$I$12/100,IF(AND(Q50&gt;0,Q50&lt;30,K50=216),Markniveau!Z50*'Udvaskning nøgletal'!$I$34/100,Markniveau!Z50))</f>
        <v>33.723295792149436</v>
      </c>
      <c r="AE50" s="10">
        <f t="shared" si="13"/>
        <v>45.863682277323235</v>
      </c>
      <c r="AF50" s="10" t="str">
        <f t="shared" si="4"/>
        <v/>
      </c>
      <c r="AG50" s="10" t="str">
        <f t="shared" si="14"/>
        <v/>
      </c>
      <c r="AH50" s="10" t="str">
        <f>IF(AND(Q50&gt;0,Q50&lt;30,K50=216),'Udvaskning nøgletal'!$C$42,IF(AND(Q50&gt;0,Q50&lt;30,K50&gt;7,K50&lt;17),'Udvaskning nøgletal'!$C$61,IF(AND(Q50&gt;0,Q50&lt;30,K50&lt;7),'Udvaskning nøgletal'!$C$62,"")))</f>
        <v/>
      </c>
      <c r="AI50" s="10">
        <f t="shared" si="10"/>
        <v>260</v>
      </c>
      <c r="AJ50" s="10">
        <f>IF($X50=1,LOOKUP(AI50,'Udvaskning nøgletal'!$C$12:$C$62,'Udvaskning nøgletal'!$E$12:$E$62)+Markniveau!$Y50*Markniveau!$S50/100,IF($X50=2,LOOKUP(AI50,'Udvaskning nøgletal'!$C$12:$C$62,'Udvaskning nøgletal'!$F$12:$F$62)+Markniveau!$Y50*Markniveau!$S50/100,IF($X50=3,LOOKUP(AI50,'Udvaskning nøgletal'!$C$12:$C$62,'Udvaskning nøgletal'!Q60:Q110)+Markniveau!$Y50*Markniveau!$S50/100,"")))</f>
        <v>33.723295792149436</v>
      </c>
      <c r="AK50" s="10">
        <f t="shared" si="7"/>
        <v>45.863682277323235</v>
      </c>
      <c r="AL50" s="10" t="str">
        <f t="shared" si="11"/>
        <v/>
      </c>
      <c r="AM50" s="10" t="str">
        <f t="shared" si="12"/>
        <v/>
      </c>
    </row>
    <row r="51" spans="1:39" x14ac:dyDescent="0.25">
      <c r="A51" s="15">
        <v>10799686</v>
      </c>
      <c r="B51" s="15">
        <v>9.76</v>
      </c>
      <c r="C51" s="15">
        <v>461787</v>
      </c>
      <c r="D51" s="15">
        <v>11380</v>
      </c>
      <c r="E51" s="15" t="s">
        <v>47</v>
      </c>
      <c r="F51" s="15">
        <v>2011</v>
      </c>
      <c r="G51" s="15">
        <v>20110301</v>
      </c>
      <c r="H51" s="15">
        <v>15530</v>
      </c>
      <c r="I51" s="15">
        <v>1.55</v>
      </c>
      <c r="J51" s="6" t="s">
        <v>91</v>
      </c>
      <c r="K51" s="15">
        <v>260</v>
      </c>
      <c r="L51" s="15" t="s">
        <v>45</v>
      </c>
      <c r="M51" s="15" t="s">
        <v>5</v>
      </c>
      <c r="N51" s="11" t="s">
        <v>1391</v>
      </c>
      <c r="O51" s="11" t="s">
        <v>46</v>
      </c>
      <c r="P51" s="11" t="s">
        <v>33</v>
      </c>
      <c r="Q51" s="15">
        <v>0</v>
      </c>
      <c r="R51" s="11" t="s">
        <v>1386</v>
      </c>
      <c r="S51" s="10">
        <v>119.49092452337</v>
      </c>
      <c r="T51" s="15">
        <v>80</v>
      </c>
      <c r="U51" s="15">
        <v>0</v>
      </c>
      <c r="V51" s="15">
        <v>1</v>
      </c>
      <c r="W51" s="15">
        <v>1</v>
      </c>
      <c r="X51" s="15">
        <f>IF(O51='Udvaskning nøgletal'!$D$65,1,IF(O51='Udvaskning nøgletal'!$D$66,2,IF(O51='Udvaskning nøgletal'!$D$67,3,IF(O51='Udvaskning nøgletal'!$D$68,2,""))))</f>
        <v>2</v>
      </c>
      <c r="Y51" s="15">
        <f>LOOKUP(K51,'Udvaskning nøgletal'!$C$12:$C$60,'Udvaskning nøgletal'!$H$12:$H$60)</f>
        <v>0</v>
      </c>
      <c r="Z51" s="10">
        <f>IF(X51=1,LOOKUP(K51,'Udvaskning nøgletal'!$C$12:$C$60,'Udvaskning nøgletal'!$E$12:$E$60)+Markniveau!Y51*Markniveau!S51/100,IF(X51=2,LOOKUP(K51,'Udvaskning nøgletal'!$C$12:$C$60,'Udvaskning nøgletal'!$F$12:$F$60)+Markniveau!Y51*Markniveau!S51/100,IF(X51=3,LOOKUP(K51,'Udvaskning nøgletal'!$C$12:$C$60,'Udvaskning nøgletal'!G61:G109)+Markniveau!Y51*Markniveau!S51/100,"")))</f>
        <v>27.331185321443094</v>
      </c>
      <c r="AA51" s="10">
        <f t="shared" si="0"/>
        <v>42.363337248236796</v>
      </c>
      <c r="AB51" s="10" t="str">
        <f t="shared" si="1"/>
        <v/>
      </c>
      <c r="AC51" s="10" t="str">
        <f t="shared" si="2"/>
        <v/>
      </c>
      <c r="AD51" s="10">
        <f>IF(AND(Q51&gt;0,Q51&lt;30,K51&lt;8),Markniveau!Z51*'Udvaskning nøgletal'!$I$12/100,IF(AND(Q51&gt;0,Q51&lt;30,K51=216),Markniveau!Z51*'Udvaskning nøgletal'!$I$34/100,Markniveau!Z51))</f>
        <v>27.331185321443094</v>
      </c>
      <c r="AE51" s="10">
        <f t="shared" si="13"/>
        <v>42.363337248236796</v>
      </c>
      <c r="AF51" s="10" t="str">
        <f t="shared" si="4"/>
        <v/>
      </c>
      <c r="AG51" s="10" t="str">
        <f t="shared" si="14"/>
        <v/>
      </c>
      <c r="AH51" s="10" t="str">
        <f>IF(AND(Q51&gt;0,Q51&lt;30,K51=216),'Udvaskning nøgletal'!$C$42,IF(AND(Q51&gt;0,Q51&lt;30,K51&gt;7,K51&lt;17),'Udvaskning nøgletal'!$C$61,IF(AND(Q51&gt;0,Q51&lt;30,K51&lt;7),'Udvaskning nøgletal'!$C$62,"")))</f>
        <v/>
      </c>
      <c r="AI51" s="10">
        <f t="shared" si="10"/>
        <v>260</v>
      </c>
      <c r="AJ51" s="10">
        <f>IF($X51=1,LOOKUP(AI51,'Udvaskning nøgletal'!$C$12:$C$62,'Udvaskning nøgletal'!$E$12:$E$62)+Markniveau!$Y51*Markniveau!$S51/100,IF($X51=2,LOOKUP(AI51,'Udvaskning nøgletal'!$C$12:$C$62,'Udvaskning nøgletal'!$F$12:$F$62)+Markniveau!$Y51*Markniveau!$S51/100,IF($X51=3,LOOKUP(AI51,'Udvaskning nøgletal'!$C$12:$C$62,'Udvaskning nøgletal'!Q61:Q111)+Markniveau!$Y51*Markniveau!$S51/100,"")))</f>
        <v>27.331185321443094</v>
      </c>
      <c r="AK51" s="10">
        <f t="shared" si="7"/>
        <v>42.363337248236796</v>
      </c>
      <c r="AL51" s="10" t="str">
        <f t="shared" si="11"/>
        <v/>
      </c>
      <c r="AM51" s="10" t="str">
        <f t="shared" si="12"/>
        <v/>
      </c>
    </row>
    <row r="52" spans="1:39" x14ac:dyDescent="0.25">
      <c r="A52" s="15">
        <v>10799686</v>
      </c>
      <c r="B52" s="15">
        <v>9.76</v>
      </c>
      <c r="C52" s="15">
        <v>465052</v>
      </c>
      <c r="D52" s="15">
        <v>11380</v>
      </c>
      <c r="E52" s="15" t="s">
        <v>48</v>
      </c>
      <c r="F52" s="15">
        <v>2011</v>
      </c>
      <c r="G52" s="15">
        <v>20110301</v>
      </c>
      <c r="H52" s="15">
        <v>66970</v>
      </c>
      <c r="I52" s="15">
        <v>6.7</v>
      </c>
      <c r="J52" s="6" t="s">
        <v>92</v>
      </c>
      <c r="K52" s="15">
        <v>2</v>
      </c>
      <c r="L52" s="15" t="s">
        <v>49</v>
      </c>
      <c r="M52" s="15" t="s">
        <v>5</v>
      </c>
      <c r="N52" s="11" t="s">
        <v>1384</v>
      </c>
      <c r="O52" s="11" t="s">
        <v>28</v>
      </c>
      <c r="P52" s="11" t="s">
        <v>29</v>
      </c>
      <c r="Q52" s="15">
        <v>95</v>
      </c>
      <c r="R52" s="11" t="s">
        <v>3</v>
      </c>
      <c r="S52" s="10">
        <v>119.49092452337</v>
      </c>
      <c r="T52" s="15">
        <v>80</v>
      </c>
      <c r="U52" s="15">
        <v>0</v>
      </c>
      <c r="V52" s="15">
        <v>1</v>
      </c>
      <c r="W52" s="15">
        <v>1</v>
      </c>
      <c r="X52" s="15">
        <f>IF(O52='Udvaskning nøgletal'!$D$65,1,IF(O52='Udvaskning nøgletal'!$D$66,2,IF(O52='Udvaskning nøgletal'!$D$67,3,IF(O52='Udvaskning nøgletal'!$D$68,2,""))))</f>
        <v>1</v>
      </c>
      <c r="Y52" s="15">
        <f>LOOKUP(K52,'Udvaskning nøgletal'!$C$12:$C$60,'Udvaskning nøgletal'!$H$12:$H$60)</f>
        <v>5</v>
      </c>
      <c r="Z52" s="10">
        <f>IF(X52=1,LOOKUP(K52,'Udvaskning nøgletal'!$C$12:$C$60,'Udvaskning nøgletal'!$E$12:$E$60)+Markniveau!Y52*Markniveau!S52/100,IF(X52=2,LOOKUP(K52,'Udvaskning nøgletal'!$C$12:$C$60,'Udvaskning nøgletal'!$F$12:$F$60)+Markniveau!Y52*Markniveau!S52/100,IF(X52=3,LOOKUP(K52,'Udvaskning nøgletal'!$C$12:$C$60,'Udvaskning nøgletal'!G62:G110)+Markniveau!Y52*Markniveau!S52/100,"")))</f>
        <v>70.634546226168496</v>
      </c>
      <c r="AA52" s="10">
        <f t="shared" si="0"/>
        <v>473.25145971532891</v>
      </c>
      <c r="AB52" s="10">
        <f t="shared" si="1"/>
        <v>3.5317273113084244</v>
      </c>
      <c r="AC52" s="10">
        <f t="shared" si="2"/>
        <v>23.662572985766445</v>
      </c>
      <c r="AD52" s="10">
        <f>IF(AND(Q52&gt;0,Q52&lt;30,K52&lt;8),Markniveau!Z52*'Udvaskning nøgletal'!$I$12/100,IF(AND(Q52&gt;0,Q52&lt;30,K52=216),Markniveau!Z52*'Udvaskning nøgletal'!$I$34/100,Markniveau!Z52))</f>
        <v>70.634546226168496</v>
      </c>
      <c r="AE52" s="10">
        <f t="shared" si="13"/>
        <v>473.25145971532891</v>
      </c>
      <c r="AF52" s="10">
        <f t="shared" si="4"/>
        <v>3.5317273113084244</v>
      </c>
      <c r="AG52" s="10">
        <f t="shared" si="14"/>
        <v>23.662572985766445</v>
      </c>
      <c r="AH52" s="10" t="str">
        <f>IF(AND(Q52&gt;0,Q52&lt;30,K52=216),'Udvaskning nøgletal'!$C$42,IF(AND(Q52&gt;0,Q52&lt;30,K52&gt;7,K52&lt;17),'Udvaskning nøgletal'!$C$61,IF(AND(Q52&gt;0,Q52&lt;30,K52&lt;7),'Udvaskning nøgletal'!$C$62,"")))</f>
        <v/>
      </c>
      <c r="AI52" s="10">
        <f t="shared" si="10"/>
        <v>2</v>
      </c>
      <c r="AJ52" s="10">
        <f>IF($X52=1,LOOKUP(AI52,'Udvaskning nøgletal'!$C$12:$C$62,'Udvaskning nøgletal'!$E$12:$E$62)+Markniveau!$Y52*Markniveau!$S52/100,IF($X52=2,LOOKUP(AI52,'Udvaskning nøgletal'!$C$12:$C$62,'Udvaskning nøgletal'!$F$12:$F$62)+Markniveau!$Y52*Markniveau!$S52/100,IF($X52=3,LOOKUP(AI52,'Udvaskning nøgletal'!$C$12:$C$62,'Udvaskning nøgletal'!Q62:Q112)+Markniveau!$Y52*Markniveau!$S52/100,"")))</f>
        <v>70.634546226168496</v>
      </c>
      <c r="AK52" s="10">
        <f t="shared" si="7"/>
        <v>473.25145971532891</v>
      </c>
      <c r="AL52" s="10">
        <f t="shared" si="11"/>
        <v>3.5317273113084244</v>
      </c>
      <c r="AM52" s="10">
        <f t="shared" si="12"/>
        <v>23.662572985766445</v>
      </c>
    </row>
    <row r="53" spans="1:39" x14ac:dyDescent="0.25">
      <c r="A53" s="15">
        <v>10799686</v>
      </c>
      <c r="B53" s="15">
        <v>9.76</v>
      </c>
      <c r="C53" s="15">
        <v>469658</v>
      </c>
      <c r="D53" s="15">
        <v>11380</v>
      </c>
      <c r="E53" s="15" t="s">
        <v>54</v>
      </c>
      <c r="F53" s="15">
        <v>2011</v>
      </c>
      <c r="G53" s="15">
        <v>20110301</v>
      </c>
      <c r="H53" s="15">
        <v>114050</v>
      </c>
      <c r="I53" s="15">
        <v>11.41</v>
      </c>
      <c r="J53" s="6" t="s">
        <v>93</v>
      </c>
      <c r="K53" s="15">
        <v>260</v>
      </c>
      <c r="L53" s="15" t="s">
        <v>45</v>
      </c>
      <c r="M53" s="15" t="s">
        <v>5</v>
      </c>
      <c r="N53" s="11" t="s">
        <v>1391</v>
      </c>
      <c r="O53" s="11" t="s">
        <v>46</v>
      </c>
      <c r="P53" s="11" t="s">
        <v>33</v>
      </c>
      <c r="Q53" s="15">
        <v>0</v>
      </c>
      <c r="R53" s="11" t="s">
        <v>1386</v>
      </c>
      <c r="S53" s="10">
        <v>119.49092452337</v>
      </c>
      <c r="T53" s="15">
        <v>80</v>
      </c>
      <c r="U53" s="15">
        <v>0</v>
      </c>
      <c r="V53" s="15">
        <v>1</v>
      </c>
      <c r="W53" s="15">
        <v>1</v>
      </c>
      <c r="X53" s="15">
        <f>IF(O53='Udvaskning nøgletal'!$D$65,1,IF(O53='Udvaskning nøgletal'!$D$66,2,IF(O53='Udvaskning nøgletal'!$D$67,3,IF(O53='Udvaskning nøgletal'!$D$68,2,""))))</f>
        <v>2</v>
      </c>
      <c r="Y53" s="15">
        <f>LOOKUP(K53,'Udvaskning nøgletal'!$C$12:$C$60,'Udvaskning nøgletal'!$H$12:$H$60)</f>
        <v>0</v>
      </c>
      <c r="Z53" s="10">
        <f>IF(X53=1,LOOKUP(K53,'Udvaskning nøgletal'!$C$12:$C$60,'Udvaskning nøgletal'!$E$12:$E$60)+Markniveau!Y53*Markniveau!S53/100,IF(X53=2,LOOKUP(K53,'Udvaskning nøgletal'!$C$12:$C$60,'Udvaskning nøgletal'!$F$12:$F$60)+Markniveau!Y53*Markniveau!S53/100,IF(X53=3,LOOKUP(K53,'Udvaskning nøgletal'!$C$12:$C$60,'Udvaskning nøgletal'!G63:G111)+Markniveau!Y53*Markniveau!S53/100,"")))</f>
        <v>27.331185321443094</v>
      </c>
      <c r="AA53" s="10">
        <f t="shared" si="0"/>
        <v>311.84882451766572</v>
      </c>
      <c r="AB53" s="10" t="str">
        <f t="shared" si="1"/>
        <v/>
      </c>
      <c r="AC53" s="10" t="str">
        <f t="shared" si="2"/>
        <v/>
      </c>
      <c r="AD53" s="10">
        <f>IF(AND(Q53&gt;0,Q53&lt;30,K53&lt;8),Markniveau!Z53*'Udvaskning nøgletal'!$I$12/100,IF(AND(Q53&gt;0,Q53&lt;30,K53=216),Markniveau!Z53*'Udvaskning nøgletal'!$I$34/100,Markniveau!Z53))</f>
        <v>27.331185321443094</v>
      </c>
      <c r="AE53" s="10">
        <f t="shared" si="13"/>
        <v>311.84882451766572</v>
      </c>
      <c r="AF53" s="10" t="str">
        <f t="shared" si="4"/>
        <v/>
      </c>
      <c r="AG53" s="10" t="str">
        <f t="shared" si="14"/>
        <v/>
      </c>
      <c r="AH53" s="10" t="str">
        <f>IF(AND(Q53&gt;0,Q53&lt;30,K53=216),'Udvaskning nøgletal'!$C$42,IF(AND(Q53&gt;0,Q53&lt;30,K53&gt;7,K53&lt;17),'Udvaskning nøgletal'!$C$61,IF(AND(Q53&gt;0,Q53&lt;30,K53&lt;7),'Udvaskning nøgletal'!$C$62,"")))</f>
        <v/>
      </c>
      <c r="AI53" s="10">
        <f t="shared" si="10"/>
        <v>260</v>
      </c>
      <c r="AJ53" s="10">
        <f>IF($X53=1,LOOKUP(AI53,'Udvaskning nøgletal'!$C$12:$C$62,'Udvaskning nøgletal'!$E$12:$E$62)+Markniveau!$Y53*Markniveau!$S53/100,IF($X53=2,LOOKUP(AI53,'Udvaskning nøgletal'!$C$12:$C$62,'Udvaskning nøgletal'!$F$12:$F$62)+Markniveau!$Y53*Markniveau!$S53/100,IF($X53=3,LOOKUP(AI53,'Udvaskning nøgletal'!$C$12:$C$62,'Udvaskning nøgletal'!Q63:Q113)+Markniveau!$Y53*Markniveau!$S53/100,"")))</f>
        <v>27.331185321443094</v>
      </c>
      <c r="AK53" s="10">
        <f t="shared" si="7"/>
        <v>311.84882451766572</v>
      </c>
      <c r="AL53" s="10" t="str">
        <f t="shared" si="11"/>
        <v/>
      </c>
      <c r="AM53" s="10" t="str">
        <f t="shared" si="12"/>
        <v/>
      </c>
    </row>
    <row r="54" spans="1:39" x14ac:dyDescent="0.25">
      <c r="A54" s="15">
        <v>10799686</v>
      </c>
      <c r="B54" s="15">
        <v>9.76</v>
      </c>
      <c r="C54" s="15">
        <v>61217</v>
      </c>
      <c r="D54" s="15">
        <v>11380</v>
      </c>
      <c r="E54" s="15" t="s">
        <v>94</v>
      </c>
      <c r="F54" s="15">
        <v>2011</v>
      </c>
      <c r="G54" s="15">
        <v>20110404</v>
      </c>
      <c r="H54" s="15">
        <v>9273</v>
      </c>
      <c r="I54" s="15">
        <v>0.93</v>
      </c>
      <c r="J54" s="6" t="s">
        <v>1403</v>
      </c>
      <c r="K54" s="15">
        <v>14</v>
      </c>
      <c r="L54" s="15" t="s">
        <v>83</v>
      </c>
      <c r="M54" s="15" t="s">
        <v>5</v>
      </c>
      <c r="N54" s="11" t="s">
        <v>1391</v>
      </c>
      <c r="O54" s="11" t="s">
        <v>46</v>
      </c>
      <c r="P54" s="11" t="s">
        <v>33</v>
      </c>
      <c r="Q54" s="15">
        <v>0</v>
      </c>
      <c r="R54" s="11" t="s">
        <v>1386</v>
      </c>
      <c r="S54" s="10">
        <v>119.49092452337</v>
      </c>
      <c r="T54" s="15">
        <v>80</v>
      </c>
      <c r="U54" s="15">
        <v>0</v>
      </c>
      <c r="V54" s="15">
        <v>1</v>
      </c>
      <c r="W54" s="15">
        <v>1</v>
      </c>
      <c r="X54" s="15">
        <f>IF(O54='Udvaskning nøgletal'!$D$65,1,IF(O54='Udvaskning nøgletal'!$D$66,2,IF(O54='Udvaskning nøgletal'!$D$67,3,IF(O54='Udvaskning nøgletal'!$D$68,2,""))))</f>
        <v>2</v>
      </c>
      <c r="Y54" s="15">
        <f>LOOKUP(K54,'Udvaskning nøgletal'!$C$12:$C$60,'Udvaskning nøgletal'!$H$12:$H$60)</f>
        <v>5</v>
      </c>
      <c r="Z54" s="10">
        <f>IF(X54=1,LOOKUP(K54,'Udvaskning nøgletal'!$C$12:$C$60,'Udvaskning nøgletal'!$E$12:$E$60)+Markniveau!Y54*Markniveau!S54/100,IF(X54=2,LOOKUP(K54,'Udvaskning nøgletal'!$C$12:$C$60,'Udvaskning nøgletal'!$F$12:$F$60)+Markniveau!Y54*Markniveau!S54/100,IF(X54=3,LOOKUP(K54,'Udvaskning nøgletal'!$C$12:$C$60,'Udvaskning nøgletal'!G64:G112)+Markniveau!Y54*Markniveau!S54/100,"")))</f>
        <v>56.854546226168502</v>
      </c>
      <c r="AA54" s="10">
        <f t="shared" si="0"/>
        <v>52.874727990336709</v>
      </c>
      <c r="AB54" s="10" t="str">
        <f t="shared" si="1"/>
        <v/>
      </c>
      <c r="AC54" s="10" t="str">
        <f t="shared" si="2"/>
        <v/>
      </c>
      <c r="AD54" s="10">
        <f>IF(AND(Q54&gt;0,Q54&lt;30,K54&lt;8),Markniveau!Z54*'Udvaskning nøgletal'!$I$12/100,IF(AND(Q54&gt;0,Q54&lt;30,K54=216),Markniveau!Z54*'Udvaskning nøgletal'!$I$34/100,Markniveau!Z54))</f>
        <v>56.854546226168502</v>
      </c>
      <c r="AE54" s="10">
        <f t="shared" si="13"/>
        <v>52.874727990336709</v>
      </c>
      <c r="AF54" s="10" t="str">
        <f t="shared" si="4"/>
        <v/>
      </c>
      <c r="AG54" s="10" t="str">
        <f t="shared" si="14"/>
        <v/>
      </c>
      <c r="AH54" s="10" t="str">
        <f>IF(AND(Q54&gt;0,Q54&lt;30,K54=216),'Udvaskning nøgletal'!$C$42,IF(AND(Q54&gt;0,Q54&lt;30,K54&gt;7,K54&lt;17),'Udvaskning nøgletal'!$C$61,IF(AND(Q54&gt;0,Q54&lt;30,K54&lt;7),'Udvaskning nøgletal'!$C$62,"")))</f>
        <v/>
      </c>
      <c r="AI54" s="10">
        <f t="shared" si="10"/>
        <v>14</v>
      </c>
      <c r="AJ54" s="10">
        <f>IF($X54=1,LOOKUP(AI54,'Udvaskning nøgletal'!$C$12:$C$62,'Udvaskning nøgletal'!$E$12:$E$62)+Markniveau!$Y54*Markniveau!$S54/100,IF($X54=2,LOOKUP(AI54,'Udvaskning nøgletal'!$C$12:$C$62,'Udvaskning nøgletal'!$F$12:$F$62)+Markniveau!$Y54*Markniveau!$S54/100,IF($X54=3,LOOKUP(AI54,'Udvaskning nøgletal'!$C$12:$C$62,'Udvaskning nøgletal'!Q64:Q114)+Markniveau!$Y54*Markniveau!$S54/100,"")))</f>
        <v>56.854546226168502</v>
      </c>
      <c r="AK54" s="10">
        <f t="shared" si="7"/>
        <v>52.874727990336709</v>
      </c>
      <c r="AL54" s="10" t="str">
        <f t="shared" si="11"/>
        <v/>
      </c>
      <c r="AM54" s="10" t="str">
        <f t="shared" si="12"/>
        <v/>
      </c>
    </row>
    <row r="55" spans="1:39" x14ac:dyDescent="0.25">
      <c r="A55" s="15">
        <v>10799686</v>
      </c>
      <c r="B55" s="15">
        <v>9.76</v>
      </c>
      <c r="C55" s="15">
        <v>310206</v>
      </c>
      <c r="D55" s="15">
        <v>11380</v>
      </c>
      <c r="E55" s="15" t="s">
        <v>72</v>
      </c>
      <c r="F55" s="15">
        <v>2011</v>
      </c>
      <c r="G55" s="15">
        <v>20110404</v>
      </c>
      <c r="H55" s="15">
        <v>15344</v>
      </c>
      <c r="I55" s="15">
        <v>1.53</v>
      </c>
      <c r="J55" s="6" t="s">
        <v>95</v>
      </c>
      <c r="K55" s="15">
        <v>260</v>
      </c>
      <c r="L55" s="15" t="s">
        <v>45</v>
      </c>
      <c r="M55" s="15" t="s">
        <v>5</v>
      </c>
      <c r="N55" s="11" t="s">
        <v>1391</v>
      </c>
      <c r="O55" s="11" t="s">
        <v>46</v>
      </c>
      <c r="P55" s="11" t="s">
        <v>33</v>
      </c>
      <c r="Q55" s="15">
        <v>0</v>
      </c>
      <c r="R55" s="11" t="s">
        <v>1386</v>
      </c>
      <c r="S55" s="10">
        <v>119.49092452337</v>
      </c>
      <c r="T55" s="15">
        <v>80</v>
      </c>
      <c r="U55" s="15">
        <v>0</v>
      </c>
      <c r="V55" s="15">
        <v>1</v>
      </c>
      <c r="W55" s="15">
        <v>1</v>
      </c>
      <c r="X55" s="15">
        <f>IF(O55='Udvaskning nøgletal'!$D$65,1,IF(O55='Udvaskning nøgletal'!$D$66,2,IF(O55='Udvaskning nøgletal'!$D$67,3,IF(O55='Udvaskning nøgletal'!$D$68,2,""))))</f>
        <v>2</v>
      </c>
      <c r="Y55" s="15">
        <f>LOOKUP(K55,'Udvaskning nøgletal'!$C$12:$C$60,'Udvaskning nøgletal'!$H$12:$H$60)</f>
        <v>0</v>
      </c>
      <c r="Z55" s="10">
        <f>IF(X55=1,LOOKUP(K55,'Udvaskning nøgletal'!$C$12:$C$60,'Udvaskning nøgletal'!$E$12:$E$60)+Markniveau!Y55*Markniveau!S55/100,IF(X55=2,LOOKUP(K55,'Udvaskning nøgletal'!$C$12:$C$60,'Udvaskning nøgletal'!$F$12:$F$60)+Markniveau!Y55*Markniveau!S55/100,IF(X55=3,LOOKUP(K55,'Udvaskning nøgletal'!$C$12:$C$60,'Udvaskning nøgletal'!G65:G113)+Markniveau!Y55*Markniveau!S55/100,"")))</f>
        <v>27.331185321443094</v>
      </c>
      <c r="AA55" s="10">
        <f t="shared" si="0"/>
        <v>41.816713541807935</v>
      </c>
      <c r="AB55" s="10" t="str">
        <f t="shared" si="1"/>
        <v/>
      </c>
      <c r="AC55" s="10" t="str">
        <f t="shared" si="2"/>
        <v/>
      </c>
      <c r="AD55" s="10">
        <f>IF(AND(Q55&gt;0,Q55&lt;30,K55&lt;8),Markniveau!Z55*'Udvaskning nøgletal'!$I$12/100,IF(AND(Q55&gt;0,Q55&lt;30,K55=216),Markniveau!Z55*'Udvaskning nøgletal'!$I$34/100,Markniveau!Z55))</f>
        <v>27.331185321443094</v>
      </c>
      <c r="AE55" s="10">
        <f t="shared" si="13"/>
        <v>41.816713541807935</v>
      </c>
      <c r="AF55" s="10" t="str">
        <f t="shared" si="4"/>
        <v/>
      </c>
      <c r="AG55" s="10" t="str">
        <f t="shared" si="14"/>
        <v/>
      </c>
      <c r="AH55" s="10" t="str">
        <f>IF(AND(Q55&gt;0,Q55&lt;30,K55=216),'Udvaskning nøgletal'!$C$42,IF(AND(Q55&gt;0,Q55&lt;30,K55&gt;7,K55&lt;17),'Udvaskning nøgletal'!$C$61,IF(AND(Q55&gt;0,Q55&lt;30,K55&lt;7),'Udvaskning nøgletal'!$C$62,"")))</f>
        <v/>
      </c>
      <c r="AI55" s="10">
        <f t="shared" si="10"/>
        <v>260</v>
      </c>
      <c r="AJ55" s="10">
        <f>IF($X55=1,LOOKUP(AI55,'Udvaskning nøgletal'!$C$12:$C$62,'Udvaskning nøgletal'!$E$12:$E$62)+Markniveau!$Y55*Markniveau!$S55/100,IF($X55=2,LOOKUP(AI55,'Udvaskning nøgletal'!$C$12:$C$62,'Udvaskning nøgletal'!$F$12:$F$62)+Markniveau!$Y55*Markniveau!$S55/100,IF($X55=3,LOOKUP(AI55,'Udvaskning nøgletal'!$C$12:$C$62,'Udvaskning nøgletal'!Q65:Q115)+Markniveau!$Y55*Markniveau!$S55/100,"")))</f>
        <v>27.331185321443094</v>
      </c>
      <c r="AK55" s="10">
        <f t="shared" si="7"/>
        <v>41.816713541807935</v>
      </c>
      <c r="AL55" s="10" t="str">
        <f t="shared" si="11"/>
        <v/>
      </c>
      <c r="AM55" s="10" t="str">
        <f t="shared" si="12"/>
        <v/>
      </c>
    </row>
    <row r="56" spans="1:39" x14ac:dyDescent="0.25">
      <c r="A56" s="15">
        <v>11852491</v>
      </c>
      <c r="B56" s="15">
        <v>59.66</v>
      </c>
      <c r="C56" s="15">
        <v>296726</v>
      </c>
      <c r="D56" s="15">
        <v>28649</v>
      </c>
      <c r="E56" s="15" t="s">
        <v>96</v>
      </c>
      <c r="F56" s="15">
        <v>2011</v>
      </c>
      <c r="G56" s="15">
        <v>20110323</v>
      </c>
      <c r="H56" s="15">
        <v>63077</v>
      </c>
      <c r="I56" s="15">
        <v>6.31</v>
      </c>
      <c r="J56" s="6" t="s">
        <v>97</v>
      </c>
      <c r="K56" s="15">
        <v>1</v>
      </c>
      <c r="L56" s="15" t="s">
        <v>32</v>
      </c>
      <c r="M56" s="15" t="s">
        <v>5</v>
      </c>
      <c r="N56" s="11" t="s">
        <v>1384</v>
      </c>
      <c r="O56" s="11" t="s">
        <v>28</v>
      </c>
      <c r="P56" s="11" t="s">
        <v>29</v>
      </c>
      <c r="Q56" s="15">
        <v>95</v>
      </c>
      <c r="R56" s="11" t="s">
        <v>3</v>
      </c>
      <c r="S56" s="10">
        <v>99.529144437857994</v>
      </c>
      <c r="T56" s="15">
        <v>80</v>
      </c>
      <c r="U56" s="15">
        <v>0</v>
      </c>
      <c r="V56" s="15">
        <v>1</v>
      </c>
      <c r="W56" s="15">
        <v>0</v>
      </c>
      <c r="X56" s="15">
        <f>IF(O56='Udvaskning nøgletal'!$D$65,1,IF(O56='Udvaskning nøgletal'!$D$66,2,IF(O56='Udvaskning nøgletal'!$D$67,3,IF(O56='Udvaskning nøgletal'!$D$68,2,""))))</f>
        <v>1</v>
      </c>
      <c r="Y56" s="15">
        <f>LOOKUP(K56,'Udvaskning nøgletal'!$C$12:$C$60,'Udvaskning nøgletal'!$H$12:$H$60)</f>
        <v>5</v>
      </c>
      <c r="Z56" s="10">
        <f>IF(X56=1,LOOKUP(K56,'Udvaskning nøgletal'!$C$12:$C$60,'Udvaskning nøgletal'!$E$12:$E$60)+Markniveau!Y56*Markniveau!S56/100,IF(X56=2,LOOKUP(K56,'Udvaskning nøgletal'!$C$12:$C$60,'Udvaskning nøgletal'!$F$12:$F$60)+Markniveau!Y56*Markniveau!S56/100,IF(X56=3,LOOKUP(K56,'Udvaskning nøgletal'!$C$12:$C$60,'Udvaskning nøgletal'!G66:G114)+Markniveau!Y56*Markniveau!S56/100,"")))</f>
        <v>69.636457221892897</v>
      </c>
      <c r="AA56" s="10">
        <f t="shared" si="0"/>
        <v>439.40604507014416</v>
      </c>
      <c r="AB56" s="10">
        <f t="shared" si="1"/>
        <v>3.4818228610946447</v>
      </c>
      <c r="AC56" s="10">
        <f t="shared" si="2"/>
        <v>21.970302253507207</v>
      </c>
      <c r="AD56" s="10">
        <f>IF(AND(Q56&gt;0,Q56&lt;30,K56&lt;8),Markniveau!Z56*'Udvaskning nøgletal'!$I$12/100,IF(AND(Q56&gt;0,Q56&lt;30,K56=216),Markniveau!Z56*'Udvaskning nøgletal'!$I$34/100,Markniveau!Z56))</f>
        <v>69.636457221892897</v>
      </c>
      <c r="AE56" s="10">
        <f t="shared" si="13"/>
        <v>439.40604507014416</v>
      </c>
      <c r="AF56" s="10">
        <f t="shared" si="4"/>
        <v>3.4818228610946447</v>
      </c>
      <c r="AG56" s="10">
        <f t="shared" si="14"/>
        <v>21.970302253507207</v>
      </c>
      <c r="AH56" s="10" t="str">
        <f>IF(AND(Q56&gt;0,Q56&lt;30,K56=216),'Udvaskning nøgletal'!$C$42,IF(AND(Q56&gt;0,Q56&lt;30,K56&gt;7,K56&lt;17),'Udvaskning nøgletal'!$C$61,IF(AND(Q56&gt;0,Q56&lt;30,K56&lt;7),'Udvaskning nøgletal'!$C$62,"")))</f>
        <v/>
      </c>
      <c r="AI56" s="10">
        <f t="shared" si="10"/>
        <v>1</v>
      </c>
      <c r="AJ56" s="10">
        <f>IF($X56=1,LOOKUP(AI56,'Udvaskning nøgletal'!$C$12:$C$62,'Udvaskning nøgletal'!$E$12:$E$62)+Markniveau!$Y56*Markniveau!$S56/100,IF($X56=2,LOOKUP(AI56,'Udvaskning nøgletal'!$C$12:$C$62,'Udvaskning nøgletal'!$F$12:$F$62)+Markniveau!$Y56*Markniveau!$S56/100,IF($X56=3,LOOKUP(AI56,'Udvaskning nøgletal'!$C$12:$C$62,'Udvaskning nøgletal'!Q66:Q116)+Markniveau!$Y56*Markniveau!$S56/100,"")))</f>
        <v>69.636457221892897</v>
      </c>
      <c r="AK56" s="10">
        <f t="shared" si="7"/>
        <v>439.40604507014416</v>
      </c>
      <c r="AL56" s="10">
        <f t="shared" si="11"/>
        <v>3.4818228610946447</v>
      </c>
      <c r="AM56" s="10">
        <f t="shared" si="12"/>
        <v>21.970302253507207</v>
      </c>
    </row>
    <row r="57" spans="1:39" x14ac:dyDescent="0.25">
      <c r="A57" s="15">
        <v>11852491</v>
      </c>
      <c r="B57" s="15">
        <v>59.66</v>
      </c>
      <c r="C57" s="15">
        <v>501309</v>
      </c>
      <c r="D57" s="15">
        <v>28649</v>
      </c>
      <c r="E57" s="15" t="s">
        <v>98</v>
      </c>
      <c r="F57" s="15">
        <v>2011</v>
      </c>
      <c r="G57" s="15">
        <v>20110323</v>
      </c>
      <c r="H57" s="15">
        <v>63612</v>
      </c>
      <c r="I57" s="15">
        <v>6.36</v>
      </c>
      <c r="J57" s="6" t="s">
        <v>31</v>
      </c>
      <c r="K57" s="15">
        <v>1</v>
      </c>
      <c r="L57" s="15" t="s">
        <v>32</v>
      </c>
      <c r="M57" s="15" t="s">
        <v>5</v>
      </c>
      <c r="N57" s="11" t="s">
        <v>1384</v>
      </c>
      <c r="O57" s="11" t="s">
        <v>28</v>
      </c>
      <c r="P57" s="11" t="s">
        <v>29</v>
      </c>
      <c r="Q57" s="15">
        <v>95</v>
      </c>
      <c r="R57" s="11" t="s">
        <v>3</v>
      </c>
      <c r="S57" s="10">
        <v>99.529144437857994</v>
      </c>
      <c r="T57" s="15">
        <v>80</v>
      </c>
      <c r="U57" s="15">
        <v>0</v>
      </c>
      <c r="V57" s="15">
        <v>1</v>
      </c>
      <c r="W57" s="15">
        <v>0</v>
      </c>
      <c r="X57" s="15">
        <f>IF(O57='Udvaskning nøgletal'!$D$65,1,IF(O57='Udvaskning nøgletal'!$D$66,2,IF(O57='Udvaskning nøgletal'!$D$67,3,IF(O57='Udvaskning nøgletal'!$D$68,2,""))))</f>
        <v>1</v>
      </c>
      <c r="Y57" s="15">
        <f>LOOKUP(K57,'Udvaskning nøgletal'!$C$12:$C$60,'Udvaskning nøgletal'!$H$12:$H$60)</f>
        <v>5</v>
      </c>
      <c r="Z57" s="10">
        <f>IF(X57=1,LOOKUP(K57,'Udvaskning nøgletal'!$C$12:$C$60,'Udvaskning nøgletal'!$E$12:$E$60)+Markniveau!Y57*Markniveau!S57/100,IF(X57=2,LOOKUP(K57,'Udvaskning nøgletal'!$C$12:$C$60,'Udvaskning nøgletal'!$F$12:$F$60)+Markniveau!Y57*Markniveau!S57/100,IF(X57=3,LOOKUP(K57,'Udvaskning nøgletal'!$C$12:$C$60,'Udvaskning nøgletal'!G67:G115)+Markniveau!Y57*Markniveau!S57/100,"")))</f>
        <v>69.636457221892897</v>
      </c>
      <c r="AA57" s="10">
        <f t="shared" si="0"/>
        <v>442.88786793123887</v>
      </c>
      <c r="AB57" s="10">
        <f t="shared" si="1"/>
        <v>3.4818228610946447</v>
      </c>
      <c r="AC57" s="10">
        <f t="shared" si="2"/>
        <v>22.144393396561942</v>
      </c>
      <c r="AD57" s="10">
        <f>IF(AND(Q57&gt;0,Q57&lt;30,K57&lt;8),Markniveau!Z57*'Udvaskning nøgletal'!$I$12/100,IF(AND(Q57&gt;0,Q57&lt;30,K57=216),Markniveau!Z57*'Udvaskning nøgletal'!$I$34/100,Markniveau!Z57))</f>
        <v>69.636457221892897</v>
      </c>
      <c r="AE57" s="10">
        <f t="shared" si="13"/>
        <v>442.88786793123887</v>
      </c>
      <c r="AF57" s="10">
        <f t="shared" si="4"/>
        <v>3.4818228610946447</v>
      </c>
      <c r="AG57" s="10">
        <f t="shared" si="14"/>
        <v>22.144393396561942</v>
      </c>
      <c r="AH57" s="10" t="str">
        <f>IF(AND(Q57&gt;0,Q57&lt;30,K57=216),'Udvaskning nøgletal'!$C$42,IF(AND(Q57&gt;0,Q57&lt;30,K57&gt;7,K57&lt;17),'Udvaskning nøgletal'!$C$61,IF(AND(Q57&gt;0,Q57&lt;30,K57&lt;7),'Udvaskning nøgletal'!$C$62,"")))</f>
        <v/>
      </c>
      <c r="AI57" s="10">
        <f t="shared" si="10"/>
        <v>1</v>
      </c>
      <c r="AJ57" s="10">
        <f>IF($X57=1,LOOKUP(AI57,'Udvaskning nøgletal'!$C$12:$C$62,'Udvaskning nøgletal'!$E$12:$E$62)+Markniveau!$Y57*Markniveau!$S57/100,IF($X57=2,LOOKUP(AI57,'Udvaskning nøgletal'!$C$12:$C$62,'Udvaskning nøgletal'!$F$12:$F$62)+Markniveau!$Y57*Markniveau!$S57/100,IF($X57=3,LOOKUP(AI57,'Udvaskning nøgletal'!$C$12:$C$62,'Udvaskning nøgletal'!Q67:Q117)+Markniveau!$Y57*Markniveau!$S57/100,"")))</f>
        <v>69.636457221892897</v>
      </c>
      <c r="AK57" s="10">
        <f t="shared" si="7"/>
        <v>442.88786793123887</v>
      </c>
      <c r="AL57" s="10">
        <f t="shared" si="11"/>
        <v>3.4818228610946447</v>
      </c>
      <c r="AM57" s="10">
        <f t="shared" si="12"/>
        <v>22.144393396561942</v>
      </c>
    </row>
    <row r="58" spans="1:39" x14ac:dyDescent="0.25">
      <c r="A58" s="15">
        <v>11852491</v>
      </c>
      <c r="B58" s="15">
        <v>59.66</v>
      </c>
      <c r="C58" s="15">
        <v>569449</v>
      </c>
      <c r="D58" s="15">
        <v>28649</v>
      </c>
      <c r="E58" s="15" t="s">
        <v>99</v>
      </c>
      <c r="F58" s="15">
        <v>2011</v>
      </c>
      <c r="G58" s="15">
        <v>20110323</v>
      </c>
      <c r="H58" s="15">
        <v>43468</v>
      </c>
      <c r="I58" s="15">
        <v>4.3499999999999996</v>
      </c>
      <c r="J58" s="6" t="s">
        <v>34</v>
      </c>
      <c r="K58" s="15">
        <v>260</v>
      </c>
      <c r="L58" s="15" t="s">
        <v>45</v>
      </c>
      <c r="M58" s="15" t="s">
        <v>5</v>
      </c>
      <c r="N58" s="11" t="s">
        <v>1384</v>
      </c>
      <c r="O58" s="11" t="s">
        <v>28</v>
      </c>
      <c r="P58" s="11" t="s">
        <v>29</v>
      </c>
      <c r="Q58" s="15">
        <v>95</v>
      </c>
      <c r="R58" s="11" t="s">
        <v>3</v>
      </c>
      <c r="S58" s="10">
        <v>99.529144437857994</v>
      </c>
      <c r="T58" s="15">
        <v>80</v>
      </c>
      <c r="U58" s="15">
        <v>0</v>
      </c>
      <c r="V58" s="15">
        <v>1</v>
      </c>
      <c r="W58" s="15">
        <v>0</v>
      </c>
      <c r="X58" s="15">
        <f>IF(O58='Udvaskning nøgletal'!$D$65,1,IF(O58='Udvaskning nøgletal'!$D$66,2,IF(O58='Udvaskning nøgletal'!$D$67,3,IF(O58='Udvaskning nøgletal'!$D$68,2,""))))</f>
        <v>1</v>
      </c>
      <c r="Y58" s="15">
        <f>LOOKUP(K58,'Udvaskning nøgletal'!$C$12:$C$60,'Udvaskning nøgletal'!$H$12:$H$60)</f>
        <v>0</v>
      </c>
      <c r="Z58" s="10">
        <f>IF(X58=1,LOOKUP(K58,'Udvaskning nøgletal'!$C$12:$C$60,'Udvaskning nøgletal'!$E$12:$E$60)+Markniveau!Y58*Markniveau!S58/100,IF(X58=2,LOOKUP(K58,'Udvaskning nøgletal'!$C$12:$C$60,'Udvaskning nøgletal'!$F$12:$F$60)+Markniveau!Y58*Markniveau!S58/100,IF(X58=3,LOOKUP(K58,'Udvaskning nøgletal'!$C$12:$C$60,'Udvaskning nøgletal'!G68:G116)+Markniveau!Y58*Markniveau!S58/100,"")))</f>
        <v>33.723295792149436</v>
      </c>
      <c r="AA58" s="10">
        <f t="shared" si="0"/>
        <v>146.69633669585002</v>
      </c>
      <c r="AB58" s="10">
        <f t="shared" si="1"/>
        <v>1.6861647896074716</v>
      </c>
      <c r="AC58" s="10">
        <f t="shared" si="2"/>
        <v>7.3348168347925009</v>
      </c>
      <c r="AD58" s="10">
        <f>IF(AND(Q58&gt;0,Q58&lt;30,K58&lt;8),Markniveau!Z58*'Udvaskning nøgletal'!$I$12/100,IF(AND(Q58&gt;0,Q58&lt;30,K58=216),Markniveau!Z58*'Udvaskning nøgletal'!$I$34/100,Markniveau!Z58))</f>
        <v>33.723295792149436</v>
      </c>
      <c r="AE58" s="10">
        <f t="shared" si="13"/>
        <v>146.69633669585002</v>
      </c>
      <c r="AF58" s="10">
        <f t="shared" si="4"/>
        <v>1.6861647896074716</v>
      </c>
      <c r="AG58" s="10">
        <f t="shared" si="14"/>
        <v>7.3348168347925009</v>
      </c>
      <c r="AH58" s="10" t="str">
        <f>IF(AND(Q58&gt;0,Q58&lt;30,K58=216),'Udvaskning nøgletal'!$C$42,IF(AND(Q58&gt;0,Q58&lt;30,K58&gt;7,K58&lt;17),'Udvaskning nøgletal'!$C$61,IF(AND(Q58&gt;0,Q58&lt;30,K58&lt;7),'Udvaskning nøgletal'!$C$62,"")))</f>
        <v/>
      </c>
      <c r="AI58" s="10">
        <f t="shared" si="10"/>
        <v>260</v>
      </c>
      <c r="AJ58" s="10">
        <f>IF($X58=1,LOOKUP(AI58,'Udvaskning nøgletal'!$C$12:$C$62,'Udvaskning nøgletal'!$E$12:$E$62)+Markniveau!$Y58*Markniveau!$S58/100,IF($X58=2,LOOKUP(AI58,'Udvaskning nøgletal'!$C$12:$C$62,'Udvaskning nøgletal'!$F$12:$F$62)+Markniveau!$Y58*Markniveau!$S58/100,IF($X58=3,LOOKUP(AI58,'Udvaskning nøgletal'!$C$12:$C$62,'Udvaskning nøgletal'!Q68:Q118)+Markniveau!$Y58*Markniveau!$S58/100,"")))</f>
        <v>33.723295792149436</v>
      </c>
      <c r="AK58" s="10">
        <f t="shared" si="7"/>
        <v>146.69633669585002</v>
      </c>
      <c r="AL58" s="10">
        <f t="shared" si="11"/>
        <v>1.6861647896074716</v>
      </c>
      <c r="AM58" s="10">
        <f t="shared" si="12"/>
        <v>7.3348168347925009</v>
      </c>
    </row>
    <row r="59" spans="1:39" x14ac:dyDescent="0.25">
      <c r="A59" s="15">
        <v>11852491</v>
      </c>
      <c r="B59" s="15">
        <v>59.66</v>
      </c>
      <c r="C59" s="15">
        <v>569450</v>
      </c>
      <c r="D59" s="15">
        <v>28649</v>
      </c>
      <c r="E59" s="15" t="s">
        <v>100</v>
      </c>
      <c r="F59" s="15">
        <v>2011</v>
      </c>
      <c r="G59" s="15">
        <v>20110323</v>
      </c>
      <c r="H59" s="15">
        <v>63324</v>
      </c>
      <c r="I59" s="15">
        <v>6.33</v>
      </c>
      <c r="J59" s="6" t="s">
        <v>36</v>
      </c>
      <c r="K59" s="15">
        <v>30</v>
      </c>
      <c r="L59" s="15" t="s">
        <v>101</v>
      </c>
      <c r="M59" s="15" t="s">
        <v>5</v>
      </c>
      <c r="N59" s="11" t="s">
        <v>1384</v>
      </c>
      <c r="O59" s="11" t="s">
        <v>28</v>
      </c>
      <c r="P59" s="11" t="s">
        <v>29</v>
      </c>
      <c r="Q59" s="15">
        <v>95</v>
      </c>
      <c r="R59" s="11" t="s">
        <v>3</v>
      </c>
      <c r="S59" s="10">
        <v>99.529144437857994</v>
      </c>
      <c r="T59" s="15">
        <v>80</v>
      </c>
      <c r="U59" s="15">
        <v>0</v>
      </c>
      <c r="V59" s="15">
        <v>1</v>
      </c>
      <c r="W59" s="15">
        <v>0</v>
      </c>
      <c r="X59" s="15">
        <f>IF(O59='Udvaskning nøgletal'!$D$65,1,IF(O59='Udvaskning nøgletal'!$D$66,2,IF(O59='Udvaskning nøgletal'!$D$67,3,IF(O59='Udvaskning nøgletal'!$D$68,2,""))))</f>
        <v>1</v>
      </c>
      <c r="Y59" s="15">
        <f>LOOKUP(K59,'Udvaskning nøgletal'!$C$12:$C$60,'Udvaskning nøgletal'!$H$12:$H$60)</f>
        <v>5</v>
      </c>
      <c r="Z59" s="10">
        <f>IF(X59=1,LOOKUP(K59,'Udvaskning nøgletal'!$C$12:$C$60,'Udvaskning nøgletal'!$E$12:$E$60)+Markniveau!Y59*Markniveau!S59/100,IF(X59=2,LOOKUP(K59,'Udvaskning nøgletal'!$C$12:$C$60,'Udvaskning nøgletal'!$F$12:$F$60)+Markniveau!Y59*Markniveau!S59/100,IF(X59=3,LOOKUP(K59,'Udvaskning nøgletal'!$C$12:$C$60,'Udvaskning nøgletal'!G69:G117)+Markniveau!Y59*Markniveau!S59/100,"")))</f>
        <v>69.636457221892897</v>
      </c>
      <c r="AA59" s="10">
        <f t="shared" si="0"/>
        <v>440.79877421458207</v>
      </c>
      <c r="AB59" s="10">
        <f t="shared" si="1"/>
        <v>3.4818228610946447</v>
      </c>
      <c r="AC59" s="10">
        <f t="shared" si="2"/>
        <v>22.0399387107291</v>
      </c>
      <c r="AD59" s="10">
        <f>IF(AND(Q59&gt;0,Q59&lt;30,K59&lt;8),Markniveau!Z59*'Udvaskning nøgletal'!$I$12/100,IF(AND(Q59&gt;0,Q59&lt;30,K59=216),Markniveau!Z59*'Udvaskning nøgletal'!$I$34/100,Markniveau!Z59))</f>
        <v>69.636457221892897</v>
      </c>
      <c r="AE59" s="10">
        <f t="shared" si="13"/>
        <v>440.79877421458207</v>
      </c>
      <c r="AF59" s="10">
        <f t="shared" si="4"/>
        <v>3.4818228610946447</v>
      </c>
      <c r="AG59" s="10">
        <f t="shared" si="14"/>
        <v>22.0399387107291</v>
      </c>
      <c r="AH59" s="10" t="str">
        <f>IF(AND(Q59&gt;0,Q59&lt;30,K59=216),'Udvaskning nøgletal'!$C$42,IF(AND(Q59&gt;0,Q59&lt;30,K59&gt;7,K59&lt;17),'Udvaskning nøgletal'!$C$61,IF(AND(Q59&gt;0,Q59&lt;30,K59&lt;7),'Udvaskning nøgletal'!$C$62,"")))</f>
        <v/>
      </c>
      <c r="AI59" s="10">
        <f t="shared" si="10"/>
        <v>30</v>
      </c>
      <c r="AJ59" s="10">
        <f>IF($X59=1,LOOKUP(AI59,'Udvaskning nøgletal'!$C$12:$C$62,'Udvaskning nøgletal'!$E$12:$E$62)+Markniveau!$Y59*Markniveau!$S59/100,IF($X59=2,LOOKUP(AI59,'Udvaskning nøgletal'!$C$12:$C$62,'Udvaskning nøgletal'!$F$12:$F$62)+Markniveau!$Y59*Markniveau!$S59/100,IF($X59=3,LOOKUP(AI59,'Udvaskning nøgletal'!$C$12:$C$62,'Udvaskning nøgletal'!Q69:Q119)+Markniveau!$Y59*Markniveau!$S59/100,"")))</f>
        <v>69.636457221892897</v>
      </c>
      <c r="AK59" s="10">
        <f t="shared" si="7"/>
        <v>440.79877421458207</v>
      </c>
      <c r="AL59" s="10">
        <f t="shared" si="11"/>
        <v>3.4818228610946447</v>
      </c>
      <c r="AM59" s="10">
        <f t="shared" si="12"/>
        <v>22.0399387107291</v>
      </c>
    </row>
    <row r="60" spans="1:39" x14ac:dyDescent="0.25">
      <c r="A60" s="15">
        <v>11852491</v>
      </c>
      <c r="B60" s="15">
        <v>59.66</v>
      </c>
      <c r="C60" s="15">
        <v>569451</v>
      </c>
      <c r="D60" s="15">
        <v>28649</v>
      </c>
      <c r="E60" s="15" t="s">
        <v>100</v>
      </c>
      <c r="F60" s="15">
        <v>2011</v>
      </c>
      <c r="G60" s="15">
        <v>20110323</v>
      </c>
      <c r="H60" s="15">
        <v>60195</v>
      </c>
      <c r="I60" s="15">
        <v>6.02</v>
      </c>
      <c r="J60" s="6" t="s">
        <v>35</v>
      </c>
      <c r="K60" s="15">
        <v>11</v>
      </c>
      <c r="L60" s="15" t="s">
        <v>102</v>
      </c>
      <c r="M60" s="15" t="s">
        <v>5</v>
      </c>
      <c r="N60" s="11" t="s">
        <v>1384</v>
      </c>
      <c r="O60" s="11" t="s">
        <v>28</v>
      </c>
      <c r="P60" s="11" t="s">
        <v>29</v>
      </c>
      <c r="Q60" s="15">
        <v>95</v>
      </c>
      <c r="R60" s="11" t="s">
        <v>3</v>
      </c>
      <c r="S60" s="10">
        <v>99.529144437857994</v>
      </c>
      <c r="T60" s="15">
        <v>80</v>
      </c>
      <c r="U60" s="15">
        <v>0</v>
      </c>
      <c r="V60" s="15">
        <v>1</v>
      </c>
      <c r="W60" s="15">
        <v>0</v>
      </c>
      <c r="X60" s="15">
        <f>IF(O60='Udvaskning nøgletal'!$D$65,1,IF(O60='Udvaskning nøgletal'!$D$66,2,IF(O60='Udvaskning nøgletal'!$D$67,3,IF(O60='Udvaskning nøgletal'!$D$68,2,""))))</f>
        <v>1</v>
      </c>
      <c r="Y60" s="15">
        <f>LOOKUP(K60,'Udvaskning nøgletal'!$C$12:$C$60,'Udvaskning nøgletal'!$H$12:$H$60)</f>
        <v>5</v>
      </c>
      <c r="Z60" s="10">
        <f>IF(X60=1,LOOKUP(K60,'Udvaskning nøgletal'!$C$12:$C$60,'Udvaskning nøgletal'!$E$12:$E$60)+Markniveau!Y60*Markniveau!S60/100,IF(X60=2,LOOKUP(K60,'Udvaskning nøgletal'!$C$12:$C$60,'Udvaskning nøgletal'!$F$12:$F$60)+Markniveau!Y60*Markniveau!S60/100,IF(X60=3,LOOKUP(K60,'Udvaskning nøgletal'!$C$12:$C$60,'Udvaskning nøgletal'!G70:G118)+Markniveau!Y60*Markniveau!S60/100,"")))</f>
        <v>69.636457221892897</v>
      </c>
      <c r="AA60" s="10">
        <f t="shared" si="0"/>
        <v>419.21147247579523</v>
      </c>
      <c r="AB60" s="10">
        <f t="shared" si="1"/>
        <v>3.4818228610946447</v>
      </c>
      <c r="AC60" s="10">
        <f t="shared" si="2"/>
        <v>20.96057362378976</v>
      </c>
      <c r="AD60" s="10">
        <f>IF(AND(Q60&gt;0,Q60&lt;30,K60&lt;8),Markniveau!Z60*'Udvaskning nøgletal'!$I$12/100,IF(AND(Q60&gt;0,Q60&lt;30,K60=216),Markniveau!Z60*'Udvaskning nøgletal'!$I$34/100,Markniveau!Z60))</f>
        <v>69.636457221892897</v>
      </c>
      <c r="AE60" s="10">
        <f t="shared" si="13"/>
        <v>419.21147247579523</v>
      </c>
      <c r="AF60" s="10">
        <f t="shared" si="4"/>
        <v>3.4818228610946447</v>
      </c>
      <c r="AG60" s="10">
        <f t="shared" si="14"/>
        <v>20.96057362378976</v>
      </c>
      <c r="AH60" s="10" t="str">
        <f>IF(AND(Q60&gt;0,Q60&lt;30,K60=216),'Udvaskning nøgletal'!$C$42,IF(AND(Q60&gt;0,Q60&lt;30,K60&gt;7,K60&lt;17),'Udvaskning nøgletal'!$C$61,IF(AND(Q60&gt;0,Q60&lt;30,K60&lt;7),'Udvaskning nøgletal'!$C$62,"")))</f>
        <v/>
      </c>
      <c r="AI60" s="10">
        <f t="shared" si="10"/>
        <v>11</v>
      </c>
      <c r="AJ60" s="10">
        <f>IF($X60=1,LOOKUP(AI60,'Udvaskning nøgletal'!$C$12:$C$62,'Udvaskning nøgletal'!$E$12:$E$62)+Markniveau!$Y60*Markniveau!$S60/100,IF($X60=2,LOOKUP(AI60,'Udvaskning nøgletal'!$C$12:$C$62,'Udvaskning nøgletal'!$F$12:$F$62)+Markniveau!$Y60*Markniveau!$S60/100,IF($X60=3,LOOKUP(AI60,'Udvaskning nøgletal'!$C$12:$C$62,'Udvaskning nøgletal'!Q70:Q120)+Markniveau!$Y60*Markniveau!$S60/100,"")))</f>
        <v>69.636457221892897</v>
      </c>
      <c r="AK60" s="10">
        <f t="shared" si="7"/>
        <v>419.21147247579523</v>
      </c>
      <c r="AL60" s="10">
        <f t="shared" si="11"/>
        <v>3.4818228610946447</v>
      </c>
      <c r="AM60" s="10">
        <f t="shared" si="12"/>
        <v>20.96057362378976</v>
      </c>
    </row>
    <row r="61" spans="1:39" x14ac:dyDescent="0.25">
      <c r="A61" s="15">
        <v>11852491</v>
      </c>
      <c r="B61" s="15">
        <v>59.66</v>
      </c>
      <c r="C61" s="15">
        <v>569455</v>
      </c>
      <c r="D61" s="15">
        <v>28649</v>
      </c>
      <c r="E61" s="15" t="s">
        <v>103</v>
      </c>
      <c r="F61" s="15">
        <v>2011</v>
      </c>
      <c r="G61" s="15">
        <v>20110323</v>
      </c>
      <c r="H61" s="15">
        <v>19896</v>
      </c>
      <c r="I61" s="15">
        <v>1.99</v>
      </c>
      <c r="J61" s="6" t="s">
        <v>69</v>
      </c>
      <c r="K61" s="15">
        <v>260</v>
      </c>
      <c r="L61" s="15" t="s">
        <v>45</v>
      </c>
      <c r="M61" s="15" t="s">
        <v>5</v>
      </c>
      <c r="N61" s="11" t="s">
        <v>1384</v>
      </c>
      <c r="O61" s="11" t="s">
        <v>28</v>
      </c>
      <c r="P61" s="11" t="s">
        <v>29</v>
      </c>
      <c r="Q61" s="15">
        <v>40</v>
      </c>
      <c r="R61" s="11" t="s">
        <v>6</v>
      </c>
      <c r="S61" s="10">
        <v>99.529144437857994</v>
      </c>
      <c r="T61" s="15">
        <v>80</v>
      </c>
      <c r="U61" s="15">
        <v>0</v>
      </c>
      <c r="V61" s="15">
        <v>1</v>
      </c>
      <c r="W61" s="15">
        <v>0</v>
      </c>
      <c r="X61" s="15">
        <f>IF(O61='Udvaskning nøgletal'!$D$65,1,IF(O61='Udvaskning nøgletal'!$D$66,2,IF(O61='Udvaskning nøgletal'!$D$67,3,IF(O61='Udvaskning nøgletal'!$D$68,2,""))))</f>
        <v>1</v>
      </c>
      <c r="Y61" s="15">
        <f>LOOKUP(K61,'Udvaskning nøgletal'!$C$12:$C$60,'Udvaskning nøgletal'!$H$12:$H$60)</f>
        <v>0</v>
      </c>
      <c r="Z61" s="10">
        <f>IF(X61=1,LOOKUP(K61,'Udvaskning nøgletal'!$C$12:$C$60,'Udvaskning nøgletal'!$E$12:$E$60)+Markniveau!Y61*Markniveau!S61/100,IF(X61=2,LOOKUP(K61,'Udvaskning nøgletal'!$C$12:$C$60,'Udvaskning nøgletal'!$F$12:$F$60)+Markniveau!Y61*Markniveau!S61/100,IF(X61=3,LOOKUP(K61,'Udvaskning nøgletal'!$C$12:$C$60,'Udvaskning nøgletal'!G71:G119)+Markniveau!Y61*Markniveau!S61/100,"")))</f>
        <v>33.723295792149436</v>
      </c>
      <c r="AA61" s="10">
        <f t="shared" si="0"/>
        <v>67.109358626377372</v>
      </c>
      <c r="AB61" s="10">
        <f t="shared" si="1"/>
        <v>20.233977475289663</v>
      </c>
      <c r="AC61" s="10">
        <f t="shared" si="2"/>
        <v>40.265615175826426</v>
      </c>
      <c r="AD61" s="10">
        <f>IF(AND(Q61&gt;0,Q61&lt;30,K61&lt;8),Markniveau!Z61*'Udvaskning nøgletal'!$I$12/100,IF(AND(Q61&gt;0,Q61&lt;30,K61=216),Markniveau!Z61*'Udvaskning nøgletal'!$I$34/100,Markniveau!Z61))</f>
        <v>33.723295792149436</v>
      </c>
      <c r="AE61" s="10">
        <f t="shared" si="13"/>
        <v>67.109358626377372</v>
      </c>
      <c r="AF61" s="10">
        <f t="shared" si="4"/>
        <v>20.233977475289663</v>
      </c>
      <c r="AG61" s="10">
        <f t="shared" si="14"/>
        <v>40.265615175826426</v>
      </c>
      <c r="AH61" s="10" t="str">
        <f>IF(AND(Q61&gt;0,Q61&lt;30,K61=216),'Udvaskning nøgletal'!$C$42,IF(AND(Q61&gt;0,Q61&lt;30,K61&gt;7,K61&lt;17),'Udvaskning nøgletal'!$C$61,IF(AND(Q61&gt;0,Q61&lt;30,K61&lt;7),'Udvaskning nøgletal'!$C$62,"")))</f>
        <v/>
      </c>
      <c r="AI61" s="10">
        <f t="shared" si="10"/>
        <v>260</v>
      </c>
      <c r="AJ61" s="10">
        <f>IF($X61=1,LOOKUP(AI61,'Udvaskning nøgletal'!$C$12:$C$62,'Udvaskning nøgletal'!$E$12:$E$62)+Markniveau!$Y61*Markniveau!$S61/100,IF($X61=2,LOOKUP(AI61,'Udvaskning nøgletal'!$C$12:$C$62,'Udvaskning nøgletal'!$F$12:$F$62)+Markniveau!$Y61*Markniveau!$S61/100,IF($X61=3,LOOKUP(AI61,'Udvaskning nøgletal'!$C$12:$C$62,'Udvaskning nøgletal'!Q71:Q121)+Markniveau!$Y61*Markniveau!$S61/100,"")))</f>
        <v>33.723295792149436</v>
      </c>
      <c r="AK61" s="10">
        <f t="shared" si="7"/>
        <v>67.109358626377372</v>
      </c>
      <c r="AL61" s="10">
        <f t="shared" si="11"/>
        <v>20.233977475289663</v>
      </c>
      <c r="AM61" s="10">
        <f t="shared" si="12"/>
        <v>40.265615175826426</v>
      </c>
    </row>
    <row r="62" spans="1:39" x14ac:dyDescent="0.25">
      <c r="A62" s="15">
        <v>11852491</v>
      </c>
      <c r="B62" s="15">
        <v>59.66</v>
      </c>
      <c r="C62" s="15">
        <v>569456</v>
      </c>
      <c r="D62" s="15">
        <v>28649</v>
      </c>
      <c r="E62" s="15" t="s">
        <v>104</v>
      </c>
      <c r="F62" s="15">
        <v>2011</v>
      </c>
      <c r="G62" s="15">
        <v>20110323</v>
      </c>
      <c r="H62" s="15">
        <v>40723</v>
      </c>
      <c r="I62" s="15">
        <v>4.07</v>
      </c>
      <c r="J62" s="6" t="s">
        <v>38</v>
      </c>
      <c r="K62" s="15">
        <v>260</v>
      </c>
      <c r="L62" s="15" t="s">
        <v>45</v>
      </c>
      <c r="M62" s="15" t="s">
        <v>5</v>
      </c>
      <c r="N62" s="11" t="s">
        <v>1384</v>
      </c>
      <c r="O62" s="11" t="s">
        <v>28</v>
      </c>
      <c r="P62" s="11" t="s">
        <v>29</v>
      </c>
      <c r="Q62" s="15">
        <v>95</v>
      </c>
      <c r="R62" s="11" t="s">
        <v>3</v>
      </c>
      <c r="S62" s="10">
        <v>99.529144437857994</v>
      </c>
      <c r="T62" s="15">
        <v>80</v>
      </c>
      <c r="U62" s="15">
        <v>0</v>
      </c>
      <c r="V62" s="15">
        <v>1</v>
      </c>
      <c r="W62" s="15">
        <v>0</v>
      </c>
      <c r="X62" s="15">
        <f>IF(O62='Udvaskning nøgletal'!$D$65,1,IF(O62='Udvaskning nøgletal'!$D$66,2,IF(O62='Udvaskning nøgletal'!$D$67,3,IF(O62='Udvaskning nøgletal'!$D$68,2,""))))</f>
        <v>1</v>
      </c>
      <c r="Y62" s="15">
        <f>LOOKUP(K62,'Udvaskning nøgletal'!$C$12:$C$60,'Udvaskning nøgletal'!$H$12:$H$60)</f>
        <v>0</v>
      </c>
      <c r="Z62" s="10">
        <f>IF(X62=1,LOOKUP(K62,'Udvaskning nøgletal'!$C$12:$C$60,'Udvaskning nøgletal'!$E$12:$E$60)+Markniveau!Y62*Markniveau!S62/100,IF(X62=2,LOOKUP(K62,'Udvaskning nøgletal'!$C$12:$C$60,'Udvaskning nøgletal'!$F$12:$F$60)+Markniveau!Y62*Markniveau!S62/100,IF(X62=3,LOOKUP(K62,'Udvaskning nøgletal'!$C$12:$C$60,'Udvaskning nøgletal'!G72:G120)+Markniveau!Y62*Markniveau!S62/100,"")))</f>
        <v>33.723295792149436</v>
      </c>
      <c r="AA62" s="10">
        <f t="shared" si="0"/>
        <v>137.25381387404821</v>
      </c>
      <c r="AB62" s="10">
        <f t="shared" si="1"/>
        <v>1.6861647896074716</v>
      </c>
      <c r="AC62" s="10">
        <f t="shared" si="2"/>
        <v>6.8626906937024099</v>
      </c>
      <c r="AD62" s="10">
        <f>IF(AND(Q62&gt;0,Q62&lt;30,K62&lt;8),Markniveau!Z62*'Udvaskning nøgletal'!$I$12/100,IF(AND(Q62&gt;0,Q62&lt;30,K62=216),Markniveau!Z62*'Udvaskning nøgletal'!$I$34/100,Markniveau!Z62))</f>
        <v>33.723295792149436</v>
      </c>
      <c r="AE62" s="10">
        <f t="shared" si="13"/>
        <v>137.25381387404821</v>
      </c>
      <c r="AF62" s="10">
        <f t="shared" si="4"/>
        <v>1.6861647896074716</v>
      </c>
      <c r="AG62" s="10">
        <f t="shared" si="14"/>
        <v>6.8626906937024099</v>
      </c>
      <c r="AH62" s="10" t="str">
        <f>IF(AND(Q62&gt;0,Q62&lt;30,K62=216),'Udvaskning nøgletal'!$C$42,IF(AND(Q62&gt;0,Q62&lt;30,K62&gt;7,K62&lt;17),'Udvaskning nøgletal'!$C$61,IF(AND(Q62&gt;0,Q62&lt;30,K62&lt;7),'Udvaskning nøgletal'!$C$62,"")))</f>
        <v/>
      </c>
      <c r="AI62" s="10">
        <f t="shared" si="10"/>
        <v>260</v>
      </c>
      <c r="AJ62" s="10">
        <f>IF($X62=1,LOOKUP(AI62,'Udvaskning nøgletal'!$C$12:$C$62,'Udvaskning nøgletal'!$E$12:$E$62)+Markniveau!$Y62*Markniveau!$S62/100,IF($X62=2,LOOKUP(AI62,'Udvaskning nøgletal'!$C$12:$C$62,'Udvaskning nøgletal'!$F$12:$F$62)+Markniveau!$Y62*Markniveau!$S62/100,IF($X62=3,LOOKUP(AI62,'Udvaskning nøgletal'!$C$12:$C$62,'Udvaskning nøgletal'!Q72:Q122)+Markniveau!$Y62*Markniveau!$S62/100,"")))</f>
        <v>33.723295792149436</v>
      </c>
      <c r="AK62" s="10">
        <f t="shared" si="7"/>
        <v>137.25381387404821</v>
      </c>
      <c r="AL62" s="10">
        <f t="shared" si="11"/>
        <v>1.6861647896074716</v>
      </c>
      <c r="AM62" s="10">
        <f t="shared" si="12"/>
        <v>6.8626906937024099</v>
      </c>
    </row>
    <row r="63" spans="1:39" x14ac:dyDescent="0.25">
      <c r="A63" s="15">
        <v>11852491</v>
      </c>
      <c r="B63" s="15">
        <v>59.66</v>
      </c>
      <c r="C63" s="15">
        <v>569942</v>
      </c>
      <c r="D63" s="15">
        <v>28649</v>
      </c>
      <c r="E63" s="15" t="s">
        <v>105</v>
      </c>
      <c r="F63" s="15">
        <v>2011</v>
      </c>
      <c r="G63" s="15">
        <v>20110323</v>
      </c>
      <c r="H63" s="15">
        <v>75466</v>
      </c>
      <c r="I63" s="15">
        <v>7.55</v>
      </c>
      <c r="J63" s="6" t="s">
        <v>91</v>
      </c>
      <c r="K63" s="15">
        <v>11</v>
      </c>
      <c r="L63" s="15" t="s">
        <v>102</v>
      </c>
      <c r="M63" s="15" t="s">
        <v>5</v>
      </c>
      <c r="N63" s="11" t="s">
        <v>1384</v>
      </c>
      <c r="O63" s="11" t="s">
        <v>28</v>
      </c>
      <c r="P63" s="11" t="s">
        <v>29</v>
      </c>
      <c r="Q63" s="15">
        <v>1</v>
      </c>
      <c r="R63" s="11" t="s">
        <v>11</v>
      </c>
      <c r="S63" s="10">
        <v>99.529144437857994</v>
      </c>
      <c r="T63" s="15">
        <v>80</v>
      </c>
      <c r="U63" s="15">
        <v>0</v>
      </c>
      <c r="V63" s="15">
        <v>1</v>
      </c>
      <c r="W63" s="15">
        <v>0</v>
      </c>
      <c r="X63" s="15">
        <f>IF(O63='Udvaskning nøgletal'!$D$65,1,IF(O63='Udvaskning nøgletal'!$D$66,2,IF(O63='Udvaskning nøgletal'!$D$67,3,IF(O63='Udvaskning nøgletal'!$D$68,2,""))))</f>
        <v>1</v>
      </c>
      <c r="Y63" s="15">
        <f>LOOKUP(K63,'Udvaskning nøgletal'!$C$12:$C$60,'Udvaskning nøgletal'!$H$12:$H$60)</f>
        <v>5</v>
      </c>
      <c r="Z63" s="10">
        <f>IF(X63=1,LOOKUP(K63,'Udvaskning nøgletal'!$C$12:$C$60,'Udvaskning nøgletal'!$E$12:$E$60)+Markniveau!Y63*Markniveau!S63/100,IF(X63=2,LOOKUP(K63,'Udvaskning nøgletal'!$C$12:$C$60,'Udvaskning nøgletal'!$F$12:$F$60)+Markniveau!Y63*Markniveau!S63/100,IF(X63=3,LOOKUP(K63,'Udvaskning nøgletal'!$C$12:$C$60,'Udvaskning nøgletal'!G73:G121)+Markniveau!Y63*Markniveau!S63/100,"")))</f>
        <v>69.636457221892897</v>
      </c>
      <c r="AA63" s="10">
        <f t="shared" si="0"/>
        <v>525.75525202529138</v>
      </c>
      <c r="AB63" s="10">
        <f t="shared" si="1"/>
        <v>68.940092649673971</v>
      </c>
      <c r="AC63" s="10">
        <f t="shared" si="2"/>
        <v>520.49769950503844</v>
      </c>
      <c r="AD63" s="10">
        <f>IF(AND(Q63&gt;0,Q63&lt;30,K63&lt;8),Markniveau!Z63*'Udvaskning nøgletal'!$I$12/100,IF(AND(Q63&gt;0,Q63&lt;30,K63=216),Markniveau!Z63*'Udvaskning nøgletal'!$I$34/100,Markniveau!Z63))</f>
        <v>69.636457221892897</v>
      </c>
      <c r="AE63" s="10">
        <f t="shared" si="13"/>
        <v>525.75525202529138</v>
      </c>
      <c r="AF63" s="10">
        <f t="shared" si="4"/>
        <v>68.940092649673971</v>
      </c>
      <c r="AG63" s="10">
        <f t="shared" si="14"/>
        <v>520.49769950503844</v>
      </c>
      <c r="AH63" s="10">
        <f>IF(AND(Q63&gt;0,Q63&lt;30,K63=216),'Udvaskning nøgletal'!$C$42,IF(AND(Q63&gt;0,Q63&lt;30,K63&gt;7,K63&lt;17),'Udvaskning nøgletal'!$C$61,IF(AND(Q63&gt;0,Q63&lt;30,K63&lt;7),'Udvaskning nøgletal'!$C$62,"")))</f>
        <v>1001</v>
      </c>
      <c r="AI63" s="10">
        <f t="shared" si="10"/>
        <v>1001</v>
      </c>
      <c r="AJ63" s="10">
        <f>IF($X63=1,LOOKUP(AI63,'Udvaskning nøgletal'!$C$12:$C$62,'Udvaskning nøgletal'!$E$12:$E$62)+Markniveau!$Y63*Markniveau!$S63/100,IF($X63=2,LOOKUP(AI63,'Udvaskning nøgletal'!$C$12:$C$62,'Udvaskning nøgletal'!$F$12:$F$62)+Markniveau!$Y63*Markniveau!$S63/100,IF($X63=3,LOOKUP(AI63,'Udvaskning nøgletal'!$C$12:$C$62,'Udvaskning nøgletal'!Q73:Q123)+Markniveau!$Y63*Markniveau!$S63/100,"")))</f>
        <v>35.4764572218929</v>
      </c>
      <c r="AK63" s="10">
        <f t="shared" si="7"/>
        <v>267.84725202529137</v>
      </c>
      <c r="AL63" s="10">
        <f t="shared" si="11"/>
        <v>35.121692649673975</v>
      </c>
      <c r="AM63" s="10">
        <f t="shared" si="12"/>
        <v>265.16877950503851</v>
      </c>
    </row>
    <row r="64" spans="1:39" x14ac:dyDescent="0.25">
      <c r="A64" s="15">
        <v>11852491</v>
      </c>
      <c r="B64" s="15">
        <v>59.66</v>
      </c>
      <c r="C64" s="15">
        <v>569943</v>
      </c>
      <c r="D64" s="15">
        <v>28649</v>
      </c>
      <c r="E64" s="15" t="s">
        <v>104</v>
      </c>
      <c r="F64" s="15">
        <v>2011</v>
      </c>
      <c r="G64" s="15">
        <v>20110323</v>
      </c>
      <c r="H64" s="15">
        <v>22548</v>
      </c>
      <c r="I64" s="15">
        <v>2.25</v>
      </c>
      <c r="J64" s="6" t="s">
        <v>53</v>
      </c>
      <c r="K64" s="15">
        <v>252</v>
      </c>
      <c r="L64" s="15" t="s">
        <v>41</v>
      </c>
      <c r="M64" s="15" t="s">
        <v>4</v>
      </c>
      <c r="N64" s="11" t="s">
        <v>1384</v>
      </c>
      <c r="O64" s="11" t="s">
        <v>28</v>
      </c>
      <c r="P64" s="11" t="s">
        <v>29</v>
      </c>
      <c r="Q64" s="15">
        <v>40</v>
      </c>
      <c r="R64" s="11" t="s">
        <v>6</v>
      </c>
      <c r="S64" s="10">
        <v>99.529144437857994</v>
      </c>
      <c r="T64" s="15">
        <v>80</v>
      </c>
      <c r="U64" s="15">
        <v>0</v>
      </c>
      <c r="V64" s="15">
        <v>1</v>
      </c>
      <c r="W64" s="15">
        <v>0</v>
      </c>
      <c r="X64" s="15">
        <f>IF(O64='Udvaskning nøgletal'!$D$65,1,IF(O64='Udvaskning nøgletal'!$D$66,2,IF(O64='Udvaskning nøgletal'!$D$67,3,IF(O64='Udvaskning nøgletal'!$D$68,2,""))))</f>
        <v>1</v>
      </c>
      <c r="Y64" s="15">
        <f>LOOKUP(K64,'Udvaskning nøgletal'!$C$12:$C$60,'Udvaskning nøgletal'!$H$12:$H$60)</f>
        <v>0</v>
      </c>
      <c r="Z64" s="10">
        <f>IF(X64=1,LOOKUP(K64,'Udvaskning nøgletal'!$C$12:$C$60,'Udvaskning nøgletal'!$E$12:$E$60)+Markniveau!Y64*Markniveau!S64/100,IF(X64=2,LOOKUP(K64,'Udvaskning nøgletal'!$C$12:$C$60,'Udvaskning nøgletal'!$F$12:$F$60)+Markniveau!Y64*Markniveau!S64/100,IF(X64=3,LOOKUP(K64,'Udvaskning nøgletal'!$C$12:$C$60,'Udvaskning nøgletal'!G74:G122)+Markniveau!Y64*Markniveau!S64/100,"")))</f>
        <v>21.2</v>
      </c>
      <c r="AA64" s="10">
        <f t="shared" si="0"/>
        <v>47.699999999999996</v>
      </c>
      <c r="AB64" s="10">
        <f t="shared" si="1"/>
        <v>12.72</v>
      </c>
      <c r="AC64" s="10">
        <f t="shared" si="2"/>
        <v>28.62</v>
      </c>
      <c r="AD64" s="10">
        <f>IF(AND(Q64&gt;0,Q64&lt;30,K64&lt;8),Markniveau!Z64*'Udvaskning nøgletal'!$I$12/100,IF(AND(Q64&gt;0,Q64&lt;30,K64=216),Markniveau!Z64*'Udvaskning nøgletal'!$I$34/100,Markniveau!Z64))</f>
        <v>21.2</v>
      </c>
      <c r="AE64" s="10">
        <f t="shared" si="13"/>
        <v>47.699999999999996</v>
      </c>
      <c r="AF64" s="10">
        <f t="shared" si="4"/>
        <v>12.72</v>
      </c>
      <c r="AG64" s="10">
        <f t="shared" si="14"/>
        <v>28.62</v>
      </c>
      <c r="AH64" s="10" t="str">
        <f>IF(AND(Q64&gt;0,Q64&lt;30,K64=216),'Udvaskning nøgletal'!$C$42,IF(AND(Q64&gt;0,Q64&lt;30,K64&gt;7,K64&lt;17),'Udvaskning nøgletal'!$C$61,IF(AND(Q64&gt;0,Q64&lt;30,K64&lt;7),'Udvaskning nøgletal'!$C$62,"")))</f>
        <v/>
      </c>
      <c r="AI64" s="10">
        <f t="shared" si="10"/>
        <v>252</v>
      </c>
      <c r="AJ64" s="10">
        <f>IF($X64=1,LOOKUP(AI64,'Udvaskning nøgletal'!$C$12:$C$62,'Udvaskning nøgletal'!$E$12:$E$62)+Markniveau!$Y64*Markniveau!$S64/100,IF($X64=2,LOOKUP(AI64,'Udvaskning nøgletal'!$C$12:$C$62,'Udvaskning nøgletal'!$F$12:$F$62)+Markniveau!$Y64*Markniveau!$S64/100,IF($X64=3,LOOKUP(AI64,'Udvaskning nøgletal'!$C$12:$C$62,'Udvaskning nøgletal'!Q74:Q124)+Markniveau!$Y64*Markniveau!$S64/100,"")))</f>
        <v>21.2</v>
      </c>
      <c r="AK64" s="10">
        <f t="shared" si="7"/>
        <v>47.699999999999996</v>
      </c>
      <c r="AL64" s="10">
        <f t="shared" si="11"/>
        <v>12.72</v>
      </c>
      <c r="AM64" s="10">
        <f t="shared" si="12"/>
        <v>28.62</v>
      </c>
    </row>
    <row r="65" spans="1:39" x14ac:dyDescent="0.25">
      <c r="A65" s="15">
        <v>11852491</v>
      </c>
      <c r="B65" s="15">
        <v>59.66</v>
      </c>
      <c r="C65" s="15">
        <v>569944</v>
      </c>
      <c r="D65" s="15">
        <v>28649</v>
      </c>
      <c r="E65" s="15" t="s">
        <v>106</v>
      </c>
      <c r="F65" s="15">
        <v>2011</v>
      </c>
      <c r="G65" s="15">
        <v>20110323</v>
      </c>
      <c r="H65" s="15">
        <v>11930</v>
      </c>
      <c r="I65" s="15">
        <v>1.19</v>
      </c>
      <c r="J65" s="6" t="s">
        <v>87</v>
      </c>
      <c r="K65" s="15">
        <v>10</v>
      </c>
      <c r="L65" s="15" t="s">
        <v>107</v>
      </c>
      <c r="M65" s="15" t="s">
        <v>5</v>
      </c>
      <c r="N65" s="11" t="s">
        <v>1384</v>
      </c>
      <c r="O65" s="11" t="s">
        <v>28</v>
      </c>
      <c r="P65" s="11" t="s">
        <v>29</v>
      </c>
      <c r="Q65" s="15">
        <v>95</v>
      </c>
      <c r="R65" s="11" t="s">
        <v>3</v>
      </c>
      <c r="S65" s="10">
        <v>99.529144437857994</v>
      </c>
      <c r="T65" s="15">
        <v>80</v>
      </c>
      <c r="U65" s="15">
        <v>0</v>
      </c>
      <c r="V65" s="15">
        <v>1</v>
      </c>
      <c r="W65" s="15">
        <v>0</v>
      </c>
      <c r="X65" s="15">
        <f>IF(O65='Udvaskning nøgletal'!$D$65,1,IF(O65='Udvaskning nøgletal'!$D$66,2,IF(O65='Udvaskning nøgletal'!$D$67,3,IF(O65='Udvaskning nøgletal'!$D$68,2,""))))</f>
        <v>1</v>
      </c>
      <c r="Y65" s="15">
        <f>LOOKUP(K65,'Udvaskning nøgletal'!$C$12:$C$60,'Udvaskning nøgletal'!$H$12:$H$60)</f>
        <v>5</v>
      </c>
      <c r="Z65" s="10">
        <f>IF(X65=1,LOOKUP(K65,'Udvaskning nøgletal'!$C$12:$C$60,'Udvaskning nøgletal'!$E$12:$E$60)+Markniveau!Y65*Markniveau!S65/100,IF(X65=2,LOOKUP(K65,'Udvaskning nøgletal'!$C$12:$C$60,'Udvaskning nøgletal'!$F$12:$F$60)+Markniveau!Y65*Markniveau!S65/100,IF(X65=3,LOOKUP(K65,'Udvaskning nøgletal'!$C$12:$C$60,'Udvaskning nøgletal'!G75:G123)+Markniveau!Y65*Markniveau!S65/100,"")))</f>
        <v>69.636457221892897</v>
      </c>
      <c r="AA65" s="10">
        <f t="shared" si="0"/>
        <v>82.867384094052539</v>
      </c>
      <c r="AB65" s="10">
        <f t="shared" si="1"/>
        <v>3.4818228610946447</v>
      </c>
      <c r="AC65" s="10">
        <f t="shared" si="2"/>
        <v>4.1433692047026272</v>
      </c>
      <c r="AD65" s="10">
        <f>IF(AND(Q65&gt;0,Q65&lt;30,K65&lt;8),Markniveau!Z65*'Udvaskning nøgletal'!$I$12/100,IF(AND(Q65&gt;0,Q65&lt;30,K65=216),Markniveau!Z65*'Udvaskning nøgletal'!$I$34/100,Markniveau!Z65))</f>
        <v>69.636457221892897</v>
      </c>
      <c r="AE65" s="10">
        <f t="shared" si="13"/>
        <v>82.867384094052539</v>
      </c>
      <c r="AF65" s="10">
        <f t="shared" si="4"/>
        <v>3.4818228610946447</v>
      </c>
      <c r="AG65" s="10">
        <f t="shared" si="14"/>
        <v>4.1433692047026272</v>
      </c>
      <c r="AH65" s="10" t="str">
        <f>IF(AND(Q65&gt;0,Q65&lt;30,K65=216),'Udvaskning nøgletal'!$C$42,IF(AND(Q65&gt;0,Q65&lt;30,K65&gt;7,K65&lt;17),'Udvaskning nøgletal'!$C$61,IF(AND(Q65&gt;0,Q65&lt;30,K65&lt;7),'Udvaskning nøgletal'!$C$62,"")))</f>
        <v/>
      </c>
      <c r="AI65" s="10">
        <f t="shared" si="10"/>
        <v>10</v>
      </c>
      <c r="AJ65" s="10">
        <f>IF($X65=1,LOOKUP(AI65,'Udvaskning nøgletal'!$C$12:$C$62,'Udvaskning nøgletal'!$E$12:$E$62)+Markniveau!$Y65*Markniveau!$S65/100,IF($X65=2,LOOKUP(AI65,'Udvaskning nøgletal'!$C$12:$C$62,'Udvaskning nøgletal'!$F$12:$F$62)+Markniveau!$Y65*Markniveau!$S65/100,IF($X65=3,LOOKUP(AI65,'Udvaskning nøgletal'!$C$12:$C$62,'Udvaskning nøgletal'!Q75:Q125)+Markniveau!$Y65*Markniveau!$S65/100,"")))</f>
        <v>69.636457221892897</v>
      </c>
      <c r="AK65" s="10">
        <f t="shared" si="7"/>
        <v>82.867384094052539</v>
      </c>
      <c r="AL65" s="10">
        <f t="shared" si="11"/>
        <v>3.4818228610946447</v>
      </c>
      <c r="AM65" s="10">
        <f t="shared" si="12"/>
        <v>4.1433692047026272</v>
      </c>
    </row>
    <row r="66" spans="1:39" x14ac:dyDescent="0.25">
      <c r="A66" s="15">
        <v>11852491</v>
      </c>
      <c r="B66" s="15">
        <v>59.66</v>
      </c>
      <c r="C66" s="15">
        <v>569945</v>
      </c>
      <c r="D66" s="15">
        <v>28649</v>
      </c>
      <c r="E66" s="15" t="s">
        <v>105</v>
      </c>
      <c r="F66" s="15">
        <v>2011</v>
      </c>
      <c r="G66" s="15">
        <v>20110323</v>
      </c>
      <c r="H66" s="15">
        <v>35520</v>
      </c>
      <c r="I66" s="15">
        <v>3.55</v>
      </c>
      <c r="J66" s="6" t="s">
        <v>1404</v>
      </c>
      <c r="K66" s="15">
        <v>252</v>
      </c>
      <c r="L66" s="15" t="s">
        <v>41</v>
      </c>
      <c r="M66" s="15" t="s">
        <v>4</v>
      </c>
      <c r="N66" s="11" t="s">
        <v>1384</v>
      </c>
      <c r="O66" s="11" t="s">
        <v>28</v>
      </c>
      <c r="P66" s="11" t="s">
        <v>29</v>
      </c>
      <c r="Q66" s="15">
        <v>40</v>
      </c>
      <c r="R66" s="11" t="s">
        <v>6</v>
      </c>
      <c r="S66" s="10">
        <v>99.529144437857994</v>
      </c>
      <c r="T66" s="15">
        <v>80</v>
      </c>
      <c r="U66" s="15">
        <v>0</v>
      </c>
      <c r="V66" s="15">
        <v>1</v>
      </c>
      <c r="W66" s="15">
        <v>0</v>
      </c>
      <c r="X66" s="15">
        <f>IF(O66='Udvaskning nøgletal'!$D$65,1,IF(O66='Udvaskning nøgletal'!$D$66,2,IF(O66='Udvaskning nøgletal'!$D$67,3,IF(O66='Udvaskning nøgletal'!$D$68,2,""))))</f>
        <v>1</v>
      </c>
      <c r="Y66" s="15">
        <f>LOOKUP(K66,'Udvaskning nøgletal'!$C$12:$C$60,'Udvaskning nøgletal'!$H$12:$H$60)</f>
        <v>0</v>
      </c>
      <c r="Z66" s="10">
        <f>IF(X66=1,LOOKUP(K66,'Udvaskning nøgletal'!$C$12:$C$60,'Udvaskning nøgletal'!$E$12:$E$60)+Markniveau!Y66*Markniveau!S66/100,IF(X66=2,LOOKUP(K66,'Udvaskning nøgletal'!$C$12:$C$60,'Udvaskning nøgletal'!$F$12:$F$60)+Markniveau!Y66*Markniveau!S66/100,IF(X66=3,LOOKUP(K66,'Udvaskning nøgletal'!$C$12:$C$60,'Udvaskning nøgletal'!G76:G124)+Markniveau!Y66*Markniveau!S66/100,"")))</f>
        <v>21.2</v>
      </c>
      <c r="AA66" s="10">
        <f t="shared" si="0"/>
        <v>75.259999999999991</v>
      </c>
      <c r="AB66" s="10">
        <f t="shared" ref="AB66:AB129" si="15">IF(Q66&gt;0,(100-Q66)*Z66/100,"")</f>
        <v>12.72</v>
      </c>
      <c r="AC66" s="10">
        <f t="shared" si="2"/>
        <v>45.155999999999999</v>
      </c>
      <c r="AD66" s="10">
        <f>IF(AND(Q66&gt;0,Q66&lt;30,K66&lt;8),Markniveau!Z66*'Udvaskning nøgletal'!$I$12/100,IF(AND(Q66&gt;0,Q66&lt;30,K66=216),Markniveau!Z66*'Udvaskning nøgletal'!$I$34/100,Markniveau!Z66))</f>
        <v>21.2</v>
      </c>
      <c r="AE66" s="10">
        <f t="shared" si="13"/>
        <v>75.259999999999991</v>
      </c>
      <c r="AF66" s="10">
        <f t="shared" si="4"/>
        <v>12.72</v>
      </c>
      <c r="AG66" s="10">
        <f t="shared" si="14"/>
        <v>45.155999999999999</v>
      </c>
      <c r="AH66" s="10" t="str">
        <f>IF(AND(Q66&gt;0,Q66&lt;30,K66=216),'Udvaskning nøgletal'!$C$42,IF(AND(Q66&gt;0,Q66&lt;30,K66&gt;7,K66&lt;17),'Udvaskning nøgletal'!$C$61,IF(AND(Q66&gt;0,Q66&lt;30,K66&lt;7),'Udvaskning nøgletal'!$C$62,"")))</f>
        <v/>
      </c>
      <c r="AI66" s="10">
        <f t="shared" si="10"/>
        <v>252</v>
      </c>
      <c r="AJ66" s="10">
        <f>IF($X66=1,LOOKUP(AI66,'Udvaskning nøgletal'!$C$12:$C$62,'Udvaskning nøgletal'!$E$12:$E$62)+Markniveau!$Y66*Markniveau!$S66/100,IF($X66=2,LOOKUP(AI66,'Udvaskning nøgletal'!$C$12:$C$62,'Udvaskning nøgletal'!$F$12:$F$62)+Markniveau!$Y66*Markniveau!$S66/100,IF($X66=3,LOOKUP(AI66,'Udvaskning nøgletal'!$C$12:$C$62,'Udvaskning nøgletal'!Q76:Q126)+Markniveau!$Y66*Markniveau!$S66/100,"")))</f>
        <v>21.2</v>
      </c>
      <c r="AK66" s="10">
        <f t="shared" si="7"/>
        <v>75.259999999999991</v>
      </c>
      <c r="AL66" s="10">
        <f t="shared" si="11"/>
        <v>12.72</v>
      </c>
      <c r="AM66" s="10">
        <f t="shared" si="12"/>
        <v>45.155999999999999</v>
      </c>
    </row>
    <row r="67" spans="1:39" x14ac:dyDescent="0.25">
      <c r="A67" s="15">
        <v>11852491</v>
      </c>
      <c r="B67" s="15">
        <v>59.66</v>
      </c>
      <c r="C67" s="15">
        <v>569946</v>
      </c>
      <c r="D67" s="15">
        <v>28649</v>
      </c>
      <c r="E67" s="15" t="s">
        <v>103</v>
      </c>
      <c r="F67" s="15">
        <v>2011</v>
      </c>
      <c r="G67" s="15">
        <v>20110323</v>
      </c>
      <c r="H67" s="15">
        <v>32518</v>
      </c>
      <c r="I67" s="15">
        <v>3.25</v>
      </c>
      <c r="J67" s="6" t="s">
        <v>1405</v>
      </c>
      <c r="K67" s="15">
        <v>252</v>
      </c>
      <c r="L67" s="15" t="s">
        <v>41</v>
      </c>
      <c r="M67" s="15" t="s">
        <v>4</v>
      </c>
      <c r="N67" s="11" t="s">
        <v>1390</v>
      </c>
      <c r="O67" s="11" t="s">
        <v>42</v>
      </c>
      <c r="P67" s="11" t="s">
        <v>29</v>
      </c>
      <c r="Q67" s="15">
        <v>40</v>
      </c>
      <c r="R67" s="11" t="s">
        <v>6</v>
      </c>
      <c r="S67" s="10">
        <v>99.529144437857994</v>
      </c>
      <c r="T67" s="15">
        <v>80</v>
      </c>
      <c r="U67" s="15">
        <v>0</v>
      </c>
      <c r="V67" s="15">
        <v>1</v>
      </c>
      <c r="W67" s="15">
        <v>0</v>
      </c>
      <c r="X67" s="15">
        <f>IF(O67='Udvaskning nøgletal'!$D$65,1,IF(O67='Udvaskning nøgletal'!$D$66,2,IF(O67='Udvaskning nøgletal'!$D$67,3,IF(O67='Udvaskning nøgletal'!$D$68,2,""))))</f>
        <v>2</v>
      </c>
      <c r="Y67" s="15">
        <f>LOOKUP(K67,'Udvaskning nøgletal'!$C$12:$C$60,'Udvaskning nøgletal'!$H$12:$H$60)</f>
        <v>0</v>
      </c>
      <c r="Z67" s="10">
        <f>IF(X67=1,LOOKUP(K67,'Udvaskning nøgletal'!$C$12:$C$60,'Udvaskning nøgletal'!$E$12:$E$60)+Markniveau!Y67*Markniveau!S67/100,IF(X67=2,LOOKUP(K67,'Udvaskning nøgletal'!$C$12:$C$60,'Udvaskning nøgletal'!$F$12:$F$60)+Markniveau!Y67*Markniveau!S67/100,IF(X67=3,LOOKUP(K67,'Udvaskning nøgletal'!$C$12:$C$60,'Udvaskning nøgletal'!G77:G125)+Markniveau!Y67*Markniveau!S67/100,"")))</f>
        <v>21.2</v>
      </c>
      <c r="AA67" s="10">
        <f t="shared" ref="AA67:AA130" si="16">Z67*I67</f>
        <v>68.899999999999991</v>
      </c>
      <c r="AB67" s="10">
        <f t="shared" si="15"/>
        <v>12.72</v>
      </c>
      <c r="AC67" s="10">
        <f t="shared" ref="AC67:AC130" si="17">IF(Q67&gt;0,AB67*I67,"")</f>
        <v>41.34</v>
      </c>
      <c r="AD67" s="10">
        <f>IF(AND(Q67&gt;0,Q67&lt;30,K67&lt;8),Markniveau!Z67*'Udvaskning nøgletal'!$I$12/100,IF(AND(Q67&gt;0,Q67&lt;30,K67=216),Markniveau!Z67*'Udvaskning nøgletal'!$I$34/100,Markniveau!Z67))</f>
        <v>21.2</v>
      </c>
      <c r="AE67" s="10">
        <f t="shared" si="13"/>
        <v>68.899999999999991</v>
      </c>
      <c r="AF67" s="10">
        <f t="shared" ref="AF67:AF130" si="18">IF($Q67&gt;0,(100-$Q67)*$AD67/100,"")</f>
        <v>12.72</v>
      </c>
      <c r="AG67" s="10">
        <f t="shared" si="14"/>
        <v>41.34</v>
      </c>
      <c r="AH67" s="10" t="str">
        <f>IF(AND(Q67&gt;0,Q67&lt;30,K67=216),'Udvaskning nøgletal'!$C$42,IF(AND(Q67&gt;0,Q67&lt;30,K67&gt;7,K67&lt;17),'Udvaskning nøgletal'!$C$61,IF(AND(Q67&gt;0,Q67&lt;30,K67&lt;7),'Udvaskning nøgletal'!$C$62,"")))</f>
        <v/>
      </c>
      <c r="AI67" s="10">
        <f t="shared" si="10"/>
        <v>252</v>
      </c>
      <c r="AJ67" s="10">
        <f>IF($X67=1,LOOKUP(AI67,'Udvaskning nøgletal'!$C$12:$C$62,'Udvaskning nøgletal'!$E$12:$E$62)+Markniveau!$Y67*Markniveau!$S67/100,IF($X67=2,LOOKUP(AI67,'Udvaskning nøgletal'!$C$12:$C$62,'Udvaskning nøgletal'!$F$12:$F$62)+Markniveau!$Y67*Markniveau!$S67/100,IF($X67=3,LOOKUP(AI67,'Udvaskning nøgletal'!$C$12:$C$62,'Udvaskning nøgletal'!Q77:Q127)+Markniveau!$Y67*Markniveau!$S67/100,"")))</f>
        <v>21.2</v>
      </c>
      <c r="AK67" s="10">
        <f t="shared" ref="AK67:AK130" si="19">AJ67*$I67</f>
        <v>68.899999999999991</v>
      </c>
      <c r="AL67" s="10">
        <f t="shared" si="11"/>
        <v>12.72</v>
      </c>
      <c r="AM67" s="10">
        <f t="shared" si="12"/>
        <v>41.34</v>
      </c>
    </row>
    <row r="68" spans="1:39" x14ac:dyDescent="0.25">
      <c r="A68" s="15">
        <v>11852491</v>
      </c>
      <c r="B68" s="15">
        <v>59.66</v>
      </c>
      <c r="C68" s="15">
        <v>296722</v>
      </c>
      <c r="D68" s="15">
        <v>28649</v>
      </c>
      <c r="E68" s="15" t="s">
        <v>108</v>
      </c>
      <c r="F68" s="15">
        <v>2011</v>
      </c>
      <c r="G68" s="15">
        <v>20110323</v>
      </c>
      <c r="H68" s="15">
        <v>43808</v>
      </c>
      <c r="I68" s="15">
        <v>4.38</v>
      </c>
      <c r="J68" s="6" t="s">
        <v>61</v>
      </c>
      <c r="K68" s="15">
        <v>10</v>
      </c>
      <c r="L68" s="15" t="s">
        <v>107</v>
      </c>
      <c r="M68" s="15" t="s">
        <v>5</v>
      </c>
      <c r="N68" s="11" t="s">
        <v>1384</v>
      </c>
      <c r="O68" s="11" t="s">
        <v>28</v>
      </c>
      <c r="P68" s="11" t="s">
        <v>29</v>
      </c>
      <c r="Q68" s="15">
        <v>95</v>
      </c>
      <c r="R68" s="11" t="s">
        <v>3</v>
      </c>
      <c r="S68" s="10">
        <v>99.529144437857994</v>
      </c>
      <c r="T68" s="15">
        <v>80</v>
      </c>
      <c r="U68" s="15">
        <v>0</v>
      </c>
      <c r="V68" s="15">
        <v>1</v>
      </c>
      <c r="W68" s="15">
        <v>0</v>
      </c>
      <c r="X68" s="15">
        <f>IF(O68='Udvaskning nøgletal'!$D$65,1,IF(O68='Udvaskning nøgletal'!$D$66,2,IF(O68='Udvaskning nøgletal'!$D$67,3,IF(O68='Udvaskning nøgletal'!$D$68,2,""))))</f>
        <v>1</v>
      </c>
      <c r="Y68" s="15">
        <f>LOOKUP(K68,'Udvaskning nøgletal'!$C$12:$C$60,'Udvaskning nøgletal'!$H$12:$H$60)</f>
        <v>5</v>
      </c>
      <c r="Z68" s="10">
        <f>IF(X68=1,LOOKUP(K68,'Udvaskning nøgletal'!$C$12:$C$60,'Udvaskning nøgletal'!$E$12:$E$60)+Markniveau!Y68*Markniveau!S68/100,IF(X68=2,LOOKUP(K68,'Udvaskning nøgletal'!$C$12:$C$60,'Udvaskning nøgletal'!$F$12:$F$60)+Markniveau!Y68*Markniveau!S68/100,IF(X68=3,LOOKUP(K68,'Udvaskning nøgletal'!$C$12:$C$60,'Udvaskning nøgletal'!G78:G126)+Markniveau!Y68*Markniveau!S68/100,"")))</f>
        <v>69.636457221892897</v>
      </c>
      <c r="AA68" s="10">
        <f t="shared" si="16"/>
        <v>305.00768263189087</v>
      </c>
      <c r="AB68" s="10">
        <f t="shared" si="15"/>
        <v>3.4818228610946447</v>
      </c>
      <c r="AC68" s="10">
        <f t="shared" si="17"/>
        <v>15.250384131594544</v>
      </c>
      <c r="AD68" s="10">
        <f>IF(AND(Q68&gt;0,Q68&lt;30,K68&lt;8),Markniveau!Z68*'Udvaskning nøgletal'!$I$12/100,IF(AND(Q68&gt;0,Q68&lt;30,K68=216),Markniveau!Z68*'Udvaskning nøgletal'!$I$34/100,Markniveau!Z68))</f>
        <v>69.636457221892897</v>
      </c>
      <c r="AE68" s="10">
        <f t="shared" si="13"/>
        <v>305.00768263189087</v>
      </c>
      <c r="AF68" s="10">
        <f t="shared" si="18"/>
        <v>3.4818228610946447</v>
      </c>
      <c r="AG68" s="10">
        <f t="shared" si="14"/>
        <v>15.250384131594544</v>
      </c>
      <c r="AH68" s="10" t="str">
        <f>IF(AND(Q68&gt;0,Q68&lt;30,K68=216),'Udvaskning nøgletal'!$C$42,IF(AND(Q68&gt;0,Q68&lt;30,K68&gt;7,K68&lt;17),'Udvaskning nøgletal'!$C$61,IF(AND(Q68&gt;0,Q68&lt;30,K68&lt;7),'Udvaskning nøgletal'!$C$62,"")))</f>
        <v/>
      </c>
      <c r="AI68" s="10">
        <f t="shared" si="10"/>
        <v>10</v>
      </c>
      <c r="AJ68" s="10">
        <f>IF($X68=1,LOOKUP(AI68,'Udvaskning nøgletal'!$C$12:$C$62,'Udvaskning nøgletal'!$E$12:$E$62)+Markniveau!$Y68*Markniveau!$S68/100,IF($X68=2,LOOKUP(AI68,'Udvaskning nøgletal'!$C$12:$C$62,'Udvaskning nøgletal'!$F$12:$F$62)+Markniveau!$Y68*Markniveau!$S68/100,IF($X68=3,LOOKUP(AI68,'Udvaskning nøgletal'!$C$12:$C$62,'Udvaskning nøgletal'!Q78:Q128)+Markniveau!$Y68*Markniveau!$S68/100,"")))</f>
        <v>69.636457221892897</v>
      </c>
      <c r="AK68" s="10">
        <f t="shared" si="19"/>
        <v>305.00768263189087</v>
      </c>
      <c r="AL68" s="10">
        <f t="shared" si="11"/>
        <v>3.4818228610946447</v>
      </c>
      <c r="AM68" s="10">
        <f t="shared" si="12"/>
        <v>15.250384131594544</v>
      </c>
    </row>
    <row r="69" spans="1:39" x14ac:dyDescent="0.25">
      <c r="A69" s="15">
        <v>11852491</v>
      </c>
      <c r="B69" s="15">
        <v>59.66</v>
      </c>
      <c r="C69" s="15">
        <v>296725</v>
      </c>
      <c r="D69" s="15">
        <v>28649</v>
      </c>
      <c r="E69" s="15" t="s">
        <v>109</v>
      </c>
      <c r="F69" s="15">
        <v>2011</v>
      </c>
      <c r="G69" s="15">
        <v>20110323</v>
      </c>
      <c r="H69" s="15">
        <v>20574</v>
      </c>
      <c r="I69" s="15">
        <v>2.06</v>
      </c>
      <c r="J69" s="6" t="s">
        <v>37</v>
      </c>
      <c r="K69" s="15">
        <v>260</v>
      </c>
      <c r="L69" s="15" t="s">
        <v>45</v>
      </c>
      <c r="M69" s="15" t="s">
        <v>5</v>
      </c>
      <c r="N69" s="11" t="s">
        <v>1384</v>
      </c>
      <c r="O69" s="11" t="s">
        <v>28</v>
      </c>
      <c r="P69" s="11" t="s">
        <v>29</v>
      </c>
      <c r="Q69" s="15">
        <v>95</v>
      </c>
      <c r="R69" s="11" t="s">
        <v>3</v>
      </c>
      <c r="S69" s="10">
        <v>99.529144437857994</v>
      </c>
      <c r="T69" s="15">
        <v>80</v>
      </c>
      <c r="U69" s="15">
        <v>0</v>
      </c>
      <c r="V69" s="15">
        <v>1</v>
      </c>
      <c r="W69" s="15">
        <v>0</v>
      </c>
      <c r="X69" s="15">
        <f>IF(O69='Udvaskning nøgletal'!$D$65,1,IF(O69='Udvaskning nøgletal'!$D$66,2,IF(O69='Udvaskning nøgletal'!$D$67,3,IF(O69='Udvaskning nøgletal'!$D$68,2,""))))</f>
        <v>1</v>
      </c>
      <c r="Y69" s="15">
        <f>LOOKUP(K69,'Udvaskning nøgletal'!$C$12:$C$60,'Udvaskning nøgletal'!$H$12:$H$60)</f>
        <v>0</v>
      </c>
      <c r="Z69" s="10">
        <f>IF(X69=1,LOOKUP(K69,'Udvaskning nøgletal'!$C$12:$C$60,'Udvaskning nøgletal'!$E$12:$E$60)+Markniveau!Y69*Markniveau!S69/100,IF(X69=2,LOOKUP(K69,'Udvaskning nøgletal'!$C$12:$C$60,'Udvaskning nøgletal'!$F$12:$F$60)+Markniveau!Y69*Markniveau!S69/100,IF(X69=3,LOOKUP(K69,'Udvaskning nøgletal'!$C$12:$C$60,'Udvaskning nøgletal'!G79:G127)+Markniveau!Y69*Markniveau!S69/100,"")))</f>
        <v>33.723295792149436</v>
      </c>
      <c r="AA69" s="10">
        <f t="shared" si="16"/>
        <v>69.469989331827847</v>
      </c>
      <c r="AB69" s="10">
        <f t="shared" si="15"/>
        <v>1.6861647896074716</v>
      </c>
      <c r="AC69" s="10">
        <f t="shared" si="17"/>
        <v>3.4734994665913916</v>
      </c>
      <c r="AD69" s="10">
        <f>IF(AND(Q69&gt;0,Q69&lt;30,K69&lt;8),Markniveau!Z69*'Udvaskning nøgletal'!$I$12/100,IF(AND(Q69&gt;0,Q69&lt;30,K69=216),Markniveau!Z69*'Udvaskning nøgletal'!$I$34/100,Markniveau!Z69))</f>
        <v>33.723295792149436</v>
      </c>
      <c r="AE69" s="10">
        <f t="shared" si="13"/>
        <v>69.469989331827847</v>
      </c>
      <c r="AF69" s="10">
        <f t="shared" si="18"/>
        <v>1.6861647896074716</v>
      </c>
      <c r="AG69" s="10">
        <f t="shared" si="14"/>
        <v>3.4734994665913916</v>
      </c>
      <c r="AH69" s="10" t="str">
        <f>IF(AND(Q69&gt;0,Q69&lt;30,K69=216),'Udvaskning nøgletal'!$C$42,IF(AND(Q69&gt;0,Q69&lt;30,K69&gt;7,K69&lt;17),'Udvaskning nøgletal'!$C$61,IF(AND(Q69&gt;0,Q69&lt;30,K69&lt;7),'Udvaskning nøgletal'!$C$62,"")))</f>
        <v/>
      </c>
      <c r="AI69" s="10">
        <f t="shared" si="10"/>
        <v>260</v>
      </c>
      <c r="AJ69" s="10">
        <f>IF($X69=1,LOOKUP(AI69,'Udvaskning nøgletal'!$C$12:$C$62,'Udvaskning nøgletal'!$E$12:$E$62)+Markniveau!$Y69*Markniveau!$S69/100,IF($X69=2,LOOKUP(AI69,'Udvaskning nøgletal'!$C$12:$C$62,'Udvaskning nøgletal'!$F$12:$F$62)+Markniveau!$Y69*Markniveau!$S69/100,IF($X69=3,LOOKUP(AI69,'Udvaskning nøgletal'!$C$12:$C$62,'Udvaskning nøgletal'!Q79:Q129)+Markniveau!$Y69*Markniveau!$S69/100,"")))</f>
        <v>33.723295792149436</v>
      </c>
      <c r="AK69" s="10">
        <f t="shared" si="19"/>
        <v>69.469989331827847</v>
      </c>
      <c r="AL69" s="10">
        <f t="shared" si="11"/>
        <v>1.6861647896074716</v>
      </c>
      <c r="AM69" s="10">
        <f t="shared" si="12"/>
        <v>3.4734994665913916</v>
      </c>
    </row>
    <row r="70" spans="1:39" x14ac:dyDescent="0.25">
      <c r="A70" s="15">
        <v>12729839</v>
      </c>
      <c r="B70" s="15">
        <v>49.58</v>
      </c>
      <c r="C70" s="15">
        <v>316427</v>
      </c>
      <c r="D70" s="15">
        <v>51122</v>
      </c>
      <c r="E70" s="15" t="s">
        <v>110</v>
      </c>
      <c r="F70" s="15">
        <v>2011</v>
      </c>
      <c r="G70" s="15">
        <v>20110204</v>
      </c>
      <c r="H70" s="15">
        <v>89305</v>
      </c>
      <c r="I70" s="15">
        <v>8.93</v>
      </c>
      <c r="J70" s="6" t="s">
        <v>97</v>
      </c>
      <c r="K70" s="15">
        <v>11</v>
      </c>
      <c r="L70" s="15" t="s">
        <v>102</v>
      </c>
      <c r="M70" s="15" t="s">
        <v>5</v>
      </c>
      <c r="N70" s="11" t="s">
        <v>1406</v>
      </c>
      <c r="O70" s="11" t="s">
        <v>46</v>
      </c>
      <c r="P70" s="11" t="s">
        <v>29</v>
      </c>
      <c r="Q70" s="15">
        <v>95</v>
      </c>
      <c r="R70" s="11" t="s">
        <v>3</v>
      </c>
      <c r="S70" s="10">
        <v>128.64484732823999</v>
      </c>
      <c r="T70" s="15">
        <v>80</v>
      </c>
      <c r="U70" s="15">
        <v>0</v>
      </c>
      <c r="V70" s="15">
        <v>0</v>
      </c>
      <c r="W70" s="15">
        <v>0</v>
      </c>
      <c r="X70" s="15">
        <f>IF(O70='Udvaskning nøgletal'!$D$65,1,IF(O70='Udvaskning nøgletal'!$D$66,2,IF(O70='Udvaskning nøgletal'!$D$67,3,IF(O70='Udvaskning nøgletal'!$D$68,2,""))))</f>
        <v>2</v>
      </c>
      <c r="Y70" s="15">
        <f>LOOKUP(K70,'Udvaskning nøgletal'!$C$12:$C$60,'Udvaskning nøgletal'!$H$12:$H$60)</f>
        <v>5</v>
      </c>
      <c r="Z70" s="10">
        <f>IF(X70=1,LOOKUP(K70,'Udvaskning nøgletal'!$C$12:$C$60,'Udvaskning nøgletal'!$E$12:$E$60)+Markniveau!Y70*Markniveau!S70/100,IF(X70=2,LOOKUP(K70,'Udvaskning nøgletal'!$C$12:$C$60,'Udvaskning nøgletal'!$F$12:$F$60)+Markniveau!Y70*Markniveau!S70/100,IF(X70=3,LOOKUP(K70,'Udvaskning nøgletal'!$C$12:$C$60,'Udvaskning nøgletal'!G80:G128)+Markniveau!Y70*Markniveau!S70/100,"")))</f>
        <v>57.312242366412001</v>
      </c>
      <c r="AA70" s="10">
        <f t="shared" si="16"/>
        <v>511.79832433205917</v>
      </c>
      <c r="AB70" s="10">
        <f t="shared" si="15"/>
        <v>2.8656121183206</v>
      </c>
      <c r="AC70" s="10">
        <f t="shared" si="17"/>
        <v>25.589916216602958</v>
      </c>
      <c r="AD70" s="10">
        <f>IF(AND(Q70&gt;0,Q70&lt;30,K70&lt;8),Markniveau!Z70*'Udvaskning nøgletal'!$I$12/100,IF(AND(Q70&gt;0,Q70&lt;30,K70=216),Markniveau!Z70*'Udvaskning nøgletal'!$I$34/100,Markniveau!Z70))</f>
        <v>57.312242366412001</v>
      </c>
      <c r="AE70" s="10">
        <f t="shared" si="13"/>
        <v>511.79832433205917</v>
      </c>
      <c r="AF70" s="10">
        <f t="shared" si="18"/>
        <v>2.8656121183206</v>
      </c>
      <c r="AG70" s="10">
        <f t="shared" si="14"/>
        <v>25.589916216602958</v>
      </c>
      <c r="AH70" s="10" t="str">
        <f>IF(AND(Q70&gt;0,Q70&lt;30,K70=216),'Udvaskning nøgletal'!$C$42,IF(AND(Q70&gt;0,Q70&lt;30,K70&gt;7,K70&lt;17),'Udvaskning nøgletal'!$C$61,IF(AND(Q70&gt;0,Q70&lt;30,K70&lt;7),'Udvaskning nøgletal'!$C$62,"")))</f>
        <v/>
      </c>
      <c r="AI70" s="10">
        <f t="shared" si="10"/>
        <v>11</v>
      </c>
      <c r="AJ70" s="10">
        <f>IF($X70=1,LOOKUP(AI70,'Udvaskning nøgletal'!$C$12:$C$62,'Udvaskning nøgletal'!$E$12:$E$62)+Markniveau!$Y70*Markniveau!$S70/100,IF($X70=2,LOOKUP(AI70,'Udvaskning nøgletal'!$C$12:$C$62,'Udvaskning nøgletal'!$F$12:$F$62)+Markniveau!$Y70*Markniveau!$S70/100,IF($X70=3,LOOKUP(AI70,'Udvaskning nøgletal'!$C$12:$C$62,'Udvaskning nøgletal'!Q80:Q130)+Markniveau!$Y70*Markniveau!$S70/100,"")))</f>
        <v>57.312242366412001</v>
      </c>
      <c r="AK70" s="10">
        <f t="shared" si="19"/>
        <v>511.79832433205917</v>
      </c>
      <c r="AL70" s="10">
        <f t="shared" si="11"/>
        <v>2.8656121183206</v>
      </c>
      <c r="AM70" s="10">
        <f t="shared" si="12"/>
        <v>25.589916216602958</v>
      </c>
    </row>
    <row r="71" spans="1:39" x14ac:dyDescent="0.25">
      <c r="A71" s="15">
        <v>12729839</v>
      </c>
      <c r="B71" s="15">
        <v>49.58</v>
      </c>
      <c r="C71" s="15">
        <v>322506</v>
      </c>
      <c r="D71" s="15">
        <v>51122</v>
      </c>
      <c r="E71" s="15" t="s">
        <v>111</v>
      </c>
      <c r="F71" s="15">
        <v>2011</v>
      </c>
      <c r="G71" s="15">
        <v>20110204</v>
      </c>
      <c r="H71" s="15">
        <v>42423</v>
      </c>
      <c r="I71" s="15">
        <v>4.24</v>
      </c>
      <c r="J71" s="6" t="s">
        <v>61</v>
      </c>
      <c r="K71" s="15">
        <v>1</v>
      </c>
      <c r="L71" s="15" t="s">
        <v>32</v>
      </c>
      <c r="M71" s="15" t="s">
        <v>5</v>
      </c>
      <c r="N71" s="11" t="s">
        <v>1406</v>
      </c>
      <c r="O71" s="11" t="s">
        <v>46</v>
      </c>
      <c r="P71" s="11" t="s">
        <v>29</v>
      </c>
      <c r="Q71" s="15">
        <v>95</v>
      </c>
      <c r="R71" s="11" t="s">
        <v>3</v>
      </c>
      <c r="S71" s="10">
        <v>128.64484732823999</v>
      </c>
      <c r="T71" s="15">
        <v>80</v>
      </c>
      <c r="U71" s="15">
        <v>0</v>
      </c>
      <c r="V71" s="15">
        <v>0</v>
      </c>
      <c r="W71" s="15">
        <v>0</v>
      </c>
      <c r="X71" s="15">
        <f>IF(O71='Udvaskning nøgletal'!$D$65,1,IF(O71='Udvaskning nøgletal'!$D$66,2,IF(O71='Udvaskning nøgletal'!$D$67,3,IF(O71='Udvaskning nøgletal'!$D$68,2,""))))</f>
        <v>2</v>
      </c>
      <c r="Y71" s="15">
        <f>LOOKUP(K71,'Udvaskning nøgletal'!$C$12:$C$60,'Udvaskning nøgletal'!$H$12:$H$60)</f>
        <v>5</v>
      </c>
      <c r="Z71" s="10">
        <f>IF(X71=1,LOOKUP(K71,'Udvaskning nøgletal'!$C$12:$C$60,'Udvaskning nøgletal'!$E$12:$E$60)+Markniveau!Y71*Markniveau!S71/100,IF(X71=2,LOOKUP(K71,'Udvaskning nøgletal'!$C$12:$C$60,'Udvaskning nøgletal'!$F$12:$F$60)+Markniveau!Y71*Markniveau!S71/100,IF(X71=3,LOOKUP(K71,'Udvaskning nøgletal'!$C$12:$C$60,'Udvaskning nøgletal'!G81:G129)+Markniveau!Y71*Markniveau!S71/100,"")))</f>
        <v>57.312242366412001</v>
      </c>
      <c r="AA71" s="10">
        <f t="shared" si="16"/>
        <v>243.00390763358689</v>
      </c>
      <c r="AB71" s="10">
        <f t="shared" si="15"/>
        <v>2.8656121183206</v>
      </c>
      <c r="AC71" s="10">
        <f t="shared" si="17"/>
        <v>12.150195381679344</v>
      </c>
      <c r="AD71" s="10">
        <f>IF(AND(Q71&gt;0,Q71&lt;30,K71&lt;8),Markniveau!Z71*'Udvaskning nøgletal'!$I$12/100,IF(AND(Q71&gt;0,Q71&lt;30,K71=216),Markniveau!Z71*'Udvaskning nøgletal'!$I$34/100,Markniveau!Z71))</f>
        <v>57.312242366412001</v>
      </c>
      <c r="AE71" s="10">
        <f t="shared" si="13"/>
        <v>243.00390763358689</v>
      </c>
      <c r="AF71" s="10">
        <f t="shared" si="18"/>
        <v>2.8656121183206</v>
      </c>
      <c r="AG71" s="10">
        <f t="shared" si="14"/>
        <v>12.150195381679344</v>
      </c>
      <c r="AH71" s="10" t="str">
        <f>IF(AND(Q71&gt;0,Q71&lt;30,K71=216),'Udvaskning nøgletal'!$C$42,IF(AND(Q71&gt;0,Q71&lt;30,K71&gt;7,K71&lt;17),'Udvaskning nøgletal'!$C$61,IF(AND(Q71&gt;0,Q71&lt;30,K71&lt;7),'Udvaskning nøgletal'!$C$62,"")))</f>
        <v/>
      </c>
      <c r="AI71" s="10">
        <f t="shared" si="10"/>
        <v>1</v>
      </c>
      <c r="AJ71" s="10">
        <f>IF($X71=1,LOOKUP(AI71,'Udvaskning nøgletal'!$C$12:$C$62,'Udvaskning nøgletal'!$E$12:$E$62)+Markniveau!$Y71*Markniveau!$S71/100,IF($X71=2,LOOKUP(AI71,'Udvaskning nøgletal'!$C$12:$C$62,'Udvaskning nøgletal'!$F$12:$F$62)+Markniveau!$Y71*Markniveau!$S71/100,IF($X71=3,LOOKUP(AI71,'Udvaskning nøgletal'!$C$12:$C$62,'Udvaskning nøgletal'!Q81:Q131)+Markniveau!$Y71*Markniveau!$S71/100,"")))</f>
        <v>57.312242366412001</v>
      </c>
      <c r="AK71" s="10">
        <f t="shared" si="19"/>
        <v>243.00390763358689</v>
      </c>
      <c r="AL71" s="10">
        <f t="shared" si="11"/>
        <v>2.8656121183206</v>
      </c>
      <c r="AM71" s="10">
        <f t="shared" si="12"/>
        <v>12.150195381679344</v>
      </c>
    </row>
    <row r="72" spans="1:39" x14ac:dyDescent="0.25">
      <c r="A72" s="15">
        <v>12729839</v>
      </c>
      <c r="B72" s="15">
        <v>49.58</v>
      </c>
      <c r="C72" s="15">
        <v>323890</v>
      </c>
      <c r="D72" s="15">
        <v>51122</v>
      </c>
      <c r="E72" s="15" t="s">
        <v>112</v>
      </c>
      <c r="F72" s="15">
        <v>2011</v>
      </c>
      <c r="G72" s="15">
        <v>20110204</v>
      </c>
      <c r="H72" s="15">
        <v>28232</v>
      </c>
      <c r="I72" s="15">
        <v>2.82</v>
      </c>
      <c r="J72" s="6" t="s">
        <v>34</v>
      </c>
      <c r="K72" s="15">
        <v>14</v>
      </c>
      <c r="L72" s="15" t="s">
        <v>83</v>
      </c>
      <c r="M72" s="15" t="s">
        <v>5</v>
      </c>
      <c r="N72" s="11" t="s">
        <v>1406</v>
      </c>
      <c r="O72" s="11" t="s">
        <v>46</v>
      </c>
      <c r="P72" s="11" t="s">
        <v>33</v>
      </c>
      <c r="Q72" s="15">
        <v>95</v>
      </c>
      <c r="R72" s="11" t="s">
        <v>3</v>
      </c>
      <c r="S72" s="10">
        <v>128.64484732823999</v>
      </c>
      <c r="T72" s="15">
        <v>80</v>
      </c>
      <c r="U72" s="15">
        <v>0</v>
      </c>
      <c r="V72" s="15">
        <v>0</v>
      </c>
      <c r="W72" s="15">
        <v>0</v>
      </c>
      <c r="X72" s="15">
        <f>IF(O72='Udvaskning nøgletal'!$D$65,1,IF(O72='Udvaskning nøgletal'!$D$66,2,IF(O72='Udvaskning nøgletal'!$D$67,3,IF(O72='Udvaskning nøgletal'!$D$68,2,""))))</f>
        <v>2</v>
      </c>
      <c r="Y72" s="15">
        <f>LOOKUP(K72,'Udvaskning nøgletal'!$C$12:$C$60,'Udvaskning nøgletal'!$H$12:$H$60)</f>
        <v>5</v>
      </c>
      <c r="Z72" s="10">
        <f>IF(X72=1,LOOKUP(K72,'Udvaskning nøgletal'!$C$12:$C$60,'Udvaskning nøgletal'!$E$12:$E$60)+Markniveau!Y72*Markniveau!S72/100,IF(X72=2,LOOKUP(K72,'Udvaskning nøgletal'!$C$12:$C$60,'Udvaskning nøgletal'!$F$12:$F$60)+Markniveau!Y72*Markniveau!S72/100,IF(X72=3,LOOKUP(K72,'Udvaskning nøgletal'!$C$12:$C$60,'Udvaskning nøgletal'!G82:G130)+Markniveau!Y72*Markniveau!S72/100,"")))</f>
        <v>57.312242366412001</v>
      </c>
      <c r="AA72" s="10">
        <f t="shared" si="16"/>
        <v>161.62052347328182</v>
      </c>
      <c r="AB72" s="10">
        <f t="shared" si="15"/>
        <v>2.8656121183206</v>
      </c>
      <c r="AC72" s="10">
        <f t="shared" si="17"/>
        <v>8.0810261736640925</v>
      </c>
      <c r="AD72" s="10">
        <f>IF(AND(Q72&gt;0,Q72&lt;30,K72&lt;8),Markniveau!Z72*'Udvaskning nøgletal'!$I$12/100,IF(AND(Q72&gt;0,Q72&lt;30,K72=216),Markniveau!Z72*'Udvaskning nøgletal'!$I$34/100,Markniveau!Z72))</f>
        <v>57.312242366412001</v>
      </c>
      <c r="AE72" s="10">
        <f t="shared" si="13"/>
        <v>161.62052347328182</v>
      </c>
      <c r="AF72" s="10">
        <f t="shared" si="18"/>
        <v>2.8656121183206</v>
      </c>
      <c r="AG72" s="10">
        <f t="shared" si="14"/>
        <v>8.0810261736640925</v>
      </c>
      <c r="AH72" s="10" t="str">
        <f>IF(AND(Q72&gt;0,Q72&lt;30,K72=216),'Udvaskning nøgletal'!$C$42,IF(AND(Q72&gt;0,Q72&lt;30,K72&gt;7,K72&lt;17),'Udvaskning nøgletal'!$C$61,IF(AND(Q72&gt;0,Q72&lt;30,K72&lt;7),'Udvaskning nøgletal'!$C$62,"")))</f>
        <v/>
      </c>
      <c r="AI72" s="10">
        <f t="shared" ref="AI72:AI135" si="20">IF(SUM(AH72)&gt;0,AH72,K72)</f>
        <v>14</v>
      </c>
      <c r="AJ72" s="10">
        <f>IF($X72=1,LOOKUP(AI72,'Udvaskning nøgletal'!$C$12:$C$62,'Udvaskning nøgletal'!$E$12:$E$62)+Markniveau!$Y72*Markniveau!$S72/100,IF($X72=2,LOOKUP(AI72,'Udvaskning nøgletal'!$C$12:$C$62,'Udvaskning nøgletal'!$F$12:$F$62)+Markniveau!$Y72*Markniveau!$S72/100,IF($X72=3,LOOKUP(AI72,'Udvaskning nøgletal'!$C$12:$C$62,'Udvaskning nøgletal'!Q82:Q132)+Markniveau!$Y72*Markniveau!$S72/100,"")))</f>
        <v>57.312242366412001</v>
      </c>
      <c r="AK72" s="10">
        <f t="shared" si="19"/>
        <v>161.62052347328182</v>
      </c>
      <c r="AL72" s="10">
        <f t="shared" si="11"/>
        <v>2.8656121183206</v>
      </c>
      <c r="AM72" s="10">
        <f t="shared" si="12"/>
        <v>8.0810261736640925</v>
      </c>
    </row>
    <row r="73" spans="1:39" x14ac:dyDescent="0.25">
      <c r="A73" s="15">
        <v>12729839</v>
      </c>
      <c r="B73" s="15">
        <v>49.58</v>
      </c>
      <c r="C73" s="15">
        <v>324424</v>
      </c>
      <c r="D73" s="15">
        <v>51122</v>
      </c>
      <c r="E73" s="15" t="s">
        <v>113</v>
      </c>
      <c r="F73" s="15">
        <v>2011</v>
      </c>
      <c r="G73" s="15">
        <v>20110204</v>
      </c>
      <c r="H73" s="15">
        <v>143269</v>
      </c>
      <c r="I73" s="15">
        <v>14.33</v>
      </c>
      <c r="J73" s="6" t="s">
        <v>31</v>
      </c>
      <c r="K73" s="15">
        <v>14</v>
      </c>
      <c r="L73" s="15" t="s">
        <v>83</v>
      </c>
      <c r="M73" s="15" t="s">
        <v>5</v>
      </c>
      <c r="N73" s="11" t="s">
        <v>1406</v>
      </c>
      <c r="O73" s="11" t="s">
        <v>46</v>
      </c>
      <c r="P73" s="11" t="s">
        <v>29</v>
      </c>
      <c r="Q73" s="15">
        <v>0</v>
      </c>
      <c r="R73" s="11" t="s">
        <v>1386</v>
      </c>
      <c r="S73" s="10">
        <v>128.64484732823999</v>
      </c>
      <c r="T73" s="15">
        <v>80</v>
      </c>
      <c r="U73" s="15">
        <v>0</v>
      </c>
      <c r="V73" s="15">
        <v>0</v>
      </c>
      <c r="W73" s="15">
        <v>0</v>
      </c>
      <c r="X73" s="15">
        <f>IF(O73='Udvaskning nøgletal'!$D$65,1,IF(O73='Udvaskning nøgletal'!$D$66,2,IF(O73='Udvaskning nøgletal'!$D$67,3,IF(O73='Udvaskning nøgletal'!$D$68,2,""))))</f>
        <v>2</v>
      </c>
      <c r="Y73" s="15">
        <f>LOOKUP(K73,'Udvaskning nøgletal'!$C$12:$C$60,'Udvaskning nøgletal'!$H$12:$H$60)</f>
        <v>5</v>
      </c>
      <c r="Z73" s="10">
        <f>IF(X73=1,LOOKUP(K73,'Udvaskning nøgletal'!$C$12:$C$60,'Udvaskning nøgletal'!$E$12:$E$60)+Markniveau!Y73*Markniveau!S73/100,IF(X73=2,LOOKUP(K73,'Udvaskning nøgletal'!$C$12:$C$60,'Udvaskning nøgletal'!$F$12:$F$60)+Markniveau!Y73*Markniveau!S73/100,IF(X73=3,LOOKUP(K73,'Udvaskning nøgletal'!$C$12:$C$60,'Udvaskning nøgletal'!G83:G131)+Markniveau!Y73*Markniveau!S73/100,"")))</f>
        <v>57.312242366412001</v>
      </c>
      <c r="AA73" s="10">
        <f t="shared" si="16"/>
        <v>821.28443311068395</v>
      </c>
      <c r="AB73" s="10" t="str">
        <f t="shared" si="15"/>
        <v/>
      </c>
      <c r="AC73" s="10" t="str">
        <f t="shared" si="17"/>
        <v/>
      </c>
      <c r="AD73" s="10">
        <f>IF(AND(Q73&gt;0,Q73&lt;30,K73&lt;8),Markniveau!Z73*'Udvaskning nøgletal'!$I$12/100,IF(AND(Q73&gt;0,Q73&lt;30,K73=216),Markniveau!Z73*'Udvaskning nøgletal'!$I$34/100,Markniveau!Z73))</f>
        <v>57.312242366412001</v>
      </c>
      <c r="AE73" s="10">
        <f t="shared" si="13"/>
        <v>821.28443311068395</v>
      </c>
      <c r="AF73" s="10" t="str">
        <f t="shared" si="18"/>
        <v/>
      </c>
      <c r="AG73" s="10" t="str">
        <f t="shared" si="14"/>
        <v/>
      </c>
      <c r="AH73" s="10" t="str">
        <f>IF(AND(Q73&gt;0,Q73&lt;30,K73=216),'Udvaskning nøgletal'!$C$42,IF(AND(Q73&gt;0,Q73&lt;30,K73&gt;7,K73&lt;17),'Udvaskning nøgletal'!$C$61,IF(AND(Q73&gt;0,Q73&lt;30,K73&lt;7),'Udvaskning nøgletal'!$C$62,"")))</f>
        <v/>
      </c>
      <c r="AI73" s="10">
        <f t="shared" si="20"/>
        <v>14</v>
      </c>
      <c r="AJ73" s="10">
        <f>IF($X73=1,LOOKUP(AI73,'Udvaskning nøgletal'!$C$12:$C$62,'Udvaskning nøgletal'!$E$12:$E$62)+Markniveau!$Y73*Markniveau!$S73/100,IF($X73=2,LOOKUP(AI73,'Udvaskning nøgletal'!$C$12:$C$62,'Udvaskning nøgletal'!$F$12:$F$62)+Markniveau!$Y73*Markniveau!$S73/100,IF($X73=3,LOOKUP(AI73,'Udvaskning nøgletal'!$C$12:$C$62,'Udvaskning nøgletal'!Q83:Q133)+Markniveau!$Y73*Markniveau!$S73/100,"")))</f>
        <v>57.312242366412001</v>
      </c>
      <c r="AK73" s="10">
        <f t="shared" si="19"/>
        <v>821.28443311068395</v>
      </c>
      <c r="AL73" s="10" t="str">
        <f t="shared" si="11"/>
        <v/>
      </c>
      <c r="AM73" s="10" t="str">
        <f t="shared" si="12"/>
        <v/>
      </c>
    </row>
    <row r="74" spans="1:39" x14ac:dyDescent="0.25">
      <c r="A74" s="15">
        <v>12729839</v>
      </c>
      <c r="B74" s="15">
        <v>49.58</v>
      </c>
      <c r="C74" s="15">
        <v>324640</v>
      </c>
      <c r="D74" s="15">
        <v>51122</v>
      </c>
      <c r="E74" s="15" t="s">
        <v>110</v>
      </c>
      <c r="F74" s="15">
        <v>2011</v>
      </c>
      <c r="G74" s="15">
        <v>20110204</v>
      </c>
      <c r="H74" s="15">
        <v>145214</v>
      </c>
      <c r="I74" s="15">
        <v>14.52</v>
      </c>
      <c r="J74" s="6" t="s">
        <v>37</v>
      </c>
      <c r="K74" s="15">
        <v>3</v>
      </c>
      <c r="L74" s="15" t="s">
        <v>114</v>
      </c>
      <c r="M74" s="15" t="s">
        <v>5</v>
      </c>
      <c r="N74" s="11" t="s">
        <v>1406</v>
      </c>
      <c r="O74" s="11" t="s">
        <v>46</v>
      </c>
      <c r="P74" s="11" t="s">
        <v>29</v>
      </c>
      <c r="Q74" s="15">
        <v>95</v>
      </c>
      <c r="R74" s="11" t="s">
        <v>3</v>
      </c>
      <c r="S74" s="10">
        <v>128.64484732823999</v>
      </c>
      <c r="T74" s="15">
        <v>80</v>
      </c>
      <c r="U74" s="15">
        <v>0</v>
      </c>
      <c r="V74" s="15">
        <v>0</v>
      </c>
      <c r="W74" s="15">
        <v>0</v>
      </c>
      <c r="X74" s="15">
        <f>IF(O74='Udvaskning nøgletal'!$D$65,1,IF(O74='Udvaskning nøgletal'!$D$66,2,IF(O74='Udvaskning nøgletal'!$D$67,3,IF(O74='Udvaskning nøgletal'!$D$68,2,""))))</f>
        <v>2</v>
      </c>
      <c r="Y74" s="15">
        <f>LOOKUP(K74,'Udvaskning nøgletal'!$C$12:$C$60,'Udvaskning nøgletal'!$H$12:$H$60)</f>
        <v>5</v>
      </c>
      <c r="Z74" s="10">
        <f>IF(X74=1,LOOKUP(K74,'Udvaskning nøgletal'!$C$12:$C$60,'Udvaskning nøgletal'!$E$12:$E$60)+Markniveau!Y74*Markniveau!S74/100,IF(X74=2,LOOKUP(K74,'Udvaskning nøgletal'!$C$12:$C$60,'Udvaskning nøgletal'!$F$12:$F$60)+Markniveau!Y74*Markniveau!S74/100,IF(X74=3,LOOKUP(K74,'Udvaskning nøgletal'!$C$12:$C$60,'Udvaskning nøgletal'!G84:G132)+Markniveau!Y74*Markniveau!S74/100,"")))</f>
        <v>57.312242366412001</v>
      </c>
      <c r="AA74" s="10">
        <f t="shared" si="16"/>
        <v>832.17375916030221</v>
      </c>
      <c r="AB74" s="10">
        <f t="shared" si="15"/>
        <v>2.8656121183206</v>
      </c>
      <c r="AC74" s="10">
        <f t="shared" si="17"/>
        <v>41.608687958015111</v>
      </c>
      <c r="AD74" s="10">
        <f>IF(AND(Q74&gt;0,Q74&lt;30,K74&lt;8),Markniveau!Z74*'Udvaskning nøgletal'!$I$12/100,IF(AND(Q74&gt;0,Q74&lt;30,K74=216),Markniveau!Z74*'Udvaskning nøgletal'!$I$34/100,Markniveau!Z74))</f>
        <v>57.312242366412001</v>
      </c>
      <c r="AE74" s="10">
        <f t="shared" si="13"/>
        <v>832.17375916030221</v>
      </c>
      <c r="AF74" s="10">
        <f t="shared" si="18"/>
        <v>2.8656121183206</v>
      </c>
      <c r="AG74" s="10">
        <f t="shared" si="14"/>
        <v>41.608687958015111</v>
      </c>
      <c r="AH74" s="10" t="str">
        <f>IF(AND(Q74&gt;0,Q74&lt;30,K74=216),'Udvaskning nøgletal'!$C$42,IF(AND(Q74&gt;0,Q74&lt;30,K74&gt;7,K74&lt;17),'Udvaskning nøgletal'!$C$61,IF(AND(Q74&gt;0,Q74&lt;30,K74&lt;7),'Udvaskning nøgletal'!$C$62,"")))</f>
        <v/>
      </c>
      <c r="AI74" s="10">
        <f t="shared" si="20"/>
        <v>3</v>
      </c>
      <c r="AJ74" s="10">
        <f>IF($X74=1,LOOKUP(AI74,'Udvaskning nøgletal'!$C$12:$C$62,'Udvaskning nøgletal'!$E$12:$E$62)+Markniveau!$Y74*Markniveau!$S74/100,IF($X74=2,LOOKUP(AI74,'Udvaskning nøgletal'!$C$12:$C$62,'Udvaskning nøgletal'!$F$12:$F$62)+Markniveau!$Y74*Markniveau!$S74/100,IF($X74=3,LOOKUP(AI74,'Udvaskning nøgletal'!$C$12:$C$62,'Udvaskning nøgletal'!Q84:Q134)+Markniveau!$Y74*Markniveau!$S74/100,"")))</f>
        <v>57.312242366412001</v>
      </c>
      <c r="AK74" s="10">
        <f t="shared" si="19"/>
        <v>832.17375916030221</v>
      </c>
      <c r="AL74" s="10">
        <f t="shared" si="11"/>
        <v>2.8656121183206</v>
      </c>
      <c r="AM74" s="10">
        <f t="shared" si="12"/>
        <v>41.608687958015111</v>
      </c>
    </row>
    <row r="75" spans="1:39" x14ac:dyDescent="0.25">
      <c r="A75" s="15">
        <v>12729839</v>
      </c>
      <c r="B75" s="15">
        <v>49.58</v>
      </c>
      <c r="C75" s="15">
        <v>298167</v>
      </c>
      <c r="D75" s="15">
        <v>51122</v>
      </c>
      <c r="E75" s="15" t="s">
        <v>111</v>
      </c>
      <c r="F75" s="15">
        <v>2011</v>
      </c>
      <c r="G75" s="15">
        <v>20110204</v>
      </c>
      <c r="H75" s="15">
        <v>72572</v>
      </c>
      <c r="I75" s="15">
        <v>7.26</v>
      </c>
      <c r="J75" s="6" t="s">
        <v>1402</v>
      </c>
      <c r="K75" s="15">
        <v>1</v>
      </c>
      <c r="L75" s="15" t="s">
        <v>32</v>
      </c>
      <c r="M75" s="15" t="s">
        <v>5</v>
      </c>
      <c r="N75" s="11" t="s">
        <v>1406</v>
      </c>
      <c r="O75" s="11" t="s">
        <v>46</v>
      </c>
      <c r="P75" s="11" t="s">
        <v>29</v>
      </c>
      <c r="Q75" s="15">
        <v>95</v>
      </c>
      <c r="R75" s="11" t="s">
        <v>3</v>
      </c>
      <c r="S75" s="10">
        <v>128.64484732823999</v>
      </c>
      <c r="T75" s="15">
        <v>80</v>
      </c>
      <c r="U75" s="15">
        <v>0</v>
      </c>
      <c r="V75" s="15">
        <v>0</v>
      </c>
      <c r="W75" s="15">
        <v>0</v>
      </c>
      <c r="X75" s="15">
        <f>IF(O75='Udvaskning nøgletal'!$D$65,1,IF(O75='Udvaskning nøgletal'!$D$66,2,IF(O75='Udvaskning nøgletal'!$D$67,3,IF(O75='Udvaskning nøgletal'!$D$68,2,""))))</f>
        <v>2</v>
      </c>
      <c r="Y75" s="15">
        <f>LOOKUP(K75,'Udvaskning nøgletal'!$C$12:$C$60,'Udvaskning nøgletal'!$H$12:$H$60)</f>
        <v>5</v>
      </c>
      <c r="Z75" s="10">
        <f>IF(X75=1,LOOKUP(K75,'Udvaskning nøgletal'!$C$12:$C$60,'Udvaskning nøgletal'!$E$12:$E$60)+Markniveau!Y75*Markniveau!S75/100,IF(X75=2,LOOKUP(K75,'Udvaskning nøgletal'!$C$12:$C$60,'Udvaskning nøgletal'!$F$12:$F$60)+Markniveau!Y75*Markniveau!S75/100,IF(X75=3,LOOKUP(K75,'Udvaskning nøgletal'!$C$12:$C$60,'Udvaskning nøgletal'!G85:G133)+Markniveau!Y75*Markniveau!S75/100,"")))</f>
        <v>57.312242366412001</v>
      </c>
      <c r="AA75" s="10">
        <f t="shared" si="16"/>
        <v>416.08687958015111</v>
      </c>
      <c r="AB75" s="10">
        <f t="shared" si="15"/>
        <v>2.8656121183206</v>
      </c>
      <c r="AC75" s="10">
        <f t="shared" si="17"/>
        <v>20.804343979007555</v>
      </c>
      <c r="AD75" s="10">
        <f>IF(AND(Q75&gt;0,Q75&lt;30,K75&lt;8),Markniveau!Z75*'Udvaskning nøgletal'!$I$12/100,IF(AND(Q75&gt;0,Q75&lt;30,K75=216),Markniveau!Z75*'Udvaskning nøgletal'!$I$34/100,Markniveau!Z75))</f>
        <v>57.312242366412001</v>
      </c>
      <c r="AE75" s="10">
        <f t="shared" si="13"/>
        <v>416.08687958015111</v>
      </c>
      <c r="AF75" s="10">
        <f t="shared" si="18"/>
        <v>2.8656121183206</v>
      </c>
      <c r="AG75" s="10">
        <f t="shared" si="14"/>
        <v>20.804343979007555</v>
      </c>
      <c r="AH75" s="10" t="str">
        <f>IF(AND(Q75&gt;0,Q75&lt;30,K75=216),'Udvaskning nøgletal'!$C$42,IF(AND(Q75&gt;0,Q75&lt;30,K75&gt;7,K75&lt;17),'Udvaskning nøgletal'!$C$61,IF(AND(Q75&gt;0,Q75&lt;30,K75&lt;7),'Udvaskning nøgletal'!$C$62,"")))</f>
        <v/>
      </c>
      <c r="AI75" s="10">
        <f t="shared" si="20"/>
        <v>1</v>
      </c>
      <c r="AJ75" s="10">
        <f>IF($X75=1,LOOKUP(AI75,'Udvaskning nøgletal'!$C$12:$C$62,'Udvaskning nøgletal'!$E$12:$E$62)+Markniveau!$Y75*Markniveau!$S75/100,IF($X75=2,LOOKUP(AI75,'Udvaskning nøgletal'!$C$12:$C$62,'Udvaskning nøgletal'!$F$12:$F$62)+Markniveau!$Y75*Markniveau!$S75/100,IF($X75=3,LOOKUP(AI75,'Udvaskning nøgletal'!$C$12:$C$62,'Udvaskning nøgletal'!Q85:Q135)+Markniveau!$Y75*Markniveau!$S75/100,"")))</f>
        <v>57.312242366412001</v>
      </c>
      <c r="AK75" s="10">
        <f t="shared" si="19"/>
        <v>416.08687958015111</v>
      </c>
      <c r="AL75" s="10">
        <f t="shared" ref="AL75:AL138" si="21">IF($Q75&gt;0,(100-$Q75)*AJ75/100,"")</f>
        <v>2.8656121183206</v>
      </c>
      <c r="AM75" s="10">
        <f t="shared" ref="AM75:AM138" si="22">IF($Q75&gt;0,(100-$Q75)*AJ75/100*I75,"")</f>
        <v>20.804343979007555</v>
      </c>
    </row>
    <row r="76" spans="1:39" x14ac:dyDescent="0.25">
      <c r="A76" s="15">
        <v>12729839</v>
      </c>
      <c r="B76" s="15">
        <v>49.58</v>
      </c>
      <c r="C76" s="15">
        <v>298168</v>
      </c>
      <c r="D76" s="15">
        <v>51122</v>
      </c>
      <c r="E76" s="15" t="s">
        <v>111</v>
      </c>
      <c r="F76" s="15">
        <v>2011</v>
      </c>
      <c r="G76" s="15">
        <v>20110204</v>
      </c>
      <c r="H76" s="15">
        <v>2984</v>
      </c>
      <c r="I76" s="15">
        <v>0.3</v>
      </c>
      <c r="J76" s="6" t="s">
        <v>1407</v>
      </c>
      <c r="K76" s="15">
        <v>263</v>
      </c>
      <c r="L76" s="15" t="s">
        <v>39</v>
      </c>
      <c r="M76" s="15" t="s">
        <v>5</v>
      </c>
      <c r="N76" s="11" t="s">
        <v>1406</v>
      </c>
      <c r="O76" s="11" t="s">
        <v>46</v>
      </c>
      <c r="P76" s="11" t="s">
        <v>29</v>
      </c>
      <c r="Q76" s="15">
        <v>95</v>
      </c>
      <c r="R76" s="11" t="s">
        <v>3</v>
      </c>
      <c r="S76" s="10">
        <v>128.64484732823999</v>
      </c>
      <c r="T76" s="15">
        <v>80</v>
      </c>
      <c r="U76" s="15">
        <v>0</v>
      </c>
      <c r="V76" s="15">
        <v>0</v>
      </c>
      <c r="W76" s="15">
        <v>0</v>
      </c>
      <c r="X76" s="15">
        <f>IF(O76='Udvaskning nøgletal'!$D$65,1,IF(O76='Udvaskning nøgletal'!$D$66,2,IF(O76='Udvaskning nøgletal'!$D$67,3,IF(O76='Udvaskning nøgletal'!$D$68,2,""))))</f>
        <v>2</v>
      </c>
      <c r="Y76" s="15">
        <f>LOOKUP(K76,'Udvaskning nøgletal'!$C$12:$C$60,'Udvaskning nøgletal'!$H$12:$H$60)</f>
        <v>0</v>
      </c>
      <c r="Z76" s="10">
        <f>IF(X76=1,LOOKUP(K76,'Udvaskning nøgletal'!$C$12:$C$60,'Udvaskning nøgletal'!$E$12:$E$60)+Markniveau!Y76*Markniveau!S76/100,IF(X76=2,LOOKUP(K76,'Udvaskning nøgletal'!$C$12:$C$60,'Udvaskning nøgletal'!$F$12:$F$60)+Markniveau!Y76*Markniveau!S76/100,IF(X76=3,LOOKUP(K76,'Udvaskning nøgletal'!$C$12:$C$60,'Udvaskning nøgletal'!G86:G134)+Markniveau!Y76*Markniveau!S76/100,"")))</f>
        <v>27.331185321443094</v>
      </c>
      <c r="AA76" s="10">
        <f t="shared" si="16"/>
        <v>8.1993555964329286</v>
      </c>
      <c r="AB76" s="10">
        <f t="shared" si="15"/>
        <v>1.3665592660721546</v>
      </c>
      <c r="AC76" s="10">
        <f t="shared" si="17"/>
        <v>0.40996777982164639</v>
      </c>
      <c r="AD76" s="10">
        <f>IF(AND(Q76&gt;0,Q76&lt;30,K76&lt;8),Markniveau!Z76*'Udvaskning nøgletal'!$I$12/100,IF(AND(Q76&gt;0,Q76&lt;30,K76=216),Markniveau!Z76*'Udvaskning nøgletal'!$I$34/100,Markniveau!Z76))</f>
        <v>27.331185321443094</v>
      </c>
      <c r="AE76" s="10">
        <f t="shared" si="13"/>
        <v>8.1993555964329286</v>
      </c>
      <c r="AF76" s="10">
        <f t="shared" si="18"/>
        <v>1.3665592660721546</v>
      </c>
      <c r="AG76" s="10">
        <f t="shared" si="14"/>
        <v>0.40996777982164639</v>
      </c>
      <c r="AH76" s="10" t="str">
        <f>IF(AND(Q76&gt;0,Q76&lt;30,K76=216),'Udvaskning nøgletal'!$C$42,IF(AND(Q76&gt;0,Q76&lt;30,K76&gt;7,K76&lt;17),'Udvaskning nøgletal'!$C$61,IF(AND(Q76&gt;0,Q76&lt;30,K76&lt;7),'Udvaskning nøgletal'!$C$62,"")))</f>
        <v/>
      </c>
      <c r="AI76" s="10">
        <f t="shared" si="20"/>
        <v>263</v>
      </c>
      <c r="AJ76" s="10">
        <f>IF($X76=1,LOOKUP(AI76,'Udvaskning nøgletal'!$C$12:$C$62,'Udvaskning nøgletal'!$E$12:$E$62)+Markniveau!$Y76*Markniveau!$S76/100,IF($X76=2,LOOKUP(AI76,'Udvaskning nøgletal'!$C$12:$C$62,'Udvaskning nøgletal'!$F$12:$F$62)+Markniveau!$Y76*Markniveau!$S76/100,IF($X76=3,LOOKUP(AI76,'Udvaskning nøgletal'!$C$12:$C$62,'Udvaskning nøgletal'!Q86:Q136)+Markniveau!$Y76*Markniveau!$S76/100,"")))</f>
        <v>27.331185321443094</v>
      </c>
      <c r="AK76" s="10">
        <f t="shared" si="19"/>
        <v>8.1993555964329286</v>
      </c>
      <c r="AL76" s="10">
        <f t="shared" si="21"/>
        <v>1.3665592660721546</v>
      </c>
      <c r="AM76" s="10">
        <f t="shared" si="22"/>
        <v>0.40996777982164639</v>
      </c>
    </row>
    <row r="77" spans="1:39" x14ac:dyDescent="0.25">
      <c r="A77" s="15">
        <v>13014671</v>
      </c>
      <c r="B77" s="15">
        <v>24.83</v>
      </c>
      <c r="C77" s="15">
        <v>133056</v>
      </c>
      <c r="D77" s="15">
        <v>2792</v>
      </c>
      <c r="E77" s="15" t="s">
        <v>115</v>
      </c>
      <c r="F77" s="15">
        <v>2011</v>
      </c>
      <c r="G77" s="15">
        <v>20110417</v>
      </c>
      <c r="H77" s="15">
        <v>73912</v>
      </c>
      <c r="I77" s="15">
        <v>7.39</v>
      </c>
      <c r="J77" s="6" t="s">
        <v>71</v>
      </c>
      <c r="K77" s="15">
        <v>216</v>
      </c>
      <c r="L77" s="15" t="s">
        <v>116</v>
      </c>
      <c r="M77" s="15" t="s">
        <v>5</v>
      </c>
      <c r="N77" s="11" t="s">
        <v>1391</v>
      </c>
      <c r="O77" s="11" t="s">
        <v>46</v>
      </c>
      <c r="P77" s="11" t="s">
        <v>33</v>
      </c>
      <c r="Q77" s="15">
        <v>0</v>
      </c>
      <c r="R77" s="11" t="s">
        <v>1386</v>
      </c>
      <c r="S77" s="10">
        <v>149.84313841424</v>
      </c>
      <c r="T77" s="15">
        <v>80</v>
      </c>
      <c r="U77" s="15">
        <v>0</v>
      </c>
      <c r="V77" s="15">
        <v>1</v>
      </c>
      <c r="W77" s="15">
        <v>0</v>
      </c>
      <c r="X77" s="15">
        <f>IF(O77='Udvaskning nøgletal'!$D$65,1,IF(O77='Udvaskning nøgletal'!$D$66,2,IF(O77='Udvaskning nøgletal'!$D$67,3,IF(O77='Udvaskning nøgletal'!$D$68,2,""))))</f>
        <v>2</v>
      </c>
      <c r="Y77" s="15">
        <f>LOOKUP(K77,'Udvaskning nøgletal'!$C$12:$C$60,'Udvaskning nøgletal'!$H$12:$H$60)</f>
        <v>0</v>
      </c>
      <c r="Z77" s="10">
        <f>IF(X77=1,LOOKUP(K77,'Udvaskning nøgletal'!$C$12:$C$60,'Udvaskning nøgletal'!$E$12:$E$60)+Markniveau!Y77*Markniveau!S77/100,IF(X77=2,LOOKUP(K77,'Udvaskning nøgletal'!$C$12:$C$60,'Udvaskning nøgletal'!$F$12:$F$60)+Markniveau!Y77*Markniveau!S77/100,IF(X77=3,LOOKUP(K77,'Udvaskning nøgletal'!$C$12:$C$60,'Udvaskning nøgletal'!G87:G135)+Markniveau!Y77*Markniveau!S77/100,"")))</f>
        <v>101.66744640811392</v>
      </c>
      <c r="AA77" s="10">
        <f t="shared" si="16"/>
        <v>751.32242895596187</v>
      </c>
      <c r="AB77" s="10" t="str">
        <f t="shared" si="15"/>
        <v/>
      </c>
      <c r="AC77" s="10" t="str">
        <f t="shared" si="17"/>
        <v/>
      </c>
      <c r="AD77" s="10">
        <f>IF(AND(Q77&gt;0,Q77&lt;30,K77&lt;8),Markniveau!Z77*'Udvaskning nøgletal'!$I$12/100,IF(AND(Q77&gt;0,Q77&lt;30,K77=216),Markniveau!Z77*'Udvaskning nøgletal'!$I$34/100,Markniveau!Z77))</f>
        <v>101.66744640811392</v>
      </c>
      <c r="AE77" s="10">
        <f t="shared" si="13"/>
        <v>751.32242895596187</v>
      </c>
      <c r="AF77" s="10" t="str">
        <f t="shared" si="18"/>
        <v/>
      </c>
      <c r="AG77" s="10" t="str">
        <f t="shared" si="14"/>
        <v/>
      </c>
      <c r="AH77" s="10" t="str">
        <f>IF(AND(Q77&gt;0,Q77&lt;30,K77=216),'Udvaskning nøgletal'!$C$42,IF(AND(Q77&gt;0,Q77&lt;30,K77&gt;7,K77&lt;17),'Udvaskning nøgletal'!$C$61,IF(AND(Q77&gt;0,Q77&lt;30,K77&lt;7),'Udvaskning nøgletal'!$C$62,"")))</f>
        <v/>
      </c>
      <c r="AI77" s="10">
        <f t="shared" si="20"/>
        <v>216</v>
      </c>
      <c r="AJ77" s="10">
        <f>IF($X77=1,LOOKUP(AI77,'Udvaskning nøgletal'!$C$12:$C$62,'Udvaskning nøgletal'!$E$12:$E$62)+Markniveau!$Y77*Markniveau!$S77/100,IF($X77=2,LOOKUP(AI77,'Udvaskning nøgletal'!$C$12:$C$62,'Udvaskning nøgletal'!$F$12:$F$62)+Markniveau!$Y77*Markniveau!$S77/100,IF($X77=3,LOOKUP(AI77,'Udvaskning nøgletal'!$C$12:$C$62,'Udvaskning nøgletal'!Q87:Q137)+Markniveau!$Y77*Markniveau!$S77/100,"")))</f>
        <v>101.66744640811392</v>
      </c>
      <c r="AK77" s="10">
        <f t="shared" si="19"/>
        <v>751.32242895596187</v>
      </c>
      <c r="AL77" s="10" t="str">
        <f t="shared" si="21"/>
        <v/>
      </c>
      <c r="AM77" s="10" t="str">
        <f t="shared" si="22"/>
        <v/>
      </c>
    </row>
    <row r="78" spans="1:39" x14ac:dyDescent="0.25">
      <c r="A78" s="15">
        <v>13014671</v>
      </c>
      <c r="B78" s="15">
        <v>24.83</v>
      </c>
      <c r="C78" s="15">
        <v>135806</v>
      </c>
      <c r="D78" s="15">
        <v>2792</v>
      </c>
      <c r="E78" s="15" t="s">
        <v>117</v>
      </c>
      <c r="F78" s="15">
        <v>2011</v>
      </c>
      <c r="G78" s="15">
        <v>20110417</v>
      </c>
      <c r="H78" s="15">
        <v>93415</v>
      </c>
      <c r="I78" s="15">
        <v>9.34</v>
      </c>
      <c r="J78" s="6" t="s">
        <v>93</v>
      </c>
      <c r="K78" s="15">
        <v>216</v>
      </c>
      <c r="L78" s="15" t="s">
        <v>116</v>
      </c>
      <c r="M78" s="15" t="s">
        <v>5</v>
      </c>
      <c r="N78" s="11" t="s">
        <v>1384</v>
      </c>
      <c r="O78" s="11" t="s">
        <v>28</v>
      </c>
      <c r="P78" s="11" t="s">
        <v>33</v>
      </c>
      <c r="Q78" s="15">
        <v>0</v>
      </c>
      <c r="R78" s="11" t="s">
        <v>1386</v>
      </c>
      <c r="S78" s="10">
        <v>149.84313841424</v>
      </c>
      <c r="T78" s="15">
        <v>80</v>
      </c>
      <c r="U78" s="15">
        <v>0</v>
      </c>
      <c r="V78" s="15">
        <v>1</v>
      </c>
      <c r="W78" s="15">
        <v>0</v>
      </c>
      <c r="X78" s="15">
        <f>IF(O78='Udvaskning nøgletal'!$D$65,1,IF(O78='Udvaskning nøgletal'!$D$66,2,IF(O78='Udvaskning nøgletal'!$D$67,3,IF(O78='Udvaskning nøgletal'!$D$68,2,""))))</f>
        <v>1</v>
      </c>
      <c r="Y78" s="15">
        <f>LOOKUP(K78,'Udvaskning nøgletal'!$C$12:$C$60,'Udvaskning nøgletal'!$H$12:$H$60)</f>
        <v>0</v>
      </c>
      <c r="Z78" s="10">
        <f>IF(X78=1,LOOKUP(K78,'Udvaskning nøgletal'!$C$12:$C$60,'Udvaskning nøgletal'!$E$12:$E$60)+Markniveau!Y78*Markniveau!S78/100,IF(X78=2,LOOKUP(K78,'Udvaskning nøgletal'!$C$12:$C$60,'Udvaskning nøgletal'!$F$12:$F$60)+Markniveau!Y78*Markniveau!S78/100,IF(X78=3,LOOKUP(K78,'Udvaskning nøgletal'!$C$12:$C$60,'Udvaskning nøgletal'!G88:G136)+Markniveau!Y78*Markniveau!S78/100,"")))</f>
        <v>125.85383557148924</v>
      </c>
      <c r="AA78" s="10">
        <f t="shared" si="16"/>
        <v>1175.4748242377095</v>
      </c>
      <c r="AB78" s="10" t="str">
        <f t="shared" si="15"/>
        <v/>
      </c>
      <c r="AC78" s="10" t="str">
        <f t="shared" si="17"/>
        <v/>
      </c>
      <c r="AD78" s="10">
        <f>IF(AND(Q78&gt;0,Q78&lt;30,K78&lt;8),Markniveau!Z78*'Udvaskning nøgletal'!$I$12/100,IF(AND(Q78&gt;0,Q78&lt;30,K78=216),Markniveau!Z78*'Udvaskning nøgletal'!$I$34/100,Markniveau!Z78))</f>
        <v>125.85383557148924</v>
      </c>
      <c r="AE78" s="10">
        <f t="shared" si="13"/>
        <v>1175.4748242377095</v>
      </c>
      <c r="AF78" s="10" t="str">
        <f t="shared" si="18"/>
        <v/>
      </c>
      <c r="AG78" s="10" t="str">
        <f t="shared" si="14"/>
        <v/>
      </c>
      <c r="AH78" s="10" t="str">
        <f>IF(AND(Q78&gt;0,Q78&lt;30,K78=216),'Udvaskning nøgletal'!$C$42,IF(AND(Q78&gt;0,Q78&lt;30,K78&gt;7,K78&lt;17),'Udvaskning nøgletal'!$C$61,IF(AND(Q78&gt;0,Q78&lt;30,K78&lt;7),'Udvaskning nøgletal'!$C$62,"")))</f>
        <v/>
      </c>
      <c r="AI78" s="10">
        <f t="shared" si="20"/>
        <v>216</v>
      </c>
      <c r="AJ78" s="10">
        <f>IF($X78=1,LOOKUP(AI78,'Udvaskning nøgletal'!$C$12:$C$62,'Udvaskning nøgletal'!$E$12:$E$62)+Markniveau!$Y78*Markniveau!$S78/100,IF($X78=2,LOOKUP(AI78,'Udvaskning nøgletal'!$C$12:$C$62,'Udvaskning nøgletal'!$F$12:$F$62)+Markniveau!$Y78*Markniveau!$S78/100,IF($X78=3,LOOKUP(AI78,'Udvaskning nøgletal'!$C$12:$C$62,'Udvaskning nøgletal'!Q88:Q138)+Markniveau!$Y78*Markniveau!$S78/100,"")))</f>
        <v>125.85383557148924</v>
      </c>
      <c r="AK78" s="10">
        <f t="shared" si="19"/>
        <v>1175.4748242377095</v>
      </c>
      <c r="AL78" s="10" t="str">
        <f t="shared" si="21"/>
        <v/>
      </c>
      <c r="AM78" s="10" t="str">
        <f t="shared" si="22"/>
        <v/>
      </c>
    </row>
    <row r="79" spans="1:39" x14ac:dyDescent="0.25">
      <c r="A79" s="15">
        <v>13014671</v>
      </c>
      <c r="B79" s="15">
        <v>24.83</v>
      </c>
      <c r="C79" s="15">
        <v>137246</v>
      </c>
      <c r="D79" s="15">
        <v>2792</v>
      </c>
      <c r="E79" s="15" t="s">
        <v>118</v>
      </c>
      <c r="F79" s="15">
        <v>2011</v>
      </c>
      <c r="G79" s="15">
        <v>20110417</v>
      </c>
      <c r="H79" s="15">
        <v>39483</v>
      </c>
      <c r="I79" s="15">
        <v>3.95</v>
      </c>
      <c r="J79" s="6" t="s">
        <v>53</v>
      </c>
      <c r="K79" s="15">
        <v>252</v>
      </c>
      <c r="L79" s="15" t="s">
        <v>41</v>
      </c>
      <c r="M79" s="15" t="s">
        <v>4</v>
      </c>
      <c r="N79" s="11" t="s">
        <v>1384</v>
      </c>
      <c r="O79" s="11" t="s">
        <v>28</v>
      </c>
      <c r="P79" s="11" t="s">
        <v>33</v>
      </c>
      <c r="Q79" s="15">
        <v>0</v>
      </c>
      <c r="R79" s="11" t="s">
        <v>1386</v>
      </c>
      <c r="S79" s="10">
        <v>149.84313841424</v>
      </c>
      <c r="T79" s="15">
        <v>80</v>
      </c>
      <c r="U79" s="15">
        <v>0</v>
      </c>
      <c r="V79" s="15">
        <v>1</v>
      </c>
      <c r="W79" s="15">
        <v>0</v>
      </c>
      <c r="X79" s="15">
        <f>IF(O79='Udvaskning nøgletal'!$D$65,1,IF(O79='Udvaskning nøgletal'!$D$66,2,IF(O79='Udvaskning nøgletal'!$D$67,3,IF(O79='Udvaskning nøgletal'!$D$68,2,""))))</f>
        <v>1</v>
      </c>
      <c r="Y79" s="15">
        <f>LOOKUP(K79,'Udvaskning nøgletal'!$C$12:$C$60,'Udvaskning nøgletal'!$H$12:$H$60)</f>
        <v>0</v>
      </c>
      <c r="Z79" s="10">
        <f>IF(X79=1,LOOKUP(K79,'Udvaskning nøgletal'!$C$12:$C$60,'Udvaskning nøgletal'!$E$12:$E$60)+Markniveau!Y79*Markniveau!S79/100,IF(X79=2,LOOKUP(K79,'Udvaskning nøgletal'!$C$12:$C$60,'Udvaskning nøgletal'!$F$12:$F$60)+Markniveau!Y79*Markniveau!S79/100,IF(X79=3,LOOKUP(K79,'Udvaskning nøgletal'!$C$12:$C$60,'Udvaskning nøgletal'!G89:G137)+Markniveau!Y79*Markniveau!S79/100,"")))</f>
        <v>21.2</v>
      </c>
      <c r="AA79" s="10">
        <f t="shared" si="16"/>
        <v>83.74</v>
      </c>
      <c r="AB79" s="10" t="str">
        <f t="shared" si="15"/>
        <v/>
      </c>
      <c r="AC79" s="10" t="str">
        <f t="shared" si="17"/>
        <v/>
      </c>
      <c r="AD79" s="10">
        <f>IF(AND(Q79&gt;0,Q79&lt;30,K79&lt;8),Markniveau!Z79*'Udvaskning nøgletal'!$I$12/100,IF(AND(Q79&gt;0,Q79&lt;30,K79=216),Markniveau!Z79*'Udvaskning nøgletal'!$I$34/100,Markniveau!Z79))</f>
        <v>21.2</v>
      </c>
      <c r="AE79" s="10">
        <f t="shared" si="13"/>
        <v>83.74</v>
      </c>
      <c r="AF79" s="10" t="str">
        <f t="shared" si="18"/>
        <v/>
      </c>
      <c r="AG79" s="10" t="str">
        <f t="shared" si="14"/>
        <v/>
      </c>
      <c r="AH79" s="10" t="str">
        <f>IF(AND(Q79&gt;0,Q79&lt;30,K79=216),'Udvaskning nøgletal'!$C$42,IF(AND(Q79&gt;0,Q79&lt;30,K79&gt;7,K79&lt;17),'Udvaskning nøgletal'!$C$61,IF(AND(Q79&gt;0,Q79&lt;30,K79&lt;7),'Udvaskning nøgletal'!$C$62,"")))</f>
        <v/>
      </c>
      <c r="AI79" s="10">
        <f t="shared" si="20"/>
        <v>252</v>
      </c>
      <c r="AJ79" s="10">
        <f>IF($X79=1,LOOKUP(AI79,'Udvaskning nøgletal'!$C$12:$C$62,'Udvaskning nøgletal'!$E$12:$E$62)+Markniveau!$Y79*Markniveau!$S79/100,IF($X79=2,LOOKUP(AI79,'Udvaskning nøgletal'!$C$12:$C$62,'Udvaskning nøgletal'!$F$12:$F$62)+Markniveau!$Y79*Markniveau!$S79/100,IF($X79=3,LOOKUP(AI79,'Udvaskning nøgletal'!$C$12:$C$62,'Udvaskning nøgletal'!Q89:Q139)+Markniveau!$Y79*Markniveau!$S79/100,"")))</f>
        <v>21.2</v>
      </c>
      <c r="AK79" s="10">
        <f t="shared" si="19"/>
        <v>83.74</v>
      </c>
      <c r="AL79" s="10" t="str">
        <f t="shared" si="21"/>
        <v/>
      </c>
      <c r="AM79" s="10" t="str">
        <f t="shared" si="22"/>
        <v/>
      </c>
    </row>
    <row r="80" spans="1:39" x14ac:dyDescent="0.25">
      <c r="A80" s="15">
        <v>13014671</v>
      </c>
      <c r="B80" s="15">
        <v>24.83</v>
      </c>
      <c r="C80" s="15">
        <v>138409</v>
      </c>
      <c r="D80" s="15">
        <v>2792</v>
      </c>
      <c r="E80" s="15" t="s">
        <v>119</v>
      </c>
      <c r="F80" s="15">
        <v>2011</v>
      </c>
      <c r="G80" s="15">
        <v>20110417</v>
      </c>
      <c r="H80" s="15">
        <v>3691</v>
      </c>
      <c r="I80" s="15">
        <v>0.37</v>
      </c>
      <c r="J80" s="6" t="s">
        <v>87</v>
      </c>
      <c r="K80" s="15">
        <v>230</v>
      </c>
      <c r="L80" s="15" t="s">
        <v>120</v>
      </c>
      <c r="M80" s="15" t="s">
        <v>5</v>
      </c>
      <c r="N80" s="11" t="s">
        <v>1384</v>
      </c>
      <c r="O80" s="11" t="s">
        <v>28</v>
      </c>
      <c r="P80" s="11" t="s">
        <v>33</v>
      </c>
      <c r="Q80" s="15">
        <v>0</v>
      </c>
      <c r="R80" s="11" t="s">
        <v>1386</v>
      </c>
      <c r="S80" s="10">
        <v>149.84313841424</v>
      </c>
      <c r="T80" s="15">
        <v>80</v>
      </c>
      <c r="U80" s="15">
        <v>0</v>
      </c>
      <c r="V80" s="15">
        <v>1</v>
      </c>
      <c r="W80" s="15">
        <v>0</v>
      </c>
      <c r="X80" s="15">
        <f>IF(O80='Udvaskning nøgletal'!$D$65,1,IF(O80='Udvaskning nøgletal'!$D$66,2,IF(O80='Udvaskning nøgletal'!$D$67,3,IF(O80='Udvaskning nøgletal'!$D$68,2,""))))</f>
        <v>1</v>
      </c>
      <c r="Y80" s="15">
        <f>LOOKUP(K80,'Udvaskning nøgletal'!$C$12:$C$60,'Udvaskning nøgletal'!$H$12:$H$60)</f>
        <v>0</v>
      </c>
      <c r="Z80" s="10">
        <f>IF(X80=1,LOOKUP(K80,'Udvaskning nøgletal'!$C$12:$C$60,'Udvaskning nøgletal'!$E$12:$E$60)+Markniveau!Y80*Markniveau!S80/100,IF(X80=2,LOOKUP(K80,'Udvaskning nøgletal'!$C$12:$C$60,'Udvaskning nøgletal'!$F$12:$F$60)+Markniveau!Y80*Markniveau!S80/100,IF(X80=3,LOOKUP(K80,'Udvaskning nøgletal'!$C$12:$C$60,'Udvaskning nøgletal'!G90:G138)+Markniveau!Y80*Markniveau!S80/100,"")))</f>
        <v>38.620385460262987</v>
      </c>
      <c r="AA80" s="10">
        <f t="shared" si="16"/>
        <v>14.289542620297306</v>
      </c>
      <c r="AB80" s="10" t="str">
        <f t="shared" si="15"/>
        <v/>
      </c>
      <c r="AC80" s="10" t="str">
        <f t="shared" si="17"/>
        <v/>
      </c>
      <c r="AD80" s="10">
        <f>IF(AND(Q80&gt;0,Q80&lt;30,K80&lt;8),Markniveau!Z80*'Udvaskning nøgletal'!$I$12/100,IF(AND(Q80&gt;0,Q80&lt;30,K80=216),Markniveau!Z80*'Udvaskning nøgletal'!$I$34/100,Markniveau!Z80))</f>
        <v>38.620385460262987</v>
      </c>
      <c r="AE80" s="10">
        <f t="shared" si="13"/>
        <v>14.289542620297306</v>
      </c>
      <c r="AF80" s="10" t="str">
        <f t="shared" si="18"/>
        <v/>
      </c>
      <c r="AG80" s="10" t="str">
        <f t="shared" si="14"/>
        <v/>
      </c>
      <c r="AH80" s="10" t="str">
        <f>IF(AND(Q80&gt;0,Q80&lt;30,K80=216),'Udvaskning nøgletal'!$C$42,IF(AND(Q80&gt;0,Q80&lt;30,K80&gt;7,K80&lt;17),'Udvaskning nøgletal'!$C$61,IF(AND(Q80&gt;0,Q80&lt;30,K80&lt;7),'Udvaskning nøgletal'!$C$62,"")))</f>
        <v/>
      </c>
      <c r="AI80" s="10">
        <f t="shared" si="20"/>
        <v>230</v>
      </c>
      <c r="AJ80" s="10">
        <f>IF($X80=1,LOOKUP(AI80,'Udvaskning nøgletal'!$C$12:$C$62,'Udvaskning nøgletal'!$E$12:$E$62)+Markniveau!$Y80*Markniveau!$S80/100,IF($X80=2,LOOKUP(AI80,'Udvaskning nøgletal'!$C$12:$C$62,'Udvaskning nøgletal'!$F$12:$F$62)+Markniveau!$Y80*Markniveau!$S80/100,IF($X80=3,LOOKUP(AI80,'Udvaskning nøgletal'!$C$12:$C$62,'Udvaskning nøgletal'!Q90:Q140)+Markniveau!$Y80*Markniveau!$S80/100,"")))</f>
        <v>38.620385460262987</v>
      </c>
      <c r="AK80" s="10">
        <f t="shared" si="19"/>
        <v>14.289542620297306</v>
      </c>
      <c r="AL80" s="10" t="str">
        <f t="shared" si="21"/>
        <v/>
      </c>
      <c r="AM80" s="10" t="str">
        <f t="shared" si="22"/>
        <v/>
      </c>
    </row>
    <row r="81" spans="1:39" x14ac:dyDescent="0.25">
      <c r="A81" s="15">
        <v>13014671</v>
      </c>
      <c r="B81" s="15">
        <v>24.83</v>
      </c>
      <c r="C81" s="15">
        <v>139462</v>
      </c>
      <c r="D81" s="15">
        <v>2792</v>
      </c>
      <c r="E81" s="15" t="s">
        <v>121</v>
      </c>
      <c r="F81" s="15">
        <v>2011</v>
      </c>
      <c r="G81" s="15">
        <v>20110418</v>
      </c>
      <c r="H81" s="15">
        <v>157467</v>
      </c>
      <c r="I81" s="15">
        <v>15.75</v>
      </c>
      <c r="J81" s="6" t="s">
        <v>122</v>
      </c>
      <c r="K81" s="15">
        <v>1</v>
      </c>
      <c r="L81" s="15" t="s">
        <v>32</v>
      </c>
      <c r="M81" s="15" t="s">
        <v>5</v>
      </c>
      <c r="N81" s="11" t="s">
        <v>1384</v>
      </c>
      <c r="O81" s="11" t="s">
        <v>28</v>
      </c>
      <c r="P81" s="11" t="s">
        <v>33</v>
      </c>
      <c r="Q81" s="15">
        <v>0</v>
      </c>
      <c r="R81" s="11" t="s">
        <v>1386</v>
      </c>
      <c r="S81" s="10">
        <v>149.84313841424</v>
      </c>
      <c r="T81" s="15">
        <v>80</v>
      </c>
      <c r="U81" s="15">
        <v>0</v>
      </c>
      <c r="V81" s="15">
        <v>1</v>
      </c>
      <c r="W81" s="15">
        <v>0</v>
      </c>
      <c r="X81" s="15">
        <f>IF(O81='Udvaskning nøgletal'!$D$65,1,IF(O81='Udvaskning nøgletal'!$D$66,2,IF(O81='Udvaskning nøgletal'!$D$67,3,IF(O81='Udvaskning nøgletal'!$D$68,2,""))))</f>
        <v>1</v>
      </c>
      <c r="Y81" s="15">
        <f>LOOKUP(K81,'Udvaskning nøgletal'!$C$12:$C$60,'Udvaskning nøgletal'!$H$12:$H$60)</f>
        <v>5</v>
      </c>
      <c r="Z81" s="10">
        <f>IF(X81=1,LOOKUP(K81,'Udvaskning nøgletal'!$C$12:$C$60,'Udvaskning nøgletal'!$E$12:$E$60)+Markniveau!Y81*Markniveau!S81/100,IF(X81=2,LOOKUP(K81,'Udvaskning nøgletal'!$C$12:$C$60,'Udvaskning nøgletal'!$F$12:$F$60)+Markniveau!Y81*Markniveau!S81/100,IF(X81=3,LOOKUP(K81,'Udvaskning nøgletal'!$C$12:$C$60,'Udvaskning nøgletal'!G91:G139)+Markniveau!Y81*Markniveau!S81/100,"")))</f>
        <v>72.152156920712002</v>
      </c>
      <c r="AA81" s="10">
        <f t="shared" si="16"/>
        <v>1136.3964715012141</v>
      </c>
      <c r="AB81" s="10" t="str">
        <f t="shared" si="15"/>
        <v/>
      </c>
      <c r="AC81" s="10" t="str">
        <f t="shared" si="17"/>
        <v/>
      </c>
      <c r="AD81" s="10">
        <f>IF(AND(Q81&gt;0,Q81&lt;30,K81&lt;8),Markniveau!Z81*'Udvaskning nøgletal'!$I$12/100,IF(AND(Q81&gt;0,Q81&lt;30,K81=216),Markniveau!Z81*'Udvaskning nøgletal'!$I$34/100,Markniveau!Z81))</f>
        <v>72.152156920712002</v>
      </c>
      <c r="AE81" s="10">
        <f t="shared" ref="AE81:AE144" si="23">AD81*I81</f>
        <v>1136.3964715012141</v>
      </c>
      <c r="AF81" s="10" t="str">
        <f t="shared" si="18"/>
        <v/>
      </c>
      <c r="AG81" s="10" t="str">
        <f t="shared" ref="AG81:AG144" si="24">IF($Q81&gt;0,(100-$Q81)*$AD81/100*I81,"")</f>
        <v/>
      </c>
      <c r="AH81" s="10" t="str">
        <f>IF(AND(Q81&gt;0,Q81&lt;30,K81=216),'Udvaskning nøgletal'!$C$42,IF(AND(Q81&gt;0,Q81&lt;30,K81&gt;7,K81&lt;17),'Udvaskning nøgletal'!$C$61,IF(AND(Q81&gt;0,Q81&lt;30,K81&lt;7),'Udvaskning nøgletal'!$C$62,"")))</f>
        <v/>
      </c>
      <c r="AI81" s="10">
        <f t="shared" si="20"/>
        <v>1</v>
      </c>
      <c r="AJ81" s="10">
        <f>IF($X81=1,LOOKUP(AI81,'Udvaskning nøgletal'!$C$12:$C$62,'Udvaskning nøgletal'!$E$12:$E$62)+Markniveau!$Y81*Markniveau!$S81/100,IF($X81=2,LOOKUP(AI81,'Udvaskning nøgletal'!$C$12:$C$62,'Udvaskning nøgletal'!$F$12:$F$62)+Markniveau!$Y81*Markniveau!$S81/100,IF($X81=3,LOOKUP(AI81,'Udvaskning nøgletal'!$C$12:$C$62,'Udvaskning nøgletal'!Q91:Q141)+Markniveau!$Y81*Markniveau!$S81/100,"")))</f>
        <v>72.152156920712002</v>
      </c>
      <c r="AK81" s="10">
        <f t="shared" si="19"/>
        <v>1136.3964715012141</v>
      </c>
      <c r="AL81" s="10" t="str">
        <f t="shared" si="21"/>
        <v/>
      </c>
      <c r="AM81" s="10" t="str">
        <f t="shared" si="22"/>
        <v/>
      </c>
    </row>
    <row r="82" spans="1:39" x14ac:dyDescent="0.25">
      <c r="A82" s="15">
        <v>13014671</v>
      </c>
      <c r="B82" s="15">
        <v>24.83</v>
      </c>
      <c r="C82" s="15">
        <v>140104</v>
      </c>
      <c r="D82" s="15">
        <v>2792</v>
      </c>
      <c r="E82" s="15" t="s">
        <v>121</v>
      </c>
      <c r="F82" s="15">
        <v>2011</v>
      </c>
      <c r="G82" s="15">
        <v>20110417</v>
      </c>
      <c r="H82" s="15">
        <v>66098</v>
      </c>
      <c r="I82" s="15">
        <v>6.61</v>
      </c>
      <c r="J82" s="6" t="s">
        <v>123</v>
      </c>
      <c r="K82" s="15">
        <v>1</v>
      </c>
      <c r="L82" s="15" t="s">
        <v>32</v>
      </c>
      <c r="M82" s="15" t="s">
        <v>5</v>
      </c>
      <c r="N82" s="11" t="s">
        <v>1384</v>
      </c>
      <c r="O82" s="11" t="s">
        <v>28</v>
      </c>
      <c r="P82" s="11" t="s">
        <v>33</v>
      </c>
      <c r="Q82" s="15">
        <v>0</v>
      </c>
      <c r="R82" s="11" t="s">
        <v>1386</v>
      </c>
      <c r="S82" s="10">
        <v>149.84313841424</v>
      </c>
      <c r="T82" s="15">
        <v>80</v>
      </c>
      <c r="U82" s="15">
        <v>0</v>
      </c>
      <c r="V82" s="15">
        <v>1</v>
      </c>
      <c r="W82" s="15">
        <v>0</v>
      </c>
      <c r="X82" s="15">
        <f>IF(O82='Udvaskning nøgletal'!$D$65,1,IF(O82='Udvaskning nøgletal'!$D$66,2,IF(O82='Udvaskning nøgletal'!$D$67,3,IF(O82='Udvaskning nøgletal'!$D$68,2,""))))</f>
        <v>1</v>
      </c>
      <c r="Y82" s="15">
        <f>LOOKUP(K82,'Udvaskning nøgletal'!$C$12:$C$60,'Udvaskning nøgletal'!$H$12:$H$60)</f>
        <v>5</v>
      </c>
      <c r="Z82" s="10">
        <f>IF(X82=1,LOOKUP(K82,'Udvaskning nøgletal'!$C$12:$C$60,'Udvaskning nøgletal'!$E$12:$E$60)+Markniveau!Y82*Markniveau!S82/100,IF(X82=2,LOOKUP(K82,'Udvaskning nøgletal'!$C$12:$C$60,'Udvaskning nøgletal'!$F$12:$F$60)+Markniveau!Y82*Markniveau!S82/100,IF(X82=3,LOOKUP(K82,'Udvaskning nøgletal'!$C$12:$C$60,'Udvaskning nøgletal'!G92:G140)+Markniveau!Y82*Markniveau!S82/100,"")))</f>
        <v>72.152156920712002</v>
      </c>
      <c r="AA82" s="10">
        <f t="shared" si="16"/>
        <v>476.92575724590637</v>
      </c>
      <c r="AB82" s="10" t="str">
        <f t="shared" si="15"/>
        <v/>
      </c>
      <c r="AC82" s="10" t="str">
        <f t="shared" si="17"/>
        <v/>
      </c>
      <c r="AD82" s="10">
        <f>IF(AND(Q82&gt;0,Q82&lt;30,K82&lt;8),Markniveau!Z82*'Udvaskning nøgletal'!$I$12/100,IF(AND(Q82&gt;0,Q82&lt;30,K82=216),Markniveau!Z82*'Udvaskning nøgletal'!$I$34/100,Markniveau!Z82))</f>
        <v>72.152156920712002</v>
      </c>
      <c r="AE82" s="10">
        <f t="shared" si="23"/>
        <v>476.92575724590637</v>
      </c>
      <c r="AF82" s="10" t="str">
        <f t="shared" si="18"/>
        <v/>
      </c>
      <c r="AG82" s="10" t="str">
        <f t="shared" si="24"/>
        <v/>
      </c>
      <c r="AH82" s="10" t="str">
        <f>IF(AND(Q82&gt;0,Q82&lt;30,K82=216),'Udvaskning nøgletal'!$C$42,IF(AND(Q82&gt;0,Q82&lt;30,K82&gt;7,K82&lt;17),'Udvaskning nøgletal'!$C$61,IF(AND(Q82&gt;0,Q82&lt;30,K82&lt;7),'Udvaskning nøgletal'!$C$62,"")))</f>
        <v/>
      </c>
      <c r="AI82" s="10">
        <f t="shared" si="20"/>
        <v>1</v>
      </c>
      <c r="AJ82" s="10">
        <f>IF($X82=1,LOOKUP(AI82,'Udvaskning nøgletal'!$C$12:$C$62,'Udvaskning nøgletal'!$E$12:$E$62)+Markniveau!$Y82*Markniveau!$S82/100,IF($X82=2,LOOKUP(AI82,'Udvaskning nøgletal'!$C$12:$C$62,'Udvaskning nøgletal'!$F$12:$F$62)+Markniveau!$Y82*Markniveau!$S82/100,IF($X82=3,LOOKUP(AI82,'Udvaskning nøgletal'!$C$12:$C$62,'Udvaskning nøgletal'!Q92:Q142)+Markniveau!$Y82*Markniveau!$S82/100,"")))</f>
        <v>72.152156920712002</v>
      </c>
      <c r="AK82" s="10">
        <f t="shared" si="19"/>
        <v>476.92575724590637</v>
      </c>
      <c r="AL82" s="10" t="str">
        <f t="shared" si="21"/>
        <v/>
      </c>
      <c r="AM82" s="10" t="str">
        <f t="shared" si="22"/>
        <v/>
      </c>
    </row>
    <row r="83" spans="1:39" x14ac:dyDescent="0.25">
      <c r="A83" s="15">
        <v>13014671</v>
      </c>
      <c r="B83" s="15">
        <v>24.83</v>
      </c>
      <c r="C83" s="15">
        <v>141636</v>
      </c>
      <c r="D83" s="15">
        <v>2792</v>
      </c>
      <c r="E83" s="15" t="s">
        <v>124</v>
      </c>
      <c r="F83" s="15">
        <v>2011</v>
      </c>
      <c r="G83" s="15">
        <v>20110417</v>
      </c>
      <c r="H83" s="15">
        <v>53806</v>
      </c>
      <c r="I83" s="15">
        <v>5.38</v>
      </c>
      <c r="J83" s="6" t="s">
        <v>125</v>
      </c>
      <c r="K83" s="15">
        <v>1</v>
      </c>
      <c r="L83" s="15" t="s">
        <v>32</v>
      </c>
      <c r="M83" s="15" t="s">
        <v>5</v>
      </c>
      <c r="N83" s="11" t="s">
        <v>1384</v>
      </c>
      <c r="O83" s="11" t="s">
        <v>28</v>
      </c>
      <c r="P83" s="11" t="s">
        <v>33</v>
      </c>
      <c r="Q83" s="15">
        <v>0</v>
      </c>
      <c r="R83" s="11" t="s">
        <v>1386</v>
      </c>
      <c r="S83" s="10">
        <v>149.84313841424</v>
      </c>
      <c r="T83" s="15">
        <v>80</v>
      </c>
      <c r="U83" s="15">
        <v>0</v>
      </c>
      <c r="V83" s="15">
        <v>1</v>
      </c>
      <c r="W83" s="15">
        <v>0</v>
      </c>
      <c r="X83" s="15">
        <f>IF(O83='Udvaskning nøgletal'!$D$65,1,IF(O83='Udvaskning nøgletal'!$D$66,2,IF(O83='Udvaskning nøgletal'!$D$67,3,IF(O83='Udvaskning nøgletal'!$D$68,2,""))))</f>
        <v>1</v>
      </c>
      <c r="Y83" s="15">
        <f>LOOKUP(K83,'Udvaskning nøgletal'!$C$12:$C$60,'Udvaskning nøgletal'!$H$12:$H$60)</f>
        <v>5</v>
      </c>
      <c r="Z83" s="10">
        <f>IF(X83=1,LOOKUP(K83,'Udvaskning nøgletal'!$C$12:$C$60,'Udvaskning nøgletal'!$E$12:$E$60)+Markniveau!Y83*Markniveau!S83/100,IF(X83=2,LOOKUP(K83,'Udvaskning nøgletal'!$C$12:$C$60,'Udvaskning nøgletal'!$F$12:$F$60)+Markniveau!Y83*Markniveau!S83/100,IF(X83=3,LOOKUP(K83,'Udvaskning nøgletal'!$C$12:$C$60,'Udvaskning nøgletal'!G93:G141)+Markniveau!Y83*Markniveau!S83/100,"")))</f>
        <v>72.152156920712002</v>
      </c>
      <c r="AA83" s="10">
        <f t="shared" si="16"/>
        <v>388.17860423343058</v>
      </c>
      <c r="AB83" s="10" t="str">
        <f t="shared" si="15"/>
        <v/>
      </c>
      <c r="AC83" s="10" t="str">
        <f t="shared" si="17"/>
        <v/>
      </c>
      <c r="AD83" s="10">
        <f>IF(AND(Q83&gt;0,Q83&lt;30,K83&lt;8),Markniveau!Z83*'Udvaskning nøgletal'!$I$12/100,IF(AND(Q83&gt;0,Q83&lt;30,K83=216),Markniveau!Z83*'Udvaskning nøgletal'!$I$34/100,Markniveau!Z83))</f>
        <v>72.152156920712002</v>
      </c>
      <c r="AE83" s="10">
        <f t="shared" si="23"/>
        <v>388.17860423343058</v>
      </c>
      <c r="AF83" s="10" t="str">
        <f t="shared" si="18"/>
        <v/>
      </c>
      <c r="AG83" s="10" t="str">
        <f t="shared" si="24"/>
        <v/>
      </c>
      <c r="AH83" s="10" t="str">
        <f>IF(AND(Q83&gt;0,Q83&lt;30,K83=216),'Udvaskning nøgletal'!$C$42,IF(AND(Q83&gt;0,Q83&lt;30,K83&gt;7,K83&lt;17),'Udvaskning nøgletal'!$C$61,IF(AND(Q83&gt;0,Q83&lt;30,K83&lt;7),'Udvaskning nøgletal'!$C$62,"")))</f>
        <v/>
      </c>
      <c r="AI83" s="10">
        <f t="shared" si="20"/>
        <v>1</v>
      </c>
      <c r="AJ83" s="10">
        <f>IF($X83=1,LOOKUP(AI83,'Udvaskning nøgletal'!$C$12:$C$62,'Udvaskning nøgletal'!$E$12:$E$62)+Markniveau!$Y83*Markniveau!$S83/100,IF($X83=2,LOOKUP(AI83,'Udvaskning nøgletal'!$C$12:$C$62,'Udvaskning nøgletal'!$F$12:$F$62)+Markniveau!$Y83*Markniveau!$S83/100,IF($X83=3,LOOKUP(AI83,'Udvaskning nøgletal'!$C$12:$C$62,'Udvaskning nøgletal'!Q93:Q143)+Markniveau!$Y83*Markniveau!$S83/100,"")))</f>
        <v>72.152156920712002</v>
      </c>
      <c r="AK83" s="10">
        <f t="shared" si="19"/>
        <v>388.17860423343058</v>
      </c>
      <c r="AL83" s="10" t="str">
        <f t="shared" si="21"/>
        <v/>
      </c>
      <c r="AM83" s="10" t="str">
        <f t="shared" si="22"/>
        <v/>
      </c>
    </row>
    <row r="84" spans="1:39" x14ac:dyDescent="0.25">
      <c r="A84" s="15">
        <v>13014671</v>
      </c>
      <c r="B84" s="15">
        <v>24.83</v>
      </c>
      <c r="C84" s="15">
        <v>142151</v>
      </c>
      <c r="D84" s="15">
        <v>2792</v>
      </c>
      <c r="E84" s="15" t="s">
        <v>119</v>
      </c>
      <c r="F84" s="15">
        <v>2011</v>
      </c>
      <c r="G84" s="15">
        <v>20110417</v>
      </c>
      <c r="H84" s="15">
        <v>38639</v>
      </c>
      <c r="I84" s="15">
        <v>3.86</v>
      </c>
      <c r="J84" s="6" t="s">
        <v>31</v>
      </c>
      <c r="K84" s="15">
        <v>260</v>
      </c>
      <c r="L84" s="15" t="s">
        <v>45</v>
      </c>
      <c r="M84" s="15" t="s">
        <v>5</v>
      </c>
      <c r="N84" s="11" t="s">
        <v>1391</v>
      </c>
      <c r="O84" s="11" t="s">
        <v>46</v>
      </c>
      <c r="P84" s="11" t="s">
        <v>33</v>
      </c>
      <c r="Q84" s="15">
        <v>0</v>
      </c>
      <c r="R84" s="11" t="s">
        <v>1386</v>
      </c>
      <c r="S84" s="10">
        <v>149.84313841424</v>
      </c>
      <c r="T84" s="15">
        <v>80</v>
      </c>
      <c r="U84" s="15">
        <v>0</v>
      </c>
      <c r="V84" s="15">
        <v>1</v>
      </c>
      <c r="W84" s="15">
        <v>0</v>
      </c>
      <c r="X84" s="15">
        <f>IF(O84='Udvaskning nøgletal'!$D$65,1,IF(O84='Udvaskning nøgletal'!$D$66,2,IF(O84='Udvaskning nøgletal'!$D$67,3,IF(O84='Udvaskning nøgletal'!$D$68,2,""))))</f>
        <v>2</v>
      </c>
      <c r="Y84" s="15">
        <f>LOOKUP(K84,'Udvaskning nøgletal'!$C$12:$C$60,'Udvaskning nøgletal'!$H$12:$H$60)</f>
        <v>0</v>
      </c>
      <c r="Z84" s="10">
        <f>IF(X84=1,LOOKUP(K84,'Udvaskning nøgletal'!$C$12:$C$60,'Udvaskning nøgletal'!$E$12:$E$60)+Markniveau!Y84*Markniveau!S84/100,IF(X84=2,LOOKUP(K84,'Udvaskning nøgletal'!$C$12:$C$60,'Udvaskning nøgletal'!$F$12:$F$60)+Markniveau!Y84*Markniveau!S84/100,IF(X84=3,LOOKUP(K84,'Udvaskning nøgletal'!$C$12:$C$60,'Udvaskning nøgletal'!G94:G142)+Markniveau!Y84*Markniveau!S84/100,"")))</f>
        <v>27.331185321443094</v>
      </c>
      <c r="AA84" s="10">
        <f t="shared" si="16"/>
        <v>105.49837534077034</v>
      </c>
      <c r="AB84" s="10" t="str">
        <f t="shared" si="15"/>
        <v/>
      </c>
      <c r="AC84" s="10" t="str">
        <f t="shared" si="17"/>
        <v/>
      </c>
      <c r="AD84" s="10">
        <f>IF(AND(Q84&gt;0,Q84&lt;30,K84&lt;8),Markniveau!Z84*'Udvaskning nøgletal'!$I$12/100,IF(AND(Q84&gt;0,Q84&lt;30,K84=216),Markniveau!Z84*'Udvaskning nøgletal'!$I$34/100,Markniveau!Z84))</f>
        <v>27.331185321443094</v>
      </c>
      <c r="AE84" s="10">
        <f t="shared" si="23"/>
        <v>105.49837534077034</v>
      </c>
      <c r="AF84" s="10" t="str">
        <f t="shared" si="18"/>
        <v/>
      </c>
      <c r="AG84" s="10" t="str">
        <f t="shared" si="24"/>
        <v/>
      </c>
      <c r="AH84" s="10" t="str">
        <f>IF(AND(Q84&gt;0,Q84&lt;30,K84=216),'Udvaskning nøgletal'!$C$42,IF(AND(Q84&gt;0,Q84&lt;30,K84&gt;7,K84&lt;17),'Udvaskning nøgletal'!$C$61,IF(AND(Q84&gt;0,Q84&lt;30,K84&lt;7),'Udvaskning nøgletal'!$C$62,"")))</f>
        <v/>
      </c>
      <c r="AI84" s="10">
        <f t="shared" si="20"/>
        <v>260</v>
      </c>
      <c r="AJ84" s="10">
        <f>IF($X84=1,LOOKUP(AI84,'Udvaskning nøgletal'!$C$12:$C$62,'Udvaskning nøgletal'!$E$12:$E$62)+Markniveau!$Y84*Markniveau!$S84/100,IF($X84=2,LOOKUP(AI84,'Udvaskning nøgletal'!$C$12:$C$62,'Udvaskning nøgletal'!$F$12:$F$62)+Markniveau!$Y84*Markniveau!$S84/100,IF($X84=3,LOOKUP(AI84,'Udvaskning nøgletal'!$C$12:$C$62,'Udvaskning nøgletal'!Q94:Q144)+Markniveau!$Y84*Markniveau!$S84/100,"")))</f>
        <v>27.331185321443094</v>
      </c>
      <c r="AK84" s="10">
        <f t="shared" si="19"/>
        <v>105.49837534077034</v>
      </c>
      <c r="AL84" s="10" t="str">
        <f t="shared" si="21"/>
        <v/>
      </c>
      <c r="AM84" s="10" t="str">
        <f t="shared" si="22"/>
        <v/>
      </c>
    </row>
    <row r="85" spans="1:39" x14ac:dyDescent="0.25">
      <c r="A85" s="15">
        <v>13014671</v>
      </c>
      <c r="B85" s="15">
        <v>24.83</v>
      </c>
      <c r="C85" s="15">
        <v>148548</v>
      </c>
      <c r="D85" s="15">
        <v>2792</v>
      </c>
      <c r="E85" s="15" t="s">
        <v>126</v>
      </c>
      <c r="F85" s="15">
        <v>2011</v>
      </c>
      <c r="G85" s="15">
        <v>20110417</v>
      </c>
      <c r="H85" s="15">
        <v>122347</v>
      </c>
      <c r="I85" s="15">
        <v>12.23</v>
      </c>
      <c r="J85" s="6" t="s">
        <v>127</v>
      </c>
      <c r="K85" s="15">
        <v>215</v>
      </c>
      <c r="L85" s="15" t="s">
        <v>128</v>
      </c>
      <c r="M85" s="15" t="s">
        <v>5</v>
      </c>
      <c r="N85" s="11" t="s">
        <v>1384</v>
      </c>
      <c r="O85" s="11" t="s">
        <v>28</v>
      </c>
      <c r="P85" s="11" t="s">
        <v>33</v>
      </c>
      <c r="Q85" s="15">
        <v>0</v>
      </c>
      <c r="R85" s="11" t="s">
        <v>1386</v>
      </c>
      <c r="S85" s="10">
        <v>149.84313841424</v>
      </c>
      <c r="T85" s="15">
        <v>80</v>
      </c>
      <c r="U85" s="15">
        <v>0</v>
      </c>
      <c r="V85" s="15">
        <v>1</v>
      </c>
      <c r="W85" s="15">
        <v>0</v>
      </c>
      <c r="X85" s="15">
        <f>IF(O85='Udvaskning nøgletal'!$D$65,1,IF(O85='Udvaskning nøgletal'!$D$66,2,IF(O85='Udvaskning nøgletal'!$D$67,3,IF(O85='Udvaskning nøgletal'!$D$68,2,""))))</f>
        <v>1</v>
      </c>
      <c r="Y85" s="15">
        <f>LOOKUP(K85,'Udvaskning nøgletal'!$C$12:$C$60,'Udvaskning nøgletal'!$H$12:$H$60)</f>
        <v>0</v>
      </c>
      <c r="Z85" s="10">
        <f>IF(X85=1,LOOKUP(K85,'Udvaskning nøgletal'!$C$12:$C$60,'Udvaskning nøgletal'!$E$12:$E$60)+Markniveau!Y85*Markniveau!S85/100,IF(X85=2,LOOKUP(K85,'Udvaskning nøgletal'!$C$12:$C$60,'Udvaskning nøgletal'!$F$12:$F$60)+Markniveau!Y85*Markniveau!S85/100,IF(X85=3,LOOKUP(K85,'Udvaskning nøgletal'!$C$12:$C$60,'Udvaskning nøgletal'!G95:G143)+Markniveau!Y85*Markniveau!S85/100,"")))</f>
        <v>38.620385460262987</v>
      </c>
      <c r="AA85" s="10">
        <f t="shared" si="16"/>
        <v>472.32731417901635</v>
      </c>
      <c r="AB85" s="10" t="str">
        <f t="shared" si="15"/>
        <v/>
      </c>
      <c r="AC85" s="10" t="str">
        <f t="shared" si="17"/>
        <v/>
      </c>
      <c r="AD85" s="10">
        <f>IF(AND(Q85&gt;0,Q85&lt;30,K85&lt;8),Markniveau!Z85*'Udvaskning nøgletal'!$I$12/100,IF(AND(Q85&gt;0,Q85&lt;30,K85=216),Markniveau!Z85*'Udvaskning nøgletal'!$I$34/100,Markniveau!Z85))</f>
        <v>38.620385460262987</v>
      </c>
      <c r="AE85" s="10">
        <f t="shared" si="23"/>
        <v>472.32731417901635</v>
      </c>
      <c r="AF85" s="10" t="str">
        <f t="shared" si="18"/>
        <v/>
      </c>
      <c r="AG85" s="10" t="str">
        <f t="shared" si="24"/>
        <v/>
      </c>
      <c r="AH85" s="10" t="str">
        <f>IF(AND(Q85&gt;0,Q85&lt;30,K85=216),'Udvaskning nøgletal'!$C$42,IF(AND(Q85&gt;0,Q85&lt;30,K85&gt;7,K85&lt;17),'Udvaskning nøgletal'!$C$61,IF(AND(Q85&gt;0,Q85&lt;30,K85&lt;7),'Udvaskning nøgletal'!$C$62,"")))</f>
        <v/>
      </c>
      <c r="AI85" s="10">
        <f t="shared" si="20"/>
        <v>215</v>
      </c>
      <c r="AJ85" s="10">
        <f>IF($X85=1,LOOKUP(AI85,'Udvaskning nøgletal'!$C$12:$C$62,'Udvaskning nøgletal'!$E$12:$E$62)+Markniveau!$Y85*Markniveau!$S85/100,IF($X85=2,LOOKUP(AI85,'Udvaskning nøgletal'!$C$12:$C$62,'Udvaskning nøgletal'!$F$12:$F$62)+Markniveau!$Y85*Markniveau!$S85/100,IF($X85=3,LOOKUP(AI85,'Udvaskning nøgletal'!$C$12:$C$62,'Udvaskning nøgletal'!Q95:Q145)+Markniveau!$Y85*Markniveau!$S85/100,"")))</f>
        <v>38.620385460262987</v>
      </c>
      <c r="AK85" s="10">
        <f t="shared" si="19"/>
        <v>472.32731417901635</v>
      </c>
      <c r="AL85" s="10" t="str">
        <f t="shared" si="21"/>
        <v/>
      </c>
      <c r="AM85" s="10" t="str">
        <f t="shared" si="22"/>
        <v/>
      </c>
    </row>
    <row r="86" spans="1:39" x14ac:dyDescent="0.25">
      <c r="A86" s="15">
        <v>13014671</v>
      </c>
      <c r="B86" s="15">
        <v>24.83</v>
      </c>
      <c r="C86" s="15">
        <v>151388</v>
      </c>
      <c r="D86" s="15">
        <v>2792</v>
      </c>
      <c r="E86" s="15" t="s">
        <v>118</v>
      </c>
      <c r="F86" s="15">
        <v>2011</v>
      </c>
      <c r="G86" s="15">
        <v>20110417</v>
      </c>
      <c r="H86" s="15">
        <v>101747</v>
      </c>
      <c r="I86" s="15">
        <v>10.17</v>
      </c>
      <c r="J86" s="6" t="s">
        <v>63</v>
      </c>
      <c r="K86" s="15">
        <v>216</v>
      </c>
      <c r="L86" s="15" t="s">
        <v>116</v>
      </c>
      <c r="M86" s="15" t="s">
        <v>5</v>
      </c>
      <c r="N86" s="11" t="s">
        <v>1391</v>
      </c>
      <c r="O86" s="11" t="s">
        <v>46</v>
      </c>
      <c r="P86" s="11" t="s">
        <v>33</v>
      </c>
      <c r="Q86" s="15">
        <v>0</v>
      </c>
      <c r="R86" s="11" t="s">
        <v>1386</v>
      </c>
      <c r="S86" s="10">
        <v>149.84313841424</v>
      </c>
      <c r="T86" s="15">
        <v>80</v>
      </c>
      <c r="U86" s="15">
        <v>0</v>
      </c>
      <c r="V86" s="15">
        <v>1</v>
      </c>
      <c r="W86" s="15">
        <v>0</v>
      </c>
      <c r="X86" s="15">
        <f>IF(O86='Udvaskning nøgletal'!$D$65,1,IF(O86='Udvaskning nøgletal'!$D$66,2,IF(O86='Udvaskning nøgletal'!$D$67,3,IF(O86='Udvaskning nøgletal'!$D$68,2,""))))</f>
        <v>2</v>
      </c>
      <c r="Y86" s="15">
        <f>LOOKUP(K86,'Udvaskning nøgletal'!$C$12:$C$60,'Udvaskning nøgletal'!$H$12:$H$60)</f>
        <v>0</v>
      </c>
      <c r="Z86" s="10">
        <f>IF(X86=1,LOOKUP(K86,'Udvaskning nøgletal'!$C$12:$C$60,'Udvaskning nøgletal'!$E$12:$E$60)+Markniveau!Y86*Markniveau!S86/100,IF(X86=2,LOOKUP(K86,'Udvaskning nøgletal'!$C$12:$C$60,'Udvaskning nøgletal'!$F$12:$F$60)+Markniveau!Y86*Markniveau!S86/100,IF(X86=3,LOOKUP(K86,'Udvaskning nøgletal'!$C$12:$C$60,'Udvaskning nøgletal'!G96:G144)+Markniveau!Y86*Markniveau!S86/100,"")))</f>
        <v>101.66744640811392</v>
      </c>
      <c r="AA86" s="10">
        <f t="shared" si="16"/>
        <v>1033.9579299705185</v>
      </c>
      <c r="AB86" s="10" t="str">
        <f t="shared" si="15"/>
        <v/>
      </c>
      <c r="AC86" s="10" t="str">
        <f t="shared" si="17"/>
        <v/>
      </c>
      <c r="AD86" s="10">
        <f>IF(AND(Q86&gt;0,Q86&lt;30,K86&lt;8),Markniveau!Z86*'Udvaskning nøgletal'!$I$12/100,IF(AND(Q86&gt;0,Q86&lt;30,K86=216),Markniveau!Z86*'Udvaskning nøgletal'!$I$34/100,Markniveau!Z86))</f>
        <v>101.66744640811392</v>
      </c>
      <c r="AE86" s="10">
        <f t="shared" si="23"/>
        <v>1033.9579299705185</v>
      </c>
      <c r="AF86" s="10" t="str">
        <f t="shared" si="18"/>
        <v/>
      </c>
      <c r="AG86" s="10" t="str">
        <f t="shared" si="24"/>
        <v/>
      </c>
      <c r="AH86" s="10" t="str">
        <f>IF(AND(Q86&gt;0,Q86&lt;30,K86=216),'Udvaskning nøgletal'!$C$42,IF(AND(Q86&gt;0,Q86&lt;30,K86&gt;7,K86&lt;17),'Udvaskning nøgletal'!$C$61,IF(AND(Q86&gt;0,Q86&lt;30,K86&lt;7),'Udvaskning nøgletal'!$C$62,"")))</f>
        <v/>
      </c>
      <c r="AI86" s="10">
        <f t="shared" si="20"/>
        <v>216</v>
      </c>
      <c r="AJ86" s="10">
        <f>IF($X86=1,LOOKUP(AI86,'Udvaskning nøgletal'!$C$12:$C$62,'Udvaskning nøgletal'!$E$12:$E$62)+Markniveau!$Y86*Markniveau!$S86/100,IF($X86=2,LOOKUP(AI86,'Udvaskning nøgletal'!$C$12:$C$62,'Udvaskning nøgletal'!$F$12:$F$62)+Markniveau!$Y86*Markniveau!$S86/100,IF($X86=3,LOOKUP(AI86,'Udvaskning nøgletal'!$C$12:$C$62,'Udvaskning nøgletal'!Q96:Q146)+Markniveau!$Y86*Markniveau!$S86/100,"")))</f>
        <v>101.66744640811392</v>
      </c>
      <c r="AK86" s="10">
        <f t="shared" si="19"/>
        <v>1033.9579299705185</v>
      </c>
      <c r="AL86" s="10" t="str">
        <f t="shared" si="21"/>
        <v/>
      </c>
      <c r="AM86" s="10" t="str">
        <f t="shared" si="22"/>
        <v/>
      </c>
    </row>
    <row r="87" spans="1:39" x14ac:dyDescent="0.25">
      <c r="A87" s="15">
        <v>13014671</v>
      </c>
      <c r="B87" s="15">
        <v>24.83</v>
      </c>
      <c r="C87" s="15">
        <v>155575</v>
      </c>
      <c r="D87" s="15">
        <v>2792</v>
      </c>
      <c r="E87" s="15" t="s">
        <v>121</v>
      </c>
      <c r="F87" s="15">
        <v>2011</v>
      </c>
      <c r="G87" s="15">
        <v>20110417</v>
      </c>
      <c r="H87" s="15">
        <v>3343</v>
      </c>
      <c r="I87" s="15">
        <v>0.33</v>
      </c>
      <c r="J87" s="6" t="s">
        <v>1408</v>
      </c>
      <c r="K87" s="15">
        <v>1</v>
      </c>
      <c r="L87" s="15" t="s">
        <v>32</v>
      </c>
      <c r="M87" s="15" t="s">
        <v>5</v>
      </c>
      <c r="N87" s="11" t="s">
        <v>1384</v>
      </c>
      <c r="O87" s="11" t="s">
        <v>28</v>
      </c>
      <c r="P87" s="11" t="s">
        <v>33</v>
      </c>
      <c r="Q87" s="15">
        <v>0</v>
      </c>
      <c r="R87" s="11" t="s">
        <v>1386</v>
      </c>
      <c r="S87" s="10">
        <v>149.84313841424</v>
      </c>
      <c r="T87" s="15">
        <v>80</v>
      </c>
      <c r="U87" s="15">
        <v>0</v>
      </c>
      <c r="V87" s="15">
        <v>1</v>
      </c>
      <c r="W87" s="15">
        <v>0</v>
      </c>
      <c r="X87" s="15">
        <f>IF(O87='Udvaskning nøgletal'!$D$65,1,IF(O87='Udvaskning nøgletal'!$D$66,2,IF(O87='Udvaskning nøgletal'!$D$67,3,IF(O87='Udvaskning nøgletal'!$D$68,2,""))))</f>
        <v>1</v>
      </c>
      <c r="Y87" s="15">
        <f>LOOKUP(K87,'Udvaskning nøgletal'!$C$12:$C$60,'Udvaskning nøgletal'!$H$12:$H$60)</f>
        <v>5</v>
      </c>
      <c r="Z87" s="10">
        <f>IF(X87=1,LOOKUP(K87,'Udvaskning nøgletal'!$C$12:$C$60,'Udvaskning nøgletal'!$E$12:$E$60)+Markniveau!Y87*Markniveau!S87/100,IF(X87=2,LOOKUP(K87,'Udvaskning nøgletal'!$C$12:$C$60,'Udvaskning nøgletal'!$F$12:$F$60)+Markniveau!Y87*Markniveau!S87/100,IF(X87=3,LOOKUP(K87,'Udvaskning nøgletal'!$C$12:$C$60,'Udvaskning nøgletal'!G97:G145)+Markniveau!Y87*Markniveau!S87/100,"")))</f>
        <v>72.152156920712002</v>
      </c>
      <c r="AA87" s="10">
        <f t="shared" si="16"/>
        <v>23.810211783834962</v>
      </c>
      <c r="AB87" s="10" t="str">
        <f t="shared" si="15"/>
        <v/>
      </c>
      <c r="AC87" s="10" t="str">
        <f t="shared" si="17"/>
        <v/>
      </c>
      <c r="AD87" s="10">
        <f>IF(AND(Q87&gt;0,Q87&lt;30,K87&lt;8),Markniveau!Z87*'Udvaskning nøgletal'!$I$12/100,IF(AND(Q87&gt;0,Q87&lt;30,K87=216),Markniveau!Z87*'Udvaskning nøgletal'!$I$34/100,Markniveau!Z87))</f>
        <v>72.152156920712002</v>
      </c>
      <c r="AE87" s="10">
        <f t="shared" si="23"/>
        <v>23.810211783834962</v>
      </c>
      <c r="AF87" s="10" t="str">
        <f t="shared" si="18"/>
        <v/>
      </c>
      <c r="AG87" s="10" t="str">
        <f t="shared" si="24"/>
        <v/>
      </c>
      <c r="AH87" s="10" t="str">
        <f>IF(AND(Q87&gt;0,Q87&lt;30,K87=216),'Udvaskning nøgletal'!$C$42,IF(AND(Q87&gt;0,Q87&lt;30,K87&gt;7,K87&lt;17),'Udvaskning nøgletal'!$C$61,IF(AND(Q87&gt;0,Q87&lt;30,K87&lt;7),'Udvaskning nøgletal'!$C$62,"")))</f>
        <v/>
      </c>
      <c r="AI87" s="10">
        <f t="shared" si="20"/>
        <v>1</v>
      </c>
      <c r="AJ87" s="10">
        <f>IF($X87=1,LOOKUP(AI87,'Udvaskning nøgletal'!$C$12:$C$62,'Udvaskning nøgletal'!$E$12:$E$62)+Markniveau!$Y87*Markniveau!$S87/100,IF($X87=2,LOOKUP(AI87,'Udvaskning nøgletal'!$C$12:$C$62,'Udvaskning nøgletal'!$F$12:$F$62)+Markniveau!$Y87*Markniveau!$S87/100,IF($X87=3,LOOKUP(AI87,'Udvaskning nøgletal'!$C$12:$C$62,'Udvaskning nøgletal'!Q97:Q147)+Markniveau!$Y87*Markniveau!$S87/100,"")))</f>
        <v>72.152156920712002</v>
      </c>
      <c r="AK87" s="10">
        <f t="shared" si="19"/>
        <v>23.810211783834962</v>
      </c>
      <c r="AL87" s="10" t="str">
        <f t="shared" si="21"/>
        <v/>
      </c>
      <c r="AM87" s="10" t="str">
        <f t="shared" si="22"/>
        <v/>
      </c>
    </row>
    <row r="88" spans="1:39" x14ac:dyDescent="0.25">
      <c r="A88" s="15">
        <v>13014671</v>
      </c>
      <c r="B88" s="15">
        <v>24.83</v>
      </c>
      <c r="C88" s="15">
        <v>165763</v>
      </c>
      <c r="D88" s="15">
        <v>2792</v>
      </c>
      <c r="E88" s="15" t="s">
        <v>129</v>
      </c>
      <c r="F88" s="15">
        <v>2011</v>
      </c>
      <c r="G88" s="15">
        <v>20110417</v>
      </c>
      <c r="H88" s="15">
        <v>25047</v>
      </c>
      <c r="I88" s="15">
        <v>2.5</v>
      </c>
      <c r="J88" s="6" t="s">
        <v>55</v>
      </c>
      <c r="K88" s="15">
        <v>215</v>
      </c>
      <c r="L88" s="15" t="s">
        <v>128</v>
      </c>
      <c r="M88" s="15" t="s">
        <v>5</v>
      </c>
      <c r="N88" s="11" t="s">
        <v>1391</v>
      </c>
      <c r="O88" s="11" t="s">
        <v>46</v>
      </c>
      <c r="P88" s="11" t="s">
        <v>33</v>
      </c>
      <c r="Q88" s="15">
        <v>0</v>
      </c>
      <c r="R88" s="11" t="s">
        <v>1386</v>
      </c>
      <c r="S88" s="10">
        <v>149.84313841424</v>
      </c>
      <c r="T88" s="15">
        <v>80</v>
      </c>
      <c r="U88" s="15">
        <v>0</v>
      </c>
      <c r="V88" s="15">
        <v>1</v>
      </c>
      <c r="W88" s="15">
        <v>0</v>
      </c>
      <c r="X88" s="15">
        <f>IF(O88='Udvaskning nøgletal'!$D$65,1,IF(O88='Udvaskning nøgletal'!$D$66,2,IF(O88='Udvaskning nøgletal'!$D$67,3,IF(O88='Udvaskning nøgletal'!$D$68,2,""))))</f>
        <v>2</v>
      </c>
      <c r="Y88" s="15">
        <f>LOOKUP(K88,'Udvaskning nøgletal'!$C$12:$C$60,'Udvaskning nøgletal'!$H$12:$H$60)</f>
        <v>0</v>
      </c>
      <c r="Z88" s="10">
        <f>IF(X88=1,LOOKUP(K88,'Udvaskning nøgletal'!$C$12:$C$60,'Udvaskning nøgletal'!$E$12:$E$60)+Markniveau!Y88*Markniveau!S88/100,IF(X88=2,LOOKUP(K88,'Udvaskning nøgletal'!$C$12:$C$60,'Udvaskning nøgletal'!$F$12:$F$60)+Markniveau!Y88*Markniveau!S88/100,IF(X88=3,LOOKUP(K88,'Udvaskning nøgletal'!$C$12:$C$60,'Udvaskning nøgletal'!G98:G146)+Markniveau!Y88*Markniveau!S88/100,"")))</f>
        <v>31.161328188970323</v>
      </c>
      <c r="AA88" s="10">
        <f t="shared" si="16"/>
        <v>77.903320472425804</v>
      </c>
      <c r="AB88" s="10" t="str">
        <f t="shared" si="15"/>
        <v/>
      </c>
      <c r="AC88" s="10" t="str">
        <f t="shared" si="17"/>
        <v/>
      </c>
      <c r="AD88" s="10">
        <f>IF(AND(Q88&gt;0,Q88&lt;30,K88&lt;8),Markniveau!Z88*'Udvaskning nøgletal'!$I$12/100,IF(AND(Q88&gt;0,Q88&lt;30,K88=216),Markniveau!Z88*'Udvaskning nøgletal'!$I$34/100,Markniveau!Z88))</f>
        <v>31.161328188970323</v>
      </c>
      <c r="AE88" s="10">
        <f t="shared" si="23"/>
        <v>77.903320472425804</v>
      </c>
      <c r="AF88" s="10" t="str">
        <f t="shared" si="18"/>
        <v/>
      </c>
      <c r="AG88" s="10" t="str">
        <f t="shared" si="24"/>
        <v/>
      </c>
      <c r="AH88" s="10" t="str">
        <f>IF(AND(Q88&gt;0,Q88&lt;30,K88=216),'Udvaskning nøgletal'!$C$42,IF(AND(Q88&gt;0,Q88&lt;30,K88&gt;7,K88&lt;17),'Udvaskning nøgletal'!$C$61,IF(AND(Q88&gt;0,Q88&lt;30,K88&lt;7),'Udvaskning nøgletal'!$C$62,"")))</f>
        <v/>
      </c>
      <c r="AI88" s="10">
        <f t="shared" si="20"/>
        <v>215</v>
      </c>
      <c r="AJ88" s="10">
        <f>IF($X88=1,LOOKUP(AI88,'Udvaskning nøgletal'!$C$12:$C$62,'Udvaskning nøgletal'!$E$12:$E$62)+Markniveau!$Y88*Markniveau!$S88/100,IF($X88=2,LOOKUP(AI88,'Udvaskning nøgletal'!$C$12:$C$62,'Udvaskning nøgletal'!$F$12:$F$62)+Markniveau!$Y88*Markniveau!$S88/100,IF($X88=3,LOOKUP(AI88,'Udvaskning nøgletal'!$C$12:$C$62,'Udvaskning nøgletal'!Q98:Q148)+Markniveau!$Y88*Markniveau!$S88/100,"")))</f>
        <v>31.161328188970323</v>
      </c>
      <c r="AK88" s="10">
        <f t="shared" si="19"/>
        <v>77.903320472425804</v>
      </c>
      <c r="AL88" s="10" t="str">
        <f t="shared" si="21"/>
        <v/>
      </c>
      <c r="AM88" s="10" t="str">
        <f t="shared" si="22"/>
        <v/>
      </c>
    </row>
    <row r="89" spans="1:39" x14ac:dyDescent="0.25">
      <c r="A89" s="15">
        <v>13014671</v>
      </c>
      <c r="B89" s="15">
        <v>24.83</v>
      </c>
      <c r="C89" s="15">
        <v>180823</v>
      </c>
      <c r="D89" s="15">
        <v>2792</v>
      </c>
      <c r="E89" s="15" t="s">
        <v>130</v>
      </c>
      <c r="F89" s="15">
        <v>2011</v>
      </c>
      <c r="G89" s="15">
        <v>20110417</v>
      </c>
      <c r="H89" s="15">
        <v>150717</v>
      </c>
      <c r="I89" s="15">
        <v>15.07</v>
      </c>
      <c r="J89" s="6" t="s">
        <v>65</v>
      </c>
      <c r="K89" s="15">
        <v>1</v>
      </c>
      <c r="L89" s="15" t="s">
        <v>32</v>
      </c>
      <c r="M89" s="15" t="s">
        <v>5</v>
      </c>
      <c r="N89" s="11" t="s">
        <v>1384</v>
      </c>
      <c r="O89" s="11" t="s">
        <v>28</v>
      </c>
      <c r="P89" s="11" t="s">
        <v>29</v>
      </c>
      <c r="Q89" s="15">
        <v>0</v>
      </c>
      <c r="R89" s="11" t="s">
        <v>1386</v>
      </c>
      <c r="S89" s="10">
        <v>149.84313841424</v>
      </c>
      <c r="T89" s="15">
        <v>80</v>
      </c>
      <c r="U89" s="15">
        <v>0</v>
      </c>
      <c r="V89" s="15">
        <v>1</v>
      </c>
      <c r="W89" s="15">
        <v>0</v>
      </c>
      <c r="X89" s="15">
        <f>IF(O89='Udvaskning nøgletal'!$D$65,1,IF(O89='Udvaskning nøgletal'!$D$66,2,IF(O89='Udvaskning nøgletal'!$D$67,3,IF(O89='Udvaskning nøgletal'!$D$68,2,""))))</f>
        <v>1</v>
      </c>
      <c r="Y89" s="15">
        <f>LOOKUP(K89,'Udvaskning nøgletal'!$C$12:$C$60,'Udvaskning nøgletal'!$H$12:$H$60)</f>
        <v>5</v>
      </c>
      <c r="Z89" s="10">
        <f>IF(X89=1,LOOKUP(K89,'Udvaskning nøgletal'!$C$12:$C$60,'Udvaskning nøgletal'!$E$12:$E$60)+Markniveau!Y89*Markniveau!S89/100,IF(X89=2,LOOKUP(K89,'Udvaskning nøgletal'!$C$12:$C$60,'Udvaskning nøgletal'!$F$12:$F$60)+Markniveau!Y89*Markniveau!S89/100,IF(X89=3,LOOKUP(K89,'Udvaskning nøgletal'!$C$12:$C$60,'Udvaskning nøgletal'!G99:G147)+Markniveau!Y89*Markniveau!S89/100,"")))</f>
        <v>72.152156920712002</v>
      </c>
      <c r="AA89" s="10">
        <f t="shared" si="16"/>
        <v>1087.3330047951299</v>
      </c>
      <c r="AB89" s="10" t="str">
        <f t="shared" si="15"/>
        <v/>
      </c>
      <c r="AC89" s="10" t="str">
        <f t="shared" si="17"/>
        <v/>
      </c>
      <c r="AD89" s="10">
        <f>IF(AND(Q89&gt;0,Q89&lt;30,K89&lt;8),Markniveau!Z89*'Udvaskning nøgletal'!$I$12/100,IF(AND(Q89&gt;0,Q89&lt;30,K89=216),Markniveau!Z89*'Udvaskning nøgletal'!$I$34/100,Markniveau!Z89))</f>
        <v>72.152156920712002</v>
      </c>
      <c r="AE89" s="10">
        <f t="shared" si="23"/>
        <v>1087.3330047951299</v>
      </c>
      <c r="AF89" s="10" t="str">
        <f t="shared" si="18"/>
        <v/>
      </c>
      <c r="AG89" s="10" t="str">
        <f t="shared" si="24"/>
        <v/>
      </c>
      <c r="AH89" s="10" t="str">
        <f>IF(AND(Q89&gt;0,Q89&lt;30,K89=216),'Udvaskning nøgletal'!$C$42,IF(AND(Q89&gt;0,Q89&lt;30,K89&gt;7,K89&lt;17),'Udvaskning nøgletal'!$C$61,IF(AND(Q89&gt;0,Q89&lt;30,K89&lt;7),'Udvaskning nøgletal'!$C$62,"")))</f>
        <v/>
      </c>
      <c r="AI89" s="10">
        <f t="shared" si="20"/>
        <v>1</v>
      </c>
      <c r="AJ89" s="10">
        <f>IF($X89=1,LOOKUP(AI89,'Udvaskning nøgletal'!$C$12:$C$62,'Udvaskning nøgletal'!$E$12:$E$62)+Markniveau!$Y89*Markniveau!$S89/100,IF($X89=2,LOOKUP(AI89,'Udvaskning nøgletal'!$C$12:$C$62,'Udvaskning nøgletal'!$F$12:$F$62)+Markniveau!$Y89*Markniveau!$S89/100,IF($X89=3,LOOKUP(AI89,'Udvaskning nøgletal'!$C$12:$C$62,'Udvaskning nøgletal'!Q99:Q149)+Markniveau!$Y89*Markniveau!$S89/100,"")))</f>
        <v>72.152156920712002</v>
      </c>
      <c r="AK89" s="10">
        <f t="shared" si="19"/>
        <v>1087.3330047951299</v>
      </c>
      <c r="AL89" s="10" t="str">
        <f t="shared" si="21"/>
        <v/>
      </c>
      <c r="AM89" s="10" t="str">
        <f t="shared" si="22"/>
        <v/>
      </c>
    </row>
    <row r="90" spans="1:39" x14ac:dyDescent="0.25">
      <c r="A90" s="15">
        <v>13014671</v>
      </c>
      <c r="B90" s="15">
        <v>24.83</v>
      </c>
      <c r="C90" s="15">
        <v>189166</v>
      </c>
      <c r="D90" s="15">
        <v>2792</v>
      </c>
      <c r="E90" s="15" t="s">
        <v>119</v>
      </c>
      <c r="F90" s="15">
        <v>2011</v>
      </c>
      <c r="G90" s="15">
        <v>20110417</v>
      </c>
      <c r="H90" s="15">
        <v>31804</v>
      </c>
      <c r="I90" s="15">
        <v>3.18</v>
      </c>
      <c r="J90" s="6" t="s">
        <v>97</v>
      </c>
      <c r="K90" s="15">
        <v>260</v>
      </c>
      <c r="L90" s="15" t="s">
        <v>45</v>
      </c>
      <c r="M90" s="15" t="s">
        <v>5</v>
      </c>
      <c r="N90" s="11" t="s">
        <v>1391</v>
      </c>
      <c r="O90" s="11" t="s">
        <v>46</v>
      </c>
      <c r="P90" s="11" t="s">
        <v>33</v>
      </c>
      <c r="Q90" s="15">
        <v>0</v>
      </c>
      <c r="R90" s="11" t="s">
        <v>1386</v>
      </c>
      <c r="S90" s="10">
        <v>149.84313841424</v>
      </c>
      <c r="T90" s="15">
        <v>80</v>
      </c>
      <c r="U90" s="15">
        <v>0</v>
      </c>
      <c r="V90" s="15">
        <v>1</v>
      </c>
      <c r="W90" s="15">
        <v>0</v>
      </c>
      <c r="X90" s="15">
        <f>IF(O90='Udvaskning nøgletal'!$D$65,1,IF(O90='Udvaskning nøgletal'!$D$66,2,IF(O90='Udvaskning nøgletal'!$D$67,3,IF(O90='Udvaskning nøgletal'!$D$68,2,""))))</f>
        <v>2</v>
      </c>
      <c r="Y90" s="15">
        <f>LOOKUP(K90,'Udvaskning nøgletal'!$C$12:$C$60,'Udvaskning nøgletal'!$H$12:$H$60)</f>
        <v>0</v>
      </c>
      <c r="Z90" s="10">
        <f>IF(X90=1,LOOKUP(K90,'Udvaskning nøgletal'!$C$12:$C$60,'Udvaskning nøgletal'!$E$12:$E$60)+Markniveau!Y90*Markniveau!S90/100,IF(X90=2,LOOKUP(K90,'Udvaskning nøgletal'!$C$12:$C$60,'Udvaskning nøgletal'!$F$12:$F$60)+Markniveau!Y90*Markniveau!S90/100,IF(X90=3,LOOKUP(K90,'Udvaskning nøgletal'!$C$12:$C$60,'Udvaskning nøgletal'!G100:G148)+Markniveau!Y90*Markniveau!S90/100,"")))</f>
        <v>27.331185321443094</v>
      </c>
      <c r="AA90" s="10">
        <f t="shared" si="16"/>
        <v>86.913169322189049</v>
      </c>
      <c r="AB90" s="10" t="str">
        <f t="shared" si="15"/>
        <v/>
      </c>
      <c r="AC90" s="10" t="str">
        <f t="shared" si="17"/>
        <v/>
      </c>
      <c r="AD90" s="10">
        <f>IF(AND(Q90&gt;0,Q90&lt;30,K90&lt;8),Markniveau!Z90*'Udvaskning nøgletal'!$I$12/100,IF(AND(Q90&gt;0,Q90&lt;30,K90=216),Markniveau!Z90*'Udvaskning nøgletal'!$I$34/100,Markniveau!Z90))</f>
        <v>27.331185321443094</v>
      </c>
      <c r="AE90" s="10">
        <f t="shared" si="23"/>
        <v>86.913169322189049</v>
      </c>
      <c r="AF90" s="10" t="str">
        <f t="shared" si="18"/>
        <v/>
      </c>
      <c r="AG90" s="10" t="str">
        <f t="shared" si="24"/>
        <v/>
      </c>
      <c r="AH90" s="10" t="str">
        <f>IF(AND(Q90&gt;0,Q90&lt;30,K90=216),'Udvaskning nøgletal'!$C$42,IF(AND(Q90&gt;0,Q90&lt;30,K90&gt;7,K90&lt;17),'Udvaskning nøgletal'!$C$61,IF(AND(Q90&gt;0,Q90&lt;30,K90&lt;7),'Udvaskning nøgletal'!$C$62,"")))</f>
        <v/>
      </c>
      <c r="AI90" s="10">
        <f t="shared" si="20"/>
        <v>260</v>
      </c>
      <c r="AJ90" s="10">
        <f>IF($X90=1,LOOKUP(AI90,'Udvaskning nøgletal'!$C$12:$C$62,'Udvaskning nøgletal'!$E$12:$E$62)+Markniveau!$Y90*Markniveau!$S90/100,IF($X90=2,LOOKUP(AI90,'Udvaskning nøgletal'!$C$12:$C$62,'Udvaskning nøgletal'!$F$12:$F$62)+Markniveau!$Y90*Markniveau!$S90/100,IF($X90=3,LOOKUP(AI90,'Udvaskning nøgletal'!$C$12:$C$62,'Udvaskning nøgletal'!Q100:Q150)+Markniveau!$Y90*Markniveau!$S90/100,"")))</f>
        <v>27.331185321443094</v>
      </c>
      <c r="AK90" s="10">
        <f t="shared" si="19"/>
        <v>86.913169322189049</v>
      </c>
      <c r="AL90" s="10" t="str">
        <f t="shared" si="21"/>
        <v/>
      </c>
      <c r="AM90" s="10" t="str">
        <f t="shared" si="22"/>
        <v/>
      </c>
    </row>
    <row r="91" spans="1:39" x14ac:dyDescent="0.25">
      <c r="A91" s="15">
        <v>13014671</v>
      </c>
      <c r="B91" s="15">
        <v>24.83</v>
      </c>
      <c r="C91" s="15">
        <v>190112</v>
      </c>
      <c r="D91" s="15">
        <v>2792</v>
      </c>
      <c r="E91" s="15" t="s">
        <v>131</v>
      </c>
      <c r="F91" s="15">
        <v>2011</v>
      </c>
      <c r="G91" s="15">
        <v>20110417</v>
      </c>
      <c r="H91" s="15">
        <v>97633</v>
      </c>
      <c r="I91" s="15">
        <v>9.76</v>
      </c>
      <c r="J91" s="6" t="s">
        <v>67</v>
      </c>
      <c r="K91" s="15">
        <v>1</v>
      </c>
      <c r="L91" s="15" t="s">
        <v>32</v>
      </c>
      <c r="M91" s="15" t="s">
        <v>5</v>
      </c>
      <c r="N91" s="11" t="s">
        <v>1384</v>
      </c>
      <c r="O91" s="11" t="s">
        <v>28</v>
      </c>
      <c r="P91" s="11" t="s">
        <v>29</v>
      </c>
      <c r="Q91" s="15">
        <v>0</v>
      </c>
      <c r="R91" s="11" t="s">
        <v>1386</v>
      </c>
      <c r="S91" s="10">
        <v>149.84313841424</v>
      </c>
      <c r="T91" s="15">
        <v>80</v>
      </c>
      <c r="U91" s="15">
        <v>0</v>
      </c>
      <c r="V91" s="15">
        <v>1</v>
      </c>
      <c r="W91" s="15">
        <v>0</v>
      </c>
      <c r="X91" s="15">
        <f>IF(O91='Udvaskning nøgletal'!$D$65,1,IF(O91='Udvaskning nøgletal'!$D$66,2,IF(O91='Udvaskning nøgletal'!$D$67,3,IF(O91='Udvaskning nøgletal'!$D$68,2,""))))</f>
        <v>1</v>
      </c>
      <c r="Y91" s="15">
        <f>LOOKUP(K91,'Udvaskning nøgletal'!$C$12:$C$60,'Udvaskning nøgletal'!$H$12:$H$60)</f>
        <v>5</v>
      </c>
      <c r="Z91" s="10">
        <f>IF(X91=1,LOOKUP(K91,'Udvaskning nøgletal'!$C$12:$C$60,'Udvaskning nøgletal'!$E$12:$E$60)+Markniveau!Y91*Markniveau!S91/100,IF(X91=2,LOOKUP(K91,'Udvaskning nøgletal'!$C$12:$C$60,'Udvaskning nøgletal'!$F$12:$F$60)+Markniveau!Y91*Markniveau!S91/100,IF(X91=3,LOOKUP(K91,'Udvaskning nøgletal'!$C$12:$C$60,'Udvaskning nøgletal'!G101:G149)+Markniveau!Y91*Markniveau!S91/100,"")))</f>
        <v>72.152156920712002</v>
      </c>
      <c r="AA91" s="10">
        <f t="shared" si="16"/>
        <v>704.20505154614909</v>
      </c>
      <c r="AB91" s="10" t="str">
        <f t="shared" si="15"/>
        <v/>
      </c>
      <c r="AC91" s="10" t="str">
        <f t="shared" si="17"/>
        <v/>
      </c>
      <c r="AD91" s="10">
        <f>IF(AND(Q91&gt;0,Q91&lt;30,K91&lt;8),Markniveau!Z91*'Udvaskning nøgletal'!$I$12/100,IF(AND(Q91&gt;0,Q91&lt;30,K91=216),Markniveau!Z91*'Udvaskning nøgletal'!$I$34/100,Markniveau!Z91))</f>
        <v>72.152156920712002</v>
      </c>
      <c r="AE91" s="10">
        <f t="shared" si="23"/>
        <v>704.20505154614909</v>
      </c>
      <c r="AF91" s="10" t="str">
        <f t="shared" si="18"/>
        <v/>
      </c>
      <c r="AG91" s="10" t="str">
        <f t="shared" si="24"/>
        <v/>
      </c>
      <c r="AH91" s="10" t="str">
        <f>IF(AND(Q91&gt;0,Q91&lt;30,K91=216),'Udvaskning nøgletal'!$C$42,IF(AND(Q91&gt;0,Q91&lt;30,K91&gt;7,K91&lt;17),'Udvaskning nøgletal'!$C$61,IF(AND(Q91&gt;0,Q91&lt;30,K91&lt;7),'Udvaskning nøgletal'!$C$62,"")))</f>
        <v/>
      </c>
      <c r="AI91" s="10">
        <f t="shared" si="20"/>
        <v>1</v>
      </c>
      <c r="AJ91" s="10">
        <f>IF($X91=1,LOOKUP(AI91,'Udvaskning nøgletal'!$C$12:$C$62,'Udvaskning nøgletal'!$E$12:$E$62)+Markniveau!$Y91*Markniveau!$S91/100,IF($X91=2,LOOKUP(AI91,'Udvaskning nøgletal'!$C$12:$C$62,'Udvaskning nøgletal'!$F$12:$F$62)+Markniveau!$Y91*Markniveau!$S91/100,IF($X91=3,LOOKUP(AI91,'Udvaskning nøgletal'!$C$12:$C$62,'Udvaskning nøgletal'!Q101:Q151)+Markniveau!$Y91*Markniveau!$S91/100,"")))</f>
        <v>72.152156920712002</v>
      </c>
      <c r="AK91" s="10">
        <f t="shared" si="19"/>
        <v>704.20505154614909</v>
      </c>
      <c r="AL91" s="10" t="str">
        <f t="shared" si="21"/>
        <v/>
      </c>
      <c r="AM91" s="10" t="str">
        <f t="shared" si="22"/>
        <v/>
      </c>
    </row>
    <row r="92" spans="1:39" x14ac:dyDescent="0.25">
      <c r="A92" s="15">
        <v>13014671</v>
      </c>
      <c r="B92" s="15">
        <v>24.83</v>
      </c>
      <c r="C92" s="15">
        <v>190113</v>
      </c>
      <c r="D92" s="15">
        <v>2792</v>
      </c>
      <c r="E92" s="15" t="s">
        <v>119</v>
      </c>
      <c r="F92" s="15">
        <v>2011</v>
      </c>
      <c r="G92" s="15">
        <v>20110417</v>
      </c>
      <c r="H92" s="15">
        <v>32545</v>
      </c>
      <c r="I92" s="15">
        <v>3.25</v>
      </c>
      <c r="J92" s="6" t="s">
        <v>37</v>
      </c>
      <c r="K92" s="15">
        <v>260</v>
      </c>
      <c r="L92" s="15" t="s">
        <v>45</v>
      </c>
      <c r="M92" s="15" t="s">
        <v>5</v>
      </c>
      <c r="N92" s="11" t="s">
        <v>1391</v>
      </c>
      <c r="O92" s="11" t="s">
        <v>46</v>
      </c>
      <c r="P92" s="11" t="s">
        <v>33</v>
      </c>
      <c r="Q92" s="15">
        <v>0</v>
      </c>
      <c r="R92" s="11" t="s">
        <v>1386</v>
      </c>
      <c r="S92" s="10">
        <v>149.84313841424</v>
      </c>
      <c r="T92" s="15">
        <v>80</v>
      </c>
      <c r="U92" s="15">
        <v>0</v>
      </c>
      <c r="V92" s="15">
        <v>1</v>
      </c>
      <c r="W92" s="15">
        <v>0</v>
      </c>
      <c r="X92" s="15">
        <f>IF(O92='Udvaskning nøgletal'!$D$65,1,IF(O92='Udvaskning nøgletal'!$D$66,2,IF(O92='Udvaskning nøgletal'!$D$67,3,IF(O92='Udvaskning nøgletal'!$D$68,2,""))))</f>
        <v>2</v>
      </c>
      <c r="Y92" s="15">
        <f>LOOKUP(K92,'Udvaskning nøgletal'!$C$12:$C$60,'Udvaskning nøgletal'!$H$12:$H$60)</f>
        <v>0</v>
      </c>
      <c r="Z92" s="10">
        <f>IF(X92=1,LOOKUP(K92,'Udvaskning nøgletal'!$C$12:$C$60,'Udvaskning nøgletal'!$E$12:$E$60)+Markniveau!Y92*Markniveau!S92/100,IF(X92=2,LOOKUP(K92,'Udvaskning nøgletal'!$C$12:$C$60,'Udvaskning nøgletal'!$F$12:$F$60)+Markniveau!Y92*Markniveau!S92/100,IF(X92=3,LOOKUP(K92,'Udvaskning nøgletal'!$C$12:$C$60,'Udvaskning nøgletal'!G102:G150)+Markniveau!Y92*Markniveau!S92/100,"")))</f>
        <v>27.331185321443094</v>
      </c>
      <c r="AA92" s="10">
        <f t="shared" si="16"/>
        <v>88.826352294690054</v>
      </c>
      <c r="AB92" s="10" t="str">
        <f t="shared" si="15"/>
        <v/>
      </c>
      <c r="AC92" s="10" t="str">
        <f t="shared" si="17"/>
        <v/>
      </c>
      <c r="AD92" s="10">
        <f>IF(AND(Q92&gt;0,Q92&lt;30,K92&lt;8),Markniveau!Z92*'Udvaskning nøgletal'!$I$12/100,IF(AND(Q92&gt;0,Q92&lt;30,K92=216),Markniveau!Z92*'Udvaskning nøgletal'!$I$34/100,Markniveau!Z92))</f>
        <v>27.331185321443094</v>
      </c>
      <c r="AE92" s="10">
        <f t="shared" si="23"/>
        <v>88.826352294690054</v>
      </c>
      <c r="AF92" s="10" t="str">
        <f t="shared" si="18"/>
        <v/>
      </c>
      <c r="AG92" s="10" t="str">
        <f t="shared" si="24"/>
        <v/>
      </c>
      <c r="AH92" s="10" t="str">
        <f>IF(AND(Q92&gt;0,Q92&lt;30,K92=216),'Udvaskning nøgletal'!$C$42,IF(AND(Q92&gt;0,Q92&lt;30,K92&gt;7,K92&lt;17),'Udvaskning nøgletal'!$C$61,IF(AND(Q92&gt;0,Q92&lt;30,K92&lt;7),'Udvaskning nøgletal'!$C$62,"")))</f>
        <v/>
      </c>
      <c r="AI92" s="10">
        <f t="shared" si="20"/>
        <v>260</v>
      </c>
      <c r="AJ92" s="10">
        <f>IF($X92=1,LOOKUP(AI92,'Udvaskning nøgletal'!$C$12:$C$62,'Udvaskning nøgletal'!$E$12:$E$62)+Markniveau!$Y92*Markniveau!$S92/100,IF($X92=2,LOOKUP(AI92,'Udvaskning nøgletal'!$C$12:$C$62,'Udvaskning nøgletal'!$F$12:$F$62)+Markniveau!$Y92*Markniveau!$S92/100,IF($X92=3,LOOKUP(AI92,'Udvaskning nøgletal'!$C$12:$C$62,'Udvaskning nøgletal'!Q102:Q152)+Markniveau!$Y92*Markniveau!$S92/100,"")))</f>
        <v>27.331185321443094</v>
      </c>
      <c r="AK92" s="10">
        <f t="shared" si="19"/>
        <v>88.826352294690054</v>
      </c>
      <c r="AL92" s="10" t="str">
        <f t="shared" si="21"/>
        <v/>
      </c>
      <c r="AM92" s="10" t="str">
        <f t="shared" si="22"/>
        <v/>
      </c>
    </row>
    <row r="93" spans="1:39" x14ac:dyDescent="0.25">
      <c r="A93" s="15">
        <v>13014671</v>
      </c>
      <c r="B93" s="15">
        <v>24.83</v>
      </c>
      <c r="C93" s="15">
        <v>191151</v>
      </c>
      <c r="D93" s="15">
        <v>2792</v>
      </c>
      <c r="E93" s="15" t="s">
        <v>119</v>
      </c>
      <c r="F93" s="15">
        <v>2011</v>
      </c>
      <c r="G93" s="15">
        <v>20110417</v>
      </c>
      <c r="H93" s="15">
        <v>29661</v>
      </c>
      <c r="I93" s="15">
        <v>2.97</v>
      </c>
      <c r="J93" s="6" t="s">
        <v>34</v>
      </c>
      <c r="K93" s="15">
        <v>1</v>
      </c>
      <c r="L93" s="15" t="s">
        <v>32</v>
      </c>
      <c r="M93" s="15" t="s">
        <v>5</v>
      </c>
      <c r="N93" s="11" t="s">
        <v>1391</v>
      </c>
      <c r="O93" s="11" t="s">
        <v>46</v>
      </c>
      <c r="P93" s="11" t="s">
        <v>33</v>
      </c>
      <c r="Q93" s="15">
        <v>0</v>
      </c>
      <c r="R93" s="11" t="s">
        <v>1386</v>
      </c>
      <c r="S93" s="10">
        <v>149.84313841424</v>
      </c>
      <c r="T93" s="15">
        <v>80</v>
      </c>
      <c r="U93" s="15">
        <v>0</v>
      </c>
      <c r="V93" s="15">
        <v>1</v>
      </c>
      <c r="W93" s="15">
        <v>0</v>
      </c>
      <c r="X93" s="15">
        <f>IF(O93='Udvaskning nøgletal'!$D$65,1,IF(O93='Udvaskning nøgletal'!$D$66,2,IF(O93='Udvaskning nøgletal'!$D$67,3,IF(O93='Udvaskning nøgletal'!$D$68,2,""))))</f>
        <v>2</v>
      </c>
      <c r="Y93" s="15">
        <f>LOOKUP(K93,'Udvaskning nøgletal'!$C$12:$C$60,'Udvaskning nøgletal'!$H$12:$H$60)</f>
        <v>5</v>
      </c>
      <c r="Z93" s="10">
        <f>IF(X93=1,LOOKUP(K93,'Udvaskning nøgletal'!$C$12:$C$60,'Udvaskning nøgletal'!$E$12:$E$60)+Markniveau!Y93*Markniveau!S93/100,IF(X93=2,LOOKUP(K93,'Udvaskning nøgletal'!$C$12:$C$60,'Udvaskning nøgletal'!$F$12:$F$60)+Markniveau!Y93*Markniveau!S93/100,IF(X93=3,LOOKUP(K93,'Udvaskning nøgletal'!$C$12:$C$60,'Udvaskning nøgletal'!G103:G151)+Markniveau!Y93*Markniveau!S93/100,"")))</f>
        <v>58.372156920712001</v>
      </c>
      <c r="AA93" s="10">
        <f t="shared" si="16"/>
        <v>173.36530605451466</v>
      </c>
      <c r="AB93" s="10" t="str">
        <f t="shared" si="15"/>
        <v/>
      </c>
      <c r="AC93" s="10" t="str">
        <f t="shared" si="17"/>
        <v/>
      </c>
      <c r="AD93" s="10">
        <f>IF(AND(Q93&gt;0,Q93&lt;30,K93&lt;8),Markniveau!Z93*'Udvaskning nøgletal'!$I$12/100,IF(AND(Q93&gt;0,Q93&lt;30,K93=216),Markniveau!Z93*'Udvaskning nøgletal'!$I$34/100,Markniveau!Z93))</f>
        <v>58.372156920712001</v>
      </c>
      <c r="AE93" s="10">
        <f t="shared" si="23"/>
        <v>173.36530605451466</v>
      </c>
      <c r="AF93" s="10" t="str">
        <f t="shared" si="18"/>
        <v/>
      </c>
      <c r="AG93" s="10" t="str">
        <f t="shared" si="24"/>
        <v/>
      </c>
      <c r="AH93" s="10" t="str">
        <f>IF(AND(Q93&gt;0,Q93&lt;30,K93=216),'Udvaskning nøgletal'!$C$42,IF(AND(Q93&gt;0,Q93&lt;30,K93&gt;7,K93&lt;17),'Udvaskning nøgletal'!$C$61,IF(AND(Q93&gt;0,Q93&lt;30,K93&lt;7),'Udvaskning nøgletal'!$C$62,"")))</f>
        <v/>
      </c>
      <c r="AI93" s="10">
        <f t="shared" si="20"/>
        <v>1</v>
      </c>
      <c r="AJ93" s="10">
        <f>IF($X93=1,LOOKUP(AI93,'Udvaskning nøgletal'!$C$12:$C$62,'Udvaskning nøgletal'!$E$12:$E$62)+Markniveau!$Y93*Markniveau!$S93/100,IF($X93=2,LOOKUP(AI93,'Udvaskning nøgletal'!$C$12:$C$62,'Udvaskning nøgletal'!$F$12:$F$62)+Markniveau!$Y93*Markniveau!$S93/100,IF($X93=3,LOOKUP(AI93,'Udvaskning nøgletal'!$C$12:$C$62,'Udvaskning nøgletal'!Q103:Q153)+Markniveau!$Y93*Markniveau!$S93/100,"")))</f>
        <v>58.372156920712001</v>
      </c>
      <c r="AK93" s="10">
        <f t="shared" si="19"/>
        <v>173.36530605451466</v>
      </c>
      <c r="AL93" s="10" t="str">
        <f t="shared" si="21"/>
        <v/>
      </c>
      <c r="AM93" s="10" t="str">
        <f t="shared" si="22"/>
        <v/>
      </c>
    </row>
    <row r="94" spans="1:39" x14ac:dyDescent="0.25">
      <c r="A94" s="15">
        <v>13014671</v>
      </c>
      <c r="B94" s="15">
        <v>24.83</v>
      </c>
      <c r="C94" s="15">
        <v>192232</v>
      </c>
      <c r="D94" s="15">
        <v>2792</v>
      </c>
      <c r="E94" s="15" t="s">
        <v>132</v>
      </c>
      <c r="F94" s="15">
        <v>2011</v>
      </c>
      <c r="G94" s="15">
        <v>20110417</v>
      </c>
      <c r="H94" s="15">
        <v>23346</v>
      </c>
      <c r="I94" s="15">
        <v>2.33</v>
      </c>
      <c r="J94" s="6" t="s">
        <v>133</v>
      </c>
      <c r="K94" s="15">
        <v>263</v>
      </c>
      <c r="L94" s="15" t="s">
        <v>39</v>
      </c>
      <c r="M94" s="15" t="s">
        <v>5</v>
      </c>
      <c r="N94" s="11" t="s">
        <v>1384</v>
      </c>
      <c r="O94" s="11" t="s">
        <v>28</v>
      </c>
      <c r="P94" s="11" t="s">
        <v>33</v>
      </c>
      <c r="Q94" s="15">
        <v>0</v>
      </c>
      <c r="R94" s="11" t="s">
        <v>1386</v>
      </c>
      <c r="S94" s="10">
        <v>149.84313841424</v>
      </c>
      <c r="T94" s="15">
        <v>80</v>
      </c>
      <c r="U94" s="15">
        <v>0</v>
      </c>
      <c r="V94" s="15">
        <v>1</v>
      </c>
      <c r="W94" s="15">
        <v>0</v>
      </c>
      <c r="X94" s="15">
        <f>IF(O94='Udvaskning nøgletal'!$D$65,1,IF(O94='Udvaskning nøgletal'!$D$66,2,IF(O94='Udvaskning nøgletal'!$D$67,3,IF(O94='Udvaskning nøgletal'!$D$68,2,""))))</f>
        <v>1</v>
      </c>
      <c r="Y94" s="15">
        <f>LOOKUP(K94,'Udvaskning nøgletal'!$C$12:$C$60,'Udvaskning nøgletal'!$H$12:$H$60)</f>
        <v>0</v>
      </c>
      <c r="Z94" s="10">
        <f>IF(X94=1,LOOKUP(K94,'Udvaskning nøgletal'!$C$12:$C$60,'Udvaskning nøgletal'!$E$12:$E$60)+Markniveau!Y94*Markniveau!S94/100,IF(X94=2,LOOKUP(K94,'Udvaskning nøgletal'!$C$12:$C$60,'Udvaskning nøgletal'!$F$12:$F$60)+Markniveau!Y94*Markniveau!S94/100,IF(X94=3,LOOKUP(K94,'Udvaskning nøgletal'!$C$12:$C$60,'Udvaskning nøgletal'!G104:G152)+Markniveau!Y94*Markniveau!S94/100,"")))</f>
        <v>33.723295792149436</v>
      </c>
      <c r="AA94" s="10">
        <f t="shared" si="16"/>
        <v>78.575279195708191</v>
      </c>
      <c r="AB94" s="10" t="str">
        <f t="shared" si="15"/>
        <v/>
      </c>
      <c r="AC94" s="10" t="str">
        <f t="shared" si="17"/>
        <v/>
      </c>
      <c r="AD94" s="10">
        <f>IF(AND(Q94&gt;0,Q94&lt;30,K94&lt;8),Markniveau!Z94*'Udvaskning nøgletal'!$I$12/100,IF(AND(Q94&gt;0,Q94&lt;30,K94=216),Markniveau!Z94*'Udvaskning nøgletal'!$I$34/100,Markniveau!Z94))</f>
        <v>33.723295792149436</v>
      </c>
      <c r="AE94" s="10">
        <f t="shared" si="23"/>
        <v>78.575279195708191</v>
      </c>
      <c r="AF94" s="10" t="str">
        <f t="shared" si="18"/>
        <v/>
      </c>
      <c r="AG94" s="10" t="str">
        <f t="shared" si="24"/>
        <v/>
      </c>
      <c r="AH94" s="10" t="str">
        <f>IF(AND(Q94&gt;0,Q94&lt;30,K94=216),'Udvaskning nøgletal'!$C$42,IF(AND(Q94&gt;0,Q94&lt;30,K94&gt;7,K94&lt;17),'Udvaskning nøgletal'!$C$61,IF(AND(Q94&gt;0,Q94&lt;30,K94&lt;7),'Udvaskning nøgletal'!$C$62,"")))</f>
        <v/>
      </c>
      <c r="AI94" s="10">
        <f t="shared" si="20"/>
        <v>263</v>
      </c>
      <c r="AJ94" s="10">
        <f>IF($X94=1,LOOKUP(AI94,'Udvaskning nøgletal'!$C$12:$C$62,'Udvaskning nøgletal'!$E$12:$E$62)+Markniveau!$Y94*Markniveau!$S94/100,IF($X94=2,LOOKUP(AI94,'Udvaskning nøgletal'!$C$12:$C$62,'Udvaskning nøgletal'!$F$12:$F$62)+Markniveau!$Y94*Markniveau!$S94/100,IF($X94=3,LOOKUP(AI94,'Udvaskning nøgletal'!$C$12:$C$62,'Udvaskning nøgletal'!Q104:Q154)+Markniveau!$Y94*Markniveau!$S94/100,"")))</f>
        <v>33.723295792149436</v>
      </c>
      <c r="AK94" s="10">
        <f t="shared" si="19"/>
        <v>78.575279195708191</v>
      </c>
      <c r="AL94" s="10" t="str">
        <f t="shared" si="21"/>
        <v/>
      </c>
      <c r="AM94" s="10" t="str">
        <f t="shared" si="22"/>
        <v/>
      </c>
    </row>
    <row r="95" spans="1:39" x14ac:dyDescent="0.25">
      <c r="A95" s="15">
        <v>13014671</v>
      </c>
      <c r="B95" s="15">
        <v>24.83</v>
      </c>
      <c r="C95" s="15">
        <v>192233</v>
      </c>
      <c r="D95" s="15">
        <v>2792</v>
      </c>
      <c r="E95" s="15" t="s">
        <v>132</v>
      </c>
      <c r="F95" s="15">
        <v>2011</v>
      </c>
      <c r="G95" s="15">
        <v>20110417</v>
      </c>
      <c r="H95" s="15">
        <v>53559</v>
      </c>
      <c r="I95" s="15">
        <v>5.36</v>
      </c>
      <c r="J95" s="6" t="s">
        <v>134</v>
      </c>
      <c r="K95" s="15">
        <v>252</v>
      </c>
      <c r="L95" s="15" t="s">
        <v>41</v>
      </c>
      <c r="M95" s="15" t="s">
        <v>4</v>
      </c>
      <c r="N95" s="11" t="s">
        <v>1384</v>
      </c>
      <c r="O95" s="11" t="s">
        <v>28</v>
      </c>
      <c r="P95" s="11" t="s">
        <v>33</v>
      </c>
      <c r="Q95" s="15">
        <v>0</v>
      </c>
      <c r="R95" s="11" t="s">
        <v>1386</v>
      </c>
      <c r="S95" s="10">
        <v>149.84313841424</v>
      </c>
      <c r="T95" s="15">
        <v>80</v>
      </c>
      <c r="U95" s="15">
        <v>0</v>
      </c>
      <c r="V95" s="15">
        <v>1</v>
      </c>
      <c r="W95" s="15">
        <v>0</v>
      </c>
      <c r="X95" s="15">
        <f>IF(O95='Udvaskning nøgletal'!$D$65,1,IF(O95='Udvaskning nøgletal'!$D$66,2,IF(O95='Udvaskning nøgletal'!$D$67,3,IF(O95='Udvaskning nøgletal'!$D$68,2,""))))</f>
        <v>1</v>
      </c>
      <c r="Y95" s="15">
        <f>LOOKUP(K95,'Udvaskning nøgletal'!$C$12:$C$60,'Udvaskning nøgletal'!$H$12:$H$60)</f>
        <v>0</v>
      </c>
      <c r="Z95" s="10">
        <f>IF(X95=1,LOOKUP(K95,'Udvaskning nøgletal'!$C$12:$C$60,'Udvaskning nøgletal'!$E$12:$E$60)+Markniveau!Y95*Markniveau!S95/100,IF(X95=2,LOOKUP(K95,'Udvaskning nøgletal'!$C$12:$C$60,'Udvaskning nøgletal'!$F$12:$F$60)+Markniveau!Y95*Markniveau!S95/100,IF(X95=3,LOOKUP(K95,'Udvaskning nøgletal'!$C$12:$C$60,'Udvaskning nøgletal'!G105:G153)+Markniveau!Y95*Markniveau!S95/100,"")))</f>
        <v>21.2</v>
      </c>
      <c r="AA95" s="10">
        <f t="shared" si="16"/>
        <v>113.63200000000001</v>
      </c>
      <c r="AB95" s="10" t="str">
        <f t="shared" si="15"/>
        <v/>
      </c>
      <c r="AC95" s="10" t="str">
        <f t="shared" si="17"/>
        <v/>
      </c>
      <c r="AD95" s="10">
        <f>IF(AND(Q95&gt;0,Q95&lt;30,K95&lt;8),Markniveau!Z95*'Udvaskning nøgletal'!$I$12/100,IF(AND(Q95&gt;0,Q95&lt;30,K95=216),Markniveau!Z95*'Udvaskning nøgletal'!$I$34/100,Markniveau!Z95))</f>
        <v>21.2</v>
      </c>
      <c r="AE95" s="10">
        <f t="shared" si="23"/>
        <v>113.63200000000001</v>
      </c>
      <c r="AF95" s="10" t="str">
        <f t="shared" si="18"/>
        <v/>
      </c>
      <c r="AG95" s="10" t="str">
        <f t="shared" si="24"/>
        <v/>
      </c>
      <c r="AH95" s="10" t="str">
        <f>IF(AND(Q95&gt;0,Q95&lt;30,K95=216),'Udvaskning nøgletal'!$C$42,IF(AND(Q95&gt;0,Q95&lt;30,K95&gt;7,K95&lt;17),'Udvaskning nøgletal'!$C$61,IF(AND(Q95&gt;0,Q95&lt;30,K95&lt;7),'Udvaskning nøgletal'!$C$62,"")))</f>
        <v/>
      </c>
      <c r="AI95" s="10">
        <f t="shared" si="20"/>
        <v>252</v>
      </c>
      <c r="AJ95" s="10">
        <f>IF($X95=1,LOOKUP(AI95,'Udvaskning nøgletal'!$C$12:$C$62,'Udvaskning nøgletal'!$E$12:$E$62)+Markniveau!$Y95*Markniveau!$S95/100,IF($X95=2,LOOKUP(AI95,'Udvaskning nøgletal'!$C$12:$C$62,'Udvaskning nøgletal'!$F$12:$F$62)+Markniveau!$Y95*Markniveau!$S95/100,IF($X95=3,LOOKUP(AI95,'Udvaskning nøgletal'!$C$12:$C$62,'Udvaskning nøgletal'!Q105:Q155)+Markniveau!$Y95*Markniveau!$S95/100,"")))</f>
        <v>21.2</v>
      </c>
      <c r="AK95" s="10">
        <f t="shared" si="19"/>
        <v>113.63200000000001</v>
      </c>
      <c r="AL95" s="10" t="str">
        <f t="shared" si="21"/>
        <v/>
      </c>
      <c r="AM95" s="10" t="str">
        <f t="shared" si="22"/>
        <v/>
      </c>
    </row>
    <row r="96" spans="1:39" x14ac:dyDescent="0.25">
      <c r="A96" s="15">
        <v>13014671</v>
      </c>
      <c r="B96" s="15">
        <v>24.83</v>
      </c>
      <c r="C96" s="15">
        <v>192234</v>
      </c>
      <c r="D96" s="15">
        <v>2792</v>
      </c>
      <c r="E96" s="15" t="s">
        <v>135</v>
      </c>
      <c r="F96" s="15">
        <v>2011</v>
      </c>
      <c r="G96" s="15">
        <v>20110417</v>
      </c>
      <c r="H96" s="15">
        <v>1914</v>
      </c>
      <c r="I96" s="15">
        <v>0.19</v>
      </c>
      <c r="J96" s="6" t="s">
        <v>136</v>
      </c>
      <c r="K96" s="15">
        <v>252</v>
      </c>
      <c r="L96" s="15" t="s">
        <v>41</v>
      </c>
      <c r="M96" s="15" t="s">
        <v>4</v>
      </c>
      <c r="N96" s="11" t="s">
        <v>1384</v>
      </c>
      <c r="O96" s="11" t="s">
        <v>28</v>
      </c>
      <c r="P96" s="11" t="s">
        <v>33</v>
      </c>
      <c r="Q96" s="15">
        <v>0</v>
      </c>
      <c r="R96" s="11" t="s">
        <v>1386</v>
      </c>
      <c r="S96" s="10">
        <v>149.84313841424</v>
      </c>
      <c r="T96" s="15">
        <v>80</v>
      </c>
      <c r="U96" s="15">
        <v>0</v>
      </c>
      <c r="V96" s="15">
        <v>1</v>
      </c>
      <c r="W96" s="15">
        <v>0</v>
      </c>
      <c r="X96" s="15">
        <f>IF(O96='Udvaskning nøgletal'!$D$65,1,IF(O96='Udvaskning nøgletal'!$D$66,2,IF(O96='Udvaskning nøgletal'!$D$67,3,IF(O96='Udvaskning nøgletal'!$D$68,2,""))))</f>
        <v>1</v>
      </c>
      <c r="Y96" s="15">
        <f>LOOKUP(K96,'Udvaskning nøgletal'!$C$12:$C$60,'Udvaskning nøgletal'!$H$12:$H$60)</f>
        <v>0</v>
      </c>
      <c r="Z96" s="10">
        <f>IF(X96=1,LOOKUP(K96,'Udvaskning nøgletal'!$C$12:$C$60,'Udvaskning nøgletal'!$E$12:$E$60)+Markniveau!Y96*Markniveau!S96/100,IF(X96=2,LOOKUP(K96,'Udvaskning nøgletal'!$C$12:$C$60,'Udvaskning nøgletal'!$F$12:$F$60)+Markniveau!Y96*Markniveau!S96/100,IF(X96=3,LOOKUP(K96,'Udvaskning nøgletal'!$C$12:$C$60,'Udvaskning nøgletal'!G106:G154)+Markniveau!Y96*Markniveau!S96/100,"")))</f>
        <v>21.2</v>
      </c>
      <c r="AA96" s="10">
        <f t="shared" si="16"/>
        <v>4.0279999999999996</v>
      </c>
      <c r="AB96" s="10" t="str">
        <f t="shared" si="15"/>
        <v/>
      </c>
      <c r="AC96" s="10" t="str">
        <f t="shared" si="17"/>
        <v/>
      </c>
      <c r="AD96" s="10">
        <f>IF(AND(Q96&gt;0,Q96&lt;30,K96&lt;8),Markniveau!Z96*'Udvaskning nøgletal'!$I$12/100,IF(AND(Q96&gt;0,Q96&lt;30,K96=216),Markniveau!Z96*'Udvaskning nøgletal'!$I$34/100,Markniveau!Z96))</f>
        <v>21.2</v>
      </c>
      <c r="AE96" s="10">
        <f t="shared" si="23"/>
        <v>4.0279999999999996</v>
      </c>
      <c r="AF96" s="10" t="str">
        <f t="shared" si="18"/>
        <v/>
      </c>
      <c r="AG96" s="10" t="str">
        <f t="shared" si="24"/>
        <v/>
      </c>
      <c r="AH96" s="10" t="str">
        <f>IF(AND(Q96&gt;0,Q96&lt;30,K96=216),'Udvaskning nøgletal'!$C$42,IF(AND(Q96&gt;0,Q96&lt;30,K96&gt;7,K96&lt;17),'Udvaskning nøgletal'!$C$61,IF(AND(Q96&gt;0,Q96&lt;30,K96&lt;7),'Udvaskning nøgletal'!$C$62,"")))</f>
        <v/>
      </c>
      <c r="AI96" s="10">
        <f t="shared" si="20"/>
        <v>252</v>
      </c>
      <c r="AJ96" s="10">
        <f>IF($X96=1,LOOKUP(AI96,'Udvaskning nøgletal'!$C$12:$C$62,'Udvaskning nøgletal'!$E$12:$E$62)+Markniveau!$Y96*Markniveau!$S96/100,IF($X96=2,LOOKUP(AI96,'Udvaskning nøgletal'!$C$12:$C$62,'Udvaskning nøgletal'!$F$12:$F$62)+Markniveau!$Y96*Markniveau!$S96/100,IF($X96=3,LOOKUP(AI96,'Udvaskning nøgletal'!$C$12:$C$62,'Udvaskning nøgletal'!Q106:Q156)+Markniveau!$Y96*Markniveau!$S96/100,"")))</f>
        <v>21.2</v>
      </c>
      <c r="AK96" s="10">
        <f t="shared" si="19"/>
        <v>4.0279999999999996</v>
      </c>
      <c r="AL96" s="10" t="str">
        <f t="shared" si="21"/>
        <v/>
      </c>
      <c r="AM96" s="10" t="str">
        <f t="shared" si="22"/>
        <v/>
      </c>
    </row>
    <row r="97" spans="1:39" x14ac:dyDescent="0.25">
      <c r="A97" s="15">
        <v>13014671</v>
      </c>
      <c r="B97" s="15">
        <v>24.83</v>
      </c>
      <c r="C97" s="15">
        <v>192235</v>
      </c>
      <c r="D97" s="15">
        <v>2792</v>
      </c>
      <c r="E97" s="15" t="s">
        <v>135</v>
      </c>
      <c r="F97" s="15">
        <v>2011</v>
      </c>
      <c r="G97" s="15">
        <v>20110417</v>
      </c>
      <c r="H97" s="15">
        <v>11300</v>
      </c>
      <c r="I97" s="15">
        <v>1.1299999999999999</v>
      </c>
      <c r="J97" s="6" t="s">
        <v>137</v>
      </c>
      <c r="K97" s="15">
        <v>252</v>
      </c>
      <c r="L97" s="15" t="s">
        <v>41</v>
      </c>
      <c r="M97" s="15" t="s">
        <v>4</v>
      </c>
      <c r="N97" s="11" t="s">
        <v>1384</v>
      </c>
      <c r="O97" s="11" t="s">
        <v>28</v>
      </c>
      <c r="P97" s="11" t="s">
        <v>33</v>
      </c>
      <c r="Q97" s="15">
        <v>0</v>
      </c>
      <c r="R97" s="11" t="s">
        <v>1386</v>
      </c>
      <c r="S97" s="10">
        <v>149.84313841424</v>
      </c>
      <c r="T97" s="15">
        <v>80</v>
      </c>
      <c r="U97" s="15">
        <v>0</v>
      </c>
      <c r="V97" s="15">
        <v>1</v>
      </c>
      <c r="W97" s="15">
        <v>0</v>
      </c>
      <c r="X97" s="15">
        <f>IF(O97='Udvaskning nøgletal'!$D$65,1,IF(O97='Udvaskning nøgletal'!$D$66,2,IF(O97='Udvaskning nøgletal'!$D$67,3,IF(O97='Udvaskning nøgletal'!$D$68,2,""))))</f>
        <v>1</v>
      </c>
      <c r="Y97" s="15">
        <f>LOOKUP(K97,'Udvaskning nøgletal'!$C$12:$C$60,'Udvaskning nøgletal'!$H$12:$H$60)</f>
        <v>0</v>
      </c>
      <c r="Z97" s="10">
        <f>IF(X97=1,LOOKUP(K97,'Udvaskning nøgletal'!$C$12:$C$60,'Udvaskning nøgletal'!$E$12:$E$60)+Markniveau!Y97*Markniveau!S97/100,IF(X97=2,LOOKUP(K97,'Udvaskning nøgletal'!$C$12:$C$60,'Udvaskning nøgletal'!$F$12:$F$60)+Markniveau!Y97*Markniveau!S97/100,IF(X97=3,LOOKUP(K97,'Udvaskning nøgletal'!$C$12:$C$60,'Udvaskning nøgletal'!G107:G155)+Markniveau!Y97*Markniveau!S97/100,"")))</f>
        <v>21.2</v>
      </c>
      <c r="AA97" s="10">
        <f t="shared" si="16"/>
        <v>23.955999999999996</v>
      </c>
      <c r="AB97" s="10" t="str">
        <f t="shared" si="15"/>
        <v/>
      </c>
      <c r="AC97" s="10" t="str">
        <f t="shared" si="17"/>
        <v/>
      </c>
      <c r="AD97" s="10">
        <f>IF(AND(Q97&gt;0,Q97&lt;30,K97&lt;8),Markniveau!Z97*'Udvaskning nøgletal'!$I$12/100,IF(AND(Q97&gt;0,Q97&lt;30,K97=216),Markniveau!Z97*'Udvaskning nøgletal'!$I$34/100,Markniveau!Z97))</f>
        <v>21.2</v>
      </c>
      <c r="AE97" s="10">
        <f t="shared" si="23"/>
        <v>23.955999999999996</v>
      </c>
      <c r="AF97" s="10" t="str">
        <f t="shared" si="18"/>
        <v/>
      </c>
      <c r="AG97" s="10" t="str">
        <f t="shared" si="24"/>
        <v/>
      </c>
      <c r="AH97" s="10" t="str">
        <f>IF(AND(Q97&gt;0,Q97&lt;30,K97=216),'Udvaskning nøgletal'!$C$42,IF(AND(Q97&gt;0,Q97&lt;30,K97&gt;7,K97&lt;17),'Udvaskning nøgletal'!$C$61,IF(AND(Q97&gt;0,Q97&lt;30,K97&lt;7),'Udvaskning nøgletal'!$C$62,"")))</f>
        <v/>
      </c>
      <c r="AI97" s="10">
        <f t="shared" si="20"/>
        <v>252</v>
      </c>
      <c r="AJ97" s="10">
        <f>IF($X97=1,LOOKUP(AI97,'Udvaskning nøgletal'!$C$12:$C$62,'Udvaskning nøgletal'!$E$12:$E$62)+Markniveau!$Y97*Markniveau!$S97/100,IF($X97=2,LOOKUP(AI97,'Udvaskning nøgletal'!$C$12:$C$62,'Udvaskning nøgletal'!$F$12:$F$62)+Markniveau!$Y97*Markniveau!$S97/100,IF($X97=3,LOOKUP(AI97,'Udvaskning nøgletal'!$C$12:$C$62,'Udvaskning nøgletal'!Q107:Q157)+Markniveau!$Y97*Markniveau!$S97/100,"")))</f>
        <v>21.2</v>
      </c>
      <c r="AK97" s="10">
        <f t="shared" si="19"/>
        <v>23.955999999999996</v>
      </c>
      <c r="AL97" s="10" t="str">
        <f t="shared" si="21"/>
        <v/>
      </c>
      <c r="AM97" s="10" t="str">
        <f t="shared" si="22"/>
        <v/>
      </c>
    </row>
    <row r="98" spans="1:39" x14ac:dyDescent="0.25">
      <c r="A98" s="15">
        <v>13014671</v>
      </c>
      <c r="B98" s="15">
        <v>24.83</v>
      </c>
      <c r="C98" s="15">
        <v>192764</v>
      </c>
      <c r="D98" s="15">
        <v>2792</v>
      </c>
      <c r="E98" s="15" t="s">
        <v>135</v>
      </c>
      <c r="F98" s="15">
        <v>2011</v>
      </c>
      <c r="G98" s="15">
        <v>20110417</v>
      </c>
      <c r="H98" s="15">
        <v>49398</v>
      </c>
      <c r="I98" s="15">
        <v>4.9400000000000004</v>
      </c>
      <c r="J98" s="6" t="s">
        <v>138</v>
      </c>
      <c r="K98" s="15">
        <v>252</v>
      </c>
      <c r="L98" s="15" t="s">
        <v>41</v>
      </c>
      <c r="M98" s="15" t="s">
        <v>4</v>
      </c>
      <c r="N98" s="11" t="s">
        <v>1391</v>
      </c>
      <c r="O98" s="11" t="s">
        <v>46</v>
      </c>
      <c r="P98" s="11" t="s">
        <v>33</v>
      </c>
      <c r="Q98" s="15">
        <v>0</v>
      </c>
      <c r="R98" s="11" t="s">
        <v>1386</v>
      </c>
      <c r="S98" s="10">
        <v>149.84313841424</v>
      </c>
      <c r="T98" s="15">
        <v>80</v>
      </c>
      <c r="U98" s="15">
        <v>0</v>
      </c>
      <c r="V98" s="15">
        <v>1</v>
      </c>
      <c r="W98" s="15">
        <v>0</v>
      </c>
      <c r="X98" s="15">
        <f>IF(O98='Udvaskning nøgletal'!$D$65,1,IF(O98='Udvaskning nøgletal'!$D$66,2,IF(O98='Udvaskning nøgletal'!$D$67,3,IF(O98='Udvaskning nøgletal'!$D$68,2,""))))</f>
        <v>2</v>
      </c>
      <c r="Y98" s="15">
        <f>LOOKUP(K98,'Udvaskning nøgletal'!$C$12:$C$60,'Udvaskning nøgletal'!$H$12:$H$60)</f>
        <v>0</v>
      </c>
      <c r="Z98" s="10">
        <f>IF(X98=1,LOOKUP(K98,'Udvaskning nøgletal'!$C$12:$C$60,'Udvaskning nøgletal'!$E$12:$E$60)+Markniveau!Y98*Markniveau!S98/100,IF(X98=2,LOOKUP(K98,'Udvaskning nøgletal'!$C$12:$C$60,'Udvaskning nøgletal'!$F$12:$F$60)+Markniveau!Y98*Markniveau!S98/100,IF(X98=3,LOOKUP(K98,'Udvaskning nøgletal'!$C$12:$C$60,'Udvaskning nøgletal'!G108:G156)+Markniveau!Y98*Markniveau!S98/100,"")))</f>
        <v>21.2</v>
      </c>
      <c r="AA98" s="10">
        <f t="shared" si="16"/>
        <v>104.72800000000001</v>
      </c>
      <c r="AB98" s="10" t="str">
        <f t="shared" si="15"/>
        <v/>
      </c>
      <c r="AC98" s="10" t="str">
        <f t="shared" si="17"/>
        <v/>
      </c>
      <c r="AD98" s="10">
        <f>IF(AND(Q98&gt;0,Q98&lt;30,K98&lt;8),Markniveau!Z98*'Udvaskning nøgletal'!$I$12/100,IF(AND(Q98&gt;0,Q98&lt;30,K98=216),Markniveau!Z98*'Udvaskning nøgletal'!$I$34/100,Markniveau!Z98))</f>
        <v>21.2</v>
      </c>
      <c r="AE98" s="10">
        <f t="shared" si="23"/>
        <v>104.72800000000001</v>
      </c>
      <c r="AF98" s="10" t="str">
        <f t="shared" si="18"/>
        <v/>
      </c>
      <c r="AG98" s="10" t="str">
        <f t="shared" si="24"/>
        <v/>
      </c>
      <c r="AH98" s="10" t="str">
        <f>IF(AND(Q98&gt;0,Q98&lt;30,K98=216),'Udvaskning nøgletal'!$C$42,IF(AND(Q98&gt;0,Q98&lt;30,K98&gt;7,K98&lt;17),'Udvaskning nøgletal'!$C$61,IF(AND(Q98&gt;0,Q98&lt;30,K98&lt;7),'Udvaskning nøgletal'!$C$62,"")))</f>
        <v/>
      </c>
      <c r="AI98" s="10">
        <f t="shared" si="20"/>
        <v>252</v>
      </c>
      <c r="AJ98" s="10">
        <f>IF($X98=1,LOOKUP(AI98,'Udvaskning nøgletal'!$C$12:$C$62,'Udvaskning nøgletal'!$E$12:$E$62)+Markniveau!$Y98*Markniveau!$S98/100,IF($X98=2,LOOKUP(AI98,'Udvaskning nøgletal'!$C$12:$C$62,'Udvaskning nøgletal'!$F$12:$F$62)+Markniveau!$Y98*Markniveau!$S98/100,IF($X98=3,LOOKUP(AI98,'Udvaskning nøgletal'!$C$12:$C$62,'Udvaskning nøgletal'!Q108:Q158)+Markniveau!$Y98*Markniveau!$S98/100,"")))</f>
        <v>21.2</v>
      </c>
      <c r="AK98" s="10">
        <f t="shared" si="19"/>
        <v>104.72800000000001</v>
      </c>
      <c r="AL98" s="10" t="str">
        <f t="shared" si="21"/>
        <v/>
      </c>
      <c r="AM98" s="10" t="str">
        <f t="shared" si="22"/>
        <v/>
      </c>
    </row>
    <row r="99" spans="1:39" x14ac:dyDescent="0.25">
      <c r="A99" s="15">
        <v>13014671</v>
      </c>
      <c r="B99" s="15">
        <v>24.83</v>
      </c>
      <c r="C99" s="15">
        <v>192765</v>
      </c>
      <c r="D99" s="15">
        <v>2792</v>
      </c>
      <c r="E99" s="15" t="s">
        <v>139</v>
      </c>
      <c r="F99" s="15">
        <v>2011</v>
      </c>
      <c r="G99" s="15">
        <v>20110417</v>
      </c>
      <c r="H99" s="15">
        <v>141004</v>
      </c>
      <c r="I99" s="15">
        <v>14.1</v>
      </c>
      <c r="J99" s="6" t="s">
        <v>75</v>
      </c>
      <c r="K99" s="15">
        <v>216</v>
      </c>
      <c r="L99" s="15" t="s">
        <v>116</v>
      </c>
      <c r="M99" s="15" t="s">
        <v>5</v>
      </c>
      <c r="N99" s="11" t="s">
        <v>1391</v>
      </c>
      <c r="O99" s="11" t="s">
        <v>46</v>
      </c>
      <c r="P99" s="11" t="s">
        <v>33</v>
      </c>
      <c r="Q99" s="15">
        <v>0</v>
      </c>
      <c r="R99" s="11" t="s">
        <v>1386</v>
      </c>
      <c r="S99" s="10">
        <v>149.84313841424</v>
      </c>
      <c r="T99" s="15">
        <v>80</v>
      </c>
      <c r="U99" s="15">
        <v>0</v>
      </c>
      <c r="V99" s="15">
        <v>1</v>
      </c>
      <c r="W99" s="15">
        <v>0</v>
      </c>
      <c r="X99" s="15">
        <f>IF(O99='Udvaskning nøgletal'!$D$65,1,IF(O99='Udvaskning nøgletal'!$D$66,2,IF(O99='Udvaskning nøgletal'!$D$67,3,IF(O99='Udvaskning nøgletal'!$D$68,2,""))))</f>
        <v>2</v>
      </c>
      <c r="Y99" s="15">
        <f>LOOKUP(K99,'Udvaskning nøgletal'!$C$12:$C$60,'Udvaskning nøgletal'!$H$12:$H$60)</f>
        <v>0</v>
      </c>
      <c r="Z99" s="10">
        <f>IF(X99=1,LOOKUP(K99,'Udvaskning nøgletal'!$C$12:$C$60,'Udvaskning nøgletal'!$E$12:$E$60)+Markniveau!Y99*Markniveau!S99/100,IF(X99=2,LOOKUP(K99,'Udvaskning nøgletal'!$C$12:$C$60,'Udvaskning nøgletal'!$F$12:$F$60)+Markniveau!Y99*Markniveau!S99/100,IF(X99=3,LOOKUP(K99,'Udvaskning nøgletal'!$C$12:$C$60,'Udvaskning nøgletal'!G109:G157)+Markniveau!Y99*Markniveau!S99/100,"")))</f>
        <v>101.66744640811392</v>
      </c>
      <c r="AA99" s="10">
        <f t="shared" si="16"/>
        <v>1433.5109943544062</v>
      </c>
      <c r="AB99" s="10" t="str">
        <f t="shared" si="15"/>
        <v/>
      </c>
      <c r="AC99" s="10" t="str">
        <f t="shared" si="17"/>
        <v/>
      </c>
      <c r="AD99" s="10">
        <f>IF(AND(Q99&gt;0,Q99&lt;30,K99&lt;8),Markniveau!Z99*'Udvaskning nøgletal'!$I$12/100,IF(AND(Q99&gt;0,Q99&lt;30,K99=216),Markniveau!Z99*'Udvaskning nøgletal'!$I$34/100,Markniveau!Z99))</f>
        <v>101.66744640811392</v>
      </c>
      <c r="AE99" s="10">
        <f t="shared" si="23"/>
        <v>1433.5109943544062</v>
      </c>
      <c r="AF99" s="10" t="str">
        <f t="shared" si="18"/>
        <v/>
      </c>
      <c r="AG99" s="10" t="str">
        <f t="shared" si="24"/>
        <v/>
      </c>
      <c r="AH99" s="10" t="str">
        <f>IF(AND(Q99&gt;0,Q99&lt;30,K99=216),'Udvaskning nøgletal'!$C$42,IF(AND(Q99&gt;0,Q99&lt;30,K99&gt;7,K99&lt;17),'Udvaskning nøgletal'!$C$61,IF(AND(Q99&gt;0,Q99&lt;30,K99&lt;7),'Udvaskning nøgletal'!$C$62,"")))</f>
        <v/>
      </c>
      <c r="AI99" s="10">
        <f t="shared" si="20"/>
        <v>216</v>
      </c>
      <c r="AJ99" s="10">
        <f>IF($X99=1,LOOKUP(AI99,'Udvaskning nøgletal'!$C$12:$C$62,'Udvaskning nøgletal'!$E$12:$E$62)+Markniveau!$Y99*Markniveau!$S99/100,IF($X99=2,LOOKUP(AI99,'Udvaskning nøgletal'!$C$12:$C$62,'Udvaskning nøgletal'!$F$12:$F$62)+Markniveau!$Y99*Markniveau!$S99/100,IF($X99=3,LOOKUP(AI99,'Udvaskning nøgletal'!$C$12:$C$62,'Udvaskning nøgletal'!Q109:Q159)+Markniveau!$Y99*Markniveau!$S99/100,"")))</f>
        <v>101.66744640811392</v>
      </c>
      <c r="AK99" s="10">
        <f t="shared" si="19"/>
        <v>1433.5109943544062</v>
      </c>
      <c r="AL99" s="10" t="str">
        <f t="shared" si="21"/>
        <v/>
      </c>
      <c r="AM99" s="10" t="str">
        <f t="shared" si="22"/>
        <v/>
      </c>
    </row>
    <row r="100" spans="1:39" x14ac:dyDescent="0.25">
      <c r="A100" s="15">
        <v>13014671</v>
      </c>
      <c r="B100" s="15">
        <v>24.83</v>
      </c>
      <c r="C100" s="15">
        <v>192766</v>
      </c>
      <c r="D100" s="15">
        <v>2792</v>
      </c>
      <c r="E100" s="15" t="s">
        <v>140</v>
      </c>
      <c r="F100" s="15">
        <v>2011</v>
      </c>
      <c r="G100" s="15">
        <v>20110417</v>
      </c>
      <c r="H100" s="15">
        <v>26681</v>
      </c>
      <c r="I100" s="15">
        <v>2.67</v>
      </c>
      <c r="J100" s="6" t="s">
        <v>91</v>
      </c>
      <c r="K100" s="15">
        <v>260</v>
      </c>
      <c r="L100" s="15" t="s">
        <v>45</v>
      </c>
      <c r="M100" s="15" t="s">
        <v>5</v>
      </c>
      <c r="N100" s="11" t="s">
        <v>1391</v>
      </c>
      <c r="O100" s="11" t="s">
        <v>46</v>
      </c>
      <c r="P100" s="11" t="s">
        <v>33</v>
      </c>
      <c r="Q100" s="15">
        <v>0</v>
      </c>
      <c r="R100" s="11" t="s">
        <v>1386</v>
      </c>
      <c r="S100" s="10">
        <v>149.84313841424</v>
      </c>
      <c r="T100" s="15">
        <v>80</v>
      </c>
      <c r="U100" s="15">
        <v>0</v>
      </c>
      <c r="V100" s="15">
        <v>1</v>
      </c>
      <c r="W100" s="15">
        <v>0</v>
      </c>
      <c r="X100" s="15">
        <f>IF(O100='Udvaskning nøgletal'!$D$65,1,IF(O100='Udvaskning nøgletal'!$D$66,2,IF(O100='Udvaskning nøgletal'!$D$67,3,IF(O100='Udvaskning nøgletal'!$D$68,2,""))))</f>
        <v>2</v>
      </c>
      <c r="Y100" s="15">
        <f>LOOKUP(K100,'Udvaskning nøgletal'!$C$12:$C$60,'Udvaskning nøgletal'!$H$12:$H$60)</f>
        <v>0</v>
      </c>
      <c r="Z100" s="10">
        <f>IF(X100=1,LOOKUP(K100,'Udvaskning nøgletal'!$C$12:$C$60,'Udvaskning nøgletal'!$E$12:$E$60)+Markniveau!Y100*Markniveau!S100/100,IF(X100=2,LOOKUP(K100,'Udvaskning nøgletal'!$C$12:$C$60,'Udvaskning nøgletal'!$F$12:$F$60)+Markniveau!Y100*Markniveau!S100/100,IF(X100=3,LOOKUP(K100,'Udvaskning nøgletal'!$C$12:$C$60,'Udvaskning nøgletal'!G110:G158)+Markniveau!Y100*Markniveau!S100/100,"")))</f>
        <v>27.331185321443094</v>
      </c>
      <c r="AA100" s="10">
        <f t="shared" si="16"/>
        <v>72.974264808253054</v>
      </c>
      <c r="AB100" s="10" t="str">
        <f t="shared" si="15"/>
        <v/>
      </c>
      <c r="AC100" s="10" t="str">
        <f t="shared" si="17"/>
        <v/>
      </c>
      <c r="AD100" s="10">
        <f>IF(AND(Q100&gt;0,Q100&lt;30,K100&lt;8),Markniveau!Z100*'Udvaskning nøgletal'!$I$12/100,IF(AND(Q100&gt;0,Q100&lt;30,K100=216),Markniveau!Z100*'Udvaskning nøgletal'!$I$34/100,Markniveau!Z100))</f>
        <v>27.331185321443094</v>
      </c>
      <c r="AE100" s="10">
        <f t="shared" si="23"/>
        <v>72.974264808253054</v>
      </c>
      <c r="AF100" s="10" t="str">
        <f t="shared" si="18"/>
        <v/>
      </c>
      <c r="AG100" s="10" t="str">
        <f t="shared" si="24"/>
        <v/>
      </c>
      <c r="AH100" s="10" t="str">
        <f>IF(AND(Q100&gt;0,Q100&lt;30,K100=216),'Udvaskning nøgletal'!$C$42,IF(AND(Q100&gt;0,Q100&lt;30,K100&gt;7,K100&lt;17),'Udvaskning nøgletal'!$C$61,IF(AND(Q100&gt;0,Q100&lt;30,K100&lt;7),'Udvaskning nøgletal'!$C$62,"")))</f>
        <v/>
      </c>
      <c r="AI100" s="10">
        <f t="shared" si="20"/>
        <v>260</v>
      </c>
      <c r="AJ100" s="10">
        <f>IF($X100=1,LOOKUP(AI100,'Udvaskning nøgletal'!$C$12:$C$62,'Udvaskning nøgletal'!$E$12:$E$62)+Markniveau!$Y100*Markniveau!$S100/100,IF($X100=2,LOOKUP(AI100,'Udvaskning nøgletal'!$C$12:$C$62,'Udvaskning nøgletal'!$F$12:$F$62)+Markniveau!$Y100*Markniveau!$S100/100,IF($X100=3,LOOKUP(AI100,'Udvaskning nøgletal'!$C$12:$C$62,'Udvaskning nøgletal'!Q110:Q160)+Markniveau!$Y100*Markniveau!$S100/100,"")))</f>
        <v>27.331185321443094</v>
      </c>
      <c r="AK100" s="10">
        <f t="shared" si="19"/>
        <v>72.974264808253054</v>
      </c>
      <c r="AL100" s="10" t="str">
        <f t="shared" si="21"/>
        <v/>
      </c>
      <c r="AM100" s="10" t="str">
        <f t="shared" si="22"/>
        <v/>
      </c>
    </row>
    <row r="101" spans="1:39" x14ac:dyDescent="0.25">
      <c r="A101" s="15">
        <v>13014671</v>
      </c>
      <c r="B101" s="15">
        <v>24.83</v>
      </c>
      <c r="C101" s="15">
        <v>227127</v>
      </c>
      <c r="D101" s="15">
        <v>2792</v>
      </c>
      <c r="E101" s="15" t="s">
        <v>115</v>
      </c>
      <c r="F101" s="15">
        <v>2011</v>
      </c>
      <c r="G101" s="15">
        <v>20110417</v>
      </c>
      <c r="H101" s="15">
        <v>38350</v>
      </c>
      <c r="I101" s="15">
        <v>3.84</v>
      </c>
      <c r="J101" s="6" t="s">
        <v>35</v>
      </c>
      <c r="K101" s="15">
        <v>216</v>
      </c>
      <c r="L101" s="15" t="s">
        <v>116</v>
      </c>
      <c r="M101" s="15" t="s">
        <v>5</v>
      </c>
      <c r="N101" s="11" t="s">
        <v>1391</v>
      </c>
      <c r="O101" s="11" t="s">
        <v>46</v>
      </c>
      <c r="P101" s="11" t="s">
        <v>33</v>
      </c>
      <c r="Q101" s="15">
        <v>0</v>
      </c>
      <c r="R101" s="11" t="s">
        <v>1386</v>
      </c>
      <c r="S101" s="10">
        <v>149.84313841424</v>
      </c>
      <c r="T101" s="15">
        <v>80</v>
      </c>
      <c r="U101" s="15">
        <v>0</v>
      </c>
      <c r="V101" s="15">
        <v>1</v>
      </c>
      <c r="W101" s="15">
        <v>0</v>
      </c>
      <c r="X101" s="15">
        <f>IF(O101='Udvaskning nøgletal'!$D$65,1,IF(O101='Udvaskning nøgletal'!$D$66,2,IF(O101='Udvaskning nøgletal'!$D$67,3,IF(O101='Udvaskning nøgletal'!$D$68,2,""))))</f>
        <v>2</v>
      </c>
      <c r="Y101" s="15">
        <f>LOOKUP(K101,'Udvaskning nøgletal'!$C$12:$C$60,'Udvaskning nøgletal'!$H$12:$H$60)</f>
        <v>0</v>
      </c>
      <c r="Z101" s="10">
        <f>IF(X101=1,LOOKUP(K101,'Udvaskning nøgletal'!$C$12:$C$60,'Udvaskning nøgletal'!$E$12:$E$60)+Markniveau!Y101*Markniveau!S101/100,IF(X101=2,LOOKUP(K101,'Udvaskning nøgletal'!$C$12:$C$60,'Udvaskning nøgletal'!$F$12:$F$60)+Markniveau!Y101*Markniveau!S101/100,IF(X101=3,LOOKUP(K101,'Udvaskning nøgletal'!$C$12:$C$60,'Udvaskning nøgletal'!G111:G159)+Markniveau!Y101*Markniveau!S101/100,"")))</f>
        <v>101.66744640811392</v>
      </c>
      <c r="AA101" s="10">
        <f t="shared" si="16"/>
        <v>390.40299420715741</v>
      </c>
      <c r="AB101" s="10" t="str">
        <f t="shared" si="15"/>
        <v/>
      </c>
      <c r="AC101" s="10" t="str">
        <f t="shared" si="17"/>
        <v/>
      </c>
      <c r="AD101" s="10">
        <f>IF(AND(Q101&gt;0,Q101&lt;30,K101&lt;8),Markniveau!Z101*'Udvaskning nøgletal'!$I$12/100,IF(AND(Q101&gt;0,Q101&lt;30,K101=216),Markniveau!Z101*'Udvaskning nøgletal'!$I$34/100,Markniveau!Z101))</f>
        <v>101.66744640811392</v>
      </c>
      <c r="AE101" s="10">
        <f t="shared" si="23"/>
        <v>390.40299420715741</v>
      </c>
      <c r="AF101" s="10" t="str">
        <f t="shared" si="18"/>
        <v/>
      </c>
      <c r="AG101" s="10" t="str">
        <f t="shared" si="24"/>
        <v/>
      </c>
      <c r="AH101" s="10" t="str">
        <f>IF(AND(Q101&gt;0,Q101&lt;30,K101=216),'Udvaskning nøgletal'!$C$42,IF(AND(Q101&gt;0,Q101&lt;30,K101&gt;7,K101&lt;17),'Udvaskning nøgletal'!$C$61,IF(AND(Q101&gt;0,Q101&lt;30,K101&lt;7),'Udvaskning nøgletal'!$C$62,"")))</f>
        <v/>
      </c>
      <c r="AI101" s="10">
        <f t="shared" si="20"/>
        <v>216</v>
      </c>
      <c r="AJ101" s="10">
        <f>IF($X101=1,LOOKUP(AI101,'Udvaskning nøgletal'!$C$12:$C$62,'Udvaskning nøgletal'!$E$12:$E$62)+Markniveau!$Y101*Markniveau!$S101/100,IF($X101=2,LOOKUP(AI101,'Udvaskning nøgletal'!$C$12:$C$62,'Udvaskning nøgletal'!$F$12:$F$62)+Markniveau!$Y101*Markniveau!$S101/100,IF($X101=3,LOOKUP(AI101,'Udvaskning nøgletal'!$C$12:$C$62,'Udvaskning nøgletal'!Q111:Q161)+Markniveau!$Y101*Markniveau!$S101/100,"")))</f>
        <v>101.66744640811392</v>
      </c>
      <c r="AK101" s="10">
        <f t="shared" si="19"/>
        <v>390.40299420715741</v>
      </c>
      <c r="AL101" s="10" t="str">
        <f t="shared" si="21"/>
        <v/>
      </c>
      <c r="AM101" s="10" t="str">
        <f t="shared" si="22"/>
        <v/>
      </c>
    </row>
    <row r="102" spans="1:39" x14ac:dyDescent="0.25">
      <c r="A102" s="15">
        <v>13014671</v>
      </c>
      <c r="B102" s="15">
        <v>24.83</v>
      </c>
      <c r="C102" s="15">
        <v>238460</v>
      </c>
      <c r="D102" s="15">
        <v>2792</v>
      </c>
      <c r="E102" s="15" t="s">
        <v>135</v>
      </c>
      <c r="F102" s="15">
        <v>2011</v>
      </c>
      <c r="G102" s="15">
        <v>20110417</v>
      </c>
      <c r="H102" s="15">
        <v>40919</v>
      </c>
      <c r="I102" s="15">
        <v>4.09</v>
      </c>
      <c r="J102" s="6" t="s">
        <v>141</v>
      </c>
      <c r="K102" s="15">
        <v>252</v>
      </c>
      <c r="L102" s="15" t="s">
        <v>41</v>
      </c>
      <c r="M102" s="15" t="s">
        <v>4</v>
      </c>
      <c r="N102" s="11" t="s">
        <v>1391</v>
      </c>
      <c r="O102" s="11" t="s">
        <v>46</v>
      </c>
      <c r="P102" s="11" t="s">
        <v>33</v>
      </c>
      <c r="Q102" s="15">
        <v>0</v>
      </c>
      <c r="R102" s="11" t="s">
        <v>1386</v>
      </c>
      <c r="S102" s="10">
        <v>149.84313841424</v>
      </c>
      <c r="T102" s="15">
        <v>80</v>
      </c>
      <c r="U102" s="15">
        <v>0</v>
      </c>
      <c r="V102" s="15">
        <v>1</v>
      </c>
      <c r="W102" s="15">
        <v>0</v>
      </c>
      <c r="X102" s="15">
        <f>IF(O102='Udvaskning nøgletal'!$D$65,1,IF(O102='Udvaskning nøgletal'!$D$66,2,IF(O102='Udvaskning nøgletal'!$D$67,3,IF(O102='Udvaskning nøgletal'!$D$68,2,""))))</f>
        <v>2</v>
      </c>
      <c r="Y102" s="15">
        <f>LOOKUP(K102,'Udvaskning nøgletal'!$C$12:$C$60,'Udvaskning nøgletal'!$H$12:$H$60)</f>
        <v>0</v>
      </c>
      <c r="Z102" s="10">
        <f>IF(X102=1,LOOKUP(K102,'Udvaskning nøgletal'!$C$12:$C$60,'Udvaskning nøgletal'!$E$12:$E$60)+Markniveau!Y102*Markniveau!S102/100,IF(X102=2,LOOKUP(K102,'Udvaskning nøgletal'!$C$12:$C$60,'Udvaskning nøgletal'!$F$12:$F$60)+Markniveau!Y102*Markniveau!S102/100,IF(X102=3,LOOKUP(K102,'Udvaskning nøgletal'!$C$12:$C$60,'Udvaskning nøgletal'!G112:G160)+Markniveau!Y102*Markniveau!S102/100,"")))</f>
        <v>21.2</v>
      </c>
      <c r="AA102" s="10">
        <f t="shared" si="16"/>
        <v>86.707999999999998</v>
      </c>
      <c r="AB102" s="10" t="str">
        <f t="shared" si="15"/>
        <v/>
      </c>
      <c r="AC102" s="10" t="str">
        <f t="shared" si="17"/>
        <v/>
      </c>
      <c r="AD102" s="10">
        <f>IF(AND(Q102&gt;0,Q102&lt;30,K102&lt;8),Markniveau!Z102*'Udvaskning nøgletal'!$I$12/100,IF(AND(Q102&gt;0,Q102&lt;30,K102=216),Markniveau!Z102*'Udvaskning nøgletal'!$I$34/100,Markniveau!Z102))</f>
        <v>21.2</v>
      </c>
      <c r="AE102" s="10">
        <f t="shared" si="23"/>
        <v>86.707999999999998</v>
      </c>
      <c r="AF102" s="10" t="str">
        <f t="shared" si="18"/>
        <v/>
      </c>
      <c r="AG102" s="10" t="str">
        <f t="shared" si="24"/>
        <v/>
      </c>
      <c r="AH102" s="10" t="str">
        <f>IF(AND(Q102&gt;0,Q102&lt;30,K102=216),'Udvaskning nøgletal'!$C$42,IF(AND(Q102&gt;0,Q102&lt;30,K102&gt;7,K102&lt;17),'Udvaskning nøgletal'!$C$61,IF(AND(Q102&gt;0,Q102&lt;30,K102&lt;7),'Udvaskning nøgletal'!$C$62,"")))</f>
        <v/>
      </c>
      <c r="AI102" s="10">
        <f t="shared" si="20"/>
        <v>252</v>
      </c>
      <c r="AJ102" s="10">
        <f>IF($X102=1,LOOKUP(AI102,'Udvaskning nøgletal'!$C$12:$C$62,'Udvaskning nøgletal'!$E$12:$E$62)+Markniveau!$Y102*Markniveau!$S102/100,IF($X102=2,LOOKUP(AI102,'Udvaskning nøgletal'!$C$12:$C$62,'Udvaskning nøgletal'!$F$12:$F$62)+Markniveau!$Y102*Markniveau!$S102/100,IF($X102=3,LOOKUP(AI102,'Udvaskning nøgletal'!$C$12:$C$62,'Udvaskning nøgletal'!Q112:Q162)+Markniveau!$Y102*Markniveau!$S102/100,"")))</f>
        <v>21.2</v>
      </c>
      <c r="AK102" s="10">
        <f t="shared" si="19"/>
        <v>86.707999999999998</v>
      </c>
      <c r="AL102" s="10" t="str">
        <f t="shared" si="21"/>
        <v/>
      </c>
      <c r="AM102" s="10" t="str">
        <f t="shared" si="22"/>
        <v/>
      </c>
    </row>
    <row r="103" spans="1:39" x14ac:dyDescent="0.25">
      <c r="A103" s="15">
        <v>13014671</v>
      </c>
      <c r="B103" s="15">
        <v>24.83</v>
      </c>
      <c r="C103" s="15">
        <v>246753</v>
      </c>
      <c r="D103" s="15">
        <v>2792</v>
      </c>
      <c r="E103" s="15" t="s">
        <v>142</v>
      </c>
      <c r="F103" s="15">
        <v>2011</v>
      </c>
      <c r="G103" s="15">
        <v>20110417</v>
      </c>
      <c r="H103" s="15">
        <v>37284</v>
      </c>
      <c r="I103" s="15">
        <v>3.73</v>
      </c>
      <c r="J103" s="6" t="s">
        <v>143</v>
      </c>
      <c r="K103" s="15">
        <v>216</v>
      </c>
      <c r="L103" s="15" t="s">
        <v>116</v>
      </c>
      <c r="M103" s="15" t="s">
        <v>5</v>
      </c>
      <c r="N103" s="11" t="s">
        <v>1384</v>
      </c>
      <c r="O103" s="11" t="s">
        <v>28</v>
      </c>
      <c r="P103" s="11" t="s">
        <v>33</v>
      </c>
      <c r="Q103" s="15">
        <v>0</v>
      </c>
      <c r="R103" s="11" t="s">
        <v>1386</v>
      </c>
      <c r="S103" s="10">
        <v>149.84313841424</v>
      </c>
      <c r="T103" s="15">
        <v>80</v>
      </c>
      <c r="U103" s="15">
        <v>0</v>
      </c>
      <c r="V103" s="15">
        <v>1</v>
      </c>
      <c r="W103" s="15">
        <v>0</v>
      </c>
      <c r="X103" s="15">
        <f>IF(O103='Udvaskning nøgletal'!$D$65,1,IF(O103='Udvaskning nøgletal'!$D$66,2,IF(O103='Udvaskning nøgletal'!$D$67,3,IF(O103='Udvaskning nøgletal'!$D$68,2,""))))</f>
        <v>1</v>
      </c>
      <c r="Y103" s="15">
        <f>LOOKUP(K103,'Udvaskning nøgletal'!$C$12:$C$60,'Udvaskning nøgletal'!$H$12:$H$60)</f>
        <v>0</v>
      </c>
      <c r="Z103" s="10">
        <f>IF(X103=1,LOOKUP(K103,'Udvaskning nøgletal'!$C$12:$C$60,'Udvaskning nøgletal'!$E$12:$E$60)+Markniveau!Y103*Markniveau!S103/100,IF(X103=2,LOOKUP(K103,'Udvaskning nøgletal'!$C$12:$C$60,'Udvaskning nøgletal'!$F$12:$F$60)+Markniveau!Y103*Markniveau!S103/100,IF(X103=3,LOOKUP(K103,'Udvaskning nøgletal'!$C$12:$C$60,'Udvaskning nøgletal'!G113:G161)+Markniveau!Y103*Markniveau!S103/100,"")))</f>
        <v>125.85383557148924</v>
      </c>
      <c r="AA103" s="10">
        <f t="shared" si="16"/>
        <v>469.43480668165489</v>
      </c>
      <c r="AB103" s="10" t="str">
        <f t="shared" si="15"/>
        <v/>
      </c>
      <c r="AC103" s="10" t="str">
        <f t="shared" si="17"/>
        <v/>
      </c>
      <c r="AD103" s="10">
        <f>IF(AND(Q103&gt;0,Q103&lt;30,K103&lt;8),Markniveau!Z103*'Udvaskning nøgletal'!$I$12/100,IF(AND(Q103&gt;0,Q103&lt;30,K103=216),Markniveau!Z103*'Udvaskning nøgletal'!$I$34/100,Markniveau!Z103))</f>
        <v>125.85383557148924</v>
      </c>
      <c r="AE103" s="10">
        <f t="shared" si="23"/>
        <v>469.43480668165489</v>
      </c>
      <c r="AF103" s="10" t="str">
        <f t="shared" si="18"/>
        <v/>
      </c>
      <c r="AG103" s="10" t="str">
        <f t="shared" si="24"/>
        <v/>
      </c>
      <c r="AH103" s="10" t="str">
        <f>IF(AND(Q103&gt;0,Q103&lt;30,K103=216),'Udvaskning nøgletal'!$C$42,IF(AND(Q103&gt;0,Q103&lt;30,K103&gt;7,K103&lt;17),'Udvaskning nøgletal'!$C$61,IF(AND(Q103&gt;0,Q103&lt;30,K103&lt;7),'Udvaskning nøgletal'!$C$62,"")))</f>
        <v/>
      </c>
      <c r="AI103" s="10">
        <f t="shared" si="20"/>
        <v>216</v>
      </c>
      <c r="AJ103" s="10">
        <f>IF($X103=1,LOOKUP(AI103,'Udvaskning nøgletal'!$C$12:$C$62,'Udvaskning nøgletal'!$E$12:$E$62)+Markniveau!$Y103*Markniveau!$S103/100,IF($X103=2,LOOKUP(AI103,'Udvaskning nøgletal'!$C$12:$C$62,'Udvaskning nøgletal'!$F$12:$F$62)+Markniveau!$Y103*Markniveau!$S103/100,IF($X103=3,LOOKUP(AI103,'Udvaskning nøgletal'!$C$12:$C$62,'Udvaskning nøgletal'!Q113:Q163)+Markniveau!$Y103*Markniveau!$S103/100,"")))</f>
        <v>125.85383557148924</v>
      </c>
      <c r="AK103" s="10">
        <f t="shared" si="19"/>
        <v>469.43480668165489</v>
      </c>
      <c r="AL103" s="10" t="str">
        <f t="shared" si="21"/>
        <v/>
      </c>
      <c r="AM103" s="10" t="str">
        <f t="shared" si="22"/>
        <v/>
      </c>
    </row>
    <row r="104" spans="1:39" x14ac:dyDescent="0.25">
      <c r="A104" s="15">
        <v>13014671</v>
      </c>
      <c r="B104" s="15">
        <v>24.83</v>
      </c>
      <c r="C104" s="15">
        <v>345544</v>
      </c>
      <c r="D104" s="15">
        <v>2792</v>
      </c>
      <c r="E104" s="15" t="s">
        <v>115</v>
      </c>
      <c r="F104" s="15">
        <v>2011</v>
      </c>
      <c r="G104" s="15">
        <v>20110417</v>
      </c>
      <c r="H104" s="15">
        <v>40251</v>
      </c>
      <c r="I104" s="15">
        <v>4.03</v>
      </c>
      <c r="J104" s="6" t="s">
        <v>36</v>
      </c>
      <c r="K104" s="15">
        <v>216</v>
      </c>
      <c r="L104" s="15" t="s">
        <v>116</v>
      </c>
      <c r="M104" s="15" t="s">
        <v>5</v>
      </c>
      <c r="N104" s="11" t="s">
        <v>1391</v>
      </c>
      <c r="O104" s="11" t="s">
        <v>46</v>
      </c>
      <c r="P104" s="11" t="s">
        <v>33</v>
      </c>
      <c r="Q104" s="15">
        <v>0</v>
      </c>
      <c r="R104" s="11" t="s">
        <v>1386</v>
      </c>
      <c r="S104" s="10">
        <v>149.84313841424</v>
      </c>
      <c r="T104" s="15">
        <v>80</v>
      </c>
      <c r="U104" s="15">
        <v>0</v>
      </c>
      <c r="V104" s="15">
        <v>1</v>
      </c>
      <c r="W104" s="15">
        <v>0</v>
      </c>
      <c r="X104" s="15">
        <f>IF(O104='Udvaskning nøgletal'!$D$65,1,IF(O104='Udvaskning nøgletal'!$D$66,2,IF(O104='Udvaskning nøgletal'!$D$67,3,IF(O104='Udvaskning nøgletal'!$D$68,2,""))))</f>
        <v>2</v>
      </c>
      <c r="Y104" s="15">
        <f>LOOKUP(K104,'Udvaskning nøgletal'!$C$12:$C$60,'Udvaskning nøgletal'!$H$12:$H$60)</f>
        <v>0</v>
      </c>
      <c r="Z104" s="10">
        <f>IF(X104=1,LOOKUP(K104,'Udvaskning nøgletal'!$C$12:$C$60,'Udvaskning nøgletal'!$E$12:$E$60)+Markniveau!Y104*Markniveau!S104/100,IF(X104=2,LOOKUP(K104,'Udvaskning nøgletal'!$C$12:$C$60,'Udvaskning nøgletal'!$F$12:$F$60)+Markniveau!Y104*Markniveau!S104/100,IF(X104=3,LOOKUP(K104,'Udvaskning nøgletal'!$C$12:$C$60,'Udvaskning nøgletal'!G114:G162)+Markniveau!Y104*Markniveau!S104/100,"")))</f>
        <v>101.66744640811392</v>
      </c>
      <c r="AA104" s="10">
        <f t="shared" si="16"/>
        <v>409.71980902469909</v>
      </c>
      <c r="AB104" s="10" t="str">
        <f t="shared" si="15"/>
        <v/>
      </c>
      <c r="AC104" s="10" t="str">
        <f t="shared" si="17"/>
        <v/>
      </c>
      <c r="AD104" s="10">
        <f>IF(AND(Q104&gt;0,Q104&lt;30,K104&lt;8),Markniveau!Z104*'Udvaskning nøgletal'!$I$12/100,IF(AND(Q104&gt;0,Q104&lt;30,K104=216),Markniveau!Z104*'Udvaskning nøgletal'!$I$34/100,Markniveau!Z104))</f>
        <v>101.66744640811392</v>
      </c>
      <c r="AE104" s="10">
        <f t="shared" si="23"/>
        <v>409.71980902469909</v>
      </c>
      <c r="AF104" s="10" t="str">
        <f t="shared" si="18"/>
        <v/>
      </c>
      <c r="AG104" s="10" t="str">
        <f t="shared" si="24"/>
        <v/>
      </c>
      <c r="AH104" s="10" t="str">
        <f>IF(AND(Q104&gt;0,Q104&lt;30,K104=216),'Udvaskning nøgletal'!$C$42,IF(AND(Q104&gt;0,Q104&lt;30,K104&gt;7,K104&lt;17),'Udvaskning nøgletal'!$C$61,IF(AND(Q104&gt;0,Q104&lt;30,K104&lt;7),'Udvaskning nøgletal'!$C$62,"")))</f>
        <v/>
      </c>
      <c r="AI104" s="10">
        <f t="shared" si="20"/>
        <v>216</v>
      </c>
      <c r="AJ104" s="10">
        <f>IF($X104=1,LOOKUP(AI104,'Udvaskning nøgletal'!$C$12:$C$62,'Udvaskning nøgletal'!$E$12:$E$62)+Markniveau!$Y104*Markniveau!$S104/100,IF($X104=2,LOOKUP(AI104,'Udvaskning nøgletal'!$C$12:$C$62,'Udvaskning nøgletal'!$F$12:$F$62)+Markniveau!$Y104*Markniveau!$S104/100,IF($X104=3,LOOKUP(AI104,'Udvaskning nøgletal'!$C$12:$C$62,'Udvaskning nøgletal'!Q114:Q164)+Markniveau!$Y104*Markniveau!$S104/100,"")))</f>
        <v>101.66744640811392</v>
      </c>
      <c r="AK104" s="10">
        <f t="shared" si="19"/>
        <v>409.71980902469909</v>
      </c>
      <c r="AL104" s="10" t="str">
        <f t="shared" si="21"/>
        <v/>
      </c>
      <c r="AM104" s="10" t="str">
        <f t="shared" si="22"/>
        <v/>
      </c>
    </row>
    <row r="105" spans="1:39" x14ac:dyDescent="0.25">
      <c r="A105" s="15">
        <v>13014671</v>
      </c>
      <c r="B105" s="15">
        <v>24.83</v>
      </c>
      <c r="C105" s="15">
        <v>346105</v>
      </c>
      <c r="D105" s="15">
        <v>2792</v>
      </c>
      <c r="E105" s="15" t="s">
        <v>117</v>
      </c>
      <c r="F105" s="15">
        <v>2011</v>
      </c>
      <c r="G105" s="15">
        <v>20110417</v>
      </c>
      <c r="H105" s="15">
        <v>138642</v>
      </c>
      <c r="I105" s="15">
        <v>13.86</v>
      </c>
      <c r="J105" s="6" t="s">
        <v>144</v>
      </c>
      <c r="K105" s="15">
        <v>260</v>
      </c>
      <c r="L105" s="15" t="s">
        <v>45</v>
      </c>
      <c r="M105" s="15" t="s">
        <v>5</v>
      </c>
      <c r="N105" s="11" t="s">
        <v>1384</v>
      </c>
      <c r="O105" s="11" t="s">
        <v>28</v>
      </c>
      <c r="P105" s="11" t="s">
        <v>33</v>
      </c>
      <c r="Q105" s="15">
        <v>0</v>
      </c>
      <c r="R105" s="11" t="s">
        <v>1386</v>
      </c>
      <c r="S105" s="10">
        <v>149.84313841424</v>
      </c>
      <c r="T105" s="15">
        <v>80</v>
      </c>
      <c r="U105" s="15">
        <v>0</v>
      </c>
      <c r="V105" s="15">
        <v>1</v>
      </c>
      <c r="W105" s="15">
        <v>0</v>
      </c>
      <c r="X105" s="15">
        <f>IF(O105='Udvaskning nøgletal'!$D$65,1,IF(O105='Udvaskning nøgletal'!$D$66,2,IF(O105='Udvaskning nøgletal'!$D$67,3,IF(O105='Udvaskning nøgletal'!$D$68,2,""))))</f>
        <v>1</v>
      </c>
      <c r="Y105" s="15">
        <f>LOOKUP(K105,'Udvaskning nøgletal'!$C$12:$C$60,'Udvaskning nøgletal'!$H$12:$H$60)</f>
        <v>0</v>
      </c>
      <c r="Z105" s="10">
        <f>IF(X105=1,LOOKUP(K105,'Udvaskning nøgletal'!$C$12:$C$60,'Udvaskning nøgletal'!$E$12:$E$60)+Markniveau!Y105*Markniveau!S105/100,IF(X105=2,LOOKUP(K105,'Udvaskning nøgletal'!$C$12:$C$60,'Udvaskning nøgletal'!$F$12:$F$60)+Markniveau!Y105*Markniveau!S105/100,IF(X105=3,LOOKUP(K105,'Udvaskning nøgletal'!$C$12:$C$60,'Udvaskning nøgletal'!G115:G163)+Markniveau!Y105*Markniveau!S105/100,"")))</f>
        <v>33.723295792149436</v>
      </c>
      <c r="AA105" s="10">
        <f t="shared" si="16"/>
        <v>467.40487967919114</v>
      </c>
      <c r="AB105" s="10" t="str">
        <f t="shared" si="15"/>
        <v/>
      </c>
      <c r="AC105" s="10" t="str">
        <f t="shared" si="17"/>
        <v/>
      </c>
      <c r="AD105" s="10">
        <f>IF(AND(Q105&gt;0,Q105&lt;30,K105&lt;8),Markniveau!Z105*'Udvaskning nøgletal'!$I$12/100,IF(AND(Q105&gt;0,Q105&lt;30,K105=216),Markniveau!Z105*'Udvaskning nøgletal'!$I$34/100,Markniveau!Z105))</f>
        <v>33.723295792149436</v>
      </c>
      <c r="AE105" s="10">
        <f t="shared" si="23"/>
        <v>467.40487967919114</v>
      </c>
      <c r="AF105" s="10" t="str">
        <f t="shared" si="18"/>
        <v/>
      </c>
      <c r="AG105" s="10" t="str">
        <f t="shared" si="24"/>
        <v/>
      </c>
      <c r="AH105" s="10" t="str">
        <f>IF(AND(Q105&gt;0,Q105&lt;30,K105=216),'Udvaskning nøgletal'!$C$42,IF(AND(Q105&gt;0,Q105&lt;30,K105&gt;7,K105&lt;17),'Udvaskning nøgletal'!$C$61,IF(AND(Q105&gt;0,Q105&lt;30,K105&lt;7),'Udvaskning nøgletal'!$C$62,"")))</f>
        <v/>
      </c>
      <c r="AI105" s="10">
        <f t="shared" si="20"/>
        <v>260</v>
      </c>
      <c r="AJ105" s="10">
        <f>IF($X105=1,LOOKUP(AI105,'Udvaskning nøgletal'!$C$12:$C$62,'Udvaskning nøgletal'!$E$12:$E$62)+Markniveau!$Y105*Markniveau!$S105/100,IF($X105=2,LOOKUP(AI105,'Udvaskning nøgletal'!$C$12:$C$62,'Udvaskning nøgletal'!$F$12:$F$62)+Markniveau!$Y105*Markniveau!$S105/100,IF($X105=3,LOOKUP(AI105,'Udvaskning nøgletal'!$C$12:$C$62,'Udvaskning nøgletal'!Q115:Q165)+Markniveau!$Y105*Markniveau!$S105/100,"")))</f>
        <v>33.723295792149436</v>
      </c>
      <c r="AK105" s="10">
        <f t="shared" si="19"/>
        <v>467.40487967919114</v>
      </c>
      <c r="AL105" s="10" t="str">
        <f t="shared" si="21"/>
        <v/>
      </c>
      <c r="AM105" s="10" t="str">
        <f t="shared" si="22"/>
        <v/>
      </c>
    </row>
    <row r="106" spans="1:39" x14ac:dyDescent="0.25">
      <c r="A106" s="15">
        <v>13014671</v>
      </c>
      <c r="B106" s="15">
        <v>24.83</v>
      </c>
      <c r="C106" s="15">
        <v>464136</v>
      </c>
      <c r="D106" s="15">
        <v>2792</v>
      </c>
      <c r="E106" s="15" t="s">
        <v>118</v>
      </c>
      <c r="F106" s="15">
        <v>2011</v>
      </c>
      <c r="G106" s="15">
        <v>20110417</v>
      </c>
      <c r="H106" s="15">
        <v>55562</v>
      </c>
      <c r="I106" s="15">
        <v>5.56</v>
      </c>
      <c r="J106" s="6" t="s">
        <v>66</v>
      </c>
      <c r="K106" s="15">
        <v>260</v>
      </c>
      <c r="L106" s="15" t="s">
        <v>45</v>
      </c>
      <c r="M106" s="15" t="s">
        <v>5</v>
      </c>
      <c r="N106" s="11" t="s">
        <v>1391</v>
      </c>
      <c r="O106" s="11" t="s">
        <v>46</v>
      </c>
      <c r="P106" s="11" t="s">
        <v>33</v>
      </c>
      <c r="Q106" s="15">
        <v>0</v>
      </c>
      <c r="R106" s="11" t="s">
        <v>1386</v>
      </c>
      <c r="S106" s="10">
        <v>149.84313841424</v>
      </c>
      <c r="T106" s="15">
        <v>80</v>
      </c>
      <c r="U106" s="15">
        <v>0</v>
      </c>
      <c r="V106" s="15">
        <v>1</v>
      </c>
      <c r="W106" s="15">
        <v>0</v>
      </c>
      <c r="X106" s="15">
        <f>IF(O106='Udvaskning nøgletal'!$D$65,1,IF(O106='Udvaskning nøgletal'!$D$66,2,IF(O106='Udvaskning nøgletal'!$D$67,3,IF(O106='Udvaskning nøgletal'!$D$68,2,""))))</f>
        <v>2</v>
      </c>
      <c r="Y106" s="15">
        <f>LOOKUP(K106,'Udvaskning nøgletal'!$C$12:$C$60,'Udvaskning nøgletal'!$H$12:$H$60)</f>
        <v>0</v>
      </c>
      <c r="Z106" s="10">
        <f>IF(X106=1,LOOKUP(K106,'Udvaskning nøgletal'!$C$12:$C$60,'Udvaskning nøgletal'!$E$12:$E$60)+Markniveau!Y106*Markniveau!S106/100,IF(X106=2,LOOKUP(K106,'Udvaskning nøgletal'!$C$12:$C$60,'Udvaskning nøgletal'!$F$12:$F$60)+Markniveau!Y106*Markniveau!S106/100,IF(X106=3,LOOKUP(K106,'Udvaskning nøgletal'!$C$12:$C$60,'Udvaskning nøgletal'!G116:G164)+Markniveau!Y106*Markniveau!S106/100,"")))</f>
        <v>27.331185321443094</v>
      </c>
      <c r="AA106" s="10">
        <f t="shared" si="16"/>
        <v>151.96139038722359</v>
      </c>
      <c r="AB106" s="10" t="str">
        <f t="shared" si="15"/>
        <v/>
      </c>
      <c r="AC106" s="10" t="str">
        <f t="shared" si="17"/>
        <v/>
      </c>
      <c r="AD106" s="10">
        <f>IF(AND(Q106&gt;0,Q106&lt;30,K106&lt;8),Markniveau!Z106*'Udvaskning nøgletal'!$I$12/100,IF(AND(Q106&gt;0,Q106&lt;30,K106=216),Markniveau!Z106*'Udvaskning nøgletal'!$I$34/100,Markniveau!Z106))</f>
        <v>27.331185321443094</v>
      </c>
      <c r="AE106" s="10">
        <f t="shared" si="23"/>
        <v>151.96139038722359</v>
      </c>
      <c r="AF106" s="10" t="str">
        <f t="shared" si="18"/>
        <v/>
      </c>
      <c r="AG106" s="10" t="str">
        <f t="shared" si="24"/>
        <v/>
      </c>
      <c r="AH106" s="10" t="str">
        <f>IF(AND(Q106&gt;0,Q106&lt;30,K106=216),'Udvaskning nøgletal'!$C$42,IF(AND(Q106&gt;0,Q106&lt;30,K106&gt;7,K106&lt;17),'Udvaskning nøgletal'!$C$61,IF(AND(Q106&gt;0,Q106&lt;30,K106&lt;7),'Udvaskning nøgletal'!$C$62,"")))</f>
        <v/>
      </c>
      <c r="AI106" s="10">
        <f t="shared" si="20"/>
        <v>260</v>
      </c>
      <c r="AJ106" s="10">
        <f>IF($X106=1,LOOKUP(AI106,'Udvaskning nøgletal'!$C$12:$C$62,'Udvaskning nøgletal'!$E$12:$E$62)+Markniveau!$Y106*Markniveau!$S106/100,IF($X106=2,LOOKUP(AI106,'Udvaskning nøgletal'!$C$12:$C$62,'Udvaskning nøgletal'!$F$12:$F$62)+Markniveau!$Y106*Markniveau!$S106/100,IF($X106=3,LOOKUP(AI106,'Udvaskning nøgletal'!$C$12:$C$62,'Udvaskning nøgletal'!Q116:Q166)+Markniveau!$Y106*Markniveau!$S106/100,"")))</f>
        <v>27.331185321443094</v>
      </c>
      <c r="AK106" s="10">
        <f t="shared" si="19"/>
        <v>151.96139038722359</v>
      </c>
      <c r="AL106" s="10" t="str">
        <f t="shared" si="21"/>
        <v/>
      </c>
      <c r="AM106" s="10" t="str">
        <f t="shared" si="22"/>
        <v/>
      </c>
    </row>
    <row r="107" spans="1:39" x14ac:dyDescent="0.25">
      <c r="A107" s="15">
        <v>13014671</v>
      </c>
      <c r="B107" s="15">
        <v>24.83</v>
      </c>
      <c r="C107" s="15">
        <v>96521</v>
      </c>
      <c r="D107" s="15">
        <v>2792</v>
      </c>
      <c r="E107" s="15" t="s">
        <v>118</v>
      </c>
      <c r="F107" s="15">
        <v>2011</v>
      </c>
      <c r="G107" s="15">
        <v>20110417</v>
      </c>
      <c r="H107" s="15">
        <v>78901</v>
      </c>
      <c r="I107" s="15">
        <v>7.89</v>
      </c>
      <c r="J107" s="6" t="s">
        <v>60</v>
      </c>
      <c r="K107" s="15">
        <v>260</v>
      </c>
      <c r="L107" s="15" t="s">
        <v>45</v>
      </c>
      <c r="M107" s="15" t="s">
        <v>5</v>
      </c>
      <c r="N107" s="11" t="s">
        <v>1391</v>
      </c>
      <c r="O107" s="11" t="s">
        <v>46</v>
      </c>
      <c r="P107" s="11" t="s">
        <v>33</v>
      </c>
      <c r="Q107" s="15">
        <v>0</v>
      </c>
      <c r="R107" s="11" t="s">
        <v>1386</v>
      </c>
      <c r="S107" s="10">
        <v>149.84313841424</v>
      </c>
      <c r="T107" s="15">
        <v>80</v>
      </c>
      <c r="U107" s="15">
        <v>0</v>
      </c>
      <c r="V107" s="15">
        <v>1</v>
      </c>
      <c r="W107" s="15">
        <v>0</v>
      </c>
      <c r="X107" s="15">
        <f>IF(O107='Udvaskning nøgletal'!$D$65,1,IF(O107='Udvaskning nøgletal'!$D$66,2,IF(O107='Udvaskning nøgletal'!$D$67,3,IF(O107='Udvaskning nøgletal'!$D$68,2,""))))</f>
        <v>2</v>
      </c>
      <c r="Y107" s="15">
        <f>LOOKUP(K107,'Udvaskning nøgletal'!$C$12:$C$60,'Udvaskning nøgletal'!$H$12:$H$60)</f>
        <v>0</v>
      </c>
      <c r="Z107" s="10">
        <f>IF(X107=1,LOOKUP(K107,'Udvaskning nøgletal'!$C$12:$C$60,'Udvaskning nøgletal'!$E$12:$E$60)+Markniveau!Y107*Markniveau!S107/100,IF(X107=2,LOOKUP(K107,'Udvaskning nøgletal'!$C$12:$C$60,'Udvaskning nøgletal'!$F$12:$F$60)+Markniveau!Y107*Markniveau!S107/100,IF(X107=3,LOOKUP(K107,'Udvaskning nøgletal'!$C$12:$C$60,'Udvaskning nøgletal'!G117:G165)+Markniveau!Y107*Markniveau!S107/100,"")))</f>
        <v>27.331185321443094</v>
      </c>
      <c r="AA107" s="10">
        <f t="shared" si="16"/>
        <v>215.643052186186</v>
      </c>
      <c r="AB107" s="10" t="str">
        <f t="shared" si="15"/>
        <v/>
      </c>
      <c r="AC107" s="10" t="str">
        <f t="shared" si="17"/>
        <v/>
      </c>
      <c r="AD107" s="10">
        <f>IF(AND(Q107&gt;0,Q107&lt;30,K107&lt;8),Markniveau!Z107*'Udvaskning nøgletal'!$I$12/100,IF(AND(Q107&gt;0,Q107&lt;30,K107=216),Markniveau!Z107*'Udvaskning nøgletal'!$I$34/100,Markniveau!Z107))</f>
        <v>27.331185321443094</v>
      </c>
      <c r="AE107" s="10">
        <f t="shared" si="23"/>
        <v>215.643052186186</v>
      </c>
      <c r="AF107" s="10" t="str">
        <f t="shared" si="18"/>
        <v/>
      </c>
      <c r="AG107" s="10" t="str">
        <f t="shared" si="24"/>
        <v/>
      </c>
      <c r="AH107" s="10" t="str">
        <f>IF(AND(Q107&gt;0,Q107&lt;30,K107=216),'Udvaskning nøgletal'!$C$42,IF(AND(Q107&gt;0,Q107&lt;30,K107&gt;7,K107&lt;17),'Udvaskning nøgletal'!$C$61,IF(AND(Q107&gt;0,Q107&lt;30,K107&lt;7),'Udvaskning nøgletal'!$C$62,"")))</f>
        <v/>
      </c>
      <c r="AI107" s="10">
        <f t="shared" si="20"/>
        <v>260</v>
      </c>
      <c r="AJ107" s="10">
        <f>IF($X107=1,LOOKUP(AI107,'Udvaskning nøgletal'!$C$12:$C$62,'Udvaskning nøgletal'!$E$12:$E$62)+Markniveau!$Y107*Markniveau!$S107/100,IF($X107=2,LOOKUP(AI107,'Udvaskning nøgletal'!$C$12:$C$62,'Udvaskning nøgletal'!$F$12:$F$62)+Markniveau!$Y107*Markniveau!$S107/100,IF($X107=3,LOOKUP(AI107,'Udvaskning nøgletal'!$C$12:$C$62,'Udvaskning nøgletal'!Q117:Q167)+Markniveau!$Y107*Markniveau!$S107/100,"")))</f>
        <v>27.331185321443094</v>
      </c>
      <c r="AK107" s="10">
        <f t="shared" si="19"/>
        <v>215.643052186186</v>
      </c>
      <c r="AL107" s="10" t="str">
        <f t="shared" si="21"/>
        <v/>
      </c>
      <c r="AM107" s="10" t="str">
        <f t="shared" si="22"/>
        <v/>
      </c>
    </row>
    <row r="108" spans="1:39" x14ac:dyDescent="0.25">
      <c r="A108" s="15">
        <v>13014671</v>
      </c>
      <c r="B108" s="15">
        <v>24.83</v>
      </c>
      <c r="C108" s="15">
        <v>108946</v>
      </c>
      <c r="D108" s="15">
        <v>2792</v>
      </c>
      <c r="E108" s="15" t="s">
        <v>119</v>
      </c>
      <c r="F108" s="15">
        <v>2011</v>
      </c>
      <c r="G108" s="15">
        <v>20110417</v>
      </c>
      <c r="H108" s="15">
        <v>29565</v>
      </c>
      <c r="I108" s="15">
        <v>2.96</v>
      </c>
      <c r="J108" s="6" t="s">
        <v>61</v>
      </c>
      <c r="K108" s="15">
        <v>260</v>
      </c>
      <c r="L108" s="15" t="s">
        <v>45</v>
      </c>
      <c r="M108" s="15" t="s">
        <v>5</v>
      </c>
      <c r="N108" s="11" t="s">
        <v>1391</v>
      </c>
      <c r="O108" s="11" t="s">
        <v>46</v>
      </c>
      <c r="P108" s="11" t="s">
        <v>33</v>
      </c>
      <c r="Q108" s="15">
        <v>0</v>
      </c>
      <c r="R108" s="11" t="s">
        <v>1386</v>
      </c>
      <c r="S108" s="10">
        <v>149.84313841424</v>
      </c>
      <c r="T108" s="15">
        <v>80</v>
      </c>
      <c r="U108" s="15">
        <v>0</v>
      </c>
      <c r="V108" s="15">
        <v>1</v>
      </c>
      <c r="W108" s="15">
        <v>0</v>
      </c>
      <c r="X108" s="15">
        <f>IF(O108='Udvaskning nøgletal'!$D$65,1,IF(O108='Udvaskning nøgletal'!$D$66,2,IF(O108='Udvaskning nøgletal'!$D$67,3,IF(O108='Udvaskning nøgletal'!$D$68,2,""))))</f>
        <v>2</v>
      </c>
      <c r="Y108" s="15">
        <f>LOOKUP(K108,'Udvaskning nøgletal'!$C$12:$C$60,'Udvaskning nøgletal'!$H$12:$H$60)</f>
        <v>0</v>
      </c>
      <c r="Z108" s="10">
        <f>IF(X108=1,LOOKUP(K108,'Udvaskning nøgletal'!$C$12:$C$60,'Udvaskning nøgletal'!$E$12:$E$60)+Markniveau!Y108*Markniveau!S108/100,IF(X108=2,LOOKUP(K108,'Udvaskning nøgletal'!$C$12:$C$60,'Udvaskning nøgletal'!$F$12:$F$60)+Markniveau!Y108*Markniveau!S108/100,IF(X108=3,LOOKUP(K108,'Udvaskning nøgletal'!$C$12:$C$60,'Udvaskning nøgletal'!G118:G166)+Markniveau!Y108*Markniveau!S108/100,"")))</f>
        <v>27.331185321443094</v>
      </c>
      <c r="AA108" s="10">
        <f t="shared" si="16"/>
        <v>80.900308551471554</v>
      </c>
      <c r="AB108" s="10" t="str">
        <f t="shared" si="15"/>
        <v/>
      </c>
      <c r="AC108" s="10" t="str">
        <f t="shared" si="17"/>
        <v/>
      </c>
      <c r="AD108" s="10">
        <f>IF(AND(Q108&gt;0,Q108&lt;30,K108&lt;8),Markniveau!Z108*'Udvaskning nøgletal'!$I$12/100,IF(AND(Q108&gt;0,Q108&lt;30,K108=216),Markniveau!Z108*'Udvaskning nøgletal'!$I$34/100,Markniveau!Z108))</f>
        <v>27.331185321443094</v>
      </c>
      <c r="AE108" s="10">
        <f t="shared" si="23"/>
        <v>80.900308551471554</v>
      </c>
      <c r="AF108" s="10" t="str">
        <f t="shared" si="18"/>
        <v/>
      </c>
      <c r="AG108" s="10" t="str">
        <f t="shared" si="24"/>
        <v/>
      </c>
      <c r="AH108" s="10" t="str">
        <f>IF(AND(Q108&gt;0,Q108&lt;30,K108=216),'Udvaskning nøgletal'!$C$42,IF(AND(Q108&gt;0,Q108&lt;30,K108&gt;7,K108&lt;17),'Udvaskning nøgletal'!$C$61,IF(AND(Q108&gt;0,Q108&lt;30,K108&lt;7),'Udvaskning nøgletal'!$C$62,"")))</f>
        <v/>
      </c>
      <c r="AI108" s="10">
        <f t="shared" si="20"/>
        <v>260</v>
      </c>
      <c r="AJ108" s="10">
        <f>IF($X108=1,LOOKUP(AI108,'Udvaskning nøgletal'!$C$12:$C$62,'Udvaskning nøgletal'!$E$12:$E$62)+Markniveau!$Y108*Markniveau!$S108/100,IF($X108=2,LOOKUP(AI108,'Udvaskning nøgletal'!$C$12:$C$62,'Udvaskning nøgletal'!$F$12:$F$62)+Markniveau!$Y108*Markniveau!$S108/100,IF($X108=3,LOOKUP(AI108,'Udvaskning nøgletal'!$C$12:$C$62,'Udvaskning nøgletal'!Q118:Q168)+Markniveau!$Y108*Markniveau!$S108/100,"")))</f>
        <v>27.331185321443094</v>
      </c>
      <c r="AK108" s="10">
        <f t="shared" si="19"/>
        <v>80.900308551471554</v>
      </c>
      <c r="AL108" s="10" t="str">
        <f t="shared" si="21"/>
        <v/>
      </c>
      <c r="AM108" s="10" t="str">
        <f t="shared" si="22"/>
        <v/>
      </c>
    </row>
    <row r="109" spans="1:39" x14ac:dyDescent="0.25">
      <c r="A109" s="15">
        <v>13029237</v>
      </c>
      <c r="B109" s="15">
        <v>8.42</v>
      </c>
      <c r="C109" s="15">
        <v>494568</v>
      </c>
      <c r="D109" s="15">
        <v>61865</v>
      </c>
      <c r="E109" s="15" t="s">
        <v>145</v>
      </c>
      <c r="F109" s="15">
        <v>2011</v>
      </c>
      <c r="G109" s="15">
        <v>20110314</v>
      </c>
      <c r="H109" s="15">
        <v>1777</v>
      </c>
      <c r="I109" s="15">
        <v>0.18</v>
      </c>
      <c r="J109" s="6" t="s">
        <v>1401</v>
      </c>
      <c r="K109" s="15">
        <v>276</v>
      </c>
      <c r="L109" s="15" t="s">
        <v>146</v>
      </c>
      <c r="M109" s="15" t="s">
        <v>4</v>
      </c>
      <c r="N109" s="11" t="s">
        <v>1406</v>
      </c>
      <c r="O109" s="11" t="s">
        <v>46</v>
      </c>
      <c r="P109" s="11" t="s">
        <v>29</v>
      </c>
      <c r="Q109" s="15">
        <v>25</v>
      </c>
      <c r="R109" s="11" t="s">
        <v>7</v>
      </c>
      <c r="S109" s="10">
        <v>0</v>
      </c>
      <c r="T109" s="15">
        <v>80</v>
      </c>
      <c r="U109" s="15">
        <v>0</v>
      </c>
      <c r="V109" s="15">
        <v>0</v>
      </c>
      <c r="W109" s="15">
        <v>0</v>
      </c>
      <c r="X109" s="15">
        <f>IF(O109='Udvaskning nøgletal'!$D$65,1,IF(O109='Udvaskning nøgletal'!$D$66,2,IF(O109='Udvaskning nøgletal'!$D$67,3,IF(O109='Udvaskning nøgletal'!$D$68,2,""))))</f>
        <v>2</v>
      </c>
      <c r="Y109" s="15">
        <f>LOOKUP(K109,'Udvaskning nøgletal'!$C$12:$C$60,'Udvaskning nøgletal'!$H$12:$H$60)</f>
        <v>0</v>
      </c>
      <c r="Z109" s="10">
        <f>IF(X109=1,LOOKUP(K109,'Udvaskning nøgletal'!$C$12:$C$60,'Udvaskning nøgletal'!$E$12:$E$60)+Markniveau!Y109*Markniveau!S109/100,IF(X109=2,LOOKUP(K109,'Udvaskning nøgletal'!$C$12:$C$60,'Udvaskning nøgletal'!$F$12:$F$60)+Markniveau!Y109*Markniveau!S109/100,IF(X109=3,LOOKUP(K109,'Udvaskning nøgletal'!$C$12:$C$60,'Udvaskning nøgletal'!G119:G167)+Markniveau!Y109*Markniveau!S109/100,"")))</f>
        <v>10.6</v>
      </c>
      <c r="AA109" s="10">
        <f t="shared" si="16"/>
        <v>1.9079999999999999</v>
      </c>
      <c r="AB109" s="10">
        <f t="shared" si="15"/>
        <v>7.95</v>
      </c>
      <c r="AC109" s="10">
        <f t="shared" si="17"/>
        <v>1.431</v>
      </c>
      <c r="AD109" s="10">
        <f>IF(AND(Q109&gt;0,Q109&lt;30,K109&lt;8),Markniveau!Z109*'Udvaskning nøgletal'!$I$12/100,IF(AND(Q109&gt;0,Q109&lt;30,K109=216),Markniveau!Z109*'Udvaskning nøgletal'!$I$34/100,Markniveau!Z109))</f>
        <v>10.6</v>
      </c>
      <c r="AE109" s="10">
        <f t="shared" si="23"/>
        <v>1.9079999999999999</v>
      </c>
      <c r="AF109" s="10">
        <f t="shared" si="18"/>
        <v>7.95</v>
      </c>
      <c r="AG109" s="10">
        <f t="shared" si="24"/>
        <v>1.431</v>
      </c>
      <c r="AH109" s="10" t="str">
        <f>IF(AND(Q109&gt;0,Q109&lt;30,K109=216),'Udvaskning nøgletal'!$C$42,IF(AND(Q109&gt;0,Q109&lt;30,K109&gt;7,K109&lt;17),'Udvaskning nøgletal'!$C$61,IF(AND(Q109&gt;0,Q109&lt;30,K109&lt;7),'Udvaskning nøgletal'!$C$62,"")))</f>
        <v/>
      </c>
      <c r="AI109" s="10">
        <f t="shared" si="20"/>
        <v>276</v>
      </c>
      <c r="AJ109" s="10">
        <f>IF($X109=1,LOOKUP(AI109,'Udvaskning nøgletal'!$C$12:$C$62,'Udvaskning nøgletal'!$E$12:$E$62)+Markniveau!$Y109*Markniveau!$S109/100,IF($X109=2,LOOKUP(AI109,'Udvaskning nøgletal'!$C$12:$C$62,'Udvaskning nøgletal'!$F$12:$F$62)+Markniveau!$Y109*Markniveau!$S109/100,IF($X109=3,LOOKUP(AI109,'Udvaskning nøgletal'!$C$12:$C$62,'Udvaskning nøgletal'!Q119:Q169)+Markniveau!$Y109*Markniveau!$S109/100,"")))</f>
        <v>10.6</v>
      </c>
      <c r="AK109" s="10">
        <f t="shared" si="19"/>
        <v>1.9079999999999999</v>
      </c>
      <c r="AL109" s="10">
        <f t="shared" si="21"/>
        <v>7.95</v>
      </c>
      <c r="AM109" s="10">
        <f t="shared" si="22"/>
        <v>1.431</v>
      </c>
    </row>
    <row r="110" spans="1:39" x14ac:dyDescent="0.25">
      <c r="A110" s="15">
        <v>13029237</v>
      </c>
      <c r="B110" s="15">
        <v>8.42</v>
      </c>
      <c r="C110" s="15">
        <v>494569</v>
      </c>
      <c r="D110" s="15">
        <v>61865</v>
      </c>
      <c r="E110" s="15" t="s">
        <v>147</v>
      </c>
      <c r="F110" s="15">
        <v>2011</v>
      </c>
      <c r="G110" s="15">
        <v>20110314</v>
      </c>
      <c r="H110" s="15">
        <v>8765</v>
      </c>
      <c r="I110" s="15">
        <v>0.88</v>
      </c>
      <c r="J110" s="6" t="s">
        <v>34</v>
      </c>
      <c r="K110" s="15">
        <v>257</v>
      </c>
      <c r="L110" s="15" t="s">
        <v>148</v>
      </c>
      <c r="M110" s="15" t="s">
        <v>4</v>
      </c>
      <c r="N110" s="11" t="s">
        <v>1406</v>
      </c>
      <c r="O110" s="11" t="s">
        <v>46</v>
      </c>
      <c r="P110" s="11" t="s">
        <v>29</v>
      </c>
      <c r="Q110" s="15">
        <v>25</v>
      </c>
      <c r="R110" s="11" t="s">
        <v>7</v>
      </c>
      <c r="S110" s="10">
        <v>0</v>
      </c>
      <c r="T110" s="15">
        <v>80</v>
      </c>
      <c r="U110" s="15">
        <v>0</v>
      </c>
      <c r="V110" s="15">
        <v>0</v>
      </c>
      <c r="W110" s="15">
        <v>0</v>
      </c>
      <c r="X110" s="15">
        <f>IF(O110='Udvaskning nøgletal'!$D$65,1,IF(O110='Udvaskning nøgletal'!$D$66,2,IF(O110='Udvaskning nøgletal'!$D$67,3,IF(O110='Udvaskning nøgletal'!$D$68,2,""))))</f>
        <v>2</v>
      </c>
      <c r="Y110" s="15">
        <f>LOOKUP(K110,'Udvaskning nøgletal'!$C$12:$C$60,'Udvaskning nøgletal'!$H$12:$H$60)</f>
        <v>0</v>
      </c>
      <c r="Z110" s="10">
        <f>IF(X110=1,LOOKUP(K110,'Udvaskning nøgletal'!$C$12:$C$60,'Udvaskning nøgletal'!$E$12:$E$60)+Markniveau!Y110*Markniveau!S110/100,IF(X110=2,LOOKUP(K110,'Udvaskning nøgletal'!$C$12:$C$60,'Udvaskning nøgletal'!$F$12:$F$60)+Markniveau!Y110*Markniveau!S110/100,IF(X110=3,LOOKUP(K110,'Udvaskning nøgletal'!$C$12:$C$60,'Udvaskning nøgletal'!G120:G168)+Markniveau!Y110*Markniveau!S110/100,"")))</f>
        <v>21.2</v>
      </c>
      <c r="AA110" s="10">
        <f t="shared" si="16"/>
        <v>18.655999999999999</v>
      </c>
      <c r="AB110" s="10">
        <f t="shared" si="15"/>
        <v>15.9</v>
      </c>
      <c r="AC110" s="10">
        <f t="shared" si="17"/>
        <v>13.992000000000001</v>
      </c>
      <c r="AD110" s="10">
        <f>IF(AND(Q110&gt;0,Q110&lt;30,K110&lt;8),Markniveau!Z110*'Udvaskning nøgletal'!$I$12/100,IF(AND(Q110&gt;0,Q110&lt;30,K110=216),Markniveau!Z110*'Udvaskning nøgletal'!$I$34/100,Markniveau!Z110))</f>
        <v>21.2</v>
      </c>
      <c r="AE110" s="10">
        <f t="shared" si="23"/>
        <v>18.655999999999999</v>
      </c>
      <c r="AF110" s="10">
        <f t="shared" si="18"/>
        <v>15.9</v>
      </c>
      <c r="AG110" s="10">
        <f t="shared" si="24"/>
        <v>13.992000000000001</v>
      </c>
      <c r="AH110" s="10" t="str">
        <f>IF(AND(Q110&gt;0,Q110&lt;30,K110=216),'Udvaskning nøgletal'!$C$42,IF(AND(Q110&gt;0,Q110&lt;30,K110&gt;7,K110&lt;17),'Udvaskning nøgletal'!$C$61,IF(AND(Q110&gt;0,Q110&lt;30,K110&lt;7),'Udvaskning nøgletal'!$C$62,"")))</f>
        <v/>
      </c>
      <c r="AI110" s="10">
        <f t="shared" si="20"/>
        <v>257</v>
      </c>
      <c r="AJ110" s="10">
        <f>IF($X110=1,LOOKUP(AI110,'Udvaskning nøgletal'!$C$12:$C$62,'Udvaskning nøgletal'!$E$12:$E$62)+Markniveau!$Y110*Markniveau!$S110/100,IF($X110=2,LOOKUP(AI110,'Udvaskning nøgletal'!$C$12:$C$62,'Udvaskning nøgletal'!$F$12:$F$62)+Markniveau!$Y110*Markniveau!$S110/100,IF($X110=3,LOOKUP(AI110,'Udvaskning nøgletal'!$C$12:$C$62,'Udvaskning nøgletal'!Q120:Q170)+Markniveau!$Y110*Markniveau!$S110/100,"")))</f>
        <v>21.2</v>
      </c>
      <c r="AK110" s="10">
        <f t="shared" si="19"/>
        <v>18.655999999999999</v>
      </c>
      <c r="AL110" s="10">
        <f t="shared" si="21"/>
        <v>15.9</v>
      </c>
      <c r="AM110" s="10">
        <f t="shared" si="22"/>
        <v>13.992000000000001</v>
      </c>
    </row>
    <row r="111" spans="1:39" x14ac:dyDescent="0.25">
      <c r="A111" s="15">
        <v>13029237</v>
      </c>
      <c r="B111" s="15">
        <v>8.42</v>
      </c>
      <c r="C111" s="15">
        <v>550079</v>
      </c>
      <c r="D111" s="15">
        <v>61865</v>
      </c>
      <c r="E111" s="15" t="s">
        <v>149</v>
      </c>
      <c r="F111" s="15">
        <v>2011</v>
      </c>
      <c r="G111" s="15">
        <v>20110314</v>
      </c>
      <c r="H111" s="15">
        <v>26119</v>
      </c>
      <c r="I111" s="15">
        <v>2.61</v>
      </c>
      <c r="J111" s="6" t="s">
        <v>37</v>
      </c>
      <c r="K111" s="15">
        <v>1</v>
      </c>
      <c r="L111" s="15" t="s">
        <v>32</v>
      </c>
      <c r="M111" s="15" t="s">
        <v>5</v>
      </c>
      <c r="N111" s="11" t="s">
        <v>1406</v>
      </c>
      <c r="O111" s="11" t="s">
        <v>46</v>
      </c>
      <c r="P111" s="11" t="s">
        <v>29</v>
      </c>
      <c r="Q111" s="15">
        <v>25</v>
      </c>
      <c r="R111" s="11" t="s">
        <v>7</v>
      </c>
      <c r="S111" s="10">
        <v>0</v>
      </c>
      <c r="T111" s="15">
        <v>80</v>
      </c>
      <c r="U111" s="15">
        <v>0</v>
      </c>
      <c r="V111" s="15">
        <v>0</v>
      </c>
      <c r="W111" s="15">
        <v>0</v>
      </c>
      <c r="X111" s="15">
        <f>IF(O111='Udvaskning nøgletal'!$D$65,1,IF(O111='Udvaskning nøgletal'!$D$66,2,IF(O111='Udvaskning nøgletal'!$D$67,3,IF(O111='Udvaskning nøgletal'!$D$68,2,""))))</f>
        <v>2</v>
      </c>
      <c r="Y111" s="15">
        <f>LOOKUP(K111,'Udvaskning nøgletal'!$C$12:$C$60,'Udvaskning nøgletal'!$H$12:$H$60)</f>
        <v>5</v>
      </c>
      <c r="Z111" s="10">
        <f>IF(X111=1,LOOKUP(K111,'Udvaskning nøgletal'!$C$12:$C$60,'Udvaskning nøgletal'!$E$12:$E$60)+Markniveau!Y111*Markniveau!S111/100,IF(X111=2,LOOKUP(K111,'Udvaskning nøgletal'!$C$12:$C$60,'Udvaskning nøgletal'!$F$12:$F$60)+Markniveau!Y111*Markniveau!S111/100,IF(X111=3,LOOKUP(K111,'Udvaskning nøgletal'!$C$12:$C$60,'Udvaskning nøgletal'!G121:G169)+Markniveau!Y111*Markniveau!S111/100,"")))</f>
        <v>50.88</v>
      </c>
      <c r="AA111" s="10">
        <f t="shared" si="16"/>
        <v>132.79679999999999</v>
      </c>
      <c r="AB111" s="10">
        <f t="shared" si="15"/>
        <v>38.159999999999997</v>
      </c>
      <c r="AC111" s="10">
        <f t="shared" si="17"/>
        <v>99.597599999999986</v>
      </c>
      <c r="AD111" s="10">
        <f>IF(AND(Q111&gt;0,Q111&lt;30,K111&lt;8),Markniveau!Z111*'Udvaskning nøgletal'!$I$12/100,IF(AND(Q111&gt;0,Q111&lt;30,K111=216),Markniveau!Z111*'Udvaskning nøgletal'!$I$34/100,Markniveau!Z111))</f>
        <v>25.44</v>
      </c>
      <c r="AE111" s="10">
        <f t="shared" si="23"/>
        <v>66.398399999999995</v>
      </c>
      <c r="AF111" s="10">
        <f t="shared" si="18"/>
        <v>19.079999999999998</v>
      </c>
      <c r="AG111" s="10">
        <f t="shared" si="24"/>
        <v>49.798799999999993</v>
      </c>
      <c r="AH111" s="10">
        <f>IF(AND(Q111&gt;0,Q111&lt;30,K111=216),'Udvaskning nøgletal'!$C$42,IF(AND(Q111&gt;0,Q111&lt;30,K111&gt;7,K111&lt;17),'Udvaskning nøgletal'!$C$61,IF(AND(Q111&gt;0,Q111&lt;30,K111&lt;7),'Udvaskning nøgletal'!$C$62,"")))</f>
        <v>1002</v>
      </c>
      <c r="AI111" s="10">
        <f t="shared" si="20"/>
        <v>1002</v>
      </c>
      <c r="AJ111" s="10">
        <f>IF($X111=1,LOOKUP(AI111,'Udvaskning nøgletal'!$C$12:$C$62,'Udvaskning nøgletal'!$E$12:$E$62)+Markniveau!$Y111*Markniveau!$S111/100,IF($X111=2,LOOKUP(AI111,'Udvaskning nøgletal'!$C$12:$C$62,'Udvaskning nøgletal'!$F$12:$F$62)+Markniveau!$Y111*Markniveau!$S111/100,IF($X111=3,LOOKUP(AI111,'Udvaskning nøgletal'!$C$12:$C$62,'Udvaskning nøgletal'!Q121:Q171)+Markniveau!$Y111*Markniveau!$S111/100,"")))</f>
        <v>24</v>
      </c>
      <c r="AK111" s="10">
        <f t="shared" si="19"/>
        <v>62.64</v>
      </c>
      <c r="AL111" s="10">
        <f t="shared" si="21"/>
        <v>18</v>
      </c>
      <c r="AM111" s="10">
        <f t="shared" si="22"/>
        <v>46.98</v>
      </c>
    </row>
    <row r="112" spans="1:39" x14ac:dyDescent="0.25">
      <c r="A112" s="15">
        <v>13029237</v>
      </c>
      <c r="B112" s="15">
        <v>8.42</v>
      </c>
      <c r="C112" s="15">
        <v>559580</v>
      </c>
      <c r="D112" s="15">
        <v>61865</v>
      </c>
      <c r="E112" s="15" t="s">
        <v>149</v>
      </c>
      <c r="F112" s="15">
        <v>2011</v>
      </c>
      <c r="G112" s="15">
        <v>20110314</v>
      </c>
      <c r="H112" s="15">
        <v>16135</v>
      </c>
      <c r="I112" s="15">
        <v>1.61</v>
      </c>
      <c r="J112" s="6" t="s">
        <v>1409</v>
      </c>
      <c r="K112" s="15">
        <v>260</v>
      </c>
      <c r="L112" s="15" t="s">
        <v>45</v>
      </c>
      <c r="M112" s="15" t="s">
        <v>5</v>
      </c>
      <c r="N112" s="11" t="s">
        <v>1406</v>
      </c>
      <c r="O112" s="11" t="s">
        <v>46</v>
      </c>
      <c r="P112" s="11" t="s">
        <v>29</v>
      </c>
      <c r="Q112" s="15">
        <v>25</v>
      </c>
      <c r="R112" s="11" t="s">
        <v>7</v>
      </c>
      <c r="S112" s="10">
        <v>0</v>
      </c>
      <c r="T112" s="15">
        <v>80</v>
      </c>
      <c r="U112" s="15">
        <v>0</v>
      </c>
      <c r="V112" s="15">
        <v>0</v>
      </c>
      <c r="W112" s="15">
        <v>0</v>
      </c>
      <c r="X112" s="15">
        <f>IF(O112='Udvaskning nøgletal'!$D$65,1,IF(O112='Udvaskning nøgletal'!$D$66,2,IF(O112='Udvaskning nøgletal'!$D$67,3,IF(O112='Udvaskning nøgletal'!$D$68,2,""))))</f>
        <v>2</v>
      </c>
      <c r="Y112" s="15">
        <f>LOOKUP(K112,'Udvaskning nøgletal'!$C$12:$C$60,'Udvaskning nøgletal'!$H$12:$H$60)</f>
        <v>0</v>
      </c>
      <c r="Z112" s="10">
        <f>IF(X112=1,LOOKUP(K112,'Udvaskning nøgletal'!$C$12:$C$60,'Udvaskning nøgletal'!$E$12:$E$60)+Markniveau!Y112*Markniveau!S112/100,IF(X112=2,LOOKUP(K112,'Udvaskning nøgletal'!$C$12:$C$60,'Udvaskning nøgletal'!$F$12:$F$60)+Markniveau!Y112*Markniveau!S112/100,IF(X112=3,LOOKUP(K112,'Udvaskning nøgletal'!$C$12:$C$60,'Udvaskning nøgletal'!G122:G170)+Markniveau!Y112*Markniveau!S112/100,"")))</f>
        <v>27.331185321443094</v>
      </c>
      <c r="AA112" s="10">
        <f t="shared" si="16"/>
        <v>44.003208367523385</v>
      </c>
      <c r="AB112" s="10">
        <f t="shared" si="15"/>
        <v>20.498388991082319</v>
      </c>
      <c r="AC112" s="10">
        <f t="shared" si="17"/>
        <v>33.002406275642535</v>
      </c>
      <c r="AD112" s="10">
        <f>IF(AND(Q112&gt;0,Q112&lt;30,K112&lt;8),Markniveau!Z112*'Udvaskning nøgletal'!$I$12/100,IF(AND(Q112&gt;0,Q112&lt;30,K112=216),Markniveau!Z112*'Udvaskning nøgletal'!$I$34/100,Markniveau!Z112))</f>
        <v>27.331185321443094</v>
      </c>
      <c r="AE112" s="10">
        <f t="shared" si="23"/>
        <v>44.003208367523385</v>
      </c>
      <c r="AF112" s="10">
        <f t="shared" si="18"/>
        <v>20.498388991082319</v>
      </c>
      <c r="AG112" s="10">
        <f t="shared" si="24"/>
        <v>33.002406275642535</v>
      </c>
      <c r="AH112" s="10" t="str">
        <f>IF(AND(Q112&gt;0,Q112&lt;30,K112=216),'Udvaskning nøgletal'!$C$42,IF(AND(Q112&gt;0,Q112&lt;30,K112&gt;7,K112&lt;17),'Udvaskning nøgletal'!$C$61,IF(AND(Q112&gt;0,Q112&lt;30,K112&lt;7),'Udvaskning nøgletal'!$C$62,"")))</f>
        <v/>
      </c>
      <c r="AI112" s="10">
        <f t="shared" si="20"/>
        <v>260</v>
      </c>
      <c r="AJ112" s="10">
        <f>IF($X112=1,LOOKUP(AI112,'Udvaskning nøgletal'!$C$12:$C$62,'Udvaskning nøgletal'!$E$12:$E$62)+Markniveau!$Y112*Markniveau!$S112/100,IF($X112=2,LOOKUP(AI112,'Udvaskning nøgletal'!$C$12:$C$62,'Udvaskning nøgletal'!$F$12:$F$62)+Markniveau!$Y112*Markniveau!$S112/100,IF($X112=3,LOOKUP(AI112,'Udvaskning nøgletal'!$C$12:$C$62,'Udvaskning nøgletal'!Q122:Q172)+Markniveau!$Y112*Markniveau!$S112/100,"")))</f>
        <v>27.331185321443094</v>
      </c>
      <c r="AK112" s="10">
        <f t="shared" si="19"/>
        <v>44.003208367523385</v>
      </c>
      <c r="AL112" s="10">
        <f t="shared" si="21"/>
        <v>20.498388991082319</v>
      </c>
      <c r="AM112" s="10">
        <f t="shared" si="22"/>
        <v>33.002406275642535</v>
      </c>
    </row>
    <row r="113" spans="1:39" x14ac:dyDescent="0.25">
      <c r="A113" s="15">
        <v>13029237</v>
      </c>
      <c r="B113" s="15">
        <v>8.42</v>
      </c>
      <c r="C113" s="15">
        <v>494565</v>
      </c>
      <c r="D113" s="15">
        <v>61865</v>
      </c>
      <c r="E113" s="15" t="s">
        <v>150</v>
      </c>
      <c r="F113" s="15">
        <v>2011</v>
      </c>
      <c r="G113" s="15">
        <v>20110314</v>
      </c>
      <c r="H113" s="15">
        <v>28364</v>
      </c>
      <c r="I113" s="15">
        <v>2.84</v>
      </c>
      <c r="J113" s="6" t="s">
        <v>61</v>
      </c>
      <c r="K113" s="15">
        <v>1</v>
      </c>
      <c r="L113" s="15" t="s">
        <v>32</v>
      </c>
      <c r="M113" s="15" t="s">
        <v>5</v>
      </c>
      <c r="N113" s="11" t="s">
        <v>1406</v>
      </c>
      <c r="O113" s="11" t="s">
        <v>46</v>
      </c>
      <c r="P113" s="11" t="s">
        <v>29</v>
      </c>
      <c r="Q113" s="15">
        <v>25</v>
      </c>
      <c r="R113" s="11" t="s">
        <v>7</v>
      </c>
      <c r="S113" s="10">
        <v>0</v>
      </c>
      <c r="T113" s="15">
        <v>80</v>
      </c>
      <c r="U113" s="15">
        <v>0</v>
      </c>
      <c r="V113" s="15">
        <v>0</v>
      </c>
      <c r="W113" s="15">
        <v>0</v>
      </c>
      <c r="X113" s="15">
        <f>IF(O113='Udvaskning nøgletal'!$D$65,1,IF(O113='Udvaskning nøgletal'!$D$66,2,IF(O113='Udvaskning nøgletal'!$D$67,3,IF(O113='Udvaskning nøgletal'!$D$68,2,""))))</f>
        <v>2</v>
      </c>
      <c r="Y113" s="15">
        <f>LOOKUP(K113,'Udvaskning nøgletal'!$C$12:$C$60,'Udvaskning nøgletal'!$H$12:$H$60)</f>
        <v>5</v>
      </c>
      <c r="Z113" s="10">
        <f>IF(X113=1,LOOKUP(K113,'Udvaskning nøgletal'!$C$12:$C$60,'Udvaskning nøgletal'!$E$12:$E$60)+Markniveau!Y113*Markniveau!S113/100,IF(X113=2,LOOKUP(K113,'Udvaskning nøgletal'!$C$12:$C$60,'Udvaskning nøgletal'!$F$12:$F$60)+Markniveau!Y113*Markniveau!S113/100,IF(X113=3,LOOKUP(K113,'Udvaskning nøgletal'!$C$12:$C$60,'Udvaskning nøgletal'!G123:G171)+Markniveau!Y113*Markniveau!S113/100,"")))</f>
        <v>50.88</v>
      </c>
      <c r="AA113" s="10">
        <f t="shared" si="16"/>
        <v>144.4992</v>
      </c>
      <c r="AB113" s="10">
        <f t="shared" si="15"/>
        <v>38.159999999999997</v>
      </c>
      <c r="AC113" s="10">
        <f t="shared" si="17"/>
        <v>108.37439999999998</v>
      </c>
      <c r="AD113" s="10">
        <f>IF(AND(Q113&gt;0,Q113&lt;30,K113&lt;8),Markniveau!Z113*'Udvaskning nøgletal'!$I$12/100,IF(AND(Q113&gt;0,Q113&lt;30,K113=216),Markniveau!Z113*'Udvaskning nøgletal'!$I$34/100,Markniveau!Z113))</f>
        <v>25.44</v>
      </c>
      <c r="AE113" s="10">
        <f t="shared" si="23"/>
        <v>72.249600000000001</v>
      </c>
      <c r="AF113" s="10">
        <f t="shared" si="18"/>
        <v>19.079999999999998</v>
      </c>
      <c r="AG113" s="10">
        <f t="shared" si="24"/>
        <v>54.18719999999999</v>
      </c>
      <c r="AH113" s="10">
        <f>IF(AND(Q113&gt;0,Q113&lt;30,K113=216),'Udvaskning nøgletal'!$C$42,IF(AND(Q113&gt;0,Q113&lt;30,K113&gt;7,K113&lt;17),'Udvaskning nøgletal'!$C$61,IF(AND(Q113&gt;0,Q113&lt;30,K113&lt;7),'Udvaskning nøgletal'!$C$62,"")))</f>
        <v>1002</v>
      </c>
      <c r="AI113" s="10">
        <f t="shared" si="20"/>
        <v>1002</v>
      </c>
      <c r="AJ113" s="10">
        <f>IF($X113=1,LOOKUP(AI113,'Udvaskning nøgletal'!$C$12:$C$62,'Udvaskning nøgletal'!$E$12:$E$62)+Markniveau!$Y113*Markniveau!$S113/100,IF($X113=2,LOOKUP(AI113,'Udvaskning nøgletal'!$C$12:$C$62,'Udvaskning nøgletal'!$F$12:$F$62)+Markniveau!$Y113*Markniveau!$S113/100,IF($X113=3,LOOKUP(AI113,'Udvaskning nøgletal'!$C$12:$C$62,'Udvaskning nøgletal'!Q123:Q173)+Markniveau!$Y113*Markniveau!$S113/100,"")))</f>
        <v>24</v>
      </c>
      <c r="AK113" s="10">
        <f t="shared" si="19"/>
        <v>68.16</v>
      </c>
      <c r="AL113" s="10">
        <f t="shared" si="21"/>
        <v>18</v>
      </c>
      <c r="AM113" s="10">
        <f t="shared" si="22"/>
        <v>51.12</v>
      </c>
    </row>
    <row r="114" spans="1:39" x14ac:dyDescent="0.25">
      <c r="A114" s="15">
        <v>13029237</v>
      </c>
      <c r="B114" s="15">
        <v>8.42</v>
      </c>
      <c r="C114" s="15">
        <v>494567</v>
      </c>
      <c r="D114" s="15">
        <v>61865</v>
      </c>
      <c r="E114" s="15" t="s">
        <v>145</v>
      </c>
      <c r="F114" s="15">
        <v>2011</v>
      </c>
      <c r="G114" s="15">
        <v>20110314</v>
      </c>
      <c r="H114" s="15">
        <v>3001</v>
      </c>
      <c r="I114" s="15">
        <v>0.3</v>
      </c>
      <c r="J114" s="6" t="s">
        <v>97</v>
      </c>
      <c r="K114" s="15">
        <v>263</v>
      </c>
      <c r="L114" s="15" t="s">
        <v>39</v>
      </c>
      <c r="M114" s="15" t="s">
        <v>5</v>
      </c>
      <c r="N114" s="11" t="s">
        <v>1406</v>
      </c>
      <c r="O114" s="11" t="s">
        <v>46</v>
      </c>
      <c r="P114" s="11" t="s">
        <v>29</v>
      </c>
      <c r="Q114" s="15">
        <v>25</v>
      </c>
      <c r="R114" s="11" t="s">
        <v>7</v>
      </c>
      <c r="S114" s="10">
        <v>0</v>
      </c>
      <c r="T114" s="15">
        <v>80</v>
      </c>
      <c r="U114" s="15">
        <v>0</v>
      </c>
      <c r="V114" s="15">
        <v>0</v>
      </c>
      <c r="W114" s="15">
        <v>0</v>
      </c>
      <c r="X114" s="15">
        <f>IF(O114='Udvaskning nøgletal'!$D$65,1,IF(O114='Udvaskning nøgletal'!$D$66,2,IF(O114='Udvaskning nøgletal'!$D$67,3,IF(O114='Udvaskning nøgletal'!$D$68,2,""))))</f>
        <v>2</v>
      </c>
      <c r="Y114" s="15">
        <f>LOOKUP(K114,'Udvaskning nøgletal'!$C$12:$C$60,'Udvaskning nøgletal'!$H$12:$H$60)</f>
        <v>0</v>
      </c>
      <c r="Z114" s="10">
        <f>IF(X114=1,LOOKUP(K114,'Udvaskning nøgletal'!$C$12:$C$60,'Udvaskning nøgletal'!$E$12:$E$60)+Markniveau!Y114*Markniveau!S114/100,IF(X114=2,LOOKUP(K114,'Udvaskning nøgletal'!$C$12:$C$60,'Udvaskning nøgletal'!$F$12:$F$60)+Markniveau!Y114*Markniveau!S114/100,IF(X114=3,LOOKUP(K114,'Udvaskning nøgletal'!$C$12:$C$60,'Udvaskning nøgletal'!G124:G172)+Markniveau!Y114*Markniveau!S114/100,"")))</f>
        <v>27.331185321443094</v>
      </c>
      <c r="AA114" s="10">
        <f t="shared" si="16"/>
        <v>8.1993555964329286</v>
      </c>
      <c r="AB114" s="10">
        <f t="shared" si="15"/>
        <v>20.498388991082319</v>
      </c>
      <c r="AC114" s="10">
        <f t="shared" si="17"/>
        <v>6.1495166973246951</v>
      </c>
      <c r="AD114" s="10">
        <f>IF(AND(Q114&gt;0,Q114&lt;30,K114&lt;8),Markniveau!Z114*'Udvaskning nøgletal'!$I$12/100,IF(AND(Q114&gt;0,Q114&lt;30,K114=216),Markniveau!Z114*'Udvaskning nøgletal'!$I$34/100,Markniveau!Z114))</f>
        <v>27.331185321443094</v>
      </c>
      <c r="AE114" s="10">
        <f t="shared" si="23"/>
        <v>8.1993555964329286</v>
      </c>
      <c r="AF114" s="10">
        <f t="shared" si="18"/>
        <v>20.498388991082319</v>
      </c>
      <c r="AG114" s="10">
        <f t="shared" si="24"/>
        <v>6.1495166973246951</v>
      </c>
      <c r="AH114" s="10" t="str">
        <f>IF(AND(Q114&gt;0,Q114&lt;30,K114=216),'Udvaskning nøgletal'!$C$42,IF(AND(Q114&gt;0,Q114&lt;30,K114&gt;7,K114&lt;17),'Udvaskning nøgletal'!$C$61,IF(AND(Q114&gt;0,Q114&lt;30,K114&lt;7),'Udvaskning nøgletal'!$C$62,"")))</f>
        <v/>
      </c>
      <c r="AI114" s="10">
        <f t="shared" si="20"/>
        <v>263</v>
      </c>
      <c r="AJ114" s="10">
        <f>IF($X114=1,LOOKUP(AI114,'Udvaskning nøgletal'!$C$12:$C$62,'Udvaskning nøgletal'!$E$12:$E$62)+Markniveau!$Y114*Markniveau!$S114/100,IF($X114=2,LOOKUP(AI114,'Udvaskning nøgletal'!$C$12:$C$62,'Udvaskning nøgletal'!$F$12:$F$62)+Markniveau!$Y114*Markniveau!$S114/100,IF($X114=3,LOOKUP(AI114,'Udvaskning nøgletal'!$C$12:$C$62,'Udvaskning nøgletal'!Q124:Q174)+Markniveau!$Y114*Markniveau!$S114/100,"")))</f>
        <v>27.331185321443094</v>
      </c>
      <c r="AK114" s="10">
        <f t="shared" si="19"/>
        <v>8.1993555964329286</v>
      </c>
      <c r="AL114" s="10">
        <f t="shared" si="21"/>
        <v>20.498388991082319</v>
      </c>
      <c r="AM114" s="10">
        <f t="shared" si="22"/>
        <v>6.1495166973246951</v>
      </c>
    </row>
    <row r="115" spans="1:39" x14ac:dyDescent="0.25">
      <c r="A115" s="15">
        <v>13285233</v>
      </c>
      <c r="B115" s="15">
        <v>4.84</v>
      </c>
      <c r="C115" s="15">
        <v>564020</v>
      </c>
      <c r="D115" s="15">
        <v>42476</v>
      </c>
      <c r="E115" s="15" t="s">
        <v>151</v>
      </c>
      <c r="F115" s="15">
        <v>2011</v>
      </c>
      <c r="G115" s="15">
        <v>20110325</v>
      </c>
      <c r="H115" s="15">
        <v>11187</v>
      </c>
      <c r="I115" s="15">
        <v>1.1200000000000001</v>
      </c>
      <c r="J115" s="6" t="s">
        <v>31</v>
      </c>
      <c r="K115" s="15">
        <v>260</v>
      </c>
      <c r="L115" s="15" t="s">
        <v>45</v>
      </c>
      <c r="M115" s="15" t="s">
        <v>5</v>
      </c>
      <c r="N115" s="11" t="s">
        <v>1384</v>
      </c>
      <c r="O115" s="11" t="s">
        <v>28</v>
      </c>
      <c r="P115" s="11" t="s">
        <v>33</v>
      </c>
      <c r="Q115" s="15">
        <v>0</v>
      </c>
      <c r="R115" s="11" t="s">
        <v>1386</v>
      </c>
      <c r="S115" s="10">
        <v>167.20263157894999</v>
      </c>
      <c r="T115" s="15">
        <v>80</v>
      </c>
      <c r="U115" s="15">
        <v>0</v>
      </c>
      <c r="V115" s="15">
        <v>0</v>
      </c>
      <c r="W115" s="15">
        <v>0</v>
      </c>
      <c r="X115" s="15">
        <f>IF(O115='Udvaskning nøgletal'!$D$65,1,IF(O115='Udvaskning nøgletal'!$D$66,2,IF(O115='Udvaskning nøgletal'!$D$67,3,IF(O115='Udvaskning nøgletal'!$D$68,2,""))))</f>
        <v>1</v>
      </c>
      <c r="Y115" s="15">
        <f>LOOKUP(K115,'Udvaskning nøgletal'!$C$12:$C$60,'Udvaskning nøgletal'!$H$12:$H$60)</f>
        <v>0</v>
      </c>
      <c r="Z115" s="10">
        <f>IF(X115=1,LOOKUP(K115,'Udvaskning nøgletal'!$C$12:$C$60,'Udvaskning nøgletal'!$E$12:$E$60)+Markniveau!Y115*Markniveau!S115/100,IF(X115=2,LOOKUP(K115,'Udvaskning nøgletal'!$C$12:$C$60,'Udvaskning nøgletal'!$F$12:$F$60)+Markniveau!Y115*Markniveau!S115/100,IF(X115=3,LOOKUP(K115,'Udvaskning nøgletal'!$C$12:$C$60,'Udvaskning nøgletal'!G125:G173)+Markniveau!Y115*Markniveau!S115/100,"")))</f>
        <v>33.723295792149436</v>
      </c>
      <c r="AA115" s="10">
        <f t="shared" si="16"/>
        <v>37.770091287207372</v>
      </c>
      <c r="AB115" s="10" t="str">
        <f t="shared" si="15"/>
        <v/>
      </c>
      <c r="AC115" s="10" t="str">
        <f t="shared" si="17"/>
        <v/>
      </c>
      <c r="AD115" s="10">
        <f>IF(AND(Q115&gt;0,Q115&lt;30,K115&lt;8),Markniveau!Z115*'Udvaskning nøgletal'!$I$12/100,IF(AND(Q115&gt;0,Q115&lt;30,K115=216),Markniveau!Z115*'Udvaskning nøgletal'!$I$34/100,Markniveau!Z115))</f>
        <v>33.723295792149436</v>
      </c>
      <c r="AE115" s="10">
        <f t="shared" si="23"/>
        <v>37.770091287207372</v>
      </c>
      <c r="AF115" s="10" t="str">
        <f t="shared" si="18"/>
        <v/>
      </c>
      <c r="AG115" s="10" t="str">
        <f t="shared" si="24"/>
        <v/>
      </c>
      <c r="AH115" s="10" t="str">
        <f>IF(AND(Q115&gt;0,Q115&lt;30,K115=216),'Udvaskning nøgletal'!$C$42,IF(AND(Q115&gt;0,Q115&lt;30,K115&gt;7,K115&lt;17),'Udvaskning nøgletal'!$C$61,IF(AND(Q115&gt;0,Q115&lt;30,K115&lt;7),'Udvaskning nøgletal'!$C$62,"")))</f>
        <v/>
      </c>
      <c r="AI115" s="10">
        <f t="shared" si="20"/>
        <v>260</v>
      </c>
      <c r="AJ115" s="10">
        <f>IF($X115=1,LOOKUP(AI115,'Udvaskning nøgletal'!$C$12:$C$62,'Udvaskning nøgletal'!$E$12:$E$62)+Markniveau!$Y115*Markniveau!$S115/100,IF($X115=2,LOOKUP(AI115,'Udvaskning nøgletal'!$C$12:$C$62,'Udvaskning nøgletal'!$F$12:$F$62)+Markniveau!$Y115*Markniveau!$S115/100,IF($X115=3,LOOKUP(AI115,'Udvaskning nøgletal'!$C$12:$C$62,'Udvaskning nøgletal'!Q125:Q175)+Markniveau!$Y115*Markniveau!$S115/100,"")))</f>
        <v>33.723295792149436</v>
      </c>
      <c r="AK115" s="10">
        <f t="shared" si="19"/>
        <v>37.770091287207372</v>
      </c>
      <c r="AL115" s="10" t="str">
        <f t="shared" si="21"/>
        <v/>
      </c>
      <c r="AM115" s="10" t="str">
        <f t="shared" si="22"/>
        <v/>
      </c>
    </row>
    <row r="116" spans="1:39" x14ac:dyDescent="0.25">
      <c r="A116" s="15">
        <v>13285233</v>
      </c>
      <c r="B116" s="15">
        <v>4.84</v>
      </c>
      <c r="C116" s="15">
        <v>564021</v>
      </c>
      <c r="D116" s="15">
        <v>42476</v>
      </c>
      <c r="E116" s="15" t="s">
        <v>152</v>
      </c>
      <c r="F116" s="15">
        <v>2011</v>
      </c>
      <c r="G116" s="15">
        <v>20110325</v>
      </c>
      <c r="H116" s="15">
        <v>16436</v>
      </c>
      <c r="I116" s="15">
        <v>1.64</v>
      </c>
      <c r="J116" s="6" t="s">
        <v>97</v>
      </c>
      <c r="K116" s="15">
        <v>260</v>
      </c>
      <c r="L116" s="15" t="s">
        <v>45</v>
      </c>
      <c r="M116" s="15" t="s">
        <v>5</v>
      </c>
      <c r="N116" s="11" t="s">
        <v>1384</v>
      </c>
      <c r="O116" s="11" t="s">
        <v>28</v>
      </c>
      <c r="P116" s="11" t="s">
        <v>33</v>
      </c>
      <c r="Q116" s="15">
        <v>0</v>
      </c>
      <c r="R116" s="11" t="s">
        <v>1386</v>
      </c>
      <c r="S116" s="10">
        <v>167.20263157894999</v>
      </c>
      <c r="T116" s="15">
        <v>80</v>
      </c>
      <c r="U116" s="15">
        <v>0</v>
      </c>
      <c r="V116" s="15">
        <v>0</v>
      </c>
      <c r="W116" s="15">
        <v>0</v>
      </c>
      <c r="X116" s="15">
        <f>IF(O116='Udvaskning nøgletal'!$D$65,1,IF(O116='Udvaskning nøgletal'!$D$66,2,IF(O116='Udvaskning nøgletal'!$D$67,3,IF(O116='Udvaskning nøgletal'!$D$68,2,""))))</f>
        <v>1</v>
      </c>
      <c r="Y116" s="15">
        <f>LOOKUP(K116,'Udvaskning nøgletal'!$C$12:$C$60,'Udvaskning nøgletal'!$H$12:$H$60)</f>
        <v>0</v>
      </c>
      <c r="Z116" s="10">
        <f>IF(X116=1,LOOKUP(K116,'Udvaskning nøgletal'!$C$12:$C$60,'Udvaskning nøgletal'!$E$12:$E$60)+Markniveau!Y116*Markniveau!S116/100,IF(X116=2,LOOKUP(K116,'Udvaskning nøgletal'!$C$12:$C$60,'Udvaskning nøgletal'!$F$12:$F$60)+Markniveau!Y116*Markniveau!S116/100,IF(X116=3,LOOKUP(K116,'Udvaskning nøgletal'!$C$12:$C$60,'Udvaskning nøgletal'!G126:G174)+Markniveau!Y116*Markniveau!S116/100,"")))</f>
        <v>33.723295792149436</v>
      </c>
      <c r="AA116" s="10">
        <f t="shared" si="16"/>
        <v>55.306205099125073</v>
      </c>
      <c r="AB116" s="10" t="str">
        <f t="shared" si="15"/>
        <v/>
      </c>
      <c r="AC116" s="10" t="str">
        <f t="shared" si="17"/>
        <v/>
      </c>
      <c r="AD116" s="10">
        <f>IF(AND(Q116&gt;0,Q116&lt;30,K116&lt;8),Markniveau!Z116*'Udvaskning nøgletal'!$I$12/100,IF(AND(Q116&gt;0,Q116&lt;30,K116=216),Markniveau!Z116*'Udvaskning nøgletal'!$I$34/100,Markniveau!Z116))</f>
        <v>33.723295792149436</v>
      </c>
      <c r="AE116" s="10">
        <f t="shared" si="23"/>
        <v>55.306205099125073</v>
      </c>
      <c r="AF116" s="10" t="str">
        <f t="shared" si="18"/>
        <v/>
      </c>
      <c r="AG116" s="10" t="str">
        <f t="shared" si="24"/>
        <v/>
      </c>
      <c r="AH116" s="10" t="str">
        <f>IF(AND(Q116&gt;0,Q116&lt;30,K116=216),'Udvaskning nøgletal'!$C$42,IF(AND(Q116&gt;0,Q116&lt;30,K116&gt;7,K116&lt;17),'Udvaskning nøgletal'!$C$61,IF(AND(Q116&gt;0,Q116&lt;30,K116&lt;7),'Udvaskning nøgletal'!$C$62,"")))</f>
        <v/>
      </c>
      <c r="AI116" s="10">
        <f t="shared" si="20"/>
        <v>260</v>
      </c>
      <c r="AJ116" s="10">
        <f>IF($X116=1,LOOKUP(AI116,'Udvaskning nøgletal'!$C$12:$C$62,'Udvaskning nøgletal'!$E$12:$E$62)+Markniveau!$Y116*Markniveau!$S116/100,IF($X116=2,LOOKUP(AI116,'Udvaskning nøgletal'!$C$12:$C$62,'Udvaskning nøgletal'!$F$12:$F$62)+Markniveau!$Y116*Markniveau!$S116/100,IF($X116=3,LOOKUP(AI116,'Udvaskning nøgletal'!$C$12:$C$62,'Udvaskning nøgletal'!Q126:Q176)+Markniveau!$Y116*Markniveau!$S116/100,"")))</f>
        <v>33.723295792149436</v>
      </c>
      <c r="AK116" s="10">
        <f t="shared" si="19"/>
        <v>55.306205099125073</v>
      </c>
      <c r="AL116" s="10" t="str">
        <f t="shared" si="21"/>
        <v/>
      </c>
      <c r="AM116" s="10" t="str">
        <f t="shared" si="22"/>
        <v/>
      </c>
    </row>
    <row r="117" spans="1:39" x14ac:dyDescent="0.25">
      <c r="A117" s="15">
        <v>13285233</v>
      </c>
      <c r="B117" s="15">
        <v>4.84</v>
      </c>
      <c r="C117" s="15">
        <v>562471</v>
      </c>
      <c r="D117" s="15">
        <v>42476</v>
      </c>
      <c r="E117" s="15" t="s">
        <v>48</v>
      </c>
      <c r="F117" s="15">
        <v>2011</v>
      </c>
      <c r="G117" s="15">
        <v>20110325</v>
      </c>
      <c r="H117" s="15">
        <v>23085</v>
      </c>
      <c r="I117" s="15">
        <v>2.31</v>
      </c>
      <c r="J117" s="6" t="s">
        <v>61</v>
      </c>
      <c r="K117" s="15">
        <v>230</v>
      </c>
      <c r="L117" s="15" t="s">
        <v>120</v>
      </c>
      <c r="M117" s="15" t="s">
        <v>5</v>
      </c>
      <c r="N117" s="11" t="s">
        <v>1384</v>
      </c>
      <c r="O117" s="11" t="s">
        <v>28</v>
      </c>
      <c r="P117" s="11" t="s">
        <v>29</v>
      </c>
      <c r="Q117" s="15">
        <v>0</v>
      </c>
      <c r="R117" s="11" t="s">
        <v>1386</v>
      </c>
      <c r="S117" s="10">
        <v>167.20263157894999</v>
      </c>
      <c r="T117" s="15">
        <v>80</v>
      </c>
      <c r="U117" s="15">
        <v>0</v>
      </c>
      <c r="V117" s="15">
        <v>0</v>
      </c>
      <c r="W117" s="15">
        <v>0</v>
      </c>
      <c r="X117" s="15">
        <f>IF(O117='Udvaskning nøgletal'!$D$65,1,IF(O117='Udvaskning nøgletal'!$D$66,2,IF(O117='Udvaskning nøgletal'!$D$67,3,IF(O117='Udvaskning nøgletal'!$D$68,2,""))))</f>
        <v>1</v>
      </c>
      <c r="Y117" s="15">
        <f>LOOKUP(K117,'Udvaskning nøgletal'!$C$12:$C$60,'Udvaskning nøgletal'!$H$12:$H$60)</f>
        <v>0</v>
      </c>
      <c r="Z117" s="10">
        <f>IF(X117=1,LOOKUP(K117,'Udvaskning nøgletal'!$C$12:$C$60,'Udvaskning nøgletal'!$E$12:$E$60)+Markniveau!Y117*Markniveau!S117/100,IF(X117=2,LOOKUP(K117,'Udvaskning nøgletal'!$C$12:$C$60,'Udvaskning nøgletal'!$F$12:$F$60)+Markniveau!Y117*Markniveau!S117/100,IF(X117=3,LOOKUP(K117,'Udvaskning nøgletal'!$C$12:$C$60,'Udvaskning nøgletal'!G127:G175)+Markniveau!Y117*Markniveau!S117/100,"")))</f>
        <v>38.620385460262987</v>
      </c>
      <c r="AA117" s="10">
        <f t="shared" si="16"/>
        <v>89.21309041320751</v>
      </c>
      <c r="AB117" s="10" t="str">
        <f t="shared" si="15"/>
        <v/>
      </c>
      <c r="AC117" s="10" t="str">
        <f t="shared" si="17"/>
        <v/>
      </c>
      <c r="AD117" s="10">
        <f>IF(AND(Q117&gt;0,Q117&lt;30,K117&lt;8),Markniveau!Z117*'Udvaskning nøgletal'!$I$12/100,IF(AND(Q117&gt;0,Q117&lt;30,K117=216),Markniveau!Z117*'Udvaskning nøgletal'!$I$34/100,Markniveau!Z117))</f>
        <v>38.620385460262987</v>
      </c>
      <c r="AE117" s="10">
        <f t="shared" si="23"/>
        <v>89.21309041320751</v>
      </c>
      <c r="AF117" s="10" t="str">
        <f t="shared" si="18"/>
        <v/>
      </c>
      <c r="AG117" s="10" t="str">
        <f t="shared" si="24"/>
        <v/>
      </c>
      <c r="AH117" s="10" t="str">
        <f>IF(AND(Q117&gt;0,Q117&lt;30,K117=216),'Udvaskning nøgletal'!$C$42,IF(AND(Q117&gt;0,Q117&lt;30,K117&gt;7,K117&lt;17),'Udvaskning nøgletal'!$C$61,IF(AND(Q117&gt;0,Q117&lt;30,K117&lt;7),'Udvaskning nøgletal'!$C$62,"")))</f>
        <v/>
      </c>
      <c r="AI117" s="10">
        <f t="shared" si="20"/>
        <v>230</v>
      </c>
      <c r="AJ117" s="10">
        <f>IF($X117=1,LOOKUP(AI117,'Udvaskning nøgletal'!$C$12:$C$62,'Udvaskning nøgletal'!$E$12:$E$62)+Markniveau!$Y117*Markniveau!$S117/100,IF($X117=2,LOOKUP(AI117,'Udvaskning nøgletal'!$C$12:$C$62,'Udvaskning nøgletal'!$F$12:$F$62)+Markniveau!$Y117*Markniveau!$S117/100,IF($X117=3,LOOKUP(AI117,'Udvaskning nøgletal'!$C$12:$C$62,'Udvaskning nøgletal'!Q127:Q177)+Markniveau!$Y117*Markniveau!$S117/100,"")))</f>
        <v>38.620385460262987</v>
      </c>
      <c r="AK117" s="10">
        <f t="shared" si="19"/>
        <v>89.21309041320751</v>
      </c>
      <c r="AL117" s="10" t="str">
        <f t="shared" si="21"/>
        <v/>
      </c>
      <c r="AM117" s="10" t="str">
        <f t="shared" si="22"/>
        <v/>
      </c>
    </row>
    <row r="118" spans="1:39" x14ac:dyDescent="0.25">
      <c r="A118" s="15">
        <v>13285233</v>
      </c>
      <c r="B118" s="15">
        <v>4.84</v>
      </c>
      <c r="C118" s="15">
        <v>562472</v>
      </c>
      <c r="D118" s="15">
        <v>42476</v>
      </c>
      <c r="E118" s="15" t="s">
        <v>48</v>
      </c>
      <c r="F118" s="15">
        <v>2011</v>
      </c>
      <c r="G118" s="15">
        <v>20110325</v>
      </c>
      <c r="H118" s="15">
        <v>25324</v>
      </c>
      <c r="I118" s="15">
        <v>2.5299999999999998</v>
      </c>
      <c r="J118" s="6" t="s">
        <v>37</v>
      </c>
      <c r="K118" s="15">
        <v>260</v>
      </c>
      <c r="L118" s="15" t="s">
        <v>45</v>
      </c>
      <c r="M118" s="15" t="s">
        <v>5</v>
      </c>
      <c r="N118" s="11" t="s">
        <v>1384</v>
      </c>
      <c r="O118" s="11" t="s">
        <v>28</v>
      </c>
      <c r="P118" s="11" t="s">
        <v>29</v>
      </c>
      <c r="Q118" s="15">
        <v>0</v>
      </c>
      <c r="R118" s="11" t="s">
        <v>1386</v>
      </c>
      <c r="S118" s="10">
        <v>167.20263157894999</v>
      </c>
      <c r="T118" s="15">
        <v>80</v>
      </c>
      <c r="U118" s="15">
        <v>0</v>
      </c>
      <c r="V118" s="15">
        <v>0</v>
      </c>
      <c r="W118" s="15">
        <v>0</v>
      </c>
      <c r="X118" s="15">
        <f>IF(O118='Udvaskning nøgletal'!$D$65,1,IF(O118='Udvaskning nøgletal'!$D$66,2,IF(O118='Udvaskning nøgletal'!$D$67,3,IF(O118='Udvaskning nøgletal'!$D$68,2,""))))</f>
        <v>1</v>
      </c>
      <c r="Y118" s="15">
        <f>LOOKUP(K118,'Udvaskning nøgletal'!$C$12:$C$60,'Udvaskning nøgletal'!$H$12:$H$60)</f>
        <v>0</v>
      </c>
      <c r="Z118" s="10">
        <f>IF(X118=1,LOOKUP(K118,'Udvaskning nøgletal'!$C$12:$C$60,'Udvaskning nøgletal'!$E$12:$E$60)+Markniveau!Y118*Markniveau!S118/100,IF(X118=2,LOOKUP(K118,'Udvaskning nøgletal'!$C$12:$C$60,'Udvaskning nøgletal'!$F$12:$F$60)+Markniveau!Y118*Markniveau!S118/100,IF(X118=3,LOOKUP(K118,'Udvaskning nøgletal'!$C$12:$C$60,'Udvaskning nøgletal'!G128:G176)+Markniveau!Y118*Markniveau!S118/100,"")))</f>
        <v>33.723295792149436</v>
      </c>
      <c r="AA118" s="10">
        <f t="shared" si="16"/>
        <v>85.31993835413806</v>
      </c>
      <c r="AB118" s="10" t="str">
        <f t="shared" si="15"/>
        <v/>
      </c>
      <c r="AC118" s="10" t="str">
        <f t="shared" si="17"/>
        <v/>
      </c>
      <c r="AD118" s="10">
        <f>IF(AND(Q118&gt;0,Q118&lt;30,K118&lt;8),Markniveau!Z118*'Udvaskning nøgletal'!$I$12/100,IF(AND(Q118&gt;0,Q118&lt;30,K118=216),Markniveau!Z118*'Udvaskning nøgletal'!$I$34/100,Markniveau!Z118))</f>
        <v>33.723295792149436</v>
      </c>
      <c r="AE118" s="10">
        <f t="shared" si="23"/>
        <v>85.31993835413806</v>
      </c>
      <c r="AF118" s="10" t="str">
        <f t="shared" si="18"/>
        <v/>
      </c>
      <c r="AG118" s="10" t="str">
        <f t="shared" si="24"/>
        <v/>
      </c>
      <c r="AH118" s="10" t="str">
        <f>IF(AND(Q118&gt;0,Q118&lt;30,K118=216),'Udvaskning nøgletal'!$C$42,IF(AND(Q118&gt;0,Q118&lt;30,K118&gt;7,K118&lt;17),'Udvaskning nøgletal'!$C$61,IF(AND(Q118&gt;0,Q118&lt;30,K118&lt;7),'Udvaskning nøgletal'!$C$62,"")))</f>
        <v/>
      </c>
      <c r="AI118" s="10">
        <f t="shared" si="20"/>
        <v>260</v>
      </c>
      <c r="AJ118" s="10">
        <f>IF($X118=1,LOOKUP(AI118,'Udvaskning nøgletal'!$C$12:$C$62,'Udvaskning nøgletal'!$E$12:$E$62)+Markniveau!$Y118*Markniveau!$S118/100,IF($X118=2,LOOKUP(AI118,'Udvaskning nøgletal'!$C$12:$C$62,'Udvaskning nøgletal'!$F$12:$F$62)+Markniveau!$Y118*Markniveau!$S118/100,IF($X118=3,LOOKUP(AI118,'Udvaskning nøgletal'!$C$12:$C$62,'Udvaskning nøgletal'!Q128:Q178)+Markniveau!$Y118*Markniveau!$S118/100,"")))</f>
        <v>33.723295792149436</v>
      </c>
      <c r="AK118" s="10">
        <f t="shared" si="19"/>
        <v>85.31993835413806</v>
      </c>
      <c r="AL118" s="10" t="str">
        <f t="shared" si="21"/>
        <v/>
      </c>
      <c r="AM118" s="10" t="str">
        <f t="shared" si="22"/>
        <v/>
      </c>
    </row>
    <row r="119" spans="1:39" x14ac:dyDescent="0.25">
      <c r="A119" s="15">
        <v>13291993</v>
      </c>
      <c r="B119" s="15">
        <v>9.8000000000000007</v>
      </c>
      <c r="C119" s="15">
        <v>52009</v>
      </c>
      <c r="D119" s="15">
        <v>155317</v>
      </c>
      <c r="E119" s="15" t="s">
        <v>153</v>
      </c>
      <c r="F119" s="15">
        <v>2011</v>
      </c>
      <c r="G119" s="15">
        <v>20110406</v>
      </c>
      <c r="H119" s="15">
        <v>28948</v>
      </c>
      <c r="I119" s="15">
        <v>2.89</v>
      </c>
      <c r="J119" s="6" t="s">
        <v>1410</v>
      </c>
      <c r="K119" s="15">
        <v>583</v>
      </c>
      <c r="L119" s="15" t="s">
        <v>154</v>
      </c>
      <c r="M119" s="15" t="s">
        <v>155</v>
      </c>
      <c r="N119" s="11" t="s">
        <v>1384</v>
      </c>
      <c r="O119" s="11" t="s">
        <v>28</v>
      </c>
      <c r="P119" s="11" t="s">
        <v>29</v>
      </c>
      <c r="Q119" s="15">
        <v>95</v>
      </c>
      <c r="R119" s="11" t="s">
        <v>3</v>
      </c>
      <c r="S119" s="10">
        <v>0</v>
      </c>
      <c r="T119" s="15">
        <v>80</v>
      </c>
      <c r="U119" s="15">
        <v>0</v>
      </c>
      <c r="V119" s="15">
        <v>0</v>
      </c>
      <c r="W119" s="15">
        <v>0</v>
      </c>
      <c r="X119" s="15">
        <f>IF(O119='Udvaskning nøgletal'!$D$65,1,IF(O119='Udvaskning nøgletal'!$D$66,2,IF(O119='Udvaskning nøgletal'!$D$67,3,IF(O119='Udvaskning nøgletal'!$D$68,2,""))))</f>
        <v>1</v>
      </c>
      <c r="Y119" s="15">
        <f>LOOKUP(K119,'Udvaskning nøgletal'!$C$12:$C$60,'Udvaskning nøgletal'!$H$12:$H$60)</f>
        <v>0</v>
      </c>
      <c r="Z119" s="10">
        <f>IF(X119=1,LOOKUP(K119,'Udvaskning nøgletal'!$C$12:$C$60,'Udvaskning nøgletal'!$E$12:$E$60)+Markniveau!Y119*Markniveau!S119/100,IF(X119=2,LOOKUP(K119,'Udvaskning nøgletal'!$C$12:$C$60,'Udvaskning nøgletal'!$F$12:$F$60)+Markniveau!Y119*Markniveau!S119/100,IF(X119=3,LOOKUP(K119,'Udvaskning nøgletal'!$C$12:$C$60,'Udvaskning nøgletal'!G129:G177)+Markniveau!Y119*Markniveau!S119/100,"")))</f>
        <v>10</v>
      </c>
      <c r="AA119" s="10">
        <f t="shared" si="16"/>
        <v>28.900000000000002</v>
      </c>
      <c r="AB119" s="10">
        <f t="shared" si="15"/>
        <v>0.5</v>
      </c>
      <c r="AC119" s="10">
        <f t="shared" si="17"/>
        <v>1.4450000000000001</v>
      </c>
      <c r="AD119" s="10">
        <f>IF(AND(Q119&gt;0,Q119&lt;30,K119&lt;8),Markniveau!Z119*'Udvaskning nøgletal'!$I$12/100,IF(AND(Q119&gt;0,Q119&lt;30,K119=216),Markniveau!Z119*'Udvaskning nøgletal'!$I$34/100,Markniveau!Z119))</f>
        <v>10</v>
      </c>
      <c r="AE119" s="10">
        <f t="shared" si="23"/>
        <v>28.900000000000002</v>
      </c>
      <c r="AF119" s="10">
        <f t="shared" si="18"/>
        <v>0.5</v>
      </c>
      <c r="AG119" s="10">
        <f t="shared" si="24"/>
        <v>1.4450000000000001</v>
      </c>
      <c r="AH119" s="10" t="str">
        <f>IF(AND(Q119&gt;0,Q119&lt;30,K119=216),'Udvaskning nøgletal'!$C$42,IF(AND(Q119&gt;0,Q119&lt;30,K119&gt;7,K119&lt;17),'Udvaskning nøgletal'!$C$61,IF(AND(Q119&gt;0,Q119&lt;30,K119&lt;7),'Udvaskning nøgletal'!$C$62,"")))</f>
        <v/>
      </c>
      <c r="AI119" s="10">
        <f t="shared" si="20"/>
        <v>583</v>
      </c>
      <c r="AJ119" s="10">
        <f>IF($X119=1,LOOKUP(AI119,'Udvaskning nøgletal'!$C$12:$C$62,'Udvaskning nøgletal'!$E$12:$E$62)+Markniveau!$Y119*Markniveau!$S119/100,IF($X119=2,LOOKUP(AI119,'Udvaskning nøgletal'!$C$12:$C$62,'Udvaskning nøgletal'!$F$12:$F$62)+Markniveau!$Y119*Markniveau!$S119/100,IF($X119=3,LOOKUP(AI119,'Udvaskning nøgletal'!$C$12:$C$62,'Udvaskning nøgletal'!Q129:Q179)+Markniveau!$Y119*Markniveau!$S119/100,"")))</f>
        <v>10</v>
      </c>
      <c r="AK119" s="10">
        <f t="shared" si="19"/>
        <v>28.900000000000002</v>
      </c>
      <c r="AL119" s="10">
        <f t="shared" si="21"/>
        <v>0.5</v>
      </c>
      <c r="AM119" s="10">
        <f t="shared" si="22"/>
        <v>1.4450000000000001</v>
      </c>
    </row>
    <row r="120" spans="1:39" x14ac:dyDescent="0.25">
      <c r="A120" s="15">
        <v>13291993</v>
      </c>
      <c r="B120" s="15">
        <v>9.8000000000000007</v>
      </c>
      <c r="C120" s="15">
        <v>67942</v>
      </c>
      <c r="D120" s="15">
        <v>155317</v>
      </c>
      <c r="E120" s="15" t="s">
        <v>156</v>
      </c>
      <c r="F120" s="15">
        <v>2011</v>
      </c>
      <c r="G120" s="15">
        <v>20110406</v>
      </c>
      <c r="H120" s="15">
        <v>5971</v>
      </c>
      <c r="I120" s="15">
        <v>0.6</v>
      </c>
      <c r="J120" s="6" t="s">
        <v>1402</v>
      </c>
      <c r="K120" s="15">
        <v>252</v>
      </c>
      <c r="L120" s="15" t="s">
        <v>41</v>
      </c>
      <c r="M120" s="15" t="s">
        <v>4</v>
      </c>
      <c r="N120" s="11" t="s">
        <v>1384</v>
      </c>
      <c r="O120" s="11" t="s">
        <v>28</v>
      </c>
      <c r="P120" s="11" t="s">
        <v>29</v>
      </c>
      <c r="Q120" s="15">
        <v>95</v>
      </c>
      <c r="R120" s="11" t="s">
        <v>3</v>
      </c>
      <c r="S120" s="10">
        <v>0</v>
      </c>
      <c r="T120" s="15">
        <v>80</v>
      </c>
      <c r="U120" s="15">
        <v>0</v>
      </c>
      <c r="V120" s="15">
        <v>0</v>
      </c>
      <c r="W120" s="15">
        <v>0</v>
      </c>
      <c r="X120" s="15">
        <f>IF(O120='Udvaskning nøgletal'!$D$65,1,IF(O120='Udvaskning nøgletal'!$D$66,2,IF(O120='Udvaskning nøgletal'!$D$67,3,IF(O120='Udvaskning nøgletal'!$D$68,2,""))))</f>
        <v>1</v>
      </c>
      <c r="Y120" s="15">
        <f>LOOKUP(K120,'Udvaskning nøgletal'!$C$12:$C$60,'Udvaskning nøgletal'!$H$12:$H$60)</f>
        <v>0</v>
      </c>
      <c r="Z120" s="10">
        <f>IF(X120=1,LOOKUP(K120,'Udvaskning nøgletal'!$C$12:$C$60,'Udvaskning nøgletal'!$E$12:$E$60)+Markniveau!Y120*Markniveau!S120/100,IF(X120=2,LOOKUP(K120,'Udvaskning nøgletal'!$C$12:$C$60,'Udvaskning nøgletal'!$F$12:$F$60)+Markniveau!Y120*Markniveau!S120/100,IF(X120=3,LOOKUP(K120,'Udvaskning nøgletal'!$C$12:$C$60,'Udvaskning nøgletal'!G130:G178)+Markniveau!Y120*Markniveau!S120/100,"")))</f>
        <v>21.2</v>
      </c>
      <c r="AA120" s="10">
        <f t="shared" si="16"/>
        <v>12.719999999999999</v>
      </c>
      <c r="AB120" s="10">
        <f t="shared" si="15"/>
        <v>1.06</v>
      </c>
      <c r="AC120" s="10">
        <f t="shared" si="17"/>
        <v>0.63600000000000001</v>
      </c>
      <c r="AD120" s="10">
        <f>IF(AND(Q120&gt;0,Q120&lt;30,K120&lt;8),Markniveau!Z120*'Udvaskning nøgletal'!$I$12/100,IF(AND(Q120&gt;0,Q120&lt;30,K120=216),Markniveau!Z120*'Udvaskning nøgletal'!$I$34/100,Markniveau!Z120))</f>
        <v>21.2</v>
      </c>
      <c r="AE120" s="10">
        <f t="shared" si="23"/>
        <v>12.719999999999999</v>
      </c>
      <c r="AF120" s="10">
        <f t="shared" si="18"/>
        <v>1.06</v>
      </c>
      <c r="AG120" s="10">
        <f t="shared" si="24"/>
        <v>0.63600000000000001</v>
      </c>
      <c r="AH120" s="10" t="str">
        <f>IF(AND(Q120&gt;0,Q120&lt;30,K120=216),'Udvaskning nøgletal'!$C$42,IF(AND(Q120&gt;0,Q120&lt;30,K120&gt;7,K120&lt;17),'Udvaskning nøgletal'!$C$61,IF(AND(Q120&gt;0,Q120&lt;30,K120&lt;7),'Udvaskning nøgletal'!$C$62,"")))</f>
        <v/>
      </c>
      <c r="AI120" s="10">
        <f t="shared" si="20"/>
        <v>252</v>
      </c>
      <c r="AJ120" s="10">
        <f>IF($X120=1,LOOKUP(AI120,'Udvaskning nøgletal'!$C$12:$C$62,'Udvaskning nøgletal'!$E$12:$E$62)+Markniveau!$Y120*Markniveau!$S120/100,IF($X120=2,LOOKUP(AI120,'Udvaskning nøgletal'!$C$12:$C$62,'Udvaskning nøgletal'!$F$12:$F$62)+Markniveau!$Y120*Markniveau!$S120/100,IF($X120=3,LOOKUP(AI120,'Udvaskning nøgletal'!$C$12:$C$62,'Udvaskning nøgletal'!Q130:Q180)+Markniveau!$Y120*Markniveau!$S120/100,"")))</f>
        <v>21.2</v>
      </c>
      <c r="AK120" s="10">
        <f t="shared" si="19"/>
        <v>12.719999999999999</v>
      </c>
      <c r="AL120" s="10">
        <f t="shared" si="21"/>
        <v>1.06</v>
      </c>
      <c r="AM120" s="10">
        <f t="shared" si="22"/>
        <v>0.63600000000000001</v>
      </c>
    </row>
    <row r="121" spans="1:39" x14ac:dyDescent="0.25">
      <c r="A121" s="15">
        <v>13291993</v>
      </c>
      <c r="B121" s="15">
        <v>9.8000000000000007</v>
      </c>
      <c r="C121" s="15">
        <v>96362</v>
      </c>
      <c r="D121" s="15">
        <v>155317</v>
      </c>
      <c r="E121" s="15" t="s">
        <v>157</v>
      </c>
      <c r="F121" s="15">
        <v>2011</v>
      </c>
      <c r="G121" s="15">
        <v>20110406</v>
      </c>
      <c r="H121" s="15">
        <v>33996</v>
      </c>
      <c r="I121" s="15">
        <v>3.4</v>
      </c>
      <c r="J121" s="6" t="s">
        <v>31</v>
      </c>
      <c r="K121" s="15">
        <v>583</v>
      </c>
      <c r="L121" s="15" t="s">
        <v>154</v>
      </c>
      <c r="M121" s="15" t="s">
        <v>155</v>
      </c>
      <c r="N121" s="11" t="s">
        <v>1391</v>
      </c>
      <c r="O121" s="11" t="s">
        <v>46</v>
      </c>
      <c r="P121" s="11" t="s">
        <v>29</v>
      </c>
      <c r="Q121" s="15">
        <v>95</v>
      </c>
      <c r="R121" s="11" t="s">
        <v>3</v>
      </c>
      <c r="S121" s="10">
        <v>0</v>
      </c>
      <c r="T121" s="15">
        <v>80</v>
      </c>
      <c r="U121" s="15">
        <v>0</v>
      </c>
      <c r="V121" s="15">
        <v>0</v>
      </c>
      <c r="W121" s="15">
        <v>0</v>
      </c>
      <c r="X121" s="15">
        <f>IF(O121='Udvaskning nøgletal'!$D$65,1,IF(O121='Udvaskning nøgletal'!$D$66,2,IF(O121='Udvaskning nøgletal'!$D$67,3,IF(O121='Udvaskning nøgletal'!$D$68,2,""))))</f>
        <v>2</v>
      </c>
      <c r="Y121" s="15">
        <f>LOOKUP(K121,'Udvaskning nøgletal'!$C$12:$C$60,'Udvaskning nøgletal'!$H$12:$H$60)</f>
        <v>0</v>
      </c>
      <c r="Z121" s="10">
        <f>IF(X121=1,LOOKUP(K121,'Udvaskning nøgletal'!$C$12:$C$60,'Udvaskning nøgletal'!$E$12:$E$60)+Markniveau!Y121*Markniveau!S121/100,IF(X121=2,LOOKUP(K121,'Udvaskning nøgletal'!$C$12:$C$60,'Udvaskning nøgletal'!$F$12:$F$60)+Markniveau!Y121*Markniveau!S121/100,IF(X121=3,LOOKUP(K121,'Udvaskning nøgletal'!$C$12:$C$60,'Udvaskning nøgletal'!G131:G179)+Markniveau!Y121*Markniveau!S121/100,"")))</f>
        <v>10</v>
      </c>
      <c r="AA121" s="10">
        <f t="shared" si="16"/>
        <v>34</v>
      </c>
      <c r="AB121" s="10">
        <f t="shared" si="15"/>
        <v>0.5</v>
      </c>
      <c r="AC121" s="10">
        <f t="shared" si="17"/>
        <v>1.7</v>
      </c>
      <c r="AD121" s="10">
        <f>IF(AND(Q121&gt;0,Q121&lt;30,K121&lt;8),Markniveau!Z121*'Udvaskning nøgletal'!$I$12/100,IF(AND(Q121&gt;0,Q121&lt;30,K121=216),Markniveau!Z121*'Udvaskning nøgletal'!$I$34/100,Markniveau!Z121))</f>
        <v>10</v>
      </c>
      <c r="AE121" s="10">
        <f t="shared" si="23"/>
        <v>34</v>
      </c>
      <c r="AF121" s="10">
        <f t="shared" si="18"/>
        <v>0.5</v>
      </c>
      <c r="AG121" s="10">
        <f t="shared" si="24"/>
        <v>1.7</v>
      </c>
      <c r="AH121" s="10" t="str">
        <f>IF(AND(Q121&gt;0,Q121&lt;30,K121=216),'Udvaskning nøgletal'!$C$42,IF(AND(Q121&gt;0,Q121&lt;30,K121&gt;7,K121&lt;17),'Udvaskning nøgletal'!$C$61,IF(AND(Q121&gt;0,Q121&lt;30,K121&lt;7),'Udvaskning nøgletal'!$C$62,"")))</f>
        <v/>
      </c>
      <c r="AI121" s="10">
        <f t="shared" si="20"/>
        <v>583</v>
      </c>
      <c r="AJ121" s="10">
        <f>IF($X121=1,LOOKUP(AI121,'Udvaskning nøgletal'!$C$12:$C$62,'Udvaskning nøgletal'!$E$12:$E$62)+Markniveau!$Y121*Markniveau!$S121/100,IF($X121=2,LOOKUP(AI121,'Udvaskning nøgletal'!$C$12:$C$62,'Udvaskning nøgletal'!$F$12:$F$62)+Markniveau!$Y121*Markniveau!$S121/100,IF($X121=3,LOOKUP(AI121,'Udvaskning nøgletal'!$C$12:$C$62,'Udvaskning nøgletal'!Q131:Q181)+Markniveau!$Y121*Markniveau!$S121/100,"")))</f>
        <v>10</v>
      </c>
      <c r="AK121" s="10">
        <f t="shared" si="19"/>
        <v>34</v>
      </c>
      <c r="AL121" s="10">
        <f t="shared" si="21"/>
        <v>0.5</v>
      </c>
      <c r="AM121" s="10">
        <f t="shared" si="22"/>
        <v>1.7</v>
      </c>
    </row>
    <row r="122" spans="1:39" x14ac:dyDescent="0.25">
      <c r="A122" s="15">
        <v>13291993</v>
      </c>
      <c r="B122" s="15">
        <v>9.8000000000000007</v>
      </c>
      <c r="C122" s="15">
        <v>37280</v>
      </c>
      <c r="D122" s="15">
        <v>155317</v>
      </c>
      <c r="E122" s="15" t="s">
        <v>157</v>
      </c>
      <c r="F122" s="15">
        <v>2011</v>
      </c>
      <c r="G122" s="15">
        <v>20110406</v>
      </c>
      <c r="H122" s="15">
        <v>10464</v>
      </c>
      <c r="I122" s="15">
        <v>1.05</v>
      </c>
      <c r="J122" s="6" t="s">
        <v>1407</v>
      </c>
      <c r="K122" s="15">
        <v>583</v>
      </c>
      <c r="L122" s="15" t="s">
        <v>154</v>
      </c>
      <c r="M122" s="15" t="s">
        <v>155</v>
      </c>
      <c r="N122" s="11" t="s">
        <v>1384</v>
      </c>
      <c r="O122" s="11" t="s">
        <v>28</v>
      </c>
      <c r="P122" s="11" t="s">
        <v>29</v>
      </c>
      <c r="Q122" s="15">
        <v>95</v>
      </c>
      <c r="R122" s="11" t="s">
        <v>3</v>
      </c>
      <c r="S122" s="10">
        <v>0</v>
      </c>
      <c r="T122" s="15">
        <v>80</v>
      </c>
      <c r="U122" s="15">
        <v>0</v>
      </c>
      <c r="V122" s="15">
        <v>0</v>
      </c>
      <c r="W122" s="15">
        <v>0</v>
      </c>
      <c r="X122" s="15">
        <f>IF(O122='Udvaskning nøgletal'!$D$65,1,IF(O122='Udvaskning nøgletal'!$D$66,2,IF(O122='Udvaskning nøgletal'!$D$67,3,IF(O122='Udvaskning nøgletal'!$D$68,2,""))))</f>
        <v>1</v>
      </c>
      <c r="Y122" s="15">
        <f>LOOKUP(K122,'Udvaskning nøgletal'!$C$12:$C$60,'Udvaskning nøgletal'!$H$12:$H$60)</f>
        <v>0</v>
      </c>
      <c r="Z122" s="10">
        <f>IF(X122=1,LOOKUP(K122,'Udvaskning nøgletal'!$C$12:$C$60,'Udvaskning nøgletal'!$E$12:$E$60)+Markniveau!Y122*Markniveau!S122/100,IF(X122=2,LOOKUP(K122,'Udvaskning nøgletal'!$C$12:$C$60,'Udvaskning nøgletal'!$F$12:$F$60)+Markniveau!Y122*Markniveau!S122/100,IF(X122=3,LOOKUP(K122,'Udvaskning nøgletal'!$C$12:$C$60,'Udvaskning nøgletal'!G132:G180)+Markniveau!Y122*Markniveau!S122/100,"")))</f>
        <v>10</v>
      </c>
      <c r="AA122" s="10">
        <f t="shared" si="16"/>
        <v>10.5</v>
      </c>
      <c r="AB122" s="10">
        <f t="shared" si="15"/>
        <v>0.5</v>
      </c>
      <c r="AC122" s="10">
        <f t="shared" si="17"/>
        <v>0.52500000000000002</v>
      </c>
      <c r="AD122" s="10">
        <f>IF(AND(Q122&gt;0,Q122&lt;30,K122&lt;8),Markniveau!Z122*'Udvaskning nøgletal'!$I$12/100,IF(AND(Q122&gt;0,Q122&lt;30,K122=216),Markniveau!Z122*'Udvaskning nøgletal'!$I$34/100,Markniveau!Z122))</f>
        <v>10</v>
      </c>
      <c r="AE122" s="10">
        <f t="shared" si="23"/>
        <v>10.5</v>
      </c>
      <c r="AF122" s="10">
        <f t="shared" si="18"/>
        <v>0.5</v>
      </c>
      <c r="AG122" s="10">
        <f t="shared" si="24"/>
        <v>0.52500000000000002</v>
      </c>
      <c r="AH122" s="10" t="str">
        <f>IF(AND(Q122&gt;0,Q122&lt;30,K122=216),'Udvaskning nøgletal'!$C$42,IF(AND(Q122&gt;0,Q122&lt;30,K122&gt;7,K122&lt;17),'Udvaskning nøgletal'!$C$61,IF(AND(Q122&gt;0,Q122&lt;30,K122&lt;7),'Udvaskning nøgletal'!$C$62,"")))</f>
        <v/>
      </c>
      <c r="AI122" s="10">
        <f t="shared" si="20"/>
        <v>583</v>
      </c>
      <c r="AJ122" s="10">
        <f>IF($X122=1,LOOKUP(AI122,'Udvaskning nøgletal'!$C$12:$C$62,'Udvaskning nøgletal'!$E$12:$E$62)+Markniveau!$Y122*Markniveau!$S122/100,IF($X122=2,LOOKUP(AI122,'Udvaskning nøgletal'!$C$12:$C$62,'Udvaskning nøgletal'!$F$12:$F$62)+Markniveau!$Y122*Markniveau!$S122/100,IF($X122=3,LOOKUP(AI122,'Udvaskning nøgletal'!$C$12:$C$62,'Udvaskning nøgletal'!Q132:Q182)+Markniveau!$Y122*Markniveau!$S122/100,"")))</f>
        <v>10</v>
      </c>
      <c r="AK122" s="10">
        <f t="shared" si="19"/>
        <v>10.5</v>
      </c>
      <c r="AL122" s="10">
        <f t="shared" si="21"/>
        <v>0.5</v>
      </c>
      <c r="AM122" s="10">
        <f t="shared" si="22"/>
        <v>0.52500000000000002</v>
      </c>
    </row>
    <row r="123" spans="1:39" x14ac:dyDescent="0.25">
      <c r="A123" s="15">
        <v>13291993</v>
      </c>
      <c r="B123" s="15">
        <v>9.8000000000000007</v>
      </c>
      <c r="C123" s="15">
        <v>43772</v>
      </c>
      <c r="D123" s="15">
        <v>155317</v>
      </c>
      <c r="E123" s="15" t="s">
        <v>156</v>
      </c>
      <c r="F123" s="15">
        <v>2011</v>
      </c>
      <c r="G123" s="15">
        <v>20110406</v>
      </c>
      <c r="H123" s="15">
        <v>18551</v>
      </c>
      <c r="I123" s="15">
        <v>1.86</v>
      </c>
      <c r="J123" s="6" t="s">
        <v>61</v>
      </c>
      <c r="K123" s="15">
        <v>1</v>
      </c>
      <c r="L123" s="15" t="s">
        <v>32</v>
      </c>
      <c r="M123" s="15" t="s">
        <v>5</v>
      </c>
      <c r="N123" s="11" t="s">
        <v>1384</v>
      </c>
      <c r="O123" s="11" t="s">
        <v>28</v>
      </c>
      <c r="P123" s="11" t="s">
        <v>29</v>
      </c>
      <c r="Q123" s="15">
        <v>95</v>
      </c>
      <c r="R123" s="11" t="s">
        <v>3</v>
      </c>
      <c r="S123" s="10">
        <v>0</v>
      </c>
      <c r="T123" s="15">
        <v>80</v>
      </c>
      <c r="U123" s="15">
        <v>0</v>
      </c>
      <c r="V123" s="15">
        <v>0</v>
      </c>
      <c r="W123" s="15">
        <v>0</v>
      </c>
      <c r="X123" s="15">
        <f>IF(O123='Udvaskning nøgletal'!$D$65,1,IF(O123='Udvaskning nøgletal'!$D$66,2,IF(O123='Udvaskning nøgletal'!$D$67,3,IF(O123='Udvaskning nøgletal'!$D$68,2,""))))</f>
        <v>1</v>
      </c>
      <c r="Y123" s="15">
        <f>LOOKUP(K123,'Udvaskning nøgletal'!$C$12:$C$60,'Udvaskning nøgletal'!$H$12:$H$60)</f>
        <v>5</v>
      </c>
      <c r="Z123" s="10">
        <f>IF(X123=1,LOOKUP(K123,'Udvaskning nøgletal'!$C$12:$C$60,'Udvaskning nøgletal'!$E$12:$E$60)+Markniveau!Y123*Markniveau!S123/100,IF(X123=2,LOOKUP(K123,'Udvaskning nøgletal'!$C$12:$C$60,'Udvaskning nøgletal'!$F$12:$F$60)+Markniveau!Y123*Markniveau!S123/100,IF(X123=3,LOOKUP(K123,'Udvaskning nøgletal'!$C$12:$C$60,'Udvaskning nøgletal'!G133:G181)+Markniveau!Y123*Markniveau!S123/100,"")))</f>
        <v>64.66</v>
      </c>
      <c r="AA123" s="10">
        <f t="shared" si="16"/>
        <v>120.2676</v>
      </c>
      <c r="AB123" s="10">
        <f t="shared" si="15"/>
        <v>3.2329999999999997</v>
      </c>
      <c r="AC123" s="10">
        <f t="shared" si="17"/>
        <v>6.0133799999999997</v>
      </c>
      <c r="AD123" s="10">
        <f>IF(AND(Q123&gt;0,Q123&lt;30,K123&lt;8),Markniveau!Z123*'Udvaskning nøgletal'!$I$12/100,IF(AND(Q123&gt;0,Q123&lt;30,K123=216),Markniveau!Z123*'Udvaskning nøgletal'!$I$34/100,Markniveau!Z123))</f>
        <v>64.66</v>
      </c>
      <c r="AE123" s="10">
        <f t="shared" si="23"/>
        <v>120.2676</v>
      </c>
      <c r="AF123" s="10">
        <f t="shared" si="18"/>
        <v>3.2329999999999997</v>
      </c>
      <c r="AG123" s="10">
        <f t="shared" si="24"/>
        <v>6.0133799999999997</v>
      </c>
      <c r="AH123" s="10" t="str">
        <f>IF(AND(Q123&gt;0,Q123&lt;30,K123=216),'Udvaskning nøgletal'!$C$42,IF(AND(Q123&gt;0,Q123&lt;30,K123&gt;7,K123&lt;17),'Udvaskning nøgletal'!$C$61,IF(AND(Q123&gt;0,Q123&lt;30,K123&lt;7),'Udvaskning nøgletal'!$C$62,"")))</f>
        <v/>
      </c>
      <c r="AI123" s="10">
        <f t="shared" si="20"/>
        <v>1</v>
      </c>
      <c r="AJ123" s="10">
        <f>IF($X123=1,LOOKUP(AI123,'Udvaskning nøgletal'!$C$12:$C$62,'Udvaskning nøgletal'!$E$12:$E$62)+Markniveau!$Y123*Markniveau!$S123/100,IF($X123=2,LOOKUP(AI123,'Udvaskning nøgletal'!$C$12:$C$62,'Udvaskning nøgletal'!$F$12:$F$62)+Markniveau!$Y123*Markniveau!$S123/100,IF($X123=3,LOOKUP(AI123,'Udvaskning nøgletal'!$C$12:$C$62,'Udvaskning nøgletal'!Q133:Q183)+Markniveau!$Y123*Markniveau!$S123/100,"")))</f>
        <v>64.66</v>
      </c>
      <c r="AK123" s="10">
        <f t="shared" si="19"/>
        <v>120.2676</v>
      </c>
      <c r="AL123" s="10">
        <f t="shared" si="21"/>
        <v>3.2329999999999997</v>
      </c>
      <c r="AM123" s="10">
        <f t="shared" si="22"/>
        <v>6.0133799999999997</v>
      </c>
    </row>
    <row r="124" spans="1:39" x14ac:dyDescent="0.25">
      <c r="A124" s="15">
        <v>13452601</v>
      </c>
      <c r="B124" s="15">
        <v>6.84</v>
      </c>
      <c r="C124" s="15">
        <v>44571</v>
      </c>
      <c r="D124" s="15">
        <v>15484</v>
      </c>
      <c r="E124" s="15" t="s">
        <v>158</v>
      </c>
      <c r="F124" s="15">
        <v>2011</v>
      </c>
      <c r="G124" s="15">
        <v>20110411</v>
      </c>
      <c r="H124" s="15">
        <v>1385</v>
      </c>
      <c r="I124" s="15">
        <v>0.14000000000000001</v>
      </c>
      <c r="J124" s="6" t="s">
        <v>159</v>
      </c>
      <c r="K124" s="15">
        <v>902</v>
      </c>
      <c r="L124" s="15" t="s">
        <v>160</v>
      </c>
      <c r="M124" s="15" t="s">
        <v>81</v>
      </c>
      <c r="N124" s="11" t="s">
        <v>1406</v>
      </c>
      <c r="O124" s="11" t="s">
        <v>46</v>
      </c>
      <c r="P124" s="11" t="s">
        <v>33</v>
      </c>
      <c r="Q124" s="15">
        <v>0</v>
      </c>
      <c r="R124" s="11" t="s">
        <v>1386</v>
      </c>
      <c r="S124" s="10">
        <v>77.154786758127003</v>
      </c>
      <c r="T124" s="15">
        <v>80</v>
      </c>
      <c r="U124" s="15">
        <v>0</v>
      </c>
      <c r="V124" s="15">
        <v>0</v>
      </c>
      <c r="W124" s="15">
        <v>1</v>
      </c>
      <c r="X124" s="15">
        <f>IF(O124='Udvaskning nøgletal'!$D$65,1,IF(O124='Udvaskning nøgletal'!$D$66,2,IF(O124='Udvaskning nøgletal'!$D$67,3,IF(O124='Udvaskning nøgletal'!$D$68,2,""))))</f>
        <v>2</v>
      </c>
      <c r="Y124" s="15">
        <f>LOOKUP(K124,'Udvaskning nøgletal'!$C$12:$C$60,'Udvaskning nøgletal'!$H$12:$H$60)</f>
        <v>0</v>
      </c>
      <c r="Z124" s="10">
        <f>IF(X124=1,LOOKUP(K124,'Udvaskning nøgletal'!$C$12:$C$60,'Udvaskning nøgletal'!$E$12:$E$60)+Markniveau!Y124*Markniveau!S124/100,IF(X124=2,LOOKUP(K124,'Udvaskning nøgletal'!$C$12:$C$60,'Udvaskning nøgletal'!$F$12:$F$60)+Markniveau!Y124*Markniveau!S124/100,IF(X124=3,LOOKUP(K124,'Udvaskning nøgletal'!$C$12:$C$60,'Udvaskning nøgletal'!G134:G182)+Markniveau!Y124*Markniveau!S124/100,"")))</f>
        <v>10</v>
      </c>
      <c r="AA124" s="10">
        <f t="shared" si="16"/>
        <v>1.4000000000000001</v>
      </c>
      <c r="AB124" s="10" t="str">
        <f t="shared" si="15"/>
        <v/>
      </c>
      <c r="AC124" s="10" t="str">
        <f t="shared" si="17"/>
        <v/>
      </c>
      <c r="AD124" s="10">
        <f>IF(AND(Q124&gt;0,Q124&lt;30,K124&lt;8),Markniveau!Z124*'Udvaskning nøgletal'!$I$12/100,IF(AND(Q124&gt;0,Q124&lt;30,K124=216),Markniveau!Z124*'Udvaskning nøgletal'!$I$34/100,Markniveau!Z124))</f>
        <v>10</v>
      </c>
      <c r="AE124" s="10">
        <f t="shared" si="23"/>
        <v>1.4000000000000001</v>
      </c>
      <c r="AF124" s="10" t="str">
        <f t="shared" si="18"/>
        <v/>
      </c>
      <c r="AG124" s="10" t="str">
        <f t="shared" si="24"/>
        <v/>
      </c>
      <c r="AH124" s="10" t="str">
        <f>IF(AND(Q124&gt;0,Q124&lt;30,K124=216),'Udvaskning nøgletal'!$C$42,IF(AND(Q124&gt;0,Q124&lt;30,K124&gt;7,K124&lt;17),'Udvaskning nøgletal'!$C$61,IF(AND(Q124&gt;0,Q124&lt;30,K124&lt;7),'Udvaskning nøgletal'!$C$62,"")))</f>
        <v/>
      </c>
      <c r="AI124" s="10">
        <f t="shared" si="20"/>
        <v>902</v>
      </c>
      <c r="AJ124" s="10">
        <f>IF($X124=1,LOOKUP(AI124,'Udvaskning nøgletal'!$C$12:$C$62,'Udvaskning nøgletal'!$E$12:$E$62)+Markniveau!$Y124*Markniveau!$S124/100,IF($X124=2,LOOKUP(AI124,'Udvaskning nøgletal'!$C$12:$C$62,'Udvaskning nøgletal'!$F$12:$F$62)+Markniveau!$Y124*Markniveau!$S124/100,IF($X124=3,LOOKUP(AI124,'Udvaskning nøgletal'!$C$12:$C$62,'Udvaskning nøgletal'!Q134:Q184)+Markniveau!$Y124*Markniveau!$S124/100,"")))</f>
        <v>10</v>
      </c>
      <c r="AK124" s="10">
        <f t="shared" si="19"/>
        <v>1.4000000000000001</v>
      </c>
      <c r="AL124" s="10" t="str">
        <f t="shared" si="21"/>
        <v/>
      </c>
      <c r="AM124" s="10" t="str">
        <f t="shared" si="22"/>
        <v/>
      </c>
    </row>
    <row r="125" spans="1:39" x14ac:dyDescent="0.25">
      <c r="A125" s="15">
        <v>13452601</v>
      </c>
      <c r="B125" s="15">
        <v>6.84</v>
      </c>
      <c r="C125" s="15">
        <v>52710</v>
      </c>
      <c r="D125" s="15">
        <v>15484</v>
      </c>
      <c r="E125" s="15" t="s">
        <v>161</v>
      </c>
      <c r="F125" s="15">
        <v>2011</v>
      </c>
      <c r="G125" s="15">
        <v>20110411</v>
      </c>
      <c r="H125" s="15">
        <v>67998</v>
      </c>
      <c r="I125" s="15">
        <v>6.8</v>
      </c>
      <c r="J125" s="6" t="s">
        <v>162</v>
      </c>
      <c r="K125" s="15">
        <v>1</v>
      </c>
      <c r="L125" s="15" t="s">
        <v>32</v>
      </c>
      <c r="M125" s="15" t="s">
        <v>5</v>
      </c>
      <c r="N125" s="11" t="s">
        <v>1406</v>
      </c>
      <c r="O125" s="11" t="s">
        <v>46</v>
      </c>
      <c r="P125" s="11" t="s">
        <v>33</v>
      </c>
      <c r="Q125" s="15">
        <v>0</v>
      </c>
      <c r="R125" s="11" t="s">
        <v>1386</v>
      </c>
      <c r="S125" s="10">
        <v>77.154786758127003</v>
      </c>
      <c r="T125" s="15">
        <v>80</v>
      </c>
      <c r="U125" s="15">
        <v>0</v>
      </c>
      <c r="V125" s="15">
        <v>0</v>
      </c>
      <c r="W125" s="15">
        <v>1</v>
      </c>
      <c r="X125" s="15">
        <f>IF(O125='Udvaskning nøgletal'!$D$65,1,IF(O125='Udvaskning nøgletal'!$D$66,2,IF(O125='Udvaskning nøgletal'!$D$67,3,IF(O125='Udvaskning nøgletal'!$D$68,2,""))))</f>
        <v>2</v>
      </c>
      <c r="Y125" s="15">
        <f>LOOKUP(K125,'Udvaskning nøgletal'!$C$12:$C$60,'Udvaskning nøgletal'!$H$12:$H$60)</f>
        <v>5</v>
      </c>
      <c r="Z125" s="10">
        <f>IF(X125=1,LOOKUP(K125,'Udvaskning nøgletal'!$C$12:$C$60,'Udvaskning nøgletal'!$E$12:$E$60)+Markniveau!Y125*Markniveau!S125/100,IF(X125=2,LOOKUP(K125,'Udvaskning nøgletal'!$C$12:$C$60,'Udvaskning nøgletal'!$F$12:$F$60)+Markniveau!Y125*Markniveau!S125/100,IF(X125=3,LOOKUP(K125,'Udvaskning nøgletal'!$C$12:$C$60,'Udvaskning nøgletal'!G135:G183)+Markniveau!Y125*Markniveau!S125/100,"")))</f>
        <v>54.737739337906355</v>
      </c>
      <c r="AA125" s="10">
        <f t="shared" si="16"/>
        <v>372.21662749776323</v>
      </c>
      <c r="AB125" s="10" t="str">
        <f t="shared" si="15"/>
        <v/>
      </c>
      <c r="AC125" s="10" t="str">
        <f t="shared" si="17"/>
        <v/>
      </c>
      <c r="AD125" s="10">
        <f>IF(AND(Q125&gt;0,Q125&lt;30,K125&lt;8),Markniveau!Z125*'Udvaskning nøgletal'!$I$12/100,IF(AND(Q125&gt;0,Q125&lt;30,K125=216),Markniveau!Z125*'Udvaskning nøgletal'!$I$34/100,Markniveau!Z125))</f>
        <v>54.737739337906355</v>
      </c>
      <c r="AE125" s="10">
        <f t="shared" si="23"/>
        <v>372.21662749776323</v>
      </c>
      <c r="AF125" s="10" t="str">
        <f t="shared" si="18"/>
        <v/>
      </c>
      <c r="AG125" s="10" t="str">
        <f t="shared" si="24"/>
        <v/>
      </c>
      <c r="AH125" s="10" t="str">
        <f>IF(AND(Q125&gt;0,Q125&lt;30,K125=216),'Udvaskning nøgletal'!$C$42,IF(AND(Q125&gt;0,Q125&lt;30,K125&gt;7,K125&lt;17),'Udvaskning nøgletal'!$C$61,IF(AND(Q125&gt;0,Q125&lt;30,K125&lt;7),'Udvaskning nøgletal'!$C$62,"")))</f>
        <v/>
      </c>
      <c r="AI125" s="10">
        <f t="shared" si="20"/>
        <v>1</v>
      </c>
      <c r="AJ125" s="10">
        <f>IF($X125=1,LOOKUP(AI125,'Udvaskning nøgletal'!$C$12:$C$62,'Udvaskning nøgletal'!$E$12:$E$62)+Markniveau!$Y125*Markniveau!$S125/100,IF($X125=2,LOOKUP(AI125,'Udvaskning nøgletal'!$C$12:$C$62,'Udvaskning nøgletal'!$F$12:$F$62)+Markniveau!$Y125*Markniveau!$S125/100,IF($X125=3,LOOKUP(AI125,'Udvaskning nøgletal'!$C$12:$C$62,'Udvaskning nøgletal'!Q135:Q185)+Markniveau!$Y125*Markniveau!$S125/100,"")))</f>
        <v>54.737739337906355</v>
      </c>
      <c r="AK125" s="10">
        <f t="shared" si="19"/>
        <v>372.21662749776323</v>
      </c>
      <c r="AL125" s="10" t="str">
        <f t="shared" si="21"/>
        <v/>
      </c>
      <c r="AM125" s="10" t="str">
        <f t="shared" si="22"/>
        <v/>
      </c>
    </row>
    <row r="126" spans="1:39" x14ac:dyDescent="0.25">
      <c r="A126" s="15">
        <v>13452601</v>
      </c>
      <c r="B126" s="15">
        <v>6.84</v>
      </c>
      <c r="C126" s="15">
        <v>55907</v>
      </c>
      <c r="D126" s="15">
        <v>15484</v>
      </c>
      <c r="E126" s="15" t="s">
        <v>163</v>
      </c>
      <c r="F126" s="15">
        <v>2011</v>
      </c>
      <c r="G126" s="15">
        <v>20110411</v>
      </c>
      <c r="H126" s="15">
        <v>60580</v>
      </c>
      <c r="I126" s="15">
        <v>6.06</v>
      </c>
      <c r="J126" s="6" t="s">
        <v>1411</v>
      </c>
      <c r="K126" s="15">
        <v>254</v>
      </c>
      <c r="L126" s="15" t="s">
        <v>27</v>
      </c>
      <c r="M126" s="15" t="s">
        <v>4</v>
      </c>
      <c r="N126" s="11" t="s">
        <v>1406</v>
      </c>
      <c r="O126" s="11" t="s">
        <v>46</v>
      </c>
      <c r="P126" s="11" t="s">
        <v>33</v>
      </c>
      <c r="Q126" s="15">
        <v>0</v>
      </c>
      <c r="R126" s="11" t="s">
        <v>1386</v>
      </c>
      <c r="S126" s="10">
        <v>77.154786758127003</v>
      </c>
      <c r="T126" s="15">
        <v>80</v>
      </c>
      <c r="U126" s="15">
        <v>0</v>
      </c>
      <c r="V126" s="15">
        <v>0</v>
      </c>
      <c r="W126" s="15">
        <v>1</v>
      </c>
      <c r="X126" s="15">
        <f>IF(O126='Udvaskning nøgletal'!$D$65,1,IF(O126='Udvaskning nøgletal'!$D$66,2,IF(O126='Udvaskning nøgletal'!$D$67,3,IF(O126='Udvaskning nøgletal'!$D$68,2,""))))</f>
        <v>2</v>
      </c>
      <c r="Y126" s="15">
        <f>LOOKUP(K126,'Udvaskning nøgletal'!$C$12:$C$60,'Udvaskning nøgletal'!$H$12:$H$60)</f>
        <v>0</v>
      </c>
      <c r="Z126" s="10">
        <f>IF(X126=1,LOOKUP(K126,'Udvaskning nøgletal'!$C$12:$C$60,'Udvaskning nøgletal'!$E$12:$E$60)+Markniveau!Y126*Markniveau!S126/100,IF(X126=2,LOOKUP(K126,'Udvaskning nøgletal'!$C$12:$C$60,'Udvaskning nøgletal'!$F$12:$F$60)+Markniveau!Y126*Markniveau!S126/100,IF(X126=3,LOOKUP(K126,'Udvaskning nøgletal'!$C$12:$C$60,'Udvaskning nøgletal'!G136:G184)+Markniveau!Y126*Markniveau!S126/100,"")))</f>
        <v>21.2</v>
      </c>
      <c r="AA126" s="10">
        <f t="shared" si="16"/>
        <v>128.47199999999998</v>
      </c>
      <c r="AB126" s="10" t="str">
        <f t="shared" si="15"/>
        <v/>
      </c>
      <c r="AC126" s="10" t="str">
        <f t="shared" si="17"/>
        <v/>
      </c>
      <c r="AD126" s="10">
        <f>IF(AND(Q126&gt;0,Q126&lt;30,K126&lt;8),Markniveau!Z126*'Udvaskning nøgletal'!$I$12/100,IF(AND(Q126&gt;0,Q126&lt;30,K126=216),Markniveau!Z126*'Udvaskning nøgletal'!$I$34/100,Markniveau!Z126))</f>
        <v>21.2</v>
      </c>
      <c r="AE126" s="10">
        <f t="shared" si="23"/>
        <v>128.47199999999998</v>
      </c>
      <c r="AF126" s="10" t="str">
        <f t="shared" si="18"/>
        <v/>
      </c>
      <c r="AG126" s="10" t="str">
        <f t="shared" si="24"/>
        <v/>
      </c>
      <c r="AH126" s="10" t="str">
        <f>IF(AND(Q126&gt;0,Q126&lt;30,K126=216),'Udvaskning nøgletal'!$C$42,IF(AND(Q126&gt;0,Q126&lt;30,K126&gt;7,K126&lt;17),'Udvaskning nøgletal'!$C$61,IF(AND(Q126&gt;0,Q126&lt;30,K126&lt;7),'Udvaskning nøgletal'!$C$62,"")))</f>
        <v/>
      </c>
      <c r="AI126" s="10">
        <f t="shared" si="20"/>
        <v>254</v>
      </c>
      <c r="AJ126" s="10">
        <f>IF($X126=1,LOOKUP(AI126,'Udvaskning nøgletal'!$C$12:$C$62,'Udvaskning nøgletal'!$E$12:$E$62)+Markniveau!$Y126*Markniveau!$S126/100,IF($X126=2,LOOKUP(AI126,'Udvaskning nøgletal'!$C$12:$C$62,'Udvaskning nøgletal'!$F$12:$F$62)+Markniveau!$Y126*Markniveau!$S126/100,IF($X126=3,LOOKUP(AI126,'Udvaskning nøgletal'!$C$12:$C$62,'Udvaskning nøgletal'!Q136:Q186)+Markniveau!$Y126*Markniveau!$S126/100,"")))</f>
        <v>21.2</v>
      </c>
      <c r="AK126" s="10">
        <f t="shared" si="19"/>
        <v>128.47199999999998</v>
      </c>
      <c r="AL126" s="10" t="str">
        <f t="shared" si="21"/>
        <v/>
      </c>
      <c r="AM126" s="10" t="str">
        <f t="shared" si="22"/>
        <v/>
      </c>
    </row>
    <row r="127" spans="1:39" x14ac:dyDescent="0.25">
      <c r="A127" s="15">
        <v>13452601</v>
      </c>
      <c r="B127" s="15">
        <v>6.84</v>
      </c>
      <c r="C127" s="15">
        <v>95184</v>
      </c>
      <c r="D127" s="15">
        <v>15484</v>
      </c>
      <c r="E127" s="15" t="s">
        <v>163</v>
      </c>
      <c r="F127" s="15">
        <v>2011</v>
      </c>
      <c r="G127" s="15">
        <v>20110412</v>
      </c>
      <c r="H127" s="15">
        <v>30576</v>
      </c>
      <c r="I127" s="15">
        <v>3.06</v>
      </c>
      <c r="J127" s="6" t="s">
        <v>164</v>
      </c>
      <c r="K127" s="15">
        <v>254</v>
      </c>
      <c r="L127" s="15" t="s">
        <v>27</v>
      </c>
      <c r="M127" s="15" t="s">
        <v>4</v>
      </c>
      <c r="N127" s="11" t="s">
        <v>1406</v>
      </c>
      <c r="O127" s="11" t="s">
        <v>46</v>
      </c>
      <c r="P127" s="11" t="s">
        <v>33</v>
      </c>
      <c r="Q127" s="15">
        <v>0</v>
      </c>
      <c r="R127" s="11" t="s">
        <v>1386</v>
      </c>
      <c r="S127" s="10">
        <v>77.154786758127003</v>
      </c>
      <c r="T127" s="15">
        <v>80</v>
      </c>
      <c r="U127" s="15">
        <v>0</v>
      </c>
      <c r="V127" s="15">
        <v>0</v>
      </c>
      <c r="W127" s="15">
        <v>1</v>
      </c>
      <c r="X127" s="15">
        <f>IF(O127='Udvaskning nøgletal'!$D$65,1,IF(O127='Udvaskning nøgletal'!$D$66,2,IF(O127='Udvaskning nøgletal'!$D$67,3,IF(O127='Udvaskning nøgletal'!$D$68,2,""))))</f>
        <v>2</v>
      </c>
      <c r="Y127" s="15">
        <f>LOOKUP(K127,'Udvaskning nøgletal'!$C$12:$C$60,'Udvaskning nøgletal'!$H$12:$H$60)</f>
        <v>0</v>
      </c>
      <c r="Z127" s="10">
        <f>IF(X127=1,LOOKUP(K127,'Udvaskning nøgletal'!$C$12:$C$60,'Udvaskning nøgletal'!$E$12:$E$60)+Markniveau!Y127*Markniveau!S127/100,IF(X127=2,LOOKUP(K127,'Udvaskning nøgletal'!$C$12:$C$60,'Udvaskning nøgletal'!$F$12:$F$60)+Markniveau!Y127*Markniveau!S127/100,IF(X127=3,LOOKUP(K127,'Udvaskning nøgletal'!$C$12:$C$60,'Udvaskning nøgletal'!G137:G185)+Markniveau!Y127*Markniveau!S127/100,"")))</f>
        <v>21.2</v>
      </c>
      <c r="AA127" s="10">
        <f t="shared" si="16"/>
        <v>64.872</v>
      </c>
      <c r="AB127" s="10" t="str">
        <f t="shared" si="15"/>
        <v/>
      </c>
      <c r="AC127" s="10" t="str">
        <f t="shared" si="17"/>
        <v/>
      </c>
      <c r="AD127" s="10">
        <f>IF(AND(Q127&gt;0,Q127&lt;30,K127&lt;8),Markniveau!Z127*'Udvaskning nøgletal'!$I$12/100,IF(AND(Q127&gt;0,Q127&lt;30,K127=216),Markniveau!Z127*'Udvaskning nøgletal'!$I$34/100,Markniveau!Z127))</f>
        <v>21.2</v>
      </c>
      <c r="AE127" s="10">
        <f t="shared" si="23"/>
        <v>64.872</v>
      </c>
      <c r="AF127" s="10" t="str">
        <f t="shared" si="18"/>
        <v/>
      </c>
      <c r="AG127" s="10" t="str">
        <f t="shared" si="24"/>
        <v/>
      </c>
      <c r="AH127" s="10" t="str">
        <f>IF(AND(Q127&gt;0,Q127&lt;30,K127=216),'Udvaskning nøgletal'!$C$42,IF(AND(Q127&gt;0,Q127&lt;30,K127&gt;7,K127&lt;17),'Udvaskning nøgletal'!$C$61,IF(AND(Q127&gt;0,Q127&lt;30,K127&lt;7),'Udvaskning nøgletal'!$C$62,"")))</f>
        <v/>
      </c>
      <c r="AI127" s="10">
        <f t="shared" si="20"/>
        <v>254</v>
      </c>
      <c r="AJ127" s="10">
        <f>IF($X127=1,LOOKUP(AI127,'Udvaskning nøgletal'!$C$12:$C$62,'Udvaskning nøgletal'!$E$12:$E$62)+Markniveau!$Y127*Markniveau!$S127/100,IF($X127=2,LOOKUP(AI127,'Udvaskning nøgletal'!$C$12:$C$62,'Udvaskning nøgletal'!$F$12:$F$62)+Markniveau!$Y127*Markniveau!$S127/100,IF($X127=3,LOOKUP(AI127,'Udvaskning nøgletal'!$C$12:$C$62,'Udvaskning nøgletal'!Q137:Q187)+Markniveau!$Y127*Markniveau!$S127/100,"")))</f>
        <v>21.2</v>
      </c>
      <c r="AK127" s="10">
        <f t="shared" si="19"/>
        <v>64.872</v>
      </c>
      <c r="AL127" s="10" t="str">
        <f t="shared" si="21"/>
        <v/>
      </c>
      <c r="AM127" s="10" t="str">
        <f t="shared" si="22"/>
        <v/>
      </c>
    </row>
    <row r="128" spans="1:39" x14ac:dyDescent="0.25">
      <c r="A128" s="15">
        <v>13452601</v>
      </c>
      <c r="B128" s="15">
        <v>6.84</v>
      </c>
      <c r="C128" s="15">
        <v>277144</v>
      </c>
      <c r="D128" s="15">
        <v>15484</v>
      </c>
      <c r="E128" s="15" t="s">
        <v>165</v>
      </c>
      <c r="F128" s="15">
        <v>2011</v>
      </c>
      <c r="G128" s="15">
        <v>20110429</v>
      </c>
      <c r="H128" s="15">
        <v>17791</v>
      </c>
      <c r="I128" s="15">
        <v>1.78</v>
      </c>
      <c r="J128" s="6" t="s">
        <v>79</v>
      </c>
      <c r="K128" s="15">
        <v>30</v>
      </c>
      <c r="L128" s="15" t="s">
        <v>101</v>
      </c>
      <c r="M128" s="15" t="s">
        <v>5</v>
      </c>
      <c r="N128" s="11" t="s">
        <v>1384</v>
      </c>
      <c r="O128" s="11" t="s">
        <v>28</v>
      </c>
      <c r="P128" s="11" t="s">
        <v>33</v>
      </c>
      <c r="Q128" s="15">
        <v>0</v>
      </c>
      <c r="R128" s="11" t="s">
        <v>1386</v>
      </c>
      <c r="S128" s="10">
        <v>77.154786758127003</v>
      </c>
      <c r="T128" s="15">
        <v>80</v>
      </c>
      <c r="U128" s="15">
        <v>0</v>
      </c>
      <c r="V128" s="15">
        <v>0</v>
      </c>
      <c r="W128" s="15">
        <v>1</v>
      </c>
      <c r="X128" s="15">
        <f>IF(O128='Udvaskning nøgletal'!$D$65,1,IF(O128='Udvaskning nøgletal'!$D$66,2,IF(O128='Udvaskning nøgletal'!$D$67,3,IF(O128='Udvaskning nøgletal'!$D$68,2,""))))</f>
        <v>1</v>
      </c>
      <c r="Y128" s="15">
        <f>LOOKUP(K128,'Udvaskning nøgletal'!$C$12:$C$60,'Udvaskning nøgletal'!$H$12:$H$60)</f>
        <v>5</v>
      </c>
      <c r="Z128" s="10">
        <f>IF(X128=1,LOOKUP(K128,'Udvaskning nøgletal'!$C$12:$C$60,'Udvaskning nøgletal'!$E$12:$E$60)+Markniveau!Y128*Markniveau!S128/100,IF(X128=2,LOOKUP(K128,'Udvaskning nøgletal'!$C$12:$C$60,'Udvaskning nøgletal'!$F$12:$F$60)+Markniveau!Y128*Markniveau!S128/100,IF(X128=3,LOOKUP(K128,'Udvaskning nøgletal'!$C$12:$C$60,'Udvaskning nøgletal'!G138:G186)+Markniveau!Y128*Markniveau!S128/100,"")))</f>
        <v>68.517739337906349</v>
      </c>
      <c r="AA128" s="10">
        <f t="shared" si="16"/>
        <v>121.96157602147331</v>
      </c>
      <c r="AB128" s="10" t="str">
        <f t="shared" si="15"/>
        <v/>
      </c>
      <c r="AC128" s="10" t="str">
        <f t="shared" si="17"/>
        <v/>
      </c>
      <c r="AD128" s="10">
        <f>IF(AND(Q128&gt;0,Q128&lt;30,K128&lt;8),Markniveau!Z128*'Udvaskning nøgletal'!$I$12/100,IF(AND(Q128&gt;0,Q128&lt;30,K128=216),Markniveau!Z128*'Udvaskning nøgletal'!$I$34/100,Markniveau!Z128))</f>
        <v>68.517739337906349</v>
      </c>
      <c r="AE128" s="10">
        <f t="shared" si="23"/>
        <v>121.96157602147331</v>
      </c>
      <c r="AF128" s="10" t="str">
        <f t="shared" si="18"/>
        <v/>
      </c>
      <c r="AG128" s="10" t="str">
        <f t="shared" si="24"/>
        <v/>
      </c>
      <c r="AH128" s="10" t="str">
        <f>IF(AND(Q128&gt;0,Q128&lt;30,K128=216),'Udvaskning nøgletal'!$C$42,IF(AND(Q128&gt;0,Q128&lt;30,K128&gt;7,K128&lt;17),'Udvaskning nøgletal'!$C$61,IF(AND(Q128&gt;0,Q128&lt;30,K128&lt;7),'Udvaskning nøgletal'!$C$62,"")))</f>
        <v/>
      </c>
      <c r="AI128" s="10">
        <f t="shared" si="20"/>
        <v>30</v>
      </c>
      <c r="AJ128" s="10">
        <f>IF($X128=1,LOOKUP(AI128,'Udvaskning nøgletal'!$C$12:$C$62,'Udvaskning nøgletal'!$E$12:$E$62)+Markniveau!$Y128*Markniveau!$S128/100,IF($X128=2,LOOKUP(AI128,'Udvaskning nøgletal'!$C$12:$C$62,'Udvaskning nøgletal'!$F$12:$F$62)+Markniveau!$Y128*Markniveau!$S128/100,IF($X128=3,LOOKUP(AI128,'Udvaskning nøgletal'!$C$12:$C$62,'Udvaskning nøgletal'!Q138:Q188)+Markniveau!$Y128*Markniveau!$S128/100,"")))</f>
        <v>68.517739337906349</v>
      </c>
      <c r="AK128" s="10">
        <f t="shared" si="19"/>
        <v>121.96157602147331</v>
      </c>
      <c r="AL128" s="10" t="str">
        <f t="shared" si="21"/>
        <v/>
      </c>
      <c r="AM128" s="10" t="str">
        <f t="shared" si="22"/>
        <v/>
      </c>
    </row>
    <row r="129" spans="1:39" x14ac:dyDescent="0.25">
      <c r="A129" s="15">
        <v>13452601</v>
      </c>
      <c r="B129" s="15">
        <v>6.84</v>
      </c>
      <c r="C129" s="15">
        <v>433629</v>
      </c>
      <c r="D129" s="15">
        <v>15484</v>
      </c>
      <c r="E129" s="15" t="s">
        <v>166</v>
      </c>
      <c r="F129" s="15">
        <v>2011</v>
      </c>
      <c r="G129" s="15">
        <v>20110411</v>
      </c>
      <c r="H129" s="15">
        <v>861</v>
      </c>
      <c r="I129" s="15">
        <v>0.09</v>
      </c>
      <c r="J129" s="6" t="s">
        <v>167</v>
      </c>
      <c r="K129" s="15">
        <v>902</v>
      </c>
      <c r="L129" s="15" t="s">
        <v>160</v>
      </c>
      <c r="M129" s="15" t="s">
        <v>81</v>
      </c>
      <c r="N129" s="11" t="s">
        <v>1406</v>
      </c>
      <c r="O129" s="11" t="s">
        <v>46</v>
      </c>
      <c r="P129" s="11" t="s">
        <v>33</v>
      </c>
      <c r="Q129" s="15">
        <v>0</v>
      </c>
      <c r="R129" s="11" t="s">
        <v>1386</v>
      </c>
      <c r="S129" s="10">
        <v>77.154786758127003</v>
      </c>
      <c r="T129" s="15">
        <v>80</v>
      </c>
      <c r="U129" s="15">
        <v>0</v>
      </c>
      <c r="V129" s="15">
        <v>0</v>
      </c>
      <c r="W129" s="15">
        <v>1</v>
      </c>
      <c r="X129" s="15">
        <f>IF(O129='Udvaskning nøgletal'!$D$65,1,IF(O129='Udvaskning nøgletal'!$D$66,2,IF(O129='Udvaskning nøgletal'!$D$67,3,IF(O129='Udvaskning nøgletal'!$D$68,2,""))))</f>
        <v>2</v>
      </c>
      <c r="Y129" s="15">
        <f>LOOKUP(K129,'Udvaskning nøgletal'!$C$12:$C$60,'Udvaskning nøgletal'!$H$12:$H$60)</f>
        <v>0</v>
      </c>
      <c r="Z129" s="10">
        <f>IF(X129=1,LOOKUP(K129,'Udvaskning nøgletal'!$C$12:$C$60,'Udvaskning nøgletal'!$E$12:$E$60)+Markniveau!Y129*Markniveau!S129/100,IF(X129=2,LOOKUP(K129,'Udvaskning nøgletal'!$C$12:$C$60,'Udvaskning nøgletal'!$F$12:$F$60)+Markniveau!Y129*Markniveau!S129/100,IF(X129=3,LOOKUP(K129,'Udvaskning nøgletal'!$C$12:$C$60,'Udvaskning nøgletal'!G139:G187)+Markniveau!Y129*Markniveau!S129/100,"")))</f>
        <v>10</v>
      </c>
      <c r="AA129" s="10">
        <f t="shared" si="16"/>
        <v>0.89999999999999991</v>
      </c>
      <c r="AB129" s="10" t="str">
        <f t="shared" si="15"/>
        <v/>
      </c>
      <c r="AC129" s="10" t="str">
        <f t="shared" si="17"/>
        <v/>
      </c>
      <c r="AD129" s="10">
        <f>IF(AND(Q129&gt;0,Q129&lt;30,K129&lt;8),Markniveau!Z129*'Udvaskning nøgletal'!$I$12/100,IF(AND(Q129&gt;0,Q129&lt;30,K129=216),Markniveau!Z129*'Udvaskning nøgletal'!$I$34/100,Markniveau!Z129))</f>
        <v>10</v>
      </c>
      <c r="AE129" s="10">
        <f t="shared" si="23"/>
        <v>0.89999999999999991</v>
      </c>
      <c r="AF129" s="10" t="str">
        <f t="shared" si="18"/>
        <v/>
      </c>
      <c r="AG129" s="10" t="str">
        <f t="shared" si="24"/>
        <v/>
      </c>
      <c r="AH129" s="10" t="str">
        <f>IF(AND(Q129&gt;0,Q129&lt;30,K129=216),'Udvaskning nøgletal'!$C$42,IF(AND(Q129&gt;0,Q129&lt;30,K129&gt;7,K129&lt;17),'Udvaskning nøgletal'!$C$61,IF(AND(Q129&gt;0,Q129&lt;30,K129&lt;7),'Udvaskning nøgletal'!$C$62,"")))</f>
        <v/>
      </c>
      <c r="AI129" s="10">
        <f t="shared" si="20"/>
        <v>902</v>
      </c>
      <c r="AJ129" s="10">
        <f>IF($X129=1,LOOKUP(AI129,'Udvaskning nøgletal'!$C$12:$C$62,'Udvaskning nøgletal'!$E$12:$E$62)+Markniveau!$Y129*Markniveau!$S129/100,IF($X129=2,LOOKUP(AI129,'Udvaskning nøgletal'!$C$12:$C$62,'Udvaskning nøgletal'!$F$12:$F$62)+Markniveau!$Y129*Markniveau!$S129/100,IF($X129=3,LOOKUP(AI129,'Udvaskning nøgletal'!$C$12:$C$62,'Udvaskning nøgletal'!Q139:Q189)+Markniveau!$Y129*Markniveau!$S129/100,"")))</f>
        <v>10</v>
      </c>
      <c r="AK129" s="10">
        <f t="shared" si="19"/>
        <v>0.89999999999999991</v>
      </c>
      <c r="AL129" s="10" t="str">
        <f t="shared" si="21"/>
        <v/>
      </c>
      <c r="AM129" s="10" t="str">
        <f t="shared" si="22"/>
        <v/>
      </c>
    </row>
    <row r="130" spans="1:39" x14ac:dyDescent="0.25">
      <c r="A130" s="15">
        <v>13452601</v>
      </c>
      <c r="B130" s="15">
        <v>6.84</v>
      </c>
      <c r="C130" s="15">
        <v>434181</v>
      </c>
      <c r="D130" s="15">
        <v>15484</v>
      </c>
      <c r="E130" s="15" t="s">
        <v>168</v>
      </c>
      <c r="F130" s="15">
        <v>2011</v>
      </c>
      <c r="G130" s="15">
        <v>20110216</v>
      </c>
      <c r="H130" s="15">
        <v>55932</v>
      </c>
      <c r="I130" s="15">
        <v>5.59</v>
      </c>
      <c r="J130" s="6" t="s">
        <v>138</v>
      </c>
      <c r="K130" s="15">
        <v>254</v>
      </c>
      <c r="L130" s="15" t="s">
        <v>27</v>
      </c>
      <c r="M130" s="15" t="s">
        <v>4</v>
      </c>
      <c r="N130" s="11" t="s">
        <v>1390</v>
      </c>
      <c r="O130" s="11" t="s">
        <v>42</v>
      </c>
      <c r="P130" s="11" t="s">
        <v>33</v>
      </c>
      <c r="Q130" s="15">
        <v>0</v>
      </c>
      <c r="R130" s="11" t="s">
        <v>1386</v>
      </c>
      <c r="S130" s="10">
        <v>77.154786758127003</v>
      </c>
      <c r="T130" s="15">
        <v>80</v>
      </c>
      <c r="U130" s="15">
        <v>0</v>
      </c>
      <c r="V130" s="15">
        <v>0</v>
      </c>
      <c r="W130" s="15">
        <v>1</v>
      </c>
      <c r="X130" s="15">
        <f>IF(O130='Udvaskning nøgletal'!$D$65,1,IF(O130='Udvaskning nøgletal'!$D$66,2,IF(O130='Udvaskning nøgletal'!$D$67,3,IF(O130='Udvaskning nøgletal'!$D$68,2,""))))</f>
        <v>2</v>
      </c>
      <c r="Y130" s="15">
        <f>LOOKUP(K130,'Udvaskning nøgletal'!$C$12:$C$60,'Udvaskning nøgletal'!$H$12:$H$60)</f>
        <v>0</v>
      </c>
      <c r="Z130" s="10">
        <f>IF(X130=1,LOOKUP(K130,'Udvaskning nøgletal'!$C$12:$C$60,'Udvaskning nøgletal'!$E$12:$E$60)+Markniveau!Y130*Markniveau!S130/100,IF(X130=2,LOOKUP(K130,'Udvaskning nøgletal'!$C$12:$C$60,'Udvaskning nøgletal'!$F$12:$F$60)+Markniveau!Y130*Markniveau!S130/100,IF(X130=3,LOOKUP(K130,'Udvaskning nøgletal'!$C$12:$C$60,'Udvaskning nøgletal'!G140:G188)+Markniveau!Y130*Markniveau!S130/100,"")))</f>
        <v>21.2</v>
      </c>
      <c r="AA130" s="10">
        <f t="shared" si="16"/>
        <v>118.508</v>
      </c>
      <c r="AB130" s="10" t="str">
        <f t="shared" ref="AB130:AB193" si="25">IF(Q130&gt;0,(100-Q130)*Z130/100,"")</f>
        <v/>
      </c>
      <c r="AC130" s="10" t="str">
        <f t="shared" si="17"/>
        <v/>
      </c>
      <c r="AD130" s="10">
        <f>IF(AND(Q130&gt;0,Q130&lt;30,K130&lt;8),Markniveau!Z130*'Udvaskning nøgletal'!$I$12/100,IF(AND(Q130&gt;0,Q130&lt;30,K130=216),Markniveau!Z130*'Udvaskning nøgletal'!$I$34/100,Markniveau!Z130))</f>
        <v>21.2</v>
      </c>
      <c r="AE130" s="10">
        <f t="shared" si="23"/>
        <v>118.508</v>
      </c>
      <c r="AF130" s="10" t="str">
        <f t="shared" si="18"/>
        <v/>
      </c>
      <c r="AG130" s="10" t="str">
        <f t="shared" si="24"/>
        <v/>
      </c>
      <c r="AH130" s="10" t="str">
        <f>IF(AND(Q130&gt;0,Q130&lt;30,K130=216),'Udvaskning nøgletal'!$C$42,IF(AND(Q130&gt;0,Q130&lt;30,K130&gt;7,K130&lt;17),'Udvaskning nøgletal'!$C$61,IF(AND(Q130&gt;0,Q130&lt;30,K130&lt;7),'Udvaskning nøgletal'!$C$62,"")))</f>
        <v/>
      </c>
      <c r="AI130" s="10">
        <f t="shared" si="20"/>
        <v>254</v>
      </c>
      <c r="AJ130" s="10">
        <f>IF($X130=1,LOOKUP(AI130,'Udvaskning nøgletal'!$C$12:$C$62,'Udvaskning nøgletal'!$E$12:$E$62)+Markniveau!$Y130*Markniveau!$S130/100,IF($X130=2,LOOKUP(AI130,'Udvaskning nøgletal'!$C$12:$C$62,'Udvaskning nøgletal'!$F$12:$F$62)+Markniveau!$Y130*Markniveau!$S130/100,IF($X130=3,LOOKUP(AI130,'Udvaskning nøgletal'!$C$12:$C$62,'Udvaskning nøgletal'!Q140:Q190)+Markniveau!$Y130*Markniveau!$S130/100,"")))</f>
        <v>21.2</v>
      </c>
      <c r="AK130" s="10">
        <f t="shared" si="19"/>
        <v>118.508</v>
      </c>
      <c r="AL130" s="10" t="str">
        <f t="shared" si="21"/>
        <v/>
      </c>
      <c r="AM130" s="10" t="str">
        <f t="shared" si="22"/>
        <v/>
      </c>
    </row>
    <row r="131" spans="1:39" x14ac:dyDescent="0.25">
      <c r="A131" s="15">
        <v>13452601</v>
      </c>
      <c r="B131" s="15">
        <v>6.84</v>
      </c>
      <c r="C131" s="15">
        <v>434183</v>
      </c>
      <c r="D131" s="15">
        <v>15484</v>
      </c>
      <c r="E131" s="15" t="s">
        <v>169</v>
      </c>
      <c r="F131" s="15">
        <v>2011</v>
      </c>
      <c r="G131" s="15">
        <v>20110216</v>
      </c>
      <c r="H131" s="15">
        <v>11477</v>
      </c>
      <c r="I131" s="15">
        <v>1.1499999999999999</v>
      </c>
      <c r="J131" s="6" t="s">
        <v>170</v>
      </c>
      <c r="K131" s="15">
        <v>318</v>
      </c>
      <c r="L131" s="15" t="s">
        <v>171</v>
      </c>
      <c r="M131" s="15" t="s">
        <v>13</v>
      </c>
      <c r="N131" s="11" t="s">
        <v>1390</v>
      </c>
      <c r="O131" s="11" t="s">
        <v>42</v>
      </c>
      <c r="P131" s="11" t="s">
        <v>33</v>
      </c>
      <c r="Q131" s="15">
        <v>0</v>
      </c>
      <c r="R131" s="11" t="s">
        <v>1386</v>
      </c>
      <c r="S131" s="10">
        <v>77.154786758127003</v>
      </c>
      <c r="T131" s="15">
        <v>80</v>
      </c>
      <c r="U131" s="15">
        <v>0</v>
      </c>
      <c r="V131" s="15">
        <v>0</v>
      </c>
      <c r="W131" s="15">
        <v>1</v>
      </c>
      <c r="X131" s="15">
        <f>IF(O131='Udvaskning nøgletal'!$D$65,1,IF(O131='Udvaskning nøgletal'!$D$66,2,IF(O131='Udvaskning nøgletal'!$D$67,3,IF(O131='Udvaskning nøgletal'!$D$68,2,""))))</f>
        <v>2</v>
      </c>
      <c r="Y131" s="15">
        <f>LOOKUP(K131,'Udvaskning nøgletal'!$C$12:$C$60,'Udvaskning nøgletal'!$H$12:$H$60)</f>
        <v>0</v>
      </c>
      <c r="Z131" s="10">
        <f>IF(X131=1,LOOKUP(K131,'Udvaskning nøgletal'!$C$12:$C$60,'Udvaskning nøgletal'!$E$12:$E$60)+Markniveau!Y131*Markniveau!S131/100,IF(X131=2,LOOKUP(K131,'Udvaskning nøgletal'!$C$12:$C$60,'Udvaskning nøgletal'!$F$12:$F$60)+Markniveau!Y131*Markniveau!S131/100,IF(X131=3,LOOKUP(K131,'Udvaskning nøgletal'!$C$12:$C$60,'Udvaskning nøgletal'!G141:G189)+Markniveau!Y131*Markniveau!S131/100,"")))</f>
        <v>10</v>
      </c>
      <c r="AA131" s="10">
        <f t="shared" ref="AA131:AA194" si="26">Z131*I131</f>
        <v>11.5</v>
      </c>
      <c r="AB131" s="10" t="str">
        <f t="shared" si="25"/>
        <v/>
      </c>
      <c r="AC131" s="10" t="str">
        <f t="shared" ref="AC131:AC194" si="27">IF(Q131&gt;0,AB131*I131,"")</f>
        <v/>
      </c>
      <c r="AD131" s="10">
        <f>IF(AND(Q131&gt;0,Q131&lt;30,K131&lt;8),Markniveau!Z131*'Udvaskning nøgletal'!$I$12/100,IF(AND(Q131&gt;0,Q131&lt;30,K131=216),Markniveau!Z131*'Udvaskning nøgletal'!$I$34/100,Markniveau!Z131))</f>
        <v>10</v>
      </c>
      <c r="AE131" s="10">
        <f t="shared" si="23"/>
        <v>11.5</v>
      </c>
      <c r="AF131" s="10" t="str">
        <f t="shared" ref="AF131:AF194" si="28">IF($Q131&gt;0,(100-$Q131)*$AD131/100,"")</f>
        <v/>
      </c>
      <c r="AG131" s="10" t="str">
        <f t="shared" si="24"/>
        <v/>
      </c>
      <c r="AH131" s="10" t="str">
        <f>IF(AND(Q131&gt;0,Q131&lt;30,K131=216),'Udvaskning nøgletal'!$C$42,IF(AND(Q131&gt;0,Q131&lt;30,K131&gt;7,K131&lt;17),'Udvaskning nøgletal'!$C$61,IF(AND(Q131&gt;0,Q131&lt;30,K131&lt;7),'Udvaskning nøgletal'!$C$62,"")))</f>
        <v/>
      </c>
      <c r="AI131" s="10">
        <f t="shared" si="20"/>
        <v>318</v>
      </c>
      <c r="AJ131" s="10">
        <f>IF($X131=1,LOOKUP(AI131,'Udvaskning nøgletal'!$C$12:$C$62,'Udvaskning nøgletal'!$E$12:$E$62)+Markniveau!$Y131*Markniveau!$S131/100,IF($X131=2,LOOKUP(AI131,'Udvaskning nøgletal'!$C$12:$C$62,'Udvaskning nøgletal'!$F$12:$F$62)+Markniveau!$Y131*Markniveau!$S131/100,IF($X131=3,LOOKUP(AI131,'Udvaskning nøgletal'!$C$12:$C$62,'Udvaskning nøgletal'!Q141:Q191)+Markniveau!$Y131*Markniveau!$S131/100,"")))</f>
        <v>10</v>
      </c>
      <c r="AK131" s="10">
        <f t="shared" ref="AK131:AK194" si="29">AJ131*$I131</f>
        <v>11.5</v>
      </c>
      <c r="AL131" s="10" t="str">
        <f t="shared" si="21"/>
        <v/>
      </c>
      <c r="AM131" s="10" t="str">
        <f t="shared" si="22"/>
        <v/>
      </c>
    </row>
    <row r="132" spans="1:39" x14ac:dyDescent="0.25">
      <c r="A132" s="15">
        <v>13452601</v>
      </c>
      <c r="B132" s="15">
        <v>6.84</v>
      </c>
      <c r="C132" s="15">
        <v>434686</v>
      </c>
      <c r="D132" s="15">
        <v>15484</v>
      </c>
      <c r="E132" s="15" t="s">
        <v>172</v>
      </c>
      <c r="F132" s="15">
        <v>2011</v>
      </c>
      <c r="G132" s="15">
        <v>20110216</v>
      </c>
      <c r="H132" s="15">
        <v>49894</v>
      </c>
      <c r="I132" s="15">
        <v>4.99</v>
      </c>
      <c r="J132" s="6" t="s">
        <v>173</v>
      </c>
      <c r="K132" s="15">
        <v>3</v>
      </c>
      <c r="L132" s="15" t="s">
        <v>114</v>
      </c>
      <c r="M132" s="15" t="s">
        <v>5</v>
      </c>
      <c r="N132" s="11" t="s">
        <v>1406</v>
      </c>
      <c r="O132" s="11" t="s">
        <v>46</v>
      </c>
      <c r="P132" s="11" t="s">
        <v>33</v>
      </c>
      <c r="Q132" s="15">
        <v>0</v>
      </c>
      <c r="R132" s="11" t="s">
        <v>1386</v>
      </c>
      <c r="S132" s="10">
        <v>77.154786758127003</v>
      </c>
      <c r="T132" s="15">
        <v>80</v>
      </c>
      <c r="U132" s="15">
        <v>0</v>
      </c>
      <c r="V132" s="15">
        <v>0</v>
      </c>
      <c r="W132" s="15">
        <v>1</v>
      </c>
      <c r="X132" s="15">
        <f>IF(O132='Udvaskning nøgletal'!$D$65,1,IF(O132='Udvaskning nøgletal'!$D$66,2,IF(O132='Udvaskning nøgletal'!$D$67,3,IF(O132='Udvaskning nøgletal'!$D$68,2,""))))</f>
        <v>2</v>
      </c>
      <c r="Y132" s="15">
        <f>LOOKUP(K132,'Udvaskning nøgletal'!$C$12:$C$60,'Udvaskning nøgletal'!$H$12:$H$60)</f>
        <v>5</v>
      </c>
      <c r="Z132" s="10">
        <f>IF(X132=1,LOOKUP(K132,'Udvaskning nøgletal'!$C$12:$C$60,'Udvaskning nøgletal'!$E$12:$E$60)+Markniveau!Y132*Markniveau!S132/100,IF(X132=2,LOOKUP(K132,'Udvaskning nøgletal'!$C$12:$C$60,'Udvaskning nøgletal'!$F$12:$F$60)+Markniveau!Y132*Markniveau!S132/100,IF(X132=3,LOOKUP(K132,'Udvaskning nøgletal'!$C$12:$C$60,'Udvaskning nøgletal'!G142:G190)+Markniveau!Y132*Markniveau!S132/100,"")))</f>
        <v>54.737739337906355</v>
      </c>
      <c r="AA132" s="10">
        <f t="shared" si="26"/>
        <v>273.14131929615274</v>
      </c>
      <c r="AB132" s="10" t="str">
        <f t="shared" si="25"/>
        <v/>
      </c>
      <c r="AC132" s="10" t="str">
        <f t="shared" si="27"/>
        <v/>
      </c>
      <c r="AD132" s="10">
        <f>IF(AND(Q132&gt;0,Q132&lt;30,K132&lt;8),Markniveau!Z132*'Udvaskning nøgletal'!$I$12/100,IF(AND(Q132&gt;0,Q132&lt;30,K132=216),Markniveau!Z132*'Udvaskning nøgletal'!$I$34/100,Markniveau!Z132))</f>
        <v>54.737739337906355</v>
      </c>
      <c r="AE132" s="10">
        <f t="shared" si="23"/>
        <v>273.14131929615274</v>
      </c>
      <c r="AF132" s="10" t="str">
        <f t="shared" si="28"/>
        <v/>
      </c>
      <c r="AG132" s="10" t="str">
        <f t="shared" si="24"/>
        <v/>
      </c>
      <c r="AH132" s="10" t="str">
        <f>IF(AND(Q132&gt;0,Q132&lt;30,K132=216),'Udvaskning nøgletal'!$C$42,IF(AND(Q132&gt;0,Q132&lt;30,K132&gt;7,K132&lt;17),'Udvaskning nøgletal'!$C$61,IF(AND(Q132&gt;0,Q132&lt;30,K132&lt;7),'Udvaskning nøgletal'!$C$62,"")))</f>
        <v/>
      </c>
      <c r="AI132" s="10">
        <f t="shared" si="20"/>
        <v>3</v>
      </c>
      <c r="AJ132" s="10">
        <f>IF($X132=1,LOOKUP(AI132,'Udvaskning nøgletal'!$C$12:$C$62,'Udvaskning nøgletal'!$E$12:$E$62)+Markniveau!$Y132*Markniveau!$S132/100,IF($X132=2,LOOKUP(AI132,'Udvaskning nøgletal'!$C$12:$C$62,'Udvaskning nøgletal'!$F$12:$F$62)+Markniveau!$Y132*Markniveau!$S132/100,IF($X132=3,LOOKUP(AI132,'Udvaskning nøgletal'!$C$12:$C$62,'Udvaskning nøgletal'!Q142:Q192)+Markniveau!$Y132*Markniveau!$S132/100,"")))</f>
        <v>54.737739337906355</v>
      </c>
      <c r="AK132" s="10">
        <f t="shared" si="29"/>
        <v>273.14131929615274</v>
      </c>
      <c r="AL132" s="10" t="str">
        <f t="shared" si="21"/>
        <v/>
      </c>
      <c r="AM132" s="10" t="str">
        <f t="shared" si="22"/>
        <v/>
      </c>
    </row>
    <row r="133" spans="1:39" x14ac:dyDescent="0.25">
      <c r="A133" s="15">
        <v>13452601</v>
      </c>
      <c r="B133" s="15">
        <v>6.84</v>
      </c>
      <c r="C133" s="15">
        <v>434687</v>
      </c>
      <c r="D133" s="15">
        <v>15484</v>
      </c>
      <c r="E133" s="15" t="s">
        <v>174</v>
      </c>
      <c r="F133" s="15">
        <v>2011</v>
      </c>
      <c r="G133" s="15">
        <v>20110216</v>
      </c>
      <c r="H133" s="15">
        <v>41837</v>
      </c>
      <c r="I133" s="15">
        <v>4.18</v>
      </c>
      <c r="J133" s="6" t="s">
        <v>75</v>
      </c>
      <c r="K133" s="15">
        <v>214</v>
      </c>
      <c r="L133" s="15" t="s">
        <v>56</v>
      </c>
      <c r="M133" s="15" t="s">
        <v>5</v>
      </c>
      <c r="N133" s="11" t="s">
        <v>1384</v>
      </c>
      <c r="O133" s="11" t="s">
        <v>28</v>
      </c>
      <c r="P133" s="11" t="s">
        <v>33</v>
      </c>
      <c r="Q133" s="15">
        <v>0</v>
      </c>
      <c r="R133" s="11" t="s">
        <v>1386</v>
      </c>
      <c r="S133" s="10">
        <v>77.154786758127003</v>
      </c>
      <c r="T133" s="15">
        <v>80</v>
      </c>
      <c r="U133" s="15">
        <v>0</v>
      </c>
      <c r="V133" s="15">
        <v>0</v>
      </c>
      <c r="W133" s="15">
        <v>1</v>
      </c>
      <c r="X133" s="15">
        <f>IF(O133='Udvaskning nøgletal'!$D$65,1,IF(O133='Udvaskning nøgletal'!$D$66,2,IF(O133='Udvaskning nøgletal'!$D$67,3,IF(O133='Udvaskning nøgletal'!$D$68,2,""))))</f>
        <v>1</v>
      </c>
      <c r="Y133" s="15">
        <f>LOOKUP(K133,'Udvaskning nøgletal'!$C$12:$C$60,'Udvaskning nøgletal'!$H$12:$H$60)</f>
        <v>0</v>
      </c>
      <c r="Z133" s="10">
        <f>IF(X133=1,LOOKUP(K133,'Udvaskning nøgletal'!$C$12:$C$60,'Udvaskning nøgletal'!$E$12:$E$60)+Markniveau!Y133*Markniveau!S133/100,IF(X133=2,LOOKUP(K133,'Udvaskning nøgletal'!$C$12:$C$60,'Udvaskning nøgletal'!$F$12:$F$60)+Markniveau!Y133*Markniveau!S133/100,IF(X133=3,LOOKUP(K133,'Udvaskning nøgletal'!$C$12:$C$60,'Udvaskning nøgletal'!G143:G191)+Markniveau!Y133*Markniveau!S133/100,"")))</f>
        <v>38.620385460262987</v>
      </c>
      <c r="AA133" s="10">
        <f t="shared" si="26"/>
        <v>161.43321122389926</v>
      </c>
      <c r="AB133" s="10" t="str">
        <f t="shared" si="25"/>
        <v/>
      </c>
      <c r="AC133" s="10" t="str">
        <f t="shared" si="27"/>
        <v/>
      </c>
      <c r="AD133" s="10">
        <f>IF(AND(Q133&gt;0,Q133&lt;30,K133&lt;8),Markniveau!Z133*'Udvaskning nøgletal'!$I$12/100,IF(AND(Q133&gt;0,Q133&lt;30,K133=216),Markniveau!Z133*'Udvaskning nøgletal'!$I$34/100,Markniveau!Z133))</f>
        <v>38.620385460262987</v>
      </c>
      <c r="AE133" s="10">
        <f t="shared" si="23"/>
        <v>161.43321122389926</v>
      </c>
      <c r="AF133" s="10" t="str">
        <f t="shared" si="28"/>
        <v/>
      </c>
      <c r="AG133" s="10" t="str">
        <f t="shared" si="24"/>
        <v/>
      </c>
      <c r="AH133" s="10" t="str">
        <f>IF(AND(Q133&gt;0,Q133&lt;30,K133=216),'Udvaskning nøgletal'!$C$42,IF(AND(Q133&gt;0,Q133&lt;30,K133&gt;7,K133&lt;17),'Udvaskning nøgletal'!$C$61,IF(AND(Q133&gt;0,Q133&lt;30,K133&lt;7),'Udvaskning nøgletal'!$C$62,"")))</f>
        <v/>
      </c>
      <c r="AI133" s="10">
        <f t="shared" si="20"/>
        <v>214</v>
      </c>
      <c r="AJ133" s="10">
        <f>IF($X133=1,LOOKUP(AI133,'Udvaskning nøgletal'!$C$12:$C$62,'Udvaskning nøgletal'!$E$12:$E$62)+Markniveau!$Y133*Markniveau!$S133/100,IF($X133=2,LOOKUP(AI133,'Udvaskning nøgletal'!$C$12:$C$62,'Udvaskning nøgletal'!$F$12:$F$62)+Markniveau!$Y133*Markniveau!$S133/100,IF($X133=3,LOOKUP(AI133,'Udvaskning nøgletal'!$C$12:$C$62,'Udvaskning nøgletal'!Q143:Q193)+Markniveau!$Y133*Markniveau!$S133/100,"")))</f>
        <v>38.620385460262987</v>
      </c>
      <c r="AK133" s="10">
        <f t="shared" si="29"/>
        <v>161.43321122389926</v>
      </c>
      <c r="AL133" s="10" t="str">
        <f t="shared" si="21"/>
        <v/>
      </c>
      <c r="AM133" s="10" t="str">
        <f t="shared" si="22"/>
        <v/>
      </c>
    </row>
    <row r="134" spans="1:39" x14ac:dyDescent="0.25">
      <c r="A134" s="15">
        <v>13452601</v>
      </c>
      <c r="B134" s="15">
        <v>6.84</v>
      </c>
      <c r="C134" s="15">
        <v>434690</v>
      </c>
      <c r="D134" s="15">
        <v>15484</v>
      </c>
      <c r="E134" s="15" t="s">
        <v>175</v>
      </c>
      <c r="F134" s="15">
        <v>2011</v>
      </c>
      <c r="G134" s="15">
        <v>20110216</v>
      </c>
      <c r="H134" s="15">
        <v>50467</v>
      </c>
      <c r="I134" s="15">
        <v>5.05</v>
      </c>
      <c r="J134" s="6" t="s">
        <v>35</v>
      </c>
      <c r="K134" s="15">
        <v>3</v>
      </c>
      <c r="L134" s="15" t="s">
        <v>114</v>
      </c>
      <c r="M134" s="15" t="s">
        <v>5</v>
      </c>
      <c r="N134" s="11" t="s">
        <v>1384</v>
      </c>
      <c r="O134" s="11" t="s">
        <v>28</v>
      </c>
      <c r="P134" s="11" t="s">
        <v>33</v>
      </c>
      <c r="Q134" s="15">
        <v>0</v>
      </c>
      <c r="R134" s="11" t="s">
        <v>1386</v>
      </c>
      <c r="S134" s="10">
        <v>77.154786758127003</v>
      </c>
      <c r="T134" s="15">
        <v>80</v>
      </c>
      <c r="U134" s="15">
        <v>0</v>
      </c>
      <c r="V134" s="15">
        <v>0</v>
      </c>
      <c r="W134" s="15">
        <v>1</v>
      </c>
      <c r="X134" s="15">
        <f>IF(O134='Udvaskning nøgletal'!$D$65,1,IF(O134='Udvaskning nøgletal'!$D$66,2,IF(O134='Udvaskning nøgletal'!$D$67,3,IF(O134='Udvaskning nøgletal'!$D$68,2,""))))</f>
        <v>1</v>
      </c>
      <c r="Y134" s="15">
        <f>LOOKUP(K134,'Udvaskning nøgletal'!$C$12:$C$60,'Udvaskning nøgletal'!$H$12:$H$60)</f>
        <v>5</v>
      </c>
      <c r="Z134" s="10">
        <f>IF(X134=1,LOOKUP(K134,'Udvaskning nøgletal'!$C$12:$C$60,'Udvaskning nøgletal'!$E$12:$E$60)+Markniveau!Y134*Markniveau!S134/100,IF(X134=2,LOOKUP(K134,'Udvaskning nøgletal'!$C$12:$C$60,'Udvaskning nøgletal'!$F$12:$F$60)+Markniveau!Y134*Markniveau!S134/100,IF(X134=3,LOOKUP(K134,'Udvaskning nøgletal'!$C$12:$C$60,'Udvaskning nøgletal'!G144:G192)+Markniveau!Y134*Markniveau!S134/100,"")))</f>
        <v>68.517739337906349</v>
      </c>
      <c r="AA134" s="10">
        <f t="shared" si="26"/>
        <v>346.01458365642702</v>
      </c>
      <c r="AB134" s="10" t="str">
        <f t="shared" si="25"/>
        <v/>
      </c>
      <c r="AC134" s="10" t="str">
        <f t="shared" si="27"/>
        <v/>
      </c>
      <c r="AD134" s="10">
        <f>IF(AND(Q134&gt;0,Q134&lt;30,K134&lt;8),Markniveau!Z134*'Udvaskning nøgletal'!$I$12/100,IF(AND(Q134&gt;0,Q134&lt;30,K134=216),Markniveau!Z134*'Udvaskning nøgletal'!$I$34/100,Markniveau!Z134))</f>
        <v>68.517739337906349</v>
      </c>
      <c r="AE134" s="10">
        <f t="shared" si="23"/>
        <v>346.01458365642702</v>
      </c>
      <c r="AF134" s="10" t="str">
        <f t="shared" si="28"/>
        <v/>
      </c>
      <c r="AG134" s="10" t="str">
        <f t="shared" si="24"/>
        <v/>
      </c>
      <c r="AH134" s="10" t="str">
        <f>IF(AND(Q134&gt;0,Q134&lt;30,K134=216),'Udvaskning nøgletal'!$C$42,IF(AND(Q134&gt;0,Q134&lt;30,K134&gt;7,K134&lt;17),'Udvaskning nøgletal'!$C$61,IF(AND(Q134&gt;0,Q134&lt;30,K134&lt;7),'Udvaskning nøgletal'!$C$62,"")))</f>
        <v/>
      </c>
      <c r="AI134" s="10">
        <f t="shared" si="20"/>
        <v>3</v>
      </c>
      <c r="AJ134" s="10">
        <f>IF($X134=1,LOOKUP(AI134,'Udvaskning nøgletal'!$C$12:$C$62,'Udvaskning nøgletal'!$E$12:$E$62)+Markniveau!$Y134*Markniveau!$S134/100,IF($X134=2,LOOKUP(AI134,'Udvaskning nøgletal'!$C$12:$C$62,'Udvaskning nøgletal'!$F$12:$F$62)+Markniveau!$Y134*Markniveau!$S134/100,IF($X134=3,LOOKUP(AI134,'Udvaskning nøgletal'!$C$12:$C$62,'Udvaskning nøgletal'!Q144:Q194)+Markniveau!$Y134*Markniveau!$S134/100,"")))</f>
        <v>68.517739337906349</v>
      </c>
      <c r="AK134" s="10">
        <f t="shared" si="29"/>
        <v>346.01458365642702</v>
      </c>
      <c r="AL134" s="10" t="str">
        <f t="shared" si="21"/>
        <v/>
      </c>
      <c r="AM134" s="10" t="str">
        <f t="shared" si="22"/>
        <v/>
      </c>
    </row>
    <row r="135" spans="1:39" x14ac:dyDescent="0.25">
      <c r="A135" s="15">
        <v>13452601</v>
      </c>
      <c r="B135" s="15">
        <v>6.84</v>
      </c>
      <c r="C135" s="15">
        <v>434691</v>
      </c>
      <c r="D135" s="15">
        <v>15484</v>
      </c>
      <c r="E135" s="15" t="s">
        <v>165</v>
      </c>
      <c r="F135" s="15">
        <v>2011</v>
      </c>
      <c r="G135" s="15">
        <v>20110216</v>
      </c>
      <c r="H135" s="15">
        <v>24185</v>
      </c>
      <c r="I135" s="15">
        <v>2.42</v>
      </c>
      <c r="J135" s="6" t="s">
        <v>176</v>
      </c>
      <c r="K135" s="15">
        <v>3</v>
      </c>
      <c r="L135" s="15" t="s">
        <v>114</v>
      </c>
      <c r="M135" s="15" t="s">
        <v>5</v>
      </c>
      <c r="N135" s="11" t="s">
        <v>1384</v>
      </c>
      <c r="O135" s="11" t="s">
        <v>28</v>
      </c>
      <c r="P135" s="11" t="s">
        <v>33</v>
      </c>
      <c r="Q135" s="15">
        <v>0</v>
      </c>
      <c r="R135" s="11" t="s">
        <v>1386</v>
      </c>
      <c r="S135" s="10">
        <v>77.154786758127003</v>
      </c>
      <c r="T135" s="15">
        <v>80</v>
      </c>
      <c r="U135" s="15">
        <v>0</v>
      </c>
      <c r="V135" s="15">
        <v>0</v>
      </c>
      <c r="W135" s="15">
        <v>1</v>
      </c>
      <c r="X135" s="15">
        <f>IF(O135='Udvaskning nøgletal'!$D$65,1,IF(O135='Udvaskning nøgletal'!$D$66,2,IF(O135='Udvaskning nøgletal'!$D$67,3,IF(O135='Udvaskning nøgletal'!$D$68,2,""))))</f>
        <v>1</v>
      </c>
      <c r="Y135" s="15">
        <f>LOOKUP(K135,'Udvaskning nøgletal'!$C$12:$C$60,'Udvaskning nøgletal'!$H$12:$H$60)</f>
        <v>5</v>
      </c>
      <c r="Z135" s="10">
        <f>IF(X135=1,LOOKUP(K135,'Udvaskning nøgletal'!$C$12:$C$60,'Udvaskning nøgletal'!$E$12:$E$60)+Markniveau!Y135*Markniveau!S135/100,IF(X135=2,LOOKUP(K135,'Udvaskning nøgletal'!$C$12:$C$60,'Udvaskning nøgletal'!$F$12:$F$60)+Markniveau!Y135*Markniveau!S135/100,IF(X135=3,LOOKUP(K135,'Udvaskning nøgletal'!$C$12:$C$60,'Udvaskning nøgletal'!G145:G193)+Markniveau!Y135*Markniveau!S135/100,"")))</f>
        <v>68.517739337906349</v>
      </c>
      <c r="AA135" s="10">
        <f t="shared" si="26"/>
        <v>165.81292919773335</v>
      </c>
      <c r="AB135" s="10" t="str">
        <f t="shared" si="25"/>
        <v/>
      </c>
      <c r="AC135" s="10" t="str">
        <f t="shared" si="27"/>
        <v/>
      </c>
      <c r="AD135" s="10">
        <f>IF(AND(Q135&gt;0,Q135&lt;30,K135&lt;8),Markniveau!Z135*'Udvaskning nøgletal'!$I$12/100,IF(AND(Q135&gt;0,Q135&lt;30,K135=216),Markniveau!Z135*'Udvaskning nøgletal'!$I$34/100,Markniveau!Z135))</f>
        <v>68.517739337906349</v>
      </c>
      <c r="AE135" s="10">
        <f t="shared" si="23"/>
        <v>165.81292919773335</v>
      </c>
      <c r="AF135" s="10" t="str">
        <f t="shared" si="28"/>
        <v/>
      </c>
      <c r="AG135" s="10" t="str">
        <f t="shared" si="24"/>
        <v/>
      </c>
      <c r="AH135" s="10" t="str">
        <f>IF(AND(Q135&gt;0,Q135&lt;30,K135=216),'Udvaskning nøgletal'!$C$42,IF(AND(Q135&gt;0,Q135&lt;30,K135&gt;7,K135&lt;17),'Udvaskning nøgletal'!$C$61,IF(AND(Q135&gt;0,Q135&lt;30,K135&lt;7),'Udvaskning nøgletal'!$C$62,"")))</f>
        <v/>
      </c>
      <c r="AI135" s="10">
        <f t="shared" si="20"/>
        <v>3</v>
      </c>
      <c r="AJ135" s="10">
        <f>IF($X135=1,LOOKUP(AI135,'Udvaskning nøgletal'!$C$12:$C$62,'Udvaskning nøgletal'!$E$12:$E$62)+Markniveau!$Y135*Markniveau!$S135/100,IF($X135=2,LOOKUP(AI135,'Udvaskning nøgletal'!$C$12:$C$62,'Udvaskning nøgletal'!$F$12:$F$62)+Markniveau!$Y135*Markniveau!$S135/100,IF($X135=3,LOOKUP(AI135,'Udvaskning nøgletal'!$C$12:$C$62,'Udvaskning nøgletal'!Q145:Q195)+Markniveau!$Y135*Markniveau!$S135/100,"")))</f>
        <v>68.517739337906349</v>
      </c>
      <c r="AK135" s="10">
        <f t="shared" si="29"/>
        <v>165.81292919773335</v>
      </c>
      <c r="AL135" s="10" t="str">
        <f t="shared" si="21"/>
        <v/>
      </c>
      <c r="AM135" s="10" t="str">
        <f t="shared" si="22"/>
        <v/>
      </c>
    </row>
    <row r="136" spans="1:39" x14ac:dyDescent="0.25">
      <c r="A136" s="15">
        <v>13452601</v>
      </c>
      <c r="B136" s="15">
        <v>6.84</v>
      </c>
      <c r="C136" s="15">
        <v>434692</v>
      </c>
      <c r="D136" s="15">
        <v>15484</v>
      </c>
      <c r="E136" s="15" t="s">
        <v>165</v>
      </c>
      <c r="F136" s="15">
        <v>2011</v>
      </c>
      <c r="G136" s="15">
        <v>20110216</v>
      </c>
      <c r="H136" s="15">
        <v>79852</v>
      </c>
      <c r="I136" s="15">
        <v>7.99</v>
      </c>
      <c r="J136" s="6" t="s">
        <v>177</v>
      </c>
      <c r="K136" s="15">
        <v>3</v>
      </c>
      <c r="L136" s="15" t="s">
        <v>114</v>
      </c>
      <c r="M136" s="15" t="s">
        <v>5</v>
      </c>
      <c r="N136" s="11" t="s">
        <v>1384</v>
      </c>
      <c r="O136" s="11" t="s">
        <v>28</v>
      </c>
      <c r="P136" s="11" t="s">
        <v>33</v>
      </c>
      <c r="Q136" s="15">
        <v>0</v>
      </c>
      <c r="R136" s="11" t="s">
        <v>1386</v>
      </c>
      <c r="S136" s="10">
        <v>77.154786758127003</v>
      </c>
      <c r="T136" s="15">
        <v>80</v>
      </c>
      <c r="U136" s="15">
        <v>0</v>
      </c>
      <c r="V136" s="15">
        <v>0</v>
      </c>
      <c r="W136" s="15">
        <v>1</v>
      </c>
      <c r="X136" s="15">
        <f>IF(O136='Udvaskning nøgletal'!$D$65,1,IF(O136='Udvaskning nøgletal'!$D$66,2,IF(O136='Udvaskning nøgletal'!$D$67,3,IF(O136='Udvaskning nøgletal'!$D$68,2,""))))</f>
        <v>1</v>
      </c>
      <c r="Y136" s="15">
        <f>LOOKUP(K136,'Udvaskning nøgletal'!$C$12:$C$60,'Udvaskning nøgletal'!$H$12:$H$60)</f>
        <v>5</v>
      </c>
      <c r="Z136" s="10">
        <f>IF(X136=1,LOOKUP(K136,'Udvaskning nøgletal'!$C$12:$C$60,'Udvaskning nøgletal'!$E$12:$E$60)+Markniveau!Y136*Markniveau!S136/100,IF(X136=2,LOOKUP(K136,'Udvaskning nøgletal'!$C$12:$C$60,'Udvaskning nøgletal'!$F$12:$F$60)+Markniveau!Y136*Markniveau!S136/100,IF(X136=3,LOOKUP(K136,'Udvaskning nøgletal'!$C$12:$C$60,'Udvaskning nøgletal'!G146:G194)+Markniveau!Y136*Markniveau!S136/100,"")))</f>
        <v>68.517739337906349</v>
      </c>
      <c r="AA136" s="10">
        <f t="shared" si="26"/>
        <v>547.45673730987176</v>
      </c>
      <c r="AB136" s="10" t="str">
        <f t="shared" si="25"/>
        <v/>
      </c>
      <c r="AC136" s="10" t="str">
        <f t="shared" si="27"/>
        <v/>
      </c>
      <c r="AD136" s="10">
        <f>IF(AND(Q136&gt;0,Q136&lt;30,K136&lt;8),Markniveau!Z136*'Udvaskning nøgletal'!$I$12/100,IF(AND(Q136&gt;0,Q136&lt;30,K136=216),Markniveau!Z136*'Udvaskning nøgletal'!$I$34/100,Markniveau!Z136))</f>
        <v>68.517739337906349</v>
      </c>
      <c r="AE136" s="10">
        <f t="shared" si="23"/>
        <v>547.45673730987176</v>
      </c>
      <c r="AF136" s="10" t="str">
        <f t="shared" si="28"/>
        <v/>
      </c>
      <c r="AG136" s="10" t="str">
        <f t="shared" si="24"/>
        <v/>
      </c>
      <c r="AH136" s="10" t="str">
        <f>IF(AND(Q136&gt;0,Q136&lt;30,K136=216),'Udvaskning nøgletal'!$C$42,IF(AND(Q136&gt;0,Q136&lt;30,K136&gt;7,K136&lt;17),'Udvaskning nøgletal'!$C$61,IF(AND(Q136&gt;0,Q136&lt;30,K136&lt;7),'Udvaskning nøgletal'!$C$62,"")))</f>
        <v/>
      </c>
      <c r="AI136" s="10">
        <f t="shared" ref="AI136:AI199" si="30">IF(SUM(AH136)&gt;0,AH136,K136)</f>
        <v>3</v>
      </c>
      <c r="AJ136" s="10">
        <f>IF($X136=1,LOOKUP(AI136,'Udvaskning nøgletal'!$C$12:$C$62,'Udvaskning nøgletal'!$E$12:$E$62)+Markniveau!$Y136*Markniveau!$S136/100,IF($X136=2,LOOKUP(AI136,'Udvaskning nøgletal'!$C$12:$C$62,'Udvaskning nøgletal'!$F$12:$F$62)+Markniveau!$Y136*Markniveau!$S136/100,IF($X136=3,LOOKUP(AI136,'Udvaskning nøgletal'!$C$12:$C$62,'Udvaskning nøgletal'!Q146:Q196)+Markniveau!$Y136*Markniveau!$S136/100,"")))</f>
        <v>68.517739337906349</v>
      </c>
      <c r="AK136" s="10">
        <f t="shared" si="29"/>
        <v>547.45673730987176</v>
      </c>
      <c r="AL136" s="10" t="str">
        <f t="shared" si="21"/>
        <v/>
      </c>
      <c r="AM136" s="10" t="str">
        <f t="shared" si="22"/>
        <v/>
      </c>
    </row>
    <row r="137" spans="1:39" x14ac:dyDescent="0.25">
      <c r="A137" s="15">
        <v>13452601</v>
      </c>
      <c r="B137" s="15">
        <v>6.84</v>
      </c>
      <c r="C137" s="15">
        <v>435180</v>
      </c>
      <c r="D137" s="15">
        <v>15484</v>
      </c>
      <c r="E137" s="15" t="s">
        <v>178</v>
      </c>
      <c r="F137" s="15">
        <v>2011</v>
      </c>
      <c r="G137" s="15">
        <v>20110216</v>
      </c>
      <c r="H137" s="15">
        <v>11359</v>
      </c>
      <c r="I137" s="15">
        <v>1.1399999999999999</v>
      </c>
      <c r="J137" s="6" t="s">
        <v>179</v>
      </c>
      <c r="K137" s="15">
        <v>318</v>
      </c>
      <c r="L137" s="15" t="s">
        <v>171</v>
      </c>
      <c r="M137" s="15" t="s">
        <v>13</v>
      </c>
      <c r="N137" s="11" t="s">
        <v>1390</v>
      </c>
      <c r="O137" s="11" t="s">
        <v>42</v>
      </c>
      <c r="P137" s="11" t="s">
        <v>33</v>
      </c>
      <c r="Q137" s="15">
        <v>0</v>
      </c>
      <c r="R137" s="11" t="s">
        <v>1386</v>
      </c>
      <c r="S137" s="10">
        <v>77.154786758127003</v>
      </c>
      <c r="T137" s="15">
        <v>80</v>
      </c>
      <c r="U137" s="15">
        <v>0</v>
      </c>
      <c r="V137" s="15">
        <v>0</v>
      </c>
      <c r="W137" s="15">
        <v>1</v>
      </c>
      <c r="X137" s="15">
        <f>IF(O137='Udvaskning nøgletal'!$D$65,1,IF(O137='Udvaskning nøgletal'!$D$66,2,IF(O137='Udvaskning nøgletal'!$D$67,3,IF(O137='Udvaskning nøgletal'!$D$68,2,""))))</f>
        <v>2</v>
      </c>
      <c r="Y137" s="15">
        <f>LOOKUP(K137,'Udvaskning nøgletal'!$C$12:$C$60,'Udvaskning nøgletal'!$H$12:$H$60)</f>
        <v>0</v>
      </c>
      <c r="Z137" s="10">
        <f>IF(X137=1,LOOKUP(K137,'Udvaskning nøgletal'!$C$12:$C$60,'Udvaskning nøgletal'!$E$12:$E$60)+Markniveau!Y137*Markniveau!S137/100,IF(X137=2,LOOKUP(K137,'Udvaskning nøgletal'!$C$12:$C$60,'Udvaskning nøgletal'!$F$12:$F$60)+Markniveau!Y137*Markniveau!S137/100,IF(X137=3,LOOKUP(K137,'Udvaskning nøgletal'!$C$12:$C$60,'Udvaskning nøgletal'!G147:G195)+Markniveau!Y137*Markniveau!S137/100,"")))</f>
        <v>10</v>
      </c>
      <c r="AA137" s="10">
        <f t="shared" si="26"/>
        <v>11.399999999999999</v>
      </c>
      <c r="AB137" s="10" t="str">
        <f t="shared" si="25"/>
        <v/>
      </c>
      <c r="AC137" s="10" t="str">
        <f t="shared" si="27"/>
        <v/>
      </c>
      <c r="AD137" s="10">
        <f>IF(AND(Q137&gt;0,Q137&lt;30,K137&lt;8),Markniveau!Z137*'Udvaskning nøgletal'!$I$12/100,IF(AND(Q137&gt;0,Q137&lt;30,K137=216),Markniveau!Z137*'Udvaskning nøgletal'!$I$34/100,Markniveau!Z137))</f>
        <v>10</v>
      </c>
      <c r="AE137" s="10">
        <f t="shared" si="23"/>
        <v>11.399999999999999</v>
      </c>
      <c r="AF137" s="10" t="str">
        <f t="shared" si="28"/>
        <v/>
      </c>
      <c r="AG137" s="10" t="str">
        <f t="shared" si="24"/>
        <v/>
      </c>
      <c r="AH137" s="10" t="str">
        <f>IF(AND(Q137&gt;0,Q137&lt;30,K137=216),'Udvaskning nøgletal'!$C$42,IF(AND(Q137&gt;0,Q137&lt;30,K137&gt;7,K137&lt;17),'Udvaskning nøgletal'!$C$61,IF(AND(Q137&gt;0,Q137&lt;30,K137&lt;7),'Udvaskning nøgletal'!$C$62,"")))</f>
        <v/>
      </c>
      <c r="AI137" s="10">
        <f t="shared" si="30"/>
        <v>318</v>
      </c>
      <c r="AJ137" s="10">
        <f>IF($X137=1,LOOKUP(AI137,'Udvaskning nøgletal'!$C$12:$C$62,'Udvaskning nøgletal'!$E$12:$E$62)+Markniveau!$Y137*Markniveau!$S137/100,IF($X137=2,LOOKUP(AI137,'Udvaskning nøgletal'!$C$12:$C$62,'Udvaskning nøgletal'!$F$12:$F$62)+Markniveau!$Y137*Markniveau!$S137/100,IF($X137=3,LOOKUP(AI137,'Udvaskning nøgletal'!$C$12:$C$62,'Udvaskning nøgletal'!Q147:Q197)+Markniveau!$Y137*Markniveau!$S137/100,"")))</f>
        <v>10</v>
      </c>
      <c r="AK137" s="10">
        <f t="shared" si="29"/>
        <v>11.399999999999999</v>
      </c>
      <c r="AL137" s="10" t="str">
        <f t="shared" si="21"/>
        <v/>
      </c>
      <c r="AM137" s="10" t="str">
        <f t="shared" si="22"/>
        <v/>
      </c>
    </row>
    <row r="138" spans="1:39" x14ac:dyDescent="0.25">
      <c r="A138" s="15">
        <v>13452601</v>
      </c>
      <c r="B138" s="15">
        <v>6.84</v>
      </c>
      <c r="C138" s="15">
        <v>435181</v>
      </c>
      <c r="D138" s="15">
        <v>15484</v>
      </c>
      <c r="E138" s="15" t="s">
        <v>180</v>
      </c>
      <c r="F138" s="15">
        <v>2011</v>
      </c>
      <c r="G138" s="15">
        <v>20110216</v>
      </c>
      <c r="H138" s="15">
        <v>1501</v>
      </c>
      <c r="I138" s="15">
        <v>0.15</v>
      </c>
      <c r="J138" s="6" t="s">
        <v>69</v>
      </c>
      <c r="K138" s="15">
        <v>3</v>
      </c>
      <c r="L138" s="15" t="s">
        <v>114</v>
      </c>
      <c r="M138" s="15" t="s">
        <v>5</v>
      </c>
      <c r="N138" s="11" t="s">
        <v>1384</v>
      </c>
      <c r="O138" s="11" t="s">
        <v>28</v>
      </c>
      <c r="P138" s="11" t="s">
        <v>33</v>
      </c>
      <c r="Q138" s="15">
        <v>0</v>
      </c>
      <c r="R138" s="11" t="s">
        <v>1386</v>
      </c>
      <c r="S138" s="10">
        <v>77.154786758127003</v>
      </c>
      <c r="T138" s="15">
        <v>80</v>
      </c>
      <c r="U138" s="15">
        <v>0</v>
      </c>
      <c r="V138" s="15">
        <v>0</v>
      </c>
      <c r="W138" s="15">
        <v>1</v>
      </c>
      <c r="X138" s="15">
        <f>IF(O138='Udvaskning nøgletal'!$D$65,1,IF(O138='Udvaskning nøgletal'!$D$66,2,IF(O138='Udvaskning nøgletal'!$D$67,3,IF(O138='Udvaskning nøgletal'!$D$68,2,""))))</f>
        <v>1</v>
      </c>
      <c r="Y138" s="15">
        <f>LOOKUP(K138,'Udvaskning nøgletal'!$C$12:$C$60,'Udvaskning nøgletal'!$H$12:$H$60)</f>
        <v>5</v>
      </c>
      <c r="Z138" s="10">
        <f>IF(X138=1,LOOKUP(K138,'Udvaskning nøgletal'!$C$12:$C$60,'Udvaskning nøgletal'!$E$12:$E$60)+Markniveau!Y138*Markniveau!S138/100,IF(X138=2,LOOKUP(K138,'Udvaskning nøgletal'!$C$12:$C$60,'Udvaskning nøgletal'!$F$12:$F$60)+Markniveau!Y138*Markniveau!S138/100,IF(X138=3,LOOKUP(K138,'Udvaskning nøgletal'!$C$12:$C$60,'Udvaskning nøgletal'!G148:G196)+Markniveau!Y138*Markniveau!S138/100,"")))</f>
        <v>68.517739337906349</v>
      </c>
      <c r="AA138" s="10">
        <f t="shared" si="26"/>
        <v>10.277660900685952</v>
      </c>
      <c r="AB138" s="10" t="str">
        <f t="shared" si="25"/>
        <v/>
      </c>
      <c r="AC138" s="10" t="str">
        <f t="shared" si="27"/>
        <v/>
      </c>
      <c r="AD138" s="10">
        <f>IF(AND(Q138&gt;0,Q138&lt;30,K138&lt;8),Markniveau!Z138*'Udvaskning nøgletal'!$I$12/100,IF(AND(Q138&gt;0,Q138&lt;30,K138=216),Markniveau!Z138*'Udvaskning nøgletal'!$I$34/100,Markniveau!Z138))</f>
        <v>68.517739337906349</v>
      </c>
      <c r="AE138" s="10">
        <f t="shared" si="23"/>
        <v>10.277660900685952</v>
      </c>
      <c r="AF138" s="10" t="str">
        <f t="shared" si="28"/>
        <v/>
      </c>
      <c r="AG138" s="10" t="str">
        <f t="shared" si="24"/>
        <v/>
      </c>
      <c r="AH138" s="10" t="str">
        <f>IF(AND(Q138&gt;0,Q138&lt;30,K138=216),'Udvaskning nøgletal'!$C$42,IF(AND(Q138&gt;0,Q138&lt;30,K138&gt;7,K138&lt;17),'Udvaskning nøgletal'!$C$61,IF(AND(Q138&gt;0,Q138&lt;30,K138&lt;7),'Udvaskning nøgletal'!$C$62,"")))</f>
        <v/>
      </c>
      <c r="AI138" s="10">
        <f t="shared" si="30"/>
        <v>3</v>
      </c>
      <c r="AJ138" s="10">
        <f>IF($X138=1,LOOKUP(AI138,'Udvaskning nøgletal'!$C$12:$C$62,'Udvaskning nøgletal'!$E$12:$E$62)+Markniveau!$Y138*Markniveau!$S138/100,IF($X138=2,LOOKUP(AI138,'Udvaskning nøgletal'!$C$12:$C$62,'Udvaskning nøgletal'!$F$12:$F$62)+Markniveau!$Y138*Markniveau!$S138/100,IF($X138=3,LOOKUP(AI138,'Udvaskning nøgletal'!$C$12:$C$62,'Udvaskning nøgletal'!Q148:Q198)+Markniveau!$Y138*Markniveau!$S138/100,"")))</f>
        <v>68.517739337906349</v>
      </c>
      <c r="AK138" s="10">
        <f t="shared" si="29"/>
        <v>10.277660900685952</v>
      </c>
      <c r="AL138" s="10" t="str">
        <f t="shared" si="21"/>
        <v/>
      </c>
      <c r="AM138" s="10" t="str">
        <f t="shared" si="22"/>
        <v/>
      </c>
    </row>
    <row r="139" spans="1:39" x14ac:dyDescent="0.25">
      <c r="A139" s="15">
        <v>13452601</v>
      </c>
      <c r="B139" s="15">
        <v>6.84</v>
      </c>
      <c r="C139" s="15">
        <v>435182</v>
      </c>
      <c r="D139" s="15">
        <v>15484</v>
      </c>
      <c r="E139" s="15" t="s">
        <v>181</v>
      </c>
      <c r="F139" s="15">
        <v>2011</v>
      </c>
      <c r="G139" s="15">
        <v>20110216</v>
      </c>
      <c r="H139" s="15">
        <v>7456</v>
      </c>
      <c r="I139" s="15">
        <v>0.75</v>
      </c>
      <c r="J139" s="6" t="s">
        <v>1402</v>
      </c>
      <c r="K139" s="15">
        <v>260</v>
      </c>
      <c r="L139" s="15" t="s">
        <v>45</v>
      </c>
      <c r="M139" s="15" t="s">
        <v>5</v>
      </c>
      <c r="N139" s="11" t="s">
        <v>1384</v>
      </c>
      <c r="O139" s="11" t="s">
        <v>28</v>
      </c>
      <c r="P139" s="11" t="s">
        <v>33</v>
      </c>
      <c r="Q139" s="15">
        <v>0</v>
      </c>
      <c r="R139" s="11" t="s">
        <v>1386</v>
      </c>
      <c r="S139" s="10">
        <v>77.154786758127003</v>
      </c>
      <c r="T139" s="15">
        <v>80</v>
      </c>
      <c r="U139" s="15">
        <v>0</v>
      </c>
      <c r="V139" s="15">
        <v>0</v>
      </c>
      <c r="W139" s="15">
        <v>1</v>
      </c>
      <c r="X139" s="15">
        <f>IF(O139='Udvaskning nøgletal'!$D$65,1,IF(O139='Udvaskning nøgletal'!$D$66,2,IF(O139='Udvaskning nøgletal'!$D$67,3,IF(O139='Udvaskning nøgletal'!$D$68,2,""))))</f>
        <v>1</v>
      </c>
      <c r="Y139" s="15">
        <f>LOOKUP(K139,'Udvaskning nøgletal'!$C$12:$C$60,'Udvaskning nøgletal'!$H$12:$H$60)</f>
        <v>0</v>
      </c>
      <c r="Z139" s="10">
        <f>IF(X139=1,LOOKUP(K139,'Udvaskning nøgletal'!$C$12:$C$60,'Udvaskning nøgletal'!$E$12:$E$60)+Markniveau!Y139*Markniveau!S139/100,IF(X139=2,LOOKUP(K139,'Udvaskning nøgletal'!$C$12:$C$60,'Udvaskning nøgletal'!$F$12:$F$60)+Markniveau!Y139*Markniveau!S139/100,IF(X139=3,LOOKUP(K139,'Udvaskning nøgletal'!$C$12:$C$60,'Udvaskning nøgletal'!G149:G197)+Markniveau!Y139*Markniveau!S139/100,"")))</f>
        <v>33.723295792149436</v>
      </c>
      <c r="AA139" s="10">
        <f t="shared" si="26"/>
        <v>25.292471844112079</v>
      </c>
      <c r="AB139" s="10" t="str">
        <f t="shared" si="25"/>
        <v/>
      </c>
      <c r="AC139" s="10" t="str">
        <f t="shared" si="27"/>
        <v/>
      </c>
      <c r="AD139" s="10">
        <f>IF(AND(Q139&gt;0,Q139&lt;30,K139&lt;8),Markniveau!Z139*'Udvaskning nøgletal'!$I$12/100,IF(AND(Q139&gt;0,Q139&lt;30,K139=216),Markniveau!Z139*'Udvaskning nøgletal'!$I$34/100,Markniveau!Z139))</f>
        <v>33.723295792149436</v>
      </c>
      <c r="AE139" s="10">
        <f t="shared" si="23"/>
        <v>25.292471844112079</v>
      </c>
      <c r="AF139" s="10" t="str">
        <f t="shared" si="28"/>
        <v/>
      </c>
      <c r="AG139" s="10" t="str">
        <f t="shared" si="24"/>
        <v/>
      </c>
      <c r="AH139" s="10" t="str">
        <f>IF(AND(Q139&gt;0,Q139&lt;30,K139=216),'Udvaskning nøgletal'!$C$42,IF(AND(Q139&gt;0,Q139&lt;30,K139&gt;7,K139&lt;17),'Udvaskning nøgletal'!$C$61,IF(AND(Q139&gt;0,Q139&lt;30,K139&lt;7),'Udvaskning nøgletal'!$C$62,"")))</f>
        <v/>
      </c>
      <c r="AI139" s="10">
        <f t="shared" si="30"/>
        <v>260</v>
      </c>
      <c r="AJ139" s="10">
        <f>IF($X139=1,LOOKUP(AI139,'Udvaskning nøgletal'!$C$12:$C$62,'Udvaskning nøgletal'!$E$12:$E$62)+Markniveau!$Y139*Markniveau!$S139/100,IF($X139=2,LOOKUP(AI139,'Udvaskning nøgletal'!$C$12:$C$62,'Udvaskning nøgletal'!$F$12:$F$62)+Markniveau!$Y139*Markniveau!$S139/100,IF($X139=3,LOOKUP(AI139,'Udvaskning nøgletal'!$C$12:$C$62,'Udvaskning nøgletal'!Q149:Q199)+Markniveau!$Y139*Markniveau!$S139/100,"")))</f>
        <v>33.723295792149436</v>
      </c>
      <c r="AK139" s="10">
        <f t="shared" si="29"/>
        <v>25.292471844112079</v>
      </c>
      <c r="AL139" s="10" t="str">
        <f t="shared" ref="AL139:AL202" si="31">IF($Q139&gt;0,(100-$Q139)*AJ139/100,"")</f>
        <v/>
      </c>
      <c r="AM139" s="10" t="str">
        <f t="shared" ref="AM139:AM202" si="32">IF($Q139&gt;0,(100-$Q139)*AJ139/100*I139,"")</f>
        <v/>
      </c>
    </row>
    <row r="140" spans="1:39" x14ac:dyDescent="0.25">
      <c r="A140" s="15">
        <v>13452601</v>
      </c>
      <c r="B140" s="15">
        <v>6.84</v>
      </c>
      <c r="C140" s="15">
        <v>435183</v>
      </c>
      <c r="D140" s="15">
        <v>15484</v>
      </c>
      <c r="E140" s="15" t="s">
        <v>182</v>
      </c>
      <c r="F140" s="15">
        <v>2011</v>
      </c>
      <c r="G140" s="15">
        <v>20110216</v>
      </c>
      <c r="H140" s="15">
        <v>12581</v>
      </c>
      <c r="I140" s="15">
        <v>1.26</v>
      </c>
      <c r="J140" s="6" t="s">
        <v>53</v>
      </c>
      <c r="K140" s="15">
        <v>260</v>
      </c>
      <c r="L140" s="15" t="s">
        <v>45</v>
      </c>
      <c r="M140" s="15" t="s">
        <v>5</v>
      </c>
      <c r="N140" s="11" t="s">
        <v>1384</v>
      </c>
      <c r="O140" s="11" t="s">
        <v>28</v>
      </c>
      <c r="P140" s="11" t="s">
        <v>33</v>
      </c>
      <c r="Q140" s="15">
        <v>0</v>
      </c>
      <c r="R140" s="11" t="s">
        <v>1386</v>
      </c>
      <c r="S140" s="10">
        <v>77.154786758127003</v>
      </c>
      <c r="T140" s="15">
        <v>80</v>
      </c>
      <c r="U140" s="15">
        <v>0</v>
      </c>
      <c r="V140" s="15">
        <v>0</v>
      </c>
      <c r="W140" s="15">
        <v>1</v>
      </c>
      <c r="X140" s="15">
        <f>IF(O140='Udvaskning nøgletal'!$D$65,1,IF(O140='Udvaskning nøgletal'!$D$66,2,IF(O140='Udvaskning nøgletal'!$D$67,3,IF(O140='Udvaskning nøgletal'!$D$68,2,""))))</f>
        <v>1</v>
      </c>
      <c r="Y140" s="15">
        <f>LOOKUP(K140,'Udvaskning nøgletal'!$C$12:$C$60,'Udvaskning nøgletal'!$H$12:$H$60)</f>
        <v>0</v>
      </c>
      <c r="Z140" s="10">
        <f>IF(X140=1,LOOKUP(K140,'Udvaskning nøgletal'!$C$12:$C$60,'Udvaskning nøgletal'!$E$12:$E$60)+Markniveau!Y140*Markniveau!S140/100,IF(X140=2,LOOKUP(K140,'Udvaskning nøgletal'!$C$12:$C$60,'Udvaskning nøgletal'!$F$12:$F$60)+Markniveau!Y140*Markniveau!S140/100,IF(X140=3,LOOKUP(K140,'Udvaskning nøgletal'!$C$12:$C$60,'Udvaskning nøgletal'!G150:G198)+Markniveau!Y140*Markniveau!S140/100,"")))</f>
        <v>33.723295792149436</v>
      </c>
      <c r="AA140" s="10">
        <f t="shared" si="26"/>
        <v>42.491352698108287</v>
      </c>
      <c r="AB140" s="10" t="str">
        <f t="shared" si="25"/>
        <v/>
      </c>
      <c r="AC140" s="10" t="str">
        <f t="shared" si="27"/>
        <v/>
      </c>
      <c r="AD140" s="10">
        <f>IF(AND(Q140&gt;0,Q140&lt;30,K140&lt;8),Markniveau!Z140*'Udvaskning nøgletal'!$I$12/100,IF(AND(Q140&gt;0,Q140&lt;30,K140=216),Markniveau!Z140*'Udvaskning nøgletal'!$I$34/100,Markniveau!Z140))</f>
        <v>33.723295792149436</v>
      </c>
      <c r="AE140" s="10">
        <f t="shared" si="23"/>
        <v>42.491352698108287</v>
      </c>
      <c r="AF140" s="10" t="str">
        <f t="shared" si="28"/>
        <v/>
      </c>
      <c r="AG140" s="10" t="str">
        <f t="shared" si="24"/>
        <v/>
      </c>
      <c r="AH140" s="10" t="str">
        <f>IF(AND(Q140&gt;0,Q140&lt;30,K140=216),'Udvaskning nøgletal'!$C$42,IF(AND(Q140&gt;0,Q140&lt;30,K140&gt;7,K140&lt;17),'Udvaskning nøgletal'!$C$61,IF(AND(Q140&gt;0,Q140&lt;30,K140&lt;7),'Udvaskning nøgletal'!$C$62,"")))</f>
        <v/>
      </c>
      <c r="AI140" s="10">
        <f t="shared" si="30"/>
        <v>260</v>
      </c>
      <c r="AJ140" s="10">
        <f>IF($X140=1,LOOKUP(AI140,'Udvaskning nøgletal'!$C$12:$C$62,'Udvaskning nøgletal'!$E$12:$E$62)+Markniveau!$Y140*Markniveau!$S140/100,IF($X140=2,LOOKUP(AI140,'Udvaskning nøgletal'!$C$12:$C$62,'Udvaskning nøgletal'!$F$12:$F$62)+Markniveau!$Y140*Markniveau!$S140/100,IF($X140=3,LOOKUP(AI140,'Udvaskning nøgletal'!$C$12:$C$62,'Udvaskning nøgletal'!Q150:Q200)+Markniveau!$Y140*Markniveau!$S140/100,"")))</f>
        <v>33.723295792149436</v>
      </c>
      <c r="AK140" s="10">
        <f t="shared" si="29"/>
        <v>42.491352698108287</v>
      </c>
      <c r="AL140" s="10" t="str">
        <f t="shared" si="31"/>
        <v/>
      </c>
      <c r="AM140" s="10" t="str">
        <f t="shared" si="32"/>
        <v/>
      </c>
    </row>
    <row r="141" spans="1:39" x14ac:dyDescent="0.25">
      <c r="A141" s="15">
        <v>13452601</v>
      </c>
      <c r="B141" s="15">
        <v>6.84</v>
      </c>
      <c r="C141" s="15">
        <v>435184</v>
      </c>
      <c r="D141" s="15">
        <v>15484</v>
      </c>
      <c r="E141" s="15" t="s">
        <v>183</v>
      </c>
      <c r="F141" s="15">
        <v>2011</v>
      </c>
      <c r="G141" s="15">
        <v>20110216</v>
      </c>
      <c r="H141" s="15">
        <v>40132</v>
      </c>
      <c r="I141" s="15">
        <v>4.01</v>
      </c>
      <c r="J141" s="6" t="s">
        <v>34</v>
      </c>
      <c r="K141" s="15">
        <v>3</v>
      </c>
      <c r="L141" s="15" t="s">
        <v>114</v>
      </c>
      <c r="M141" s="15" t="s">
        <v>5</v>
      </c>
      <c r="N141" s="11" t="s">
        <v>1384</v>
      </c>
      <c r="O141" s="11" t="s">
        <v>28</v>
      </c>
      <c r="P141" s="11" t="s">
        <v>33</v>
      </c>
      <c r="Q141" s="15">
        <v>0</v>
      </c>
      <c r="R141" s="11" t="s">
        <v>1386</v>
      </c>
      <c r="S141" s="10">
        <v>77.154786758127003</v>
      </c>
      <c r="T141" s="15">
        <v>80</v>
      </c>
      <c r="U141" s="15">
        <v>0</v>
      </c>
      <c r="V141" s="15">
        <v>0</v>
      </c>
      <c r="W141" s="15">
        <v>1</v>
      </c>
      <c r="X141" s="15">
        <f>IF(O141='Udvaskning nøgletal'!$D$65,1,IF(O141='Udvaskning nøgletal'!$D$66,2,IF(O141='Udvaskning nøgletal'!$D$67,3,IF(O141='Udvaskning nøgletal'!$D$68,2,""))))</f>
        <v>1</v>
      </c>
      <c r="Y141" s="15">
        <f>LOOKUP(K141,'Udvaskning nøgletal'!$C$12:$C$60,'Udvaskning nøgletal'!$H$12:$H$60)</f>
        <v>5</v>
      </c>
      <c r="Z141" s="10">
        <f>IF(X141=1,LOOKUP(K141,'Udvaskning nøgletal'!$C$12:$C$60,'Udvaskning nøgletal'!$E$12:$E$60)+Markniveau!Y141*Markniveau!S141/100,IF(X141=2,LOOKUP(K141,'Udvaskning nøgletal'!$C$12:$C$60,'Udvaskning nøgletal'!$F$12:$F$60)+Markniveau!Y141*Markniveau!S141/100,IF(X141=3,LOOKUP(K141,'Udvaskning nøgletal'!$C$12:$C$60,'Udvaskning nøgletal'!G151:G199)+Markniveau!Y141*Markniveau!S141/100,"")))</f>
        <v>68.517739337906349</v>
      </c>
      <c r="AA141" s="10">
        <f t="shared" si="26"/>
        <v>274.75613474500443</v>
      </c>
      <c r="AB141" s="10" t="str">
        <f t="shared" si="25"/>
        <v/>
      </c>
      <c r="AC141" s="10" t="str">
        <f t="shared" si="27"/>
        <v/>
      </c>
      <c r="AD141" s="10">
        <f>IF(AND(Q141&gt;0,Q141&lt;30,K141&lt;8),Markniveau!Z141*'Udvaskning nøgletal'!$I$12/100,IF(AND(Q141&gt;0,Q141&lt;30,K141=216),Markniveau!Z141*'Udvaskning nøgletal'!$I$34/100,Markniveau!Z141))</f>
        <v>68.517739337906349</v>
      </c>
      <c r="AE141" s="10">
        <f t="shared" si="23"/>
        <v>274.75613474500443</v>
      </c>
      <c r="AF141" s="10" t="str">
        <f t="shared" si="28"/>
        <v/>
      </c>
      <c r="AG141" s="10" t="str">
        <f t="shared" si="24"/>
        <v/>
      </c>
      <c r="AH141" s="10" t="str">
        <f>IF(AND(Q141&gt;0,Q141&lt;30,K141=216),'Udvaskning nøgletal'!$C$42,IF(AND(Q141&gt;0,Q141&lt;30,K141&gt;7,K141&lt;17),'Udvaskning nøgletal'!$C$61,IF(AND(Q141&gt;0,Q141&lt;30,K141&lt;7),'Udvaskning nøgletal'!$C$62,"")))</f>
        <v/>
      </c>
      <c r="AI141" s="10">
        <f t="shared" si="30"/>
        <v>3</v>
      </c>
      <c r="AJ141" s="10">
        <f>IF($X141=1,LOOKUP(AI141,'Udvaskning nøgletal'!$C$12:$C$62,'Udvaskning nøgletal'!$E$12:$E$62)+Markniveau!$Y141*Markniveau!$S141/100,IF($X141=2,LOOKUP(AI141,'Udvaskning nøgletal'!$C$12:$C$62,'Udvaskning nøgletal'!$F$12:$F$62)+Markniveau!$Y141*Markniveau!$S141/100,IF($X141=3,LOOKUP(AI141,'Udvaskning nøgletal'!$C$12:$C$62,'Udvaskning nøgletal'!Q151:Q201)+Markniveau!$Y141*Markniveau!$S141/100,"")))</f>
        <v>68.517739337906349</v>
      </c>
      <c r="AK141" s="10">
        <f t="shared" si="29"/>
        <v>274.75613474500443</v>
      </c>
      <c r="AL141" s="10" t="str">
        <f t="shared" si="31"/>
        <v/>
      </c>
      <c r="AM141" s="10" t="str">
        <f t="shared" si="32"/>
        <v/>
      </c>
    </row>
    <row r="142" spans="1:39" x14ac:dyDescent="0.25">
      <c r="A142" s="15">
        <v>13452601</v>
      </c>
      <c r="B142" s="15">
        <v>6.84</v>
      </c>
      <c r="C142" s="15">
        <v>435185</v>
      </c>
      <c r="D142" s="15">
        <v>15484</v>
      </c>
      <c r="E142" s="15" t="s">
        <v>184</v>
      </c>
      <c r="F142" s="15">
        <v>2011</v>
      </c>
      <c r="G142" s="15">
        <v>20110216</v>
      </c>
      <c r="H142" s="15">
        <v>43559</v>
      </c>
      <c r="I142" s="15">
        <v>4.3600000000000003</v>
      </c>
      <c r="J142" s="6" t="s">
        <v>36</v>
      </c>
      <c r="K142" s="15">
        <v>3</v>
      </c>
      <c r="L142" s="15" t="s">
        <v>114</v>
      </c>
      <c r="M142" s="15" t="s">
        <v>5</v>
      </c>
      <c r="N142" s="11" t="s">
        <v>1384</v>
      </c>
      <c r="O142" s="11" t="s">
        <v>28</v>
      </c>
      <c r="P142" s="11" t="s">
        <v>33</v>
      </c>
      <c r="Q142" s="15">
        <v>0</v>
      </c>
      <c r="R142" s="11" t="s">
        <v>1386</v>
      </c>
      <c r="S142" s="10">
        <v>77.154786758127003</v>
      </c>
      <c r="T142" s="15">
        <v>80</v>
      </c>
      <c r="U142" s="15">
        <v>0</v>
      </c>
      <c r="V142" s="15">
        <v>0</v>
      </c>
      <c r="W142" s="15">
        <v>1</v>
      </c>
      <c r="X142" s="15">
        <f>IF(O142='Udvaskning nøgletal'!$D$65,1,IF(O142='Udvaskning nøgletal'!$D$66,2,IF(O142='Udvaskning nøgletal'!$D$67,3,IF(O142='Udvaskning nøgletal'!$D$68,2,""))))</f>
        <v>1</v>
      </c>
      <c r="Y142" s="15">
        <f>LOOKUP(K142,'Udvaskning nøgletal'!$C$12:$C$60,'Udvaskning nøgletal'!$H$12:$H$60)</f>
        <v>5</v>
      </c>
      <c r="Z142" s="10">
        <f>IF(X142=1,LOOKUP(K142,'Udvaskning nøgletal'!$C$12:$C$60,'Udvaskning nøgletal'!$E$12:$E$60)+Markniveau!Y142*Markniveau!S142/100,IF(X142=2,LOOKUP(K142,'Udvaskning nøgletal'!$C$12:$C$60,'Udvaskning nøgletal'!$F$12:$F$60)+Markniveau!Y142*Markniveau!S142/100,IF(X142=3,LOOKUP(K142,'Udvaskning nøgletal'!$C$12:$C$60,'Udvaskning nøgletal'!G152:G200)+Markniveau!Y142*Markniveau!S142/100,"")))</f>
        <v>68.517739337906349</v>
      </c>
      <c r="AA142" s="10">
        <f t="shared" si="26"/>
        <v>298.7373435132717</v>
      </c>
      <c r="AB142" s="10" t="str">
        <f t="shared" si="25"/>
        <v/>
      </c>
      <c r="AC142" s="10" t="str">
        <f t="shared" si="27"/>
        <v/>
      </c>
      <c r="AD142" s="10">
        <f>IF(AND(Q142&gt;0,Q142&lt;30,K142&lt;8),Markniveau!Z142*'Udvaskning nøgletal'!$I$12/100,IF(AND(Q142&gt;0,Q142&lt;30,K142=216),Markniveau!Z142*'Udvaskning nøgletal'!$I$34/100,Markniveau!Z142))</f>
        <v>68.517739337906349</v>
      </c>
      <c r="AE142" s="10">
        <f t="shared" si="23"/>
        <v>298.7373435132717</v>
      </c>
      <c r="AF142" s="10" t="str">
        <f t="shared" si="28"/>
        <v/>
      </c>
      <c r="AG142" s="10" t="str">
        <f t="shared" si="24"/>
        <v/>
      </c>
      <c r="AH142" s="10" t="str">
        <f>IF(AND(Q142&gt;0,Q142&lt;30,K142=216),'Udvaskning nøgletal'!$C$42,IF(AND(Q142&gt;0,Q142&lt;30,K142&gt;7,K142&lt;17),'Udvaskning nøgletal'!$C$61,IF(AND(Q142&gt;0,Q142&lt;30,K142&lt;7),'Udvaskning nøgletal'!$C$62,"")))</f>
        <v/>
      </c>
      <c r="AI142" s="10">
        <f t="shared" si="30"/>
        <v>3</v>
      </c>
      <c r="AJ142" s="10">
        <f>IF($X142=1,LOOKUP(AI142,'Udvaskning nøgletal'!$C$12:$C$62,'Udvaskning nøgletal'!$E$12:$E$62)+Markniveau!$Y142*Markniveau!$S142/100,IF($X142=2,LOOKUP(AI142,'Udvaskning nøgletal'!$C$12:$C$62,'Udvaskning nøgletal'!$F$12:$F$62)+Markniveau!$Y142*Markniveau!$S142/100,IF($X142=3,LOOKUP(AI142,'Udvaskning nøgletal'!$C$12:$C$62,'Udvaskning nøgletal'!Q152:Q202)+Markniveau!$Y142*Markniveau!$S142/100,"")))</f>
        <v>68.517739337906349</v>
      </c>
      <c r="AK142" s="10">
        <f t="shared" si="29"/>
        <v>298.7373435132717</v>
      </c>
      <c r="AL142" s="10" t="str">
        <f t="shared" si="31"/>
        <v/>
      </c>
      <c r="AM142" s="10" t="str">
        <f t="shared" si="32"/>
        <v/>
      </c>
    </row>
    <row r="143" spans="1:39" x14ac:dyDescent="0.25">
      <c r="A143" s="15">
        <v>13452601</v>
      </c>
      <c r="B143" s="15">
        <v>6.84</v>
      </c>
      <c r="C143" s="15">
        <v>435186</v>
      </c>
      <c r="D143" s="15">
        <v>15484</v>
      </c>
      <c r="E143" s="15" t="s">
        <v>185</v>
      </c>
      <c r="F143" s="15">
        <v>2011</v>
      </c>
      <c r="G143" s="15">
        <v>20110216</v>
      </c>
      <c r="H143" s="15">
        <v>24697</v>
      </c>
      <c r="I143" s="15">
        <v>2.4700000000000002</v>
      </c>
      <c r="J143" s="6" t="s">
        <v>186</v>
      </c>
      <c r="K143" s="15">
        <v>580</v>
      </c>
      <c r="L143" s="15" t="s">
        <v>187</v>
      </c>
      <c r="M143" s="15" t="s">
        <v>155</v>
      </c>
      <c r="N143" s="11" t="s">
        <v>1384</v>
      </c>
      <c r="O143" s="11" t="s">
        <v>28</v>
      </c>
      <c r="P143" s="11" t="s">
        <v>33</v>
      </c>
      <c r="Q143" s="15">
        <v>0</v>
      </c>
      <c r="R143" s="11" t="s">
        <v>1386</v>
      </c>
      <c r="S143" s="10">
        <v>77.154786758127003</v>
      </c>
      <c r="T143" s="15">
        <v>80</v>
      </c>
      <c r="U143" s="15">
        <v>0</v>
      </c>
      <c r="V143" s="15">
        <v>0</v>
      </c>
      <c r="W143" s="15">
        <v>1</v>
      </c>
      <c r="X143" s="15">
        <f>IF(O143='Udvaskning nøgletal'!$D$65,1,IF(O143='Udvaskning nøgletal'!$D$66,2,IF(O143='Udvaskning nøgletal'!$D$67,3,IF(O143='Udvaskning nøgletal'!$D$68,2,""))))</f>
        <v>1</v>
      </c>
      <c r="Y143" s="15">
        <f>LOOKUP(K143,'Udvaskning nøgletal'!$C$12:$C$60,'Udvaskning nøgletal'!$H$12:$H$60)</f>
        <v>0</v>
      </c>
      <c r="Z143" s="10">
        <f>IF(X143=1,LOOKUP(K143,'Udvaskning nøgletal'!$C$12:$C$60,'Udvaskning nøgletal'!$E$12:$E$60)+Markniveau!Y143*Markniveau!S143/100,IF(X143=2,LOOKUP(K143,'Udvaskning nøgletal'!$C$12:$C$60,'Udvaskning nøgletal'!$F$12:$F$60)+Markniveau!Y143*Markniveau!S143/100,IF(X143=3,LOOKUP(K143,'Udvaskning nøgletal'!$C$12:$C$60,'Udvaskning nøgletal'!G153:G201)+Markniveau!Y143*Markniveau!S143/100,"")))</f>
        <v>10</v>
      </c>
      <c r="AA143" s="10">
        <f t="shared" si="26"/>
        <v>24.700000000000003</v>
      </c>
      <c r="AB143" s="10" t="str">
        <f t="shared" si="25"/>
        <v/>
      </c>
      <c r="AC143" s="10" t="str">
        <f t="shared" si="27"/>
        <v/>
      </c>
      <c r="AD143" s="10">
        <f>IF(AND(Q143&gt;0,Q143&lt;30,K143&lt;8),Markniveau!Z143*'Udvaskning nøgletal'!$I$12/100,IF(AND(Q143&gt;0,Q143&lt;30,K143=216),Markniveau!Z143*'Udvaskning nøgletal'!$I$34/100,Markniveau!Z143))</f>
        <v>10</v>
      </c>
      <c r="AE143" s="10">
        <f t="shared" si="23"/>
        <v>24.700000000000003</v>
      </c>
      <c r="AF143" s="10" t="str">
        <f t="shared" si="28"/>
        <v/>
      </c>
      <c r="AG143" s="10" t="str">
        <f t="shared" si="24"/>
        <v/>
      </c>
      <c r="AH143" s="10" t="str">
        <f>IF(AND(Q143&gt;0,Q143&lt;30,K143=216),'Udvaskning nøgletal'!$C$42,IF(AND(Q143&gt;0,Q143&lt;30,K143&gt;7,K143&lt;17),'Udvaskning nøgletal'!$C$61,IF(AND(Q143&gt;0,Q143&lt;30,K143&lt;7),'Udvaskning nøgletal'!$C$62,"")))</f>
        <v/>
      </c>
      <c r="AI143" s="10">
        <f t="shared" si="30"/>
        <v>580</v>
      </c>
      <c r="AJ143" s="10">
        <f>IF($X143=1,LOOKUP(AI143,'Udvaskning nøgletal'!$C$12:$C$62,'Udvaskning nøgletal'!$E$12:$E$62)+Markniveau!$Y143*Markniveau!$S143/100,IF($X143=2,LOOKUP(AI143,'Udvaskning nøgletal'!$C$12:$C$62,'Udvaskning nøgletal'!$F$12:$F$62)+Markniveau!$Y143*Markniveau!$S143/100,IF($X143=3,LOOKUP(AI143,'Udvaskning nøgletal'!$C$12:$C$62,'Udvaskning nøgletal'!Q153:Q203)+Markniveau!$Y143*Markniveau!$S143/100,"")))</f>
        <v>10</v>
      </c>
      <c r="AK143" s="10">
        <f t="shared" si="29"/>
        <v>24.700000000000003</v>
      </c>
      <c r="AL143" s="10" t="str">
        <f t="shared" si="31"/>
        <v/>
      </c>
      <c r="AM143" s="10" t="str">
        <f t="shared" si="32"/>
        <v/>
      </c>
    </row>
    <row r="144" spans="1:39" x14ac:dyDescent="0.25">
      <c r="A144" s="15">
        <v>13452601</v>
      </c>
      <c r="B144" s="15">
        <v>6.84</v>
      </c>
      <c r="C144" s="15">
        <v>435187</v>
      </c>
      <c r="D144" s="15">
        <v>15484</v>
      </c>
      <c r="E144" s="15" t="s">
        <v>188</v>
      </c>
      <c r="F144" s="15">
        <v>2011</v>
      </c>
      <c r="G144" s="15">
        <v>20110216</v>
      </c>
      <c r="H144" s="15">
        <v>68365</v>
      </c>
      <c r="I144" s="15">
        <v>6.84</v>
      </c>
      <c r="J144" s="6" t="s">
        <v>76</v>
      </c>
      <c r="K144" s="15">
        <v>11</v>
      </c>
      <c r="L144" s="15" t="s">
        <v>102</v>
      </c>
      <c r="M144" s="15" t="s">
        <v>5</v>
      </c>
      <c r="N144" s="11" t="s">
        <v>1406</v>
      </c>
      <c r="O144" s="11" t="s">
        <v>46</v>
      </c>
      <c r="P144" s="11" t="s">
        <v>29</v>
      </c>
      <c r="Q144" s="15">
        <v>95</v>
      </c>
      <c r="R144" s="11" t="s">
        <v>3</v>
      </c>
      <c r="S144" s="10">
        <v>77.154786758127003</v>
      </c>
      <c r="T144" s="15">
        <v>80</v>
      </c>
      <c r="U144" s="15">
        <v>0</v>
      </c>
      <c r="V144" s="15">
        <v>0</v>
      </c>
      <c r="W144" s="15">
        <v>1</v>
      </c>
      <c r="X144" s="15">
        <f>IF(O144='Udvaskning nøgletal'!$D$65,1,IF(O144='Udvaskning nøgletal'!$D$66,2,IF(O144='Udvaskning nøgletal'!$D$67,3,IF(O144='Udvaskning nøgletal'!$D$68,2,""))))</f>
        <v>2</v>
      </c>
      <c r="Y144" s="15">
        <f>LOOKUP(K144,'Udvaskning nøgletal'!$C$12:$C$60,'Udvaskning nøgletal'!$H$12:$H$60)</f>
        <v>5</v>
      </c>
      <c r="Z144" s="10">
        <f>IF(X144=1,LOOKUP(K144,'Udvaskning nøgletal'!$C$12:$C$60,'Udvaskning nøgletal'!$E$12:$E$60)+Markniveau!Y144*Markniveau!S144/100,IF(X144=2,LOOKUP(K144,'Udvaskning nøgletal'!$C$12:$C$60,'Udvaskning nøgletal'!$F$12:$F$60)+Markniveau!Y144*Markniveau!S144/100,IF(X144=3,LOOKUP(K144,'Udvaskning nøgletal'!$C$12:$C$60,'Udvaskning nøgletal'!G154:G202)+Markniveau!Y144*Markniveau!S144/100,"")))</f>
        <v>54.737739337906355</v>
      </c>
      <c r="AA144" s="10">
        <f t="shared" si="26"/>
        <v>374.40613707127943</v>
      </c>
      <c r="AB144" s="10">
        <f t="shared" si="25"/>
        <v>2.7368869668953177</v>
      </c>
      <c r="AC144" s="10">
        <f t="shared" si="27"/>
        <v>18.720306853563972</v>
      </c>
      <c r="AD144" s="10">
        <f>IF(AND(Q144&gt;0,Q144&lt;30,K144&lt;8),Markniveau!Z144*'Udvaskning nøgletal'!$I$12/100,IF(AND(Q144&gt;0,Q144&lt;30,K144=216),Markniveau!Z144*'Udvaskning nøgletal'!$I$34/100,Markniveau!Z144))</f>
        <v>54.737739337906355</v>
      </c>
      <c r="AE144" s="10">
        <f t="shared" si="23"/>
        <v>374.40613707127943</v>
      </c>
      <c r="AF144" s="10">
        <f t="shared" si="28"/>
        <v>2.7368869668953177</v>
      </c>
      <c r="AG144" s="10">
        <f t="shared" si="24"/>
        <v>18.720306853563972</v>
      </c>
      <c r="AH144" s="10" t="str">
        <f>IF(AND(Q144&gt;0,Q144&lt;30,K144=216),'Udvaskning nøgletal'!$C$42,IF(AND(Q144&gt;0,Q144&lt;30,K144&gt;7,K144&lt;17),'Udvaskning nøgletal'!$C$61,IF(AND(Q144&gt;0,Q144&lt;30,K144&lt;7),'Udvaskning nøgletal'!$C$62,"")))</f>
        <v/>
      </c>
      <c r="AI144" s="10">
        <f t="shared" si="30"/>
        <v>11</v>
      </c>
      <c r="AJ144" s="10">
        <f>IF($X144=1,LOOKUP(AI144,'Udvaskning nøgletal'!$C$12:$C$62,'Udvaskning nøgletal'!$E$12:$E$62)+Markniveau!$Y144*Markniveau!$S144/100,IF($X144=2,LOOKUP(AI144,'Udvaskning nøgletal'!$C$12:$C$62,'Udvaskning nøgletal'!$F$12:$F$62)+Markniveau!$Y144*Markniveau!$S144/100,IF($X144=3,LOOKUP(AI144,'Udvaskning nøgletal'!$C$12:$C$62,'Udvaskning nøgletal'!Q154:Q204)+Markniveau!$Y144*Markniveau!$S144/100,"")))</f>
        <v>54.737739337906355</v>
      </c>
      <c r="AK144" s="10">
        <f t="shared" si="29"/>
        <v>374.40613707127943</v>
      </c>
      <c r="AL144" s="10">
        <f t="shared" si="31"/>
        <v>2.7368869668953177</v>
      </c>
      <c r="AM144" s="10">
        <f t="shared" si="32"/>
        <v>18.720306853563972</v>
      </c>
    </row>
    <row r="145" spans="1:39" x14ac:dyDescent="0.25">
      <c r="A145" s="15">
        <v>13452601</v>
      </c>
      <c r="B145" s="15">
        <v>6.84</v>
      </c>
      <c r="C145" s="15">
        <v>435726</v>
      </c>
      <c r="D145" s="15">
        <v>15484</v>
      </c>
      <c r="E145" s="15" t="s">
        <v>189</v>
      </c>
      <c r="F145" s="15">
        <v>2011</v>
      </c>
      <c r="G145" s="15">
        <v>20110216</v>
      </c>
      <c r="H145" s="15">
        <v>6257</v>
      </c>
      <c r="I145" s="15">
        <v>0.63</v>
      </c>
      <c r="J145" s="6" t="s">
        <v>1412</v>
      </c>
      <c r="K145" s="15">
        <v>3</v>
      </c>
      <c r="L145" s="15" t="s">
        <v>114</v>
      </c>
      <c r="M145" s="15" t="s">
        <v>5</v>
      </c>
      <c r="N145" s="11" t="s">
        <v>1406</v>
      </c>
      <c r="O145" s="11" t="s">
        <v>46</v>
      </c>
      <c r="P145" s="11" t="s">
        <v>33</v>
      </c>
      <c r="Q145" s="15">
        <v>0</v>
      </c>
      <c r="R145" s="11" t="s">
        <v>1386</v>
      </c>
      <c r="S145" s="10">
        <v>77.154786758127003</v>
      </c>
      <c r="T145" s="15">
        <v>80</v>
      </c>
      <c r="U145" s="15">
        <v>0</v>
      </c>
      <c r="V145" s="15">
        <v>0</v>
      </c>
      <c r="W145" s="15">
        <v>1</v>
      </c>
      <c r="X145" s="15">
        <f>IF(O145='Udvaskning nøgletal'!$D$65,1,IF(O145='Udvaskning nøgletal'!$D$66,2,IF(O145='Udvaskning nøgletal'!$D$67,3,IF(O145='Udvaskning nøgletal'!$D$68,2,""))))</f>
        <v>2</v>
      </c>
      <c r="Y145" s="15">
        <f>LOOKUP(K145,'Udvaskning nøgletal'!$C$12:$C$60,'Udvaskning nøgletal'!$H$12:$H$60)</f>
        <v>5</v>
      </c>
      <c r="Z145" s="10">
        <f>IF(X145=1,LOOKUP(K145,'Udvaskning nøgletal'!$C$12:$C$60,'Udvaskning nøgletal'!$E$12:$E$60)+Markniveau!Y145*Markniveau!S145/100,IF(X145=2,LOOKUP(K145,'Udvaskning nøgletal'!$C$12:$C$60,'Udvaskning nøgletal'!$F$12:$F$60)+Markniveau!Y145*Markniveau!S145/100,IF(X145=3,LOOKUP(K145,'Udvaskning nøgletal'!$C$12:$C$60,'Udvaskning nøgletal'!G155:G203)+Markniveau!Y145*Markniveau!S145/100,"")))</f>
        <v>54.737739337906355</v>
      </c>
      <c r="AA145" s="10">
        <f t="shared" si="26"/>
        <v>34.484775782881002</v>
      </c>
      <c r="AB145" s="10" t="str">
        <f t="shared" si="25"/>
        <v/>
      </c>
      <c r="AC145" s="10" t="str">
        <f t="shared" si="27"/>
        <v/>
      </c>
      <c r="AD145" s="10">
        <f>IF(AND(Q145&gt;0,Q145&lt;30,K145&lt;8),Markniveau!Z145*'Udvaskning nøgletal'!$I$12/100,IF(AND(Q145&gt;0,Q145&lt;30,K145=216),Markniveau!Z145*'Udvaskning nøgletal'!$I$34/100,Markniveau!Z145))</f>
        <v>54.737739337906355</v>
      </c>
      <c r="AE145" s="10">
        <f t="shared" ref="AE145:AE208" si="33">AD145*I145</f>
        <v>34.484775782881002</v>
      </c>
      <c r="AF145" s="10" t="str">
        <f t="shared" si="28"/>
        <v/>
      </c>
      <c r="AG145" s="10" t="str">
        <f t="shared" ref="AG145:AG208" si="34">IF($Q145&gt;0,(100-$Q145)*$AD145/100*I145,"")</f>
        <v/>
      </c>
      <c r="AH145" s="10" t="str">
        <f>IF(AND(Q145&gt;0,Q145&lt;30,K145=216),'Udvaskning nøgletal'!$C$42,IF(AND(Q145&gt;0,Q145&lt;30,K145&gt;7,K145&lt;17),'Udvaskning nøgletal'!$C$61,IF(AND(Q145&gt;0,Q145&lt;30,K145&lt;7),'Udvaskning nøgletal'!$C$62,"")))</f>
        <v/>
      </c>
      <c r="AI145" s="10">
        <f t="shared" si="30"/>
        <v>3</v>
      </c>
      <c r="AJ145" s="10">
        <f>IF($X145=1,LOOKUP(AI145,'Udvaskning nøgletal'!$C$12:$C$62,'Udvaskning nøgletal'!$E$12:$E$62)+Markniveau!$Y145*Markniveau!$S145/100,IF($X145=2,LOOKUP(AI145,'Udvaskning nøgletal'!$C$12:$C$62,'Udvaskning nøgletal'!$F$12:$F$62)+Markniveau!$Y145*Markniveau!$S145/100,IF($X145=3,LOOKUP(AI145,'Udvaskning nøgletal'!$C$12:$C$62,'Udvaskning nøgletal'!Q155:Q205)+Markniveau!$Y145*Markniveau!$S145/100,"")))</f>
        <v>54.737739337906355</v>
      </c>
      <c r="AK145" s="10">
        <f t="shared" si="29"/>
        <v>34.484775782881002</v>
      </c>
      <c r="AL145" s="10" t="str">
        <f t="shared" si="31"/>
        <v/>
      </c>
      <c r="AM145" s="10" t="str">
        <f t="shared" si="32"/>
        <v/>
      </c>
    </row>
    <row r="146" spans="1:39" x14ac:dyDescent="0.25">
      <c r="A146" s="15">
        <v>13452601</v>
      </c>
      <c r="B146" s="15">
        <v>6.84</v>
      </c>
      <c r="C146" s="15">
        <v>435727</v>
      </c>
      <c r="D146" s="15">
        <v>15484</v>
      </c>
      <c r="E146" s="15" t="s">
        <v>190</v>
      </c>
      <c r="F146" s="15">
        <v>2011</v>
      </c>
      <c r="G146" s="15">
        <v>20110216</v>
      </c>
      <c r="H146" s="15">
        <v>54076</v>
      </c>
      <c r="I146" s="15">
        <v>5.41</v>
      </c>
      <c r="J146" s="6" t="s">
        <v>137</v>
      </c>
      <c r="K146" s="15">
        <v>3</v>
      </c>
      <c r="L146" s="15" t="s">
        <v>114</v>
      </c>
      <c r="M146" s="15" t="s">
        <v>5</v>
      </c>
      <c r="N146" s="11" t="s">
        <v>1406</v>
      </c>
      <c r="O146" s="11" t="s">
        <v>46</v>
      </c>
      <c r="P146" s="11" t="s">
        <v>33</v>
      </c>
      <c r="Q146" s="15">
        <v>0</v>
      </c>
      <c r="R146" s="11" t="s">
        <v>1386</v>
      </c>
      <c r="S146" s="10">
        <v>77.154786758127003</v>
      </c>
      <c r="T146" s="15">
        <v>80</v>
      </c>
      <c r="U146" s="15">
        <v>0</v>
      </c>
      <c r="V146" s="15">
        <v>0</v>
      </c>
      <c r="W146" s="15">
        <v>1</v>
      </c>
      <c r="X146" s="15">
        <f>IF(O146='Udvaskning nøgletal'!$D$65,1,IF(O146='Udvaskning nøgletal'!$D$66,2,IF(O146='Udvaskning nøgletal'!$D$67,3,IF(O146='Udvaskning nøgletal'!$D$68,2,""))))</f>
        <v>2</v>
      </c>
      <c r="Y146" s="15">
        <f>LOOKUP(K146,'Udvaskning nøgletal'!$C$12:$C$60,'Udvaskning nøgletal'!$H$12:$H$60)</f>
        <v>5</v>
      </c>
      <c r="Z146" s="10">
        <f>IF(X146=1,LOOKUP(K146,'Udvaskning nøgletal'!$C$12:$C$60,'Udvaskning nøgletal'!$E$12:$E$60)+Markniveau!Y146*Markniveau!S146/100,IF(X146=2,LOOKUP(K146,'Udvaskning nøgletal'!$C$12:$C$60,'Udvaskning nøgletal'!$F$12:$F$60)+Markniveau!Y146*Markniveau!S146/100,IF(X146=3,LOOKUP(K146,'Udvaskning nøgletal'!$C$12:$C$60,'Udvaskning nøgletal'!G156:G204)+Markniveau!Y146*Markniveau!S146/100,"")))</f>
        <v>54.737739337906355</v>
      </c>
      <c r="AA146" s="10">
        <f t="shared" si="26"/>
        <v>296.13116981807337</v>
      </c>
      <c r="AB146" s="10" t="str">
        <f t="shared" si="25"/>
        <v/>
      </c>
      <c r="AC146" s="10" t="str">
        <f t="shared" si="27"/>
        <v/>
      </c>
      <c r="AD146" s="10">
        <f>IF(AND(Q146&gt;0,Q146&lt;30,K146&lt;8),Markniveau!Z146*'Udvaskning nøgletal'!$I$12/100,IF(AND(Q146&gt;0,Q146&lt;30,K146=216),Markniveau!Z146*'Udvaskning nøgletal'!$I$34/100,Markniveau!Z146))</f>
        <v>54.737739337906355</v>
      </c>
      <c r="AE146" s="10">
        <f t="shared" si="33"/>
        <v>296.13116981807337</v>
      </c>
      <c r="AF146" s="10" t="str">
        <f t="shared" si="28"/>
        <v/>
      </c>
      <c r="AG146" s="10" t="str">
        <f t="shared" si="34"/>
        <v/>
      </c>
      <c r="AH146" s="10" t="str">
        <f>IF(AND(Q146&gt;0,Q146&lt;30,K146=216),'Udvaskning nøgletal'!$C$42,IF(AND(Q146&gt;0,Q146&lt;30,K146&gt;7,K146&lt;17),'Udvaskning nøgletal'!$C$61,IF(AND(Q146&gt;0,Q146&lt;30,K146&lt;7),'Udvaskning nøgletal'!$C$62,"")))</f>
        <v/>
      </c>
      <c r="AI146" s="10">
        <f t="shared" si="30"/>
        <v>3</v>
      </c>
      <c r="AJ146" s="10">
        <f>IF($X146=1,LOOKUP(AI146,'Udvaskning nøgletal'!$C$12:$C$62,'Udvaskning nøgletal'!$E$12:$E$62)+Markniveau!$Y146*Markniveau!$S146/100,IF($X146=2,LOOKUP(AI146,'Udvaskning nøgletal'!$C$12:$C$62,'Udvaskning nøgletal'!$F$12:$F$62)+Markniveau!$Y146*Markniveau!$S146/100,IF($X146=3,LOOKUP(AI146,'Udvaskning nøgletal'!$C$12:$C$62,'Udvaskning nøgletal'!Q156:Q206)+Markniveau!$Y146*Markniveau!$S146/100,"")))</f>
        <v>54.737739337906355</v>
      </c>
      <c r="AK146" s="10">
        <f t="shared" si="29"/>
        <v>296.13116981807337</v>
      </c>
      <c r="AL146" s="10" t="str">
        <f t="shared" si="31"/>
        <v/>
      </c>
      <c r="AM146" s="10" t="str">
        <f t="shared" si="32"/>
        <v/>
      </c>
    </row>
    <row r="147" spans="1:39" x14ac:dyDescent="0.25">
      <c r="A147" s="15">
        <v>13452601</v>
      </c>
      <c r="B147" s="15">
        <v>6.84</v>
      </c>
      <c r="C147" s="15">
        <v>435730</v>
      </c>
      <c r="D147" s="15">
        <v>15484</v>
      </c>
      <c r="E147" s="15" t="s">
        <v>191</v>
      </c>
      <c r="F147" s="15">
        <v>2011</v>
      </c>
      <c r="G147" s="15">
        <v>20110216</v>
      </c>
      <c r="H147" s="15">
        <v>43295</v>
      </c>
      <c r="I147" s="15">
        <v>4.33</v>
      </c>
      <c r="J147" s="6" t="s">
        <v>67</v>
      </c>
      <c r="K147" s="15">
        <v>1</v>
      </c>
      <c r="L147" s="15" t="s">
        <v>32</v>
      </c>
      <c r="M147" s="15" t="s">
        <v>5</v>
      </c>
      <c r="N147" s="11" t="s">
        <v>1406</v>
      </c>
      <c r="O147" s="11" t="s">
        <v>46</v>
      </c>
      <c r="P147" s="11" t="s">
        <v>33</v>
      </c>
      <c r="Q147" s="15">
        <v>0</v>
      </c>
      <c r="R147" s="11" t="s">
        <v>1386</v>
      </c>
      <c r="S147" s="10">
        <v>77.154786758127003</v>
      </c>
      <c r="T147" s="15">
        <v>80</v>
      </c>
      <c r="U147" s="15">
        <v>0</v>
      </c>
      <c r="V147" s="15">
        <v>0</v>
      </c>
      <c r="W147" s="15">
        <v>1</v>
      </c>
      <c r="X147" s="15">
        <f>IF(O147='Udvaskning nøgletal'!$D$65,1,IF(O147='Udvaskning nøgletal'!$D$66,2,IF(O147='Udvaskning nøgletal'!$D$67,3,IF(O147='Udvaskning nøgletal'!$D$68,2,""))))</f>
        <v>2</v>
      </c>
      <c r="Y147" s="15">
        <f>LOOKUP(K147,'Udvaskning nøgletal'!$C$12:$C$60,'Udvaskning nøgletal'!$H$12:$H$60)</f>
        <v>5</v>
      </c>
      <c r="Z147" s="10">
        <f>IF(X147=1,LOOKUP(K147,'Udvaskning nøgletal'!$C$12:$C$60,'Udvaskning nøgletal'!$E$12:$E$60)+Markniveau!Y147*Markniveau!S147/100,IF(X147=2,LOOKUP(K147,'Udvaskning nøgletal'!$C$12:$C$60,'Udvaskning nøgletal'!$F$12:$F$60)+Markniveau!Y147*Markniveau!S147/100,IF(X147=3,LOOKUP(K147,'Udvaskning nøgletal'!$C$12:$C$60,'Udvaskning nøgletal'!G157:G205)+Markniveau!Y147*Markniveau!S147/100,"")))</f>
        <v>54.737739337906355</v>
      </c>
      <c r="AA147" s="10">
        <f t="shared" si="26"/>
        <v>237.01441133313452</v>
      </c>
      <c r="AB147" s="10" t="str">
        <f t="shared" si="25"/>
        <v/>
      </c>
      <c r="AC147" s="10" t="str">
        <f t="shared" si="27"/>
        <v/>
      </c>
      <c r="AD147" s="10">
        <f>IF(AND(Q147&gt;0,Q147&lt;30,K147&lt;8),Markniveau!Z147*'Udvaskning nøgletal'!$I$12/100,IF(AND(Q147&gt;0,Q147&lt;30,K147=216),Markniveau!Z147*'Udvaskning nøgletal'!$I$34/100,Markniveau!Z147))</f>
        <v>54.737739337906355</v>
      </c>
      <c r="AE147" s="10">
        <f t="shared" si="33"/>
        <v>237.01441133313452</v>
      </c>
      <c r="AF147" s="10" t="str">
        <f t="shared" si="28"/>
        <v/>
      </c>
      <c r="AG147" s="10" t="str">
        <f t="shared" si="34"/>
        <v/>
      </c>
      <c r="AH147" s="10" t="str">
        <f>IF(AND(Q147&gt;0,Q147&lt;30,K147=216),'Udvaskning nøgletal'!$C$42,IF(AND(Q147&gt;0,Q147&lt;30,K147&gt;7,K147&lt;17),'Udvaskning nøgletal'!$C$61,IF(AND(Q147&gt;0,Q147&lt;30,K147&lt;7),'Udvaskning nøgletal'!$C$62,"")))</f>
        <v/>
      </c>
      <c r="AI147" s="10">
        <f t="shared" si="30"/>
        <v>1</v>
      </c>
      <c r="AJ147" s="10">
        <f>IF($X147=1,LOOKUP(AI147,'Udvaskning nøgletal'!$C$12:$C$62,'Udvaskning nøgletal'!$E$12:$E$62)+Markniveau!$Y147*Markniveau!$S147/100,IF($X147=2,LOOKUP(AI147,'Udvaskning nøgletal'!$C$12:$C$62,'Udvaskning nøgletal'!$F$12:$F$62)+Markniveau!$Y147*Markniveau!$S147/100,IF($X147=3,LOOKUP(AI147,'Udvaskning nøgletal'!$C$12:$C$62,'Udvaskning nøgletal'!Q157:Q207)+Markniveau!$Y147*Markniveau!$S147/100,"")))</f>
        <v>54.737739337906355</v>
      </c>
      <c r="AK147" s="10">
        <f t="shared" si="29"/>
        <v>237.01441133313452</v>
      </c>
      <c r="AL147" s="10" t="str">
        <f t="shared" si="31"/>
        <v/>
      </c>
      <c r="AM147" s="10" t="str">
        <f t="shared" si="32"/>
        <v/>
      </c>
    </row>
    <row r="148" spans="1:39" x14ac:dyDescent="0.25">
      <c r="A148" s="15">
        <v>13452601</v>
      </c>
      <c r="B148" s="15">
        <v>6.84</v>
      </c>
      <c r="C148" s="15">
        <v>436228</v>
      </c>
      <c r="D148" s="15">
        <v>15484</v>
      </c>
      <c r="E148" s="15" t="s">
        <v>192</v>
      </c>
      <c r="F148" s="15">
        <v>2011</v>
      </c>
      <c r="G148" s="15">
        <v>20110216</v>
      </c>
      <c r="H148" s="15">
        <v>44785</v>
      </c>
      <c r="I148" s="15">
        <v>4.4800000000000004</v>
      </c>
      <c r="J148" s="6" t="s">
        <v>65</v>
      </c>
      <c r="K148" s="15">
        <v>3</v>
      </c>
      <c r="L148" s="15" t="s">
        <v>114</v>
      </c>
      <c r="M148" s="15" t="s">
        <v>5</v>
      </c>
      <c r="N148" s="11" t="s">
        <v>1406</v>
      </c>
      <c r="O148" s="11" t="s">
        <v>46</v>
      </c>
      <c r="P148" s="11" t="s">
        <v>33</v>
      </c>
      <c r="Q148" s="15">
        <v>0</v>
      </c>
      <c r="R148" s="11" t="s">
        <v>1386</v>
      </c>
      <c r="S148" s="10">
        <v>77.154786758127003</v>
      </c>
      <c r="T148" s="15">
        <v>80</v>
      </c>
      <c r="U148" s="15">
        <v>0</v>
      </c>
      <c r="V148" s="15">
        <v>0</v>
      </c>
      <c r="W148" s="15">
        <v>1</v>
      </c>
      <c r="X148" s="15">
        <f>IF(O148='Udvaskning nøgletal'!$D$65,1,IF(O148='Udvaskning nøgletal'!$D$66,2,IF(O148='Udvaskning nøgletal'!$D$67,3,IF(O148='Udvaskning nøgletal'!$D$68,2,""))))</f>
        <v>2</v>
      </c>
      <c r="Y148" s="15">
        <f>LOOKUP(K148,'Udvaskning nøgletal'!$C$12:$C$60,'Udvaskning nøgletal'!$H$12:$H$60)</f>
        <v>5</v>
      </c>
      <c r="Z148" s="10">
        <f>IF(X148=1,LOOKUP(K148,'Udvaskning nøgletal'!$C$12:$C$60,'Udvaskning nøgletal'!$E$12:$E$60)+Markniveau!Y148*Markniveau!S148/100,IF(X148=2,LOOKUP(K148,'Udvaskning nøgletal'!$C$12:$C$60,'Udvaskning nøgletal'!$F$12:$F$60)+Markniveau!Y148*Markniveau!S148/100,IF(X148=3,LOOKUP(K148,'Udvaskning nøgletal'!$C$12:$C$60,'Udvaskning nøgletal'!G158:G206)+Markniveau!Y148*Markniveau!S148/100,"")))</f>
        <v>54.737739337906355</v>
      </c>
      <c r="AA148" s="10">
        <f t="shared" si="26"/>
        <v>245.2250722338205</v>
      </c>
      <c r="AB148" s="10" t="str">
        <f t="shared" si="25"/>
        <v/>
      </c>
      <c r="AC148" s="10" t="str">
        <f t="shared" si="27"/>
        <v/>
      </c>
      <c r="AD148" s="10">
        <f>IF(AND(Q148&gt;0,Q148&lt;30,K148&lt;8),Markniveau!Z148*'Udvaskning nøgletal'!$I$12/100,IF(AND(Q148&gt;0,Q148&lt;30,K148=216),Markniveau!Z148*'Udvaskning nøgletal'!$I$34/100,Markniveau!Z148))</f>
        <v>54.737739337906355</v>
      </c>
      <c r="AE148" s="10">
        <f t="shared" si="33"/>
        <v>245.2250722338205</v>
      </c>
      <c r="AF148" s="10" t="str">
        <f t="shared" si="28"/>
        <v/>
      </c>
      <c r="AG148" s="10" t="str">
        <f t="shared" si="34"/>
        <v/>
      </c>
      <c r="AH148" s="10" t="str">
        <f>IF(AND(Q148&gt;0,Q148&lt;30,K148=216),'Udvaskning nøgletal'!$C$42,IF(AND(Q148&gt;0,Q148&lt;30,K148&gt;7,K148&lt;17),'Udvaskning nøgletal'!$C$61,IF(AND(Q148&gt;0,Q148&lt;30,K148&lt;7),'Udvaskning nøgletal'!$C$62,"")))</f>
        <v/>
      </c>
      <c r="AI148" s="10">
        <f t="shared" si="30"/>
        <v>3</v>
      </c>
      <c r="AJ148" s="10">
        <f>IF($X148=1,LOOKUP(AI148,'Udvaskning nøgletal'!$C$12:$C$62,'Udvaskning nøgletal'!$E$12:$E$62)+Markniveau!$Y148*Markniveau!$S148/100,IF($X148=2,LOOKUP(AI148,'Udvaskning nøgletal'!$C$12:$C$62,'Udvaskning nøgletal'!$F$12:$F$62)+Markniveau!$Y148*Markniveau!$S148/100,IF($X148=3,LOOKUP(AI148,'Udvaskning nøgletal'!$C$12:$C$62,'Udvaskning nøgletal'!Q158:Q208)+Markniveau!$Y148*Markniveau!$S148/100,"")))</f>
        <v>54.737739337906355</v>
      </c>
      <c r="AK148" s="10">
        <f t="shared" si="29"/>
        <v>245.2250722338205</v>
      </c>
      <c r="AL148" s="10" t="str">
        <f t="shared" si="31"/>
        <v/>
      </c>
      <c r="AM148" s="10" t="str">
        <f t="shared" si="32"/>
        <v/>
      </c>
    </row>
    <row r="149" spans="1:39" x14ac:dyDescent="0.25">
      <c r="A149" s="15">
        <v>13452601</v>
      </c>
      <c r="B149" s="15">
        <v>6.84</v>
      </c>
      <c r="C149" s="15">
        <v>436229</v>
      </c>
      <c r="D149" s="15">
        <v>15484</v>
      </c>
      <c r="E149" s="15" t="s">
        <v>193</v>
      </c>
      <c r="F149" s="15">
        <v>2011</v>
      </c>
      <c r="G149" s="15">
        <v>20110216</v>
      </c>
      <c r="H149" s="15">
        <v>57274</v>
      </c>
      <c r="I149" s="15">
        <v>5.73</v>
      </c>
      <c r="J149" s="6" t="s">
        <v>194</v>
      </c>
      <c r="K149" s="15">
        <v>11</v>
      </c>
      <c r="L149" s="15" t="s">
        <v>102</v>
      </c>
      <c r="M149" s="15" t="s">
        <v>5</v>
      </c>
      <c r="N149" s="11" t="s">
        <v>1406</v>
      </c>
      <c r="O149" s="11" t="s">
        <v>46</v>
      </c>
      <c r="P149" s="11" t="s">
        <v>33</v>
      </c>
      <c r="Q149" s="15">
        <v>0</v>
      </c>
      <c r="R149" s="11" t="s">
        <v>1386</v>
      </c>
      <c r="S149" s="10">
        <v>77.154786758127003</v>
      </c>
      <c r="T149" s="15">
        <v>80</v>
      </c>
      <c r="U149" s="15">
        <v>0</v>
      </c>
      <c r="V149" s="15">
        <v>0</v>
      </c>
      <c r="W149" s="15">
        <v>1</v>
      </c>
      <c r="X149" s="15">
        <f>IF(O149='Udvaskning nøgletal'!$D$65,1,IF(O149='Udvaskning nøgletal'!$D$66,2,IF(O149='Udvaskning nøgletal'!$D$67,3,IF(O149='Udvaskning nøgletal'!$D$68,2,""))))</f>
        <v>2</v>
      </c>
      <c r="Y149" s="15">
        <f>LOOKUP(K149,'Udvaskning nøgletal'!$C$12:$C$60,'Udvaskning nøgletal'!$H$12:$H$60)</f>
        <v>5</v>
      </c>
      <c r="Z149" s="10">
        <f>IF(X149=1,LOOKUP(K149,'Udvaskning nøgletal'!$C$12:$C$60,'Udvaskning nøgletal'!$E$12:$E$60)+Markniveau!Y149*Markniveau!S149/100,IF(X149=2,LOOKUP(K149,'Udvaskning nøgletal'!$C$12:$C$60,'Udvaskning nøgletal'!$F$12:$F$60)+Markniveau!Y149*Markniveau!S149/100,IF(X149=3,LOOKUP(K149,'Udvaskning nøgletal'!$C$12:$C$60,'Udvaskning nøgletal'!G159:G207)+Markniveau!Y149*Markniveau!S149/100,"")))</f>
        <v>54.737739337906355</v>
      </c>
      <c r="AA149" s="10">
        <f t="shared" si="26"/>
        <v>313.64724640620346</v>
      </c>
      <c r="AB149" s="10" t="str">
        <f t="shared" si="25"/>
        <v/>
      </c>
      <c r="AC149" s="10" t="str">
        <f t="shared" si="27"/>
        <v/>
      </c>
      <c r="AD149" s="10">
        <f>IF(AND(Q149&gt;0,Q149&lt;30,K149&lt;8),Markniveau!Z149*'Udvaskning nøgletal'!$I$12/100,IF(AND(Q149&gt;0,Q149&lt;30,K149=216),Markniveau!Z149*'Udvaskning nøgletal'!$I$34/100,Markniveau!Z149))</f>
        <v>54.737739337906355</v>
      </c>
      <c r="AE149" s="10">
        <f t="shared" si="33"/>
        <v>313.64724640620346</v>
      </c>
      <c r="AF149" s="10" t="str">
        <f t="shared" si="28"/>
        <v/>
      </c>
      <c r="AG149" s="10" t="str">
        <f t="shared" si="34"/>
        <v/>
      </c>
      <c r="AH149" s="10" t="str">
        <f>IF(AND(Q149&gt;0,Q149&lt;30,K149=216),'Udvaskning nøgletal'!$C$42,IF(AND(Q149&gt;0,Q149&lt;30,K149&gt;7,K149&lt;17),'Udvaskning nøgletal'!$C$61,IF(AND(Q149&gt;0,Q149&lt;30,K149&lt;7),'Udvaskning nøgletal'!$C$62,"")))</f>
        <v/>
      </c>
      <c r="AI149" s="10">
        <f t="shared" si="30"/>
        <v>11</v>
      </c>
      <c r="AJ149" s="10">
        <f>IF($X149=1,LOOKUP(AI149,'Udvaskning nøgletal'!$C$12:$C$62,'Udvaskning nøgletal'!$E$12:$E$62)+Markniveau!$Y149*Markniveau!$S149/100,IF($X149=2,LOOKUP(AI149,'Udvaskning nøgletal'!$C$12:$C$62,'Udvaskning nøgletal'!$F$12:$F$62)+Markniveau!$Y149*Markniveau!$S149/100,IF($X149=3,LOOKUP(AI149,'Udvaskning nøgletal'!$C$12:$C$62,'Udvaskning nøgletal'!Q159:Q209)+Markniveau!$Y149*Markniveau!$S149/100,"")))</f>
        <v>54.737739337906355</v>
      </c>
      <c r="AK149" s="10">
        <f t="shared" si="29"/>
        <v>313.64724640620346</v>
      </c>
      <c r="AL149" s="10" t="str">
        <f t="shared" si="31"/>
        <v/>
      </c>
      <c r="AM149" s="10" t="str">
        <f t="shared" si="32"/>
        <v/>
      </c>
    </row>
    <row r="150" spans="1:39" x14ac:dyDescent="0.25">
      <c r="A150" s="15">
        <v>13452601</v>
      </c>
      <c r="B150" s="15">
        <v>6.84</v>
      </c>
      <c r="C150" s="15">
        <v>436230</v>
      </c>
      <c r="D150" s="15">
        <v>15484</v>
      </c>
      <c r="E150" s="15" t="s">
        <v>195</v>
      </c>
      <c r="F150" s="15">
        <v>2011</v>
      </c>
      <c r="G150" s="15">
        <v>20110216</v>
      </c>
      <c r="H150" s="15">
        <v>27316</v>
      </c>
      <c r="I150" s="15">
        <v>2.73</v>
      </c>
      <c r="J150" s="6" t="s">
        <v>51</v>
      </c>
      <c r="K150" s="15">
        <v>11</v>
      </c>
      <c r="L150" s="15" t="s">
        <v>102</v>
      </c>
      <c r="M150" s="15" t="s">
        <v>5</v>
      </c>
      <c r="N150" s="11" t="s">
        <v>1406</v>
      </c>
      <c r="O150" s="11" t="s">
        <v>46</v>
      </c>
      <c r="P150" s="11" t="s">
        <v>33</v>
      </c>
      <c r="Q150" s="15">
        <v>0</v>
      </c>
      <c r="R150" s="11" t="s">
        <v>1386</v>
      </c>
      <c r="S150" s="10">
        <v>77.154786758127003</v>
      </c>
      <c r="T150" s="15">
        <v>80</v>
      </c>
      <c r="U150" s="15">
        <v>0</v>
      </c>
      <c r="V150" s="15">
        <v>0</v>
      </c>
      <c r="W150" s="15">
        <v>1</v>
      </c>
      <c r="X150" s="15">
        <f>IF(O150='Udvaskning nøgletal'!$D$65,1,IF(O150='Udvaskning nøgletal'!$D$66,2,IF(O150='Udvaskning nøgletal'!$D$67,3,IF(O150='Udvaskning nøgletal'!$D$68,2,""))))</f>
        <v>2</v>
      </c>
      <c r="Y150" s="15">
        <f>LOOKUP(K150,'Udvaskning nøgletal'!$C$12:$C$60,'Udvaskning nøgletal'!$H$12:$H$60)</f>
        <v>5</v>
      </c>
      <c r="Z150" s="10">
        <f>IF(X150=1,LOOKUP(K150,'Udvaskning nøgletal'!$C$12:$C$60,'Udvaskning nøgletal'!$E$12:$E$60)+Markniveau!Y150*Markniveau!S150/100,IF(X150=2,LOOKUP(K150,'Udvaskning nøgletal'!$C$12:$C$60,'Udvaskning nøgletal'!$F$12:$F$60)+Markniveau!Y150*Markniveau!S150/100,IF(X150=3,LOOKUP(K150,'Udvaskning nøgletal'!$C$12:$C$60,'Udvaskning nøgletal'!G160:G208)+Markniveau!Y150*Markniveau!S150/100,"")))</f>
        <v>54.737739337906355</v>
      </c>
      <c r="AA150" s="10">
        <f t="shared" si="26"/>
        <v>149.43402839248435</v>
      </c>
      <c r="AB150" s="10" t="str">
        <f t="shared" si="25"/>
        <v/>
      </c>
      <c r="AC150" s="10" t="str">
        <f t="shared" si="27"/>
        <v/>
      </c>
      <c r="AD150" s="10">
        <f>IF(AND(Q150&gt;0,Q150&lt;30,K150&lt;8),Markniveau!Z150*'Udvaskning nøgletal'!$I$12/100,IF(AND(Q150&gt;0,Q150&lt;30,K150=216),Markniveau!Z150*'Udvaskning nøgletal'!$I$34/100,Markniveau!Z150))</f>
        <v>54.737739337906355</v>
      </c>
      <c r="AE150" s="10">
        <f t="shared" si="33"/>
        <v>149.43402839248435</v>
      </c>
      <c r="AF150" s="10" t="str">
        <f t="shared" si="28"/>
        <v/>
      </c>
      <c r="AG150" s="10" t="str">
        <f t="shared" si="34"/>
        <v/>
      </c>
      <c r="AH150" s="10" t="str">
        <f>IF(AND(Q150&gt;0,Q150&lt;30,K150=216),'Udvaskning nøgletal'!$C$42,IF(AND(Q150&gt;0,Q150&lt;30,K150&gt;7,K150&lt;17),'Udvaskning nøgletal'!$C$61,IF(AND(Q150&gt;0,Q150&lt;30,K150&lt;7),'Udvaskning nøgletal'!$C$62,"")))</f>
        <v/>
      </c>
      <c r="AI150" s="10">
        <f t="shared" si="30"/>
        <v>11</v>
      </c>
      <c r="AJ150" s="10">
        <f>IF($X150=1,LOOKUP(AI150,'Udvaskning nøgletal'!$C$12:$C$62,'Udvaskning nøgletal'!$E$12:$E$62)+Markniveau!$Y150*Markniveau!$S150/100,IF($X150=2,LOOKUP(AI150,'Udvaskning nøgletal'!$C$12:$C$62,'Udvaskning nøgletal'!$F$12:$F$62)+Markniveau!$Y150*Markniveau!$S150/100,IF($X150=3,LOOKUP(AI150,'Udvaskning nøgletal'!$C$12:$C$62,'Udvaskning nøgletal'!Q160:Q210)+Markniveau!$Y150*Markniveau!$S150/100,"")))</f>
        <v>54.737739337906355</v>
      </c>
      <c r="AK150" s="10">
        <f t="shared" si="29"/>
        <v>149.43402839248435</v>
      </c>
      <c r="AL150" s="10" t="str">
        <f t="shared" si="31"/>
        <v/>
      </c>
      <c r="AM150" s="10" t="str">
        <f t="shared" si="32"/>
        <v/>
      </c>
    </row>
    <row r="151" spans="1:39" x14ac:dyDescent="0.25">
      <c r="A151" s="15">
        <v>13452601</v>
      </c>
      <c r="B151" s="15">
        <v>6.84</v>
      </c>
      <c r="C151" s="15">
        <v>436775</v>
      </c>
      <c r="D151" s="15">
        <v>15484</v>
      </c>
      <c r="E151" s="15" t="s">
        <v>181</v>
      </c>
      <c r="F151" s="15">
        <v>2011</v>
      </c>
      <c r="G151" s="15">
        <v>20110216</v>
      </c>
      <c r="H151" s="15">
        <v>49729</v>
      </c>
      <c r="I151" s="15">
        <v>4.97</v>
      </c>
      <c r="J151" s="6" t="s">
        <v>61</v>
      </c>
      <c r="K151" s="15">
        <v>260</v>
      </c>
      <c r="L151" s="15" t="s">
        <v>45</v>
      </c>
      <c r="M151" s="15" t="s">
        <v>5</v>
      </c>
      <c r="N151" s="11" t="s">
        <v>1384</v>
      </c>
      <c r="O151" s="11" t="s">
        <v>28</v>
      </c>
      <c r="P151" s="11" t="s">
        <v>33</v>
      </c>
      <c r="Q151" s="15">
        <v>0</v>
      </c>
      <c r="R151" s="11" t="s">
        <v>1386</v>
      </c>
      <c r="S151" s="10">
        <v>77.154786758127003</v>
      </c>
      <c r="T151" s="15">
        <v>80</v>
      </c>
      <c r="U151" s="15">
        <v>0</v>
      </c>
      <c r="V151" s="15">
        <v>0</v>
      </c>
      <c r="W151" s="15">
        <v>1</v>
      </c>
      <c r="X151" s="15">
        <f>IF(O151='Udvaskning nøgletal'!$D$65,1,IF(O151='Udvaskning nøgletal'!$D$66,2,IF(O151='Udvaskning nøgletal'!$D$67,3,IF(O151='Udvaskning nøgletal'!$D$68,2,""))))</f>
        <v>1</v>
      </c>
      <c r="Y151" s="15">
        <f>LOOKUP(K151,'Udvaskning nøgletal'!$C$12:$C$60,'Udvaskning nøgletal'!$H$12:$H$60)</f>
        <v>0</v>
      </c>
      <c r="Z151" s="10">
        <f>IF(X151=1,LOOKUP(K151,'Udvaskning nøgletal'!$C$12:$C$60,'Udvaskning nøgletal'!$E$12:$E$60)+Markniveau!Y151*Markniveau!S151/100,IF(X151=2,LOOKUP(K151,'Udvaskning nøgletal'!$C$12:$C$60,'Udvaskning nøgletal'!$F$12:$F$60)+Markniveau!Y151*Markniveau!S151/100,IF(X151=3,LOOKUP(K151,'Udvaskning nøgletal'!$C$12:$C$60,'Udvaskning nøgletal'!G161:G209)+Markniveau!Y151*Markniveau!S151/100,"")))</f>
        <v>33.723295792149436</v>
      </c>
      <c r="AA151" s="10">
        <f t="shared" si="26"/>
        <v>167.60478008698269</v>
      </c>
      <c r="AB151" s="10" t="str">
        <f t="shared" si="25"/>
        <v/>
      </c>
      <c r="AC151" s="10" t="str">
        <f t="shared" si="27"/>
        <v/>
      </c>
      <c r="AD151" s="10">
        <f>IF(AND(Q151&gt;0,Q151&lt;30,K151&lt;8),Markniveau!Z151*'Udvaskning nøgletal'!$I$12/100,IF(AND(Q151&gt;0,Q151&lt;30,K151=216),Markniveau!Z151*'Udvaskning nøgletal'!$I$34/100,Markniveau!Z151))</f>
        <v>33.723295792149436</v>
      </c>
      <c r="AE151" s="10">
        <f t="shared" si="33"/>
        <v>167.60478008698269</v>
      </c>
      <c r="AF151" s="10" t="str">
        <f t="shared" si="28"/>
        <v/>
      </c>
      <c r="AG151" s="10" t="str">
        <f t="shared" si="34"/>
        <v/>
      </c>
      <c r="AH151" s="10" t="str">
        <f>IF(AND(Q151&gt;0,Q151&lt;30,K151=216),'Udvaskning nøgletal'!$C$42,IF(AND(Q151&gt;0,Q151&lt;30,K151&gt;7,K151&lt;17),'Udvaskning nøgletal'!$C$61,IF(AND(Q151&gt;0,Q151&lt;30,K151&lt;7),'Udvaskning nøgletal'!$C$62,"")))</f>
        <v/>
      </c>
      <c r="AI151" s="10">
        <f t="shared" si="30"/>
        <v>260</v>
      </c>
      <c r="AJ151" s="10">
        <f>IF($X151=1,LOOKUP(AI151,'Udvaskning nøgletal'!$C$12:$C$62,'Udvaskning nøgletal'!$E$12:$E$62)+Markniveau!$Y151*Markniveau!$S151/100,IF($X151=2,LOOKUP(AI151,'Udvaskning nøgletal'!$C$12:$C$62,'Udvaskning nøgletal'!$F$12:$F$62)+Markniveau!$Y151*Markniveau!$S151/100,IF($X151=3,LOOKUP(AI151,'Udvaskning nøgletal'!$C$12:$C$62,'Udvaskning nøgletal'!Q161:Q211)+Markniveau!$Y151*Markniveau!$S151/100,"")))</f>
        <v>33.723295792149436</v>
      </c>
      <c r="AK151" s="10">
        <f t="shared" si="29"/>
        <v>167.60478008698269</v>
      </c>
      <c r="AL151" s="10" t="str">
        <f t="shared" si="31"/>
        <v/>
      </c>
      <c r="AM151" s="10" t="str">
        <f t="shared" si="32"/>
        <v/>
      </c>
    </row>
    <row r="152" spans="1:39" x14ac:dyDescent="0.25">
      <c r="A152" s="15">
        <v>13452601</v>
      </c>
      <c r="B152" s="15">
        <v>6.84</v>
      </c>
      <c r="C152" s="15">
        <v>436776</v>
      </c>
      <c r="D152" s="15">
        <v>15484</v>
      </c>
      <c r="E152" s="15" t="s">
        <v>181</v>
      </c>
      <c r="F152" s="15">
        <v>2011</v>
      </c>
      <c r="G152" s="15">
        <v>20110216</v>
      </c>
      <c r="H152" s="15">
        <v>30085</v>
      </c>
      <c r="I152" s="15">
        <v>3.01</v>
      </c>
      <c r="J152" s="6" t="s">
        <v>97</v>
      </c>
      <c r="K152" s="15">
        <v>260</v>
      </c>
      <c r="L152" s="15" t="s">
        <v>45</v>
      </c>
      <c r="M152" s="15" t="s">
        <v>5</v>
      </c>
      <c r="N152" s="11" t="s">
        <v>1384</v>
      </c>
      <c r="O152" s="11" t="s">
        <v>28</v>
      </c>
      <c r="P152" s="11" t="s">
        <v>33</v>
      </c>
      <c r="Q152" s="15">
        <v>0</v>
      </c>
      <c r="R152" s="11" t="s">
        <v>1386</v>
      </c>
      <c r="S152" s="10">
        <v>77.154786758127003</v>
      </c>
      <c r="T152" s="15">
        <v>80</v>
      </c>
      <c r="U152" s="15">
        <v>0</v>
      </c>
      <c r="V152" s="15">
        <v>0</v>
      </c>
      <c r="W152" s="15">
        <v>1</v>
      </c>
      <c r="X152" s="15">
        <f>IF(O152='Udvaskning nøgletal'!$D$65,1,IF(O152='Udvaskning nøgletal'!$D$66,2,IF(O152='Udvaskning nøgletal'!$D$67,3,IF(O152='Udvaskning nøgletal'!$D$68,2,""))))</f>
        <v>1</v>
      </c>
      <c r="Y152" s="15">
        <f>LOOKUP(K152,'Udvaskning nøgletal'!$C$12:$C$60,'Udvaskning nøgletal'!$H$12:$H$60)</f>
        <v>0</v>
      </c>
      <c r="Z152" s="10">
        <f>IF(X152=1,LOOKUP(K152,'Udvaskning nøgletal'!$C$12:$C$60,'Udvaskning nøgletal'!$E$12:$E$60)+Markniveau!Y152*Markniveau!S152/100,IF(X152=2,LOOKUP(K152,'Udvaskning nøgletal'!$C$12:$C$60,'Udvaskning nøgletal'!$F$12:$F$60)+Markniveau!Y152*Markniveau!S152/100,IF(X152=3,LOOKUP(K152,'Udvaskning nøgletal'!$C$12:$C$60,'Udvaskning nøgletal'!G162:G210)+Markniveau!Y152*Markniveau!S152/100,"")))</f>
        <v>33.723295792149436</v>
      </c>
      <c r="AA152" s="10">
        <f t="shared" si="26"/>
        <v>101.5071203343698</v>
      </c>
      <c r="AB152" s="10" t="str">
        <f t="shared" si="25"/>
        <v/>
      </c>
      <c r="AC152" s="10" t="str">
        <f t="shared" si="27"/>
        <v/>
      </c>
      <c r="AD152" s="10">
        <f>IF(AND(Q152&gt;0,Q152&lt;30,K152&lt;8),Markniveau!Z152*'Udvaskning nøgletal'!$I$12/100,IF(AND(Q152&gt;0,Q152&lt;30,K152=216),Markniveau!Z152*'Udvaskning nøgletal'!$I$34/100,Markniveau!Z152))</f>
        <v>33.723295792149436</v>
      </c>
      <c r="AE152" s="10">
        <f t="shared" si="33"/>
        <v>101.5071203343698</v>
      </c>
      <c r="AF152" s="10" t="str">
        <f t="shared" si="28"/>
        <v/>
      </c>
      <c r="AG152" s="10" t="str">
        <f t="shared" si="34"/>
        <v/>
      </c>
      <c r="AH152" s="10" t="str">
        <f>IF(AND(Q152&gt;0,Q152&lt;30,K152=216),'Udvaskning nøgletal'!$C$42,IF(AND(Q152&gt;0,Q152&lt;30,K152&gt;7,K152&lt;17),'Udvaskning nøgletal'!$C$61,IF(AND(Q152&gt;0,Q152&lt;30,K152&lt;7),'Udvaskning nøgletal'!$C$62,"")))</f>
        <v/>
      </c>
      <c r="AI152" s="10">
        <f t="shared" si="30"/>
        <v>260</v>
      </c>
      <c r="AJ152" s="10">
        <f>IF($X152=1,LOOKUP(AI152,'Udvaskning nøgletal'!$C$12:$C$62,'Udvaskning nøgletal'!$E$12:$E$62)+Markniveau!$Y152*Markniveau!$S152/100,IF($X152=2,LOOKUP(AI152,'Udvaskning nøgletal'!$C$12:$C$62,'Udvaskning nøgletal'!$F$12:$F$62)+Markniveau!$Y152*Markniveau!$S152/100,IF($X152=3,LOOKUP(AI152,'Udvaskning nøgletal'!$C$12:$C$62,'Udvaskning nøgletal'!Q162:Q212)+Markniveau!$Y152*Markniveau!$S152/100,"")))</f>
        <v>33.723295792149436</v>
      </c>
      <c r="AK152" s="10">
        <f t="shared" si="29"/>
        <v>101.5071203343698</v>
      </c>
      <c r="AL152" s="10" t="str">
        <f t="shared" si="31"/>
        <v/>
      </c>
      <c r="AM152" s="10" t="str">
        <f t="shared" si="32"/>
        <v/>
      </c>
    </row>
    <row r="153" spans="1:39" x14ac:dyDescent="0.25">
      <c r="A153" s="15">
        <v>13452601</v>
      </c>
      <c r="B153" s="15">
        <v>6.84</v>
      </c>
      <c r="C153" s="15">
        <v>436777</v>
      </c>
      <c r="D153" s="15">
        <v>15484</v>
      </c>
      <c r="E153" s="15" t="s">
        <v>181</v>
      </c>
      <c r="F153" s="15">
        <v>2011</v>
      </c>
      <c r="G153" s="15">
        <v>20110216</v>
      </c>
      <c r="H153" s="15">
        <v>27640</v>
      </c>
      <c r="I153" s="15">
        <v>2.76</v>
      </c>
      <c r="J153" s="6" t="s">
        <v>31</v>
      </c>
      <c r="K153" s="15">
        <v>260</v>
      </c>
      <c r="L153" s="15" t="s">
        <v>45</v>
      </c>
      <c r="M153" s="15" t="s">
        <v>5</v>
      </c>
      <c r="N153" s="11" t="s">
        <v>1384</v>
      </c>
      <c r="O153" s="11" t="s">
        <v>28</v>
      </c>
      <c r="P153" s="11" t="s">
        <v>33</v>
      </c>
      <c r="Q153" s="15">
        <v>0</v>
      </c>
      <c r="R153" s="11" t="s">
        <v>1386</v>
      </c>
      <c r="S153" s="10">
        <v>77.154786758127003</v>
      </c>
      <c r="T153" s="15">
        <v>80</v>
      </c>
      <c r="U153" s="15">
        <v>0</v>
      </c>
      <c r="V153" s="15">
        <v>0</v>
      </c>
      <c r="W153" s="15">
        <v>1</v>
      </c>
      <c r="X153" s="15">
        <f>IF(O153='Udvaskning nøgletal'!$D$65,1,IF(O153='Udvaskning nøgletal'!$D$66,2,IF(O153='Udvaskning nøgletal'!$D$67,3,IF(O153='Udvaskning nøgletal'!$D$68,2,""))))</f>
        <v>1</v>
      </c>
      <c r="Y153" s="15">
        <f>LOOKUP(K153,'Udvaskning nøgletal'!$C$12:$C$60,'Udvaskning nøgletal'!$H$12:$H$60)</f>
        <v>0</v>
      </c>
      <c r="Z153" s="10">
        <f>IF(X153=1,LOOKUP(K153,'Udvaskning nøgletal'!$C$12:$C$60,'Udvaskning nøgletal'!$E$12:$E$60)+Markniveau!Y153*Markniveau!S153/100,IF(X153=2,LOOKUP(K153,'Udvaskning nøgletal'!$C$12:$C$60,'Udvaskning nøgletal'!$F$12:$F$60)+Markniveau!Y153*Markniveau!S153/100,IF(X153=3,LOOKUP(K153,'Udvaskning nøgletal'!$C$12:$C$60,'Udvaskning nøgletal'!G163:G211)+Markniveau!Y153*Markniveau!S153/100,"")))</f>
        <v>33.723295792149436</v>
      </c>
      <c r="AA153" s="10">
        <f t="shared" si="26"/>
        <v>93.07629638633243</v>
      </c>
      <c r="AB153" s="10" t="str">
        <f t="shared" si="25"/>
        <v/>
      </c>
      <c r="AC153" s="10" t="str">
        <f t="shared" si="27"/>
        <v/>
      </c>
      <c r="AD153" s="10">
        <f>IF(AND(Q153&gt;0,Q153&lt;30,K153&lt;8),Markniveau!Z153*'Udvaskning nøgletal'!$I$12/100,IF(AND(Q153&gt;0,Q153&lt;30,K153=216),Markniveau!Z153*'Udvaskning nøgletal'!$I$34/100,Markniveau!Z153))</f>
        <v>33.723295792149436</v>
      </c>
      <c r="AE153" s="10">
        <f t="shared" si="33"/>
        <v>93.07629638633243</v>
      </c>
      <c r="AF153" s="10" t="str">
        <f t="shared" si="28"/>
        <v/>
      </c>
      <c r="AG153" s="10" t="str">
        <f t="shared" si="34"/>
        <v/>
      </c>
      <c r="AH153" s="10" t="str">
        <f>IF(AND(Q153&gt;0,Q153&lt;30,K153=216),'Udvaskning nøgletal'!$C$42,IF(AND(Q153&gt;0,Q153&lt;30,K153&gt;7,K153&lt;17),'Udvaskning nøgletal'!$C$61,IF(AND(Q153&gt;0,Q153&lt;30,K153&lt;7),'Udvaskning nøgletal'!$C$62,"")))</f>
        <v/>
      </c>
      <c r="AI153" s="10">
        <f t="shared" si="30"/>
        <v>260</v>
      </c>
      <c r="AJ153" s="10">
        <f>IF($X153=1,LOOKUP(AI153,'Udvaskning nøgletal'!$C$12:$C$62,'Udvaskning nøgletal'!$E$12:$E$62)+Markniveau!$Y153*Markniveau!$S153/100,IF($X153=2,LOOKUP(AI153,'Udvaskning nøgletal'!$C$12:$C$62,'Udvaskning nøgletal'!$F$12:$F$62)+Markniveau!$Y153*Markniveau!$S153/100,IF($X153=3,LOOKUP(AI153,'Udvaskning nøgletal'!$C$12:$C$62,'Udvaskning nøgletal'!Q163:Q213)+Markniveau!$Y153*Markniveau!$S153/100,"")))</f>
        <v>33.723295792149436</v>
      </c>
      <c r="AK153" s="10">
        <f t="shared" si="29"/>
        <v>93.07629638633243</v>
      </c>
      <c r="AL153" s="10" t="str">
        <f t="shared" si="31"/>
        <v/>
      </c>
      <c r="AM153" s="10" t="str">
        <f t="shared" si="32"/>
        <v/>
      </c>
    </row>
    <row r="154" spans="1:39" x14ac:dyDescent="0.25">
      <c r="A154" s="15">
        <v>13452601</v>
      </c>
      <c r="B154" s="15">
        <v>6.84</v>
      </c>
      <c r="C154" s="15">
        <v>436778</v>
      </c>
      <c r="D154" s="15">
        <v>15484</v>
      </c>
      <c r="E154" s="15" t="s">
        <v>181</v>
      </c>
      <c r="F154" s="15">
        <v>2011</v>
      </c>
      <c r="G154" s="15">
        <v>20110216</v>
      </c>
      <c r="H154" s="15">
        <v>51731</v>
      </c>
      <c r="I154" s="15">
        <v>5.17</v>
      </c>
      <c r="J154" s="6" t="s">
        <v>37</v>
      </c>
      <c r="K154" s="15">
        <v>260</v>
      </c>
      <c r="L154" s="15" t="s">
        <v>45</v>
      </c>
      <c r="M154" s="15" t="s">
        <v>5</v>
      </c>
      <c r="N154" s="11" t="s">
        <v>1384</v>
      </c>
      <c r="O154" s="11" t="s">
        <v>28</v>
      </c>
      <c r="P154" s="11" t="s">
        <v>33</v>
      </c>
      <c r="Q154" s="15">
        <v>0</v>
      </c>
      <c r="R154" s="11" t="s">
        <v>1386</v>
      </c>
      <c r="S154" s="10">
        <v>77.154786758127003</v>
      </c>
      <c r="T154" s="15">
        <v>80</v>
      </c>
      <c r="U154" s="15">
        <v>0</v>
      </c>
      <c r="V154" s="15">
        <v>0</v>
      </c>
      <c r="W154" s="15">
        <v>1</v>
      </c>
      <c r="X154" s="15">
        <f>IF(O154='Udvaskning nøgletal'!$D$65,1,IF(O154='Udvaskning nøgletal'!$D$66,2,IF(O154='Udvaskning nøgletal'!$D$67,3,IF(O154='Udvaskning nøgletal'!$D$68,2,""))))</f>
        <v>1</v>
      </c>
      <c r="Y154" s="15">
        <f>LOOKUP(K154,'Udvaskning nøgletal'!$C$12:$C$60,'Udvaskning nøgletal'!$H$12:$H$60)</f>
        <v>0</v>
      </c>
      <c r="Z154" s="10">
        <f>IF(X154=1,LOOKUP(K154,'Udvaskning nøgletal'!$C$12:$C$60,'Udvaskning nøgletal'!$E$12:$E$60)+Markniveau!Y154*Markniveau!S154/100,IF(X154=2,LOOKUP(K154,'Udvaskning nøgletal'!$C$12:$C$60,'Udvaskning nøgletal'!$F$12:$F$60)+Markniveau!Y154*Markniveau!S154/100,IF(X154=3,LOOKUP(K154,'Udvaskning nøgletal'!$C$12:$C$60,'Udvaskning nøgletal'!G164:G212)+Markniveau!Y154*Markniveau!S154/100,"")))</f>
        <v>33.723295792149436</v>
      </c>
      <c r="AA154" s="10">
        <f t="shared" si="26"/>
        <v>174.34943924541258</v>
      </c>
      <c r="AB154" s="10" t="str">
        <f t="shared" si="25"/>
        <v/>
      </c>
      <c r="AC154" s="10" t="str">
        <f t="shared" si="27"/>
        <v/>
      </c>
      <c r="AD154" s="10">
        <f>IF(AND(Q154&gt;0,Q154&lt;30,K154&lt;8),Markniveau!Z154*'Udvaskning nøgletal'!$I$12/100,IF(AND(Q154&gt;0,Q154&lt;30,K154=216),Markniveau!Z154*'Udvaskning nøgletal'!$I$34/100,Markniveau!Z154))</f>
        <v>33.723295792149436</v>
      </c>
      <c r="AE154" s="10">
        <f t="shared" si="33"/>
        <v>174.34943924541258</v>
      </c>
      <c r="AF154" s="10" t="str">
        <f t="shared" si="28"/>
        <v/>
      </c>
      <c r="AG154" s="10" t="str">
        <f t="shared" si="34"/>
        <v/>
      </c>
      <c r="AH154" s="10" t="str">
        <f>IF(AND(Q154&gt;0,Q154&lt;30,K154=216),'Udvaskning nøgletal'!$C$42,IF(AND(Q154&gt;0,Q154&lt;30,K154&gt;7,K154&lt;17),'Udvaskning nøgletal'!$C$61,IF(AND(Q154&gt;0,Q154&lt;30,K154&lt;7),'Udvaskning nøgletal'!$C$62,"")))</f>
        <v/>
      </c>
      <c r="AI154" s="10">
        <f t="shared" si="30"/>
        <v>260</v>
      </c>
      <c r="AJ154" s="10">
        <f>IF($X154=1,LOOKUP(AI154,'Udvaskning nøgletal'!$C$12:$C$62,'Udvaskning nøgletal'!$E$12:$E$62)+Markniveau!$Y154*Markniveau!$S154/100,IF($X154=2,LOOKUP(AI154,'Udvaskning nøgletal'!$C$12:$C$62,'Udvaskning nøgletal'!$F$12:$F$62)+Markniveau!$Y154*Markniveau!$S154/100,IF($X154=3,LOOKUP(AI154,'Udvaskning nøgletal'!$C$12:$C$62,'Udvaskning nøgletal'!Q164:Q214)+Markniveau!$Y154*Markniveau!$S154/100,"")))</f>
        <v>33.723295792149436</v>
      </c>
      <c r="AK154" s="10">
        <f t="shared" si="29"/>
        <v>174.34943924541258</v>
      </c>
      <c r="AL154" s="10" t="str">
        <f t="shared" si="31"/>
        <v/>
      </c>
      <c r="AM154" s="10" t="str">
        <f t="shared" si="32"/>
        <v/>
      </c>
    </row>
    <row r="155" spans="1:39" x14ac:dyDescent="0.25">
      <c r="A155" s="15">
        <v>13452601</v>
      </c>
      <c r="B155" s="15">
        <v>6.84</v>
      </c>
      <c r="C155" s="15">
        <v>437307</v>
      </c>
      <c r="D155" s="15">
        <v>15484</v>
      </c>
      <c r="E155" s="15" t="s">
        <v>178</v>
      </c>
      <c r="F155" s="15">
        <v>2011</v>
      </c>
      <c r="G155" s="15">
        <v>20110216</v>
      </c>
      <c r="H155" s="15">
        <v>4121</v>
      </c>
      <c r="I155" s="15">
        <v>0.41</v>
      </c>
      <c r="J155" s="6" t="s">
        <v>136</v>
      </c>
      <c r="K155" s="15">
        <v>254</v>
      </c>
      <c r="L155" s="15" t="s">
        <v>27</v>
      </c>
      <c r="M155" s="15" t="s">
        <v>4</v>
      </c>
      <c r="N155" s="11" t="s">
        <v>1390</v>
      </c>
      <c r="O155" s="11" t="s">
        <v>42</v>
      </c>
      <c r="P155" s="11" t="s">
        <v>33</v>
      </c>
      <c r="Q155" s="15">
        <v>0</v>
      </c>
      <c r="R155" s="11" t="s">
        <v>1386</v>
      </c>
      <c r="S155" s="10">
        <v>77.154786758127003</v>
      </c>
      <c r="T155" s="15">
        <v>80</v>
      </c>
      <c r="U155" s="15">
        <v>0</v>
      </c>
      <c r="V155" s="15">
        <v>0</v>
      </c>
      <c r="W155" s="15">
        <v>1</v>
      </c>
      <c r="X155" s="15">
        <f>IF(O155='Udvaskning nøgletal'!$D$65,1,IF(O155='Udvaskning nøgletal'!$D$66,2,IF(O155='Udvaskning nøgletal'!$D$67,3,IF(O155='Udvaskning nøgletal'!$D$68,2,""))))</f>
        <v>2</v>
      </c>
      <c r="Y155" s="15">
        <f>LOOKUP(K155,'Udvaskning nøgletal'!$C$12:$C$60,'Udvaskning nøgletal'!$H$12:$H$60)</f>
        <v>0</v>
      </c>
      <c r="Z155" s="10">
        <f>IF(X155=1,LOOKUP(K155,'Udvaskning nøgletal'!$C$12:$C$60,'Udvaskning nøgletal'!$E$12:$E$60)+Markniveau!Y155*Markniveau!S155/100,IF(X155=2,LOOKUP(K155,'Udvaskning nøgletal'!$C$12:$C$60,'Udvaskning nøgletal'!$F$12:$F$60)+Markniveau!Y155*Markniveau!S155/100,IF(X155=3,LOOKUP(K155,'Udvaskning nøgletal'!$C$12:$C$60,'Udvaskning nøgletal'!G165:G213)+Markniveau!Y155*Markniveau!S155/100,"")))</f>
        <v>21.2</v>
      </c>
      <c r="AA155" s="10">
        <f t="shared" si="26"/>
        <v>8.6919999999999984</v>
      </c>
      <c r="AB155" s="10" t="str">
        <f t="shared" si="25"/>
        <v/>
      </c>
      <c r="AC155" s="10" t="str">
        <f t="shared" si="27"/>
        <v/>
      </c>
      <c r="AD155" s="10">
        <f>IF(AND(Q155&gt;0,Q155&lt;30,K155&lt;8),Markniveau!Z155*'Udvaskning nøgletal'!$I$12/100,IF(AND(Q155&gt;0,Q155&lt;30,K155=216),Markniveau!Z155*'Udvaskning nøgletal'!$I$34/100,Markniveau!Z155))</f>
        <v>21.2</v>
      </c>
      <c r="AE155" s="10">
        <f t="shared" si="33"/>
        <v>8.6919999999999984</v>
      </c>
      <c r="AF155" s="10" t="str">
        <f t="shared" si="28"/>
        <v/>
      </c>
      <c r="AG155" s="10" t="str">
        <f t="shared" si="34"/>
        <v/>
      </c>
      <c r="AH155" s="10" t="str">
        <f>IF(AND(Q155&gt;0,Q155&lt;30,K155=216),'Udvaskning nøgletal'!$C$42,IF(AND(Q155&gt;0,Q155&lt;30,K155&gt;7,K155&lt;17),'Udvaskning nøgletal'!$C$61,IF(AND(Q155&gt;0,Q155&lt;30,K155&lt;7),'Udvaskning nøgletal'!$C$62,"")))</f>
        <v/>
      </c>
      <c r="AI155" s="10">
        <f t="shared" si="30"/>
        <v>254</v>
      </c>
      <c r="AJ155" s="10">
        <f>IF($X155=1,LOOKUP(AI155,'Udvaskning nøgletal'!$C$12:$C$62,'Udvaskning nøgletal'!$E$12:$E$62)+Markniveau!$Y155*Markniveau!$S155/100,IF($X155=2,LOOKUP(AI155,'Udvaskning nøgletal'!$C$12:$C$62,'Udvaskning nøgletal'!$F$12:$F$62)+Markniveau!$Y155*Markniveau!$S155/100,IF($X155=3,LOOKUP(AI155,'Udvaskning nøgletal'!$C$12:$C$62,'Udvaskning nøgletal'!Q165:Q215)+Markniveau!$Y155*Markniveau!$S155/100,"")))</f>
        <v>21.2</v>
      </c>
      <c r="AK155" s="10">
        <f t="shared" si="29"/>
        <v>8.6919999999999984</v>
      </c>
      <c r="AL155" s="10" t="str">
        <f t="shared" si="31"/>
        <v/>
      </c>
      <c r="AM155" s="10" t="str">
        <f t="shared" si="32"/>
        <v/>
      </c>
    </row>
    <row r="156" spans="1:39" x14ac:dyDescent="0.25">
      <c r="A156" s="15">
        <v>13452601</v>
      </c>
      <c r="B156" s="15">
        <v>6.84</v>
      </c>
      <c r="C156" s="15">
        <v>437308</v>
      </c>
      <c r="D156" s="15">
        <v>15484</v>
      </c>
      <c r="E156" s="15" t="s">
        <v>178</v>
      </c>
      <c r="F156" s="15">
        <v>2011</v>
      </c>
      <c r="G156" s="15">
        <v>20110216</v>
      </c>
      <c r="H156" s="15">
        <v>25070</v>
      </c>
      <c r="I156" s="15">
        <v>2.5099999999999998</v>
      </c>
      <c r="J156" s="6" t="s">
        <v>196</v>
      </c>
      <c r="K156" s="15">
        <v>318</v>
      </c>
      <c r="L156" s="15" t="s">
        <v>171</v>
      </c>
      <c r="M156" s="15" t="s">
        <v>13</v>
      </c>
      <c r="N156" s="11" t="s">
        <v>1390</v>
      </c>
      <c r="O156" s="11" t="s">
        <v>42</v>
      </c>
      <c r="P156" s="11" t="s">
        <v>33</v>
      </c>
      <c r="Q156" s="15">
        <v>0</v>
      </c>
      <c r="R156" s="11" t="s">
        <v>1386</v>
      </c>
      <c r="S156" s="10">
        <v>77.154786758127003</v>
      </c>
      <c r="T156" s="15">
        <v>80</v>
      </c>
      <c r="U156" s="15">
        <v>0</v>
      </c>
      <c r="V156" s="15">
        <v>0</v>
      </c>
      <c r="W156" s="15">
        <v>1</v>
      </c>
      <c r="X156" s="15">
        <f>IF(O156='Udvaskning nøgletal'!$D$65,1,IF(O156='Udvaskning nøgletal'!$D$66,2,IF(O156='Udvaskning nøgletal'!$D$67,3,IF(O156='Udvaskning nøgletal'!$D$68,2,""))))</f>
        <v>2</v>
      </c>
      <c r="Y156" s="15">
        <f>LOOKUP(K156,'Udvaskning nøgletal'!$C$12:$C$60,'Udvaskning nøgletal'!$H$12:$H$60)</f>
        <v>0</v>
      </c>
      <c r="Z156" s="10">
        <f>IF(X156=1,LOOKUP(K156,'Udvaskning nøgletal'!$C$12:$C$60,'Udvaskning nøgletal'!$E$12:$E$60)+Markniveau!Y156*Markniveau!S156/100,IF(X156=2,LOOKUP(K156,'Udvaskning nøgletal'!$C$12:$C$60,'Udvaskning nøgletal'!$F$12:$F$60)+Markniveau!Y156*Markniveau!S156/100,IF(X156=3,LOOKUP(K156,'Udvaskning nøgletal'!$C$12:$C$60,'Udvaskning nøgletal'!G166:G214)+Markniveau!Y156*Markniveau!S156/100,"")))</f>
        <v>10</v>
      </c>
      <c r="AA156" s="10">
        <f t="shared" si="26"/>
        <v>25.099999999999998</v>
      </c>
      <c r="AB156" s="10" t="str">
        <f t="shared" si="25"/>
        <v/>
      </c>
      <c r="AC156" s="10" t="str">
        <f t="shared" si="27"/>
        <v/>
      </c>
      <c r="AD156" s="10">
        <f>IF(AND(Q156&gt;0,Q156&lt;30,K156&lt;8),Markniveau!Z156*'Udvaskning nøgletal'!$I$12/100,IF(AND(Q156&gt;0,Q156&lt;30,K156=216),Markniveau!Z156*'Udvaskning nøgletal'!$I$34/100,Markniveau!Z156))</f>
        <v>10</v>
      </c>
      <c r="AE156" s="10">
        <f t="shared" si="33"/>
        <v>25.099999999999998</v>
      </c>
      <c r="AF156" s="10" t="str">
        <f t="shared" si="28"/>
        <v/>
      </c>
      <c r="AG156" s="10" t="str">
        <f t="shared" si="34"/>
        <v/>
      </c>
      <c r="AH156" s="10" t="str">
        <f>IF(AND(Q156&gt;0,Q156&lt;30,K156=216),'Udvaskning nøgletal'!$C$42,IF(AND(Q156&gt;0,Q156&lt;30,K156&gt;7,K156&lt;17),'Udvaskning nøgletal'!$C$61,IF(AND(Q156&gt;0,Q156&lt;30,K156&lt;7),'Udvaskning nøgletal'!$C$62,"")))</f>
        <v/>
      </c>
      <c r="AI156" s="10">
        <f t="shared" si="30"/>
        <v>318</v>
      </c>
      <c r="AJ156" s="10">
        <f>IF($X156=1,LOOKUP(AI156,'Udvaskning nøgletal'!$C$12:$C$62,'Udvaskning nøgletal'!$E$12:$E$62)+Markniveau!$Y156*Markniveau!$S156/100,IF($X156=2,LOOKUP(AI156,'Udvaskning nøgletal'!$C$12:$C$62,'Udvaskning nøgletal'!$F$12:$F$62)+Markniveau!$Y156*Markniveau!$S156/100,IF($X156=3,LOOKUP(AI156,'Udvaskning nøgletal'!$C$12:$C$62,'Udvaskning nøgletal'!Q166:Q216)+Markniveau!$Y156*Markniveau!$S156/100,"")))</f>
        <v>10</v>
      </c>
      <c r="AK156" s="10">
        <f t="shared" si="29"/>
        <v>25.099999999999998</v>
      </c>
      <c r="AL156" s="10" t="str">
        <f t="shared" si="31"/>
        <v/>
      </c>
      <c r="AM156" s="10" t="str">
        <f t="shared" si="32"/>
        <v/>
      </c>
    </row>
    <row r="157" spans="1:39" x14ac:dyDescent="0.25">
      <c r="A157" s="15">
        <v>13452601</v>
      </c>
      <c r="B157" s="15">
        <v>6.84</v>
      </c>
      <c r="C157" s="15">
        <v>437309</v>
      </c>
      <c r="D157" s="15">
        <v>15484</v>
      </c>
      <c r="E157" s="15" t="s">
        <v>197</v>
      </c>
      <c r="F157" s="15">
        <v>2011</v>
      </c>
      <c r="G157" s="15">
        <v>20110216</v>
      </c>
      <c r="H157" s="15">
        <v>22461</v>
      </c>
      <c r="I157" s="15">
        <v>2.25</v>
      </c>
      <c r="J157" s="6" t="s">
        <v>134</v>
      </c>
      <c r="K157" s="15">
        <v>902</v>
      </c>
      <c r="L157" s="15" t="s">
        <v>160</v>
      </c>
      <c r="M157" s="15" t="s">
        <v>81</v>
      </c>
      <c r="N157" s="11" t="s">
        <v>1384</v>
      </c>
      <c r="O157" s="11" t="s">
        <v>28</v>
      </c>
      <c r="P157" s="11" t="s">
        <v>33</v>
      </c>
      <c r="Q157" s="15">
        <v>0</v>
      </c>
      <c r="R157" s="11" t="s">
        <v>1386</v>
      </c>
      <c r="S157" s="10">
        <v>77.154786758127003</v>
      </c>
      <c r="T157" s="15">
        <v>80</v>
      </c>
      <c r="U157" s="15">
        <v>0</v>
      </c>
      <c r="V157" s="15">
        <v>0</v>
      </c>
      <c r="W157" s="15">
        <v>1</v>
      </c>
      <c r="X157" s="15">
        <f>IF(O157='Udvaskning nøgletal'!$D$65,1,IF(O157='Udvaskning nøgletal'!$D$66,2,IF(O157='Udvaskning nøgletal'!$D$67,3,IF(O157='Udvaskning nøgletal'!$D$68,2,""))))</f>
        <v>1</v>
      </c>
      <c r="Y157" s="15">
        <f>LOOKUP(K157,'Udvaskning nøgletal'!$C$12:$C$60,'Udvaskning nøgletal'!$H$12:$H$60)</f>
        <v>0</v>
      </c>
      <c r="Z157" s="10">
        <f>IF(X157=1,LOOKUP(K157,'Udvaskning nøgletal'!$C$12:$C$60,'Udvaskning nøgletal'!$E$12:$E$60)+Markniveau!Y157*Markniveau!S157/100,IF(X157=2,LOOKUP(K157,'Udvaskning nøgletal'!$C$12:$C$60,'Udvaskning nøgletal'!$F$12:$F$60)+Markniveau!Y157*Markniveau!S157/100,IF(X157=3,LOOKUP(K157,'Udvaskning nøgletal'!$C$12:$C$60,'Udvaskning nøgletal'!G167:G215)+Markniveau!Y157*Markniveau!S157/100,"")))</f>
        <v>10</v>
      </c>
      <c r="AA157" s="10">
        <f t="shared" si="26"/>
        <v>22.5</v>
      </c>
      <c r="AB157" s="10" t="str">
        <f t="shared" si="25"/>
        <v/>
      </c>
      <c r="AC157" s="10" t="str">
        <f t="shared" si="27"/>
        <v/>
      </c>
      <c r="AD157" s="10">
        <f>IF(AND(Q157&gt;0,Q157&lt;30,K157&lt;8),Markniveau!Z157*'Udvaskning nøgletal'!$I$12/100,IF(AND(Q157&gt;0,Q157&lt;30,K157=216),Markniveau!Z157*'Udvaskning nøgletal'!$I$34/100,Markniveau!Z157))</f>
        <v>10</v>
      </c>
      <c r="AE157" s="10">
        <f t="shared" si="33"/>
        <v>22.5</v>
      </c>
      <c r="AF157" s="10" t="str">
        <f t="shared" si="28"/>
        <v/>
      </c>
      <c r="AG157" s="10" t="str">
        <f t="shared" si="34"/>
        <v/>
      </c>
      <c r="AH157" s="10" t="str">
        <f>IF(AND(Q157&gt;0,Q157&lt;30,K157=216),'Udvaskning nøgletal'!$C$42,IF(AND(Q157&gt;0,Q157&lt;30,K157&gt;7,K157&lt;17),'Udvaskning nøgletal'!$C$61,IF(AND(Q157&gt;0,Q157&lt;30,K157&lt;7),'Udvaskning nøgletal'!$C$62,"")))</f>
        <v/>
      </c>
      <c r="AI157" s="10">
        <f t="shared" si="30"/>
        <v>902</v>
      </c>
      <c r="AJ157" s="10">
        <f>IF($X157=1,LOOKUP(AI157,'Udvaskning nøgletal'!$C$12:$C$62,'Udvaskning nøgletal'!$E$12:$E$62)+Markniveau!$Y157*Markniveau!$S157/100,IF($X157=2,LOOKUP(AI157,'Udvaskning nøgletal'!$C$12:$C$62,'Udvaskning nøgletal'!$F$12:$F$62)+Markniveau!$Y157*Markniveau!$S157/100,IF($X157=3,LOOKUP(AI157,'Udvaskning nøgletal'!$C$12:$C$62,'Udvaskning nøgletal'!Q167:Q217)+Markniveau!$Y157*Markniveau!$S157/100,"")))</f>
        <v>10</v>
      </c>
      <c r="AK157" s="10">
        <f t="shared" si="29"/>
        <v>22.5</v>
      </c>
      <c r="AL157" s="10" t="str">
        <f t="shared" si="31"/>
        <v/>
      </c>
      <c r="AM157" s="10" t="str">
        <f t="shared" si="32"/>
        <v/>
      </c>
    </row>
    <row r="158" spans="1:39" x14ac:dyDescent="0.25">
      <c r="A158" s="15">
        <v>13452601</v>
      </c>
      <c r="B158" s="15">
        <v>6.84</v>
      </c>
      <c r="C158" s="15">
        <v>437310</v>
      </c>
      <c r="D158" s="15">
        <v>15484</v>
      </c>
      <c r="E158" s="15" t="s">
        <v>198</v>
      </c>
      <c r="F158" s="15">
        <v>2011</v>
      </c>
      <c r="G158" s="15">
        <v>20110216</v>
      </c>
      <c r="H158" s="15">
        <v>27786</v>
      </c>
      <c r="I158" s="15">
        <v>2.78</v>
      </c>
      <c r="J158" s="6" t="s">
        <v>199</v>
      </c>
      <c r="K158" s="15">
        <v>3</v>
      </c>
      <c r="L158" s="15" t="s">
        <v>114</v>
      </c>
      <c r="M158" s="15" t="s">
        <v>5</v>
      </c>
      <c r="N158" s="11" t="s">
        <v>1406</v>
      </c>
      <c r="O158" s="11" t="s">
        <v>46</v>
      </c>
      <c r="P158" s="11" t="s">
        <v>33</v>
      </c>
      <c r="Q158" s="15">
        <v>0</v>
      </c>
      <c r="R158" s="11" t="s">
        <v>1386</v>
      </c>
      <c r="S158" s="10">
        <v>77.154786758127003</v>
      </c>
      <c r="T158" s="15">
        <v>80</v>
      </c>
      <c r="U158" s="15">
        <v>0</v>
      </c>
      <c r="V158" s="15">
        <v>0</v>
      </c>
      <c r="W158" s="15">
        <v>1</v>
      </c>
      <c r="X158" s="15">
        <f>IF(O158='Udvaskning nøgletal'!$D$65,1,IF(O158='Udvaskning nøgletal'!$D$66,2,IF(O158='Udvaskning nøgletal'!$D$67,3,IF(O158='Udvaskning nøgletal'!$D$68,2,""))))</f>
        <v>2</v>
      </c>
      <c r="Y158" s="15">
        <f>LOOKUP(K158,'Udvaskning nøgletal'!$C$12:$C$60,'Udvaskning nøgletal'!$H$12:$H$60)</f>
        <v>5</v>
      </c>
      <c r="Z158" s="10">
        <f>IF(X158=1,LOOKUP(K158,'Udvaskning nøgletal'!$C$12:$C$60,'Udvaskning nøgletal'!$E$12:$E$60)+Markniveau!Y158*Markniveau!S158/100,IF(X158=2,LOOKUP(K158,'Udvaskning nøgletal'!$C$12:$C$60,'Udvaskning nøgletal'!$F$12:$F$60)+Markniveau!Y158*Markniveau!S158/100,IF(X158=3,LOOKUP(K158,'Udvaskning nøgletal'!$C$12:$C$60,'Udvaskning nøgletal'!G168:G216)+Markniveau!Y158*Markniveau!S158/100,"")))</f>
        <v>54.737739337906355</v>
      </c>
      <c r="AA158" s="10">
        <f t="shared" si="26"/>
        <v>152.17091535937965</v>
      </c>
      <c r="AB158" s="10" t="str">
        <f t="shared" si="25"/>
        <v/>
      </c>
      <c r="AC158" s="10" t="str">
        <f t="shared" si="27"/>
        <v/>
      </c>
      <c r="AD158" s="10">
        <f>IF(AND(Q158&gt;0,Q158&lt;30,K158&lt;8),Markniveau!Z158*'Udvaskning nøgletal'!$I$12/100,IF(AND(Q158&gt;0,Q158&lt;30,K158=216),Markniveau!Z158*'Udvaskning nøgletal'!$I$34/100,Markniveau!Z158))</f>
        <v>54.737739337906355</v>
      </c>
      <c r="AE158" s="10">
        <f t="shared" si="33"/>
        <v>152.17091535937965</v>
      </c>
      <c r="AF158" s="10" t="str">
        <f t="shared" si="28"/>
        <v/>
      </c>
      <c r="AG158" s="10" t="str">
        <f t="shared" si="34"/>
        <v/>
      </c>
      <c r="AH158" s="10" t="str">
        <f>IF(AND(Q158&gt;0,Q158&lt;30,K158=216),'Udvaskning nøgletal'!$C$42,IF(AND(Q158&gt;0,Q158&lt;30,K158&gt;7,K158&lt;17),'Udvaskning nøgletal'!$C$61,IF(AND(Q158&gt;0,Q158&lt;30,K158&lt;7),'Udvaskning nøgletal'!$C$62,"")))</f>
        <v/>
      </c>
      <c r="AI158" s="10">
        <f t="shared" si="30"/>
        <v>3</v>
      </c>
      <c r="AJ158" s="10">
        <f>IF($X158=1,LOOKUP(AI158,'Udvaskning nøgletal'!$C$12:$C$62,'Udvaskning nøgletal'!$E$12:$E$62)+Markniveau!$Y158*Markniveau!$S158/100,IF($X158=2,LOOKUP(AI158,'Udvaskning nøgletal'!$C$12:$C$62,'Udvaskning nøgletal'!$F$12:$F$62)+Markniveau!$Y158*Markniveau!$S158/100,IF($X158=3,LOOKUP(AI158,'Udvaskning nøgletal'!$C$12:$C$62,'Udvaskning nøgletal'!Q168:Q218)+Markniveau!$Y158*Markniveau!$S158/100,"")))</f>
        <v>54.737739337906355</v>
      </c>
      <c r="AK158" s="10">
        <f t="shared" si="29"/>
        <v>152.17091535937965</v>
      </c>
      <c r="AL158" s="10" t="str">
        <f t="shared" si="31"/>
        <v/>
      </c>
      <c r="AM158" s="10" t="str">
        <f t="shared" si="32"/>
        <v/>
      </c>
    </row>
    <row r="159" spans="1:39" x14ac:dyDescent="0.25">
      <c r="A159" s="15">
        <v>13452601</v>
      </c>
      <c r="B159" s="15">
        <v>6.84</v>
      </c>
      <c r="C159" s="15">
        <v>461226</v>
      </c>
      <c r="D159" s="15">
        <v>15484</v>
      </c>
      <c r="E159" s="15" t="s">
        <v>200</v>
      </c>
      <c r="F159" s="15">
        <v>2011</v>
      </c>
      <c r="G159" s="15">
        <v>20110216</v>
      </c>
      <c r="H159" s="15">
        <v>80091</v>
      </c>
      <c r="I159" s="15">
        <v>8.01</v>
      </c>
      <c r="J159" s="6" t="s">
        <v>26</v>
      </c>
      <c r="K159" s="15">
        <v>3</v>
      </c>
      <c r="L159" s="15" t="s">
        <v>114</v>
      </c>
      <c r="M159" s="15" t="s">
        <v>5</v>
      </c>
      <c r="N159" s="11" t="s">
        <v>1384</v>
      </c>
      <c r="O159" s="11" t="s">
        <v>28</v>
      </c>
      <c r="P159" s="11" t="s">
        <v>33</v>
      </c>
      <c r="Q159" s="15">
        <v>0</v>
      </c>
      <c r="R159" s="11" t="s">
        <v>1386</v>
      </c>
      <c r="S159" s="10">
        <v>77.154786758127003</v>
      </c>
      <c r="T159" s="15">
        <v>80</v>
      </c>
      <c r="U159" s="15">
        <v>0</v>
      </c>
      <c r="V159" s="15">
        <v>0</v>
      </c>
      <c r="W159" s="15">
        <v>1</v>
      </c>
      <c r="X159" s="15">
        <f>IF(O159='Udvaskning nøgletal'!$D$65,1,IF(O159='Udvaskning nøgletal'!$D$66,2,IF(O159='Udvaskning nøgletal'!$D$67,3,IF(O159='Udvaskning nøgletal'!$D$68,2,""))))</f>
        <v>1</v>
      </c>
      <c r="Y159" s="15">
        <f>LOOKUP(K159,'Udvaskning nøgletal'!$C$12:$C$60,'Udvaskning nøgletal'!$H$12:$H$60)</f>
        <v>5</v>
      </c>
      <c r="Z159" s="10">
        <f>IF(X159=1,LOOKUP(K159,'Udvaskning nøgletal'!$C$12:$C$60,'Udvaskning nøgletal'!$E$12:$E$60)+Markniveau!Y159*Markniveau!S159/100,IF(X159=2,LOOKUP(K159,'Udvaskning nøgletal'!$C$12:$C$60,'Udvaskning nøgletal'!$F$12:$F$60)+Markniveau!Y159*Markniveau!S159/100,IF(X159=3,LOOKUP(K159,'Udvaskning nøgletal'!$C$12:$C$60,'Udvaskning nøgletal'!G169:G217)+Markniveau!Y159*Markniveau!S159/100,"")))</f>
        <v>68.517739337906349</v>
      </c>
      <c r="AA159" s="10">
        <f t="shared" si="26"/>
        <v>548.82709209662983</v>
      </c>
      <c r="AB159" s="10" t="str">
        <f t="shared" si="25"/>
        <v/>
      </c>
      <c r="AC159" s="10" t="str">
        <f t="shared" si="27"/>
        <v/>
      </c>
      <c r="AD159" s="10">
        <f>IF(AND(Q159&gt;0,Q159&lt;30,K159&lt;8),Markniveau!Z159*'Udvaskning nøgletal'!$I$12/100,IF(AND(Q159&gt;0,Q159&lt;30,K159=216),Markniveau!Z159*'Udvaskning nøgletal'!$I$34/100,Markniveau!Z159))</f>
        <v>68.517739337906349</v>
      </c>
      <c r="AE159" s="10">
        <f t="shared" si="33"/>
        <v>548.82709209662983</v>
      </c>
      <c r="AF159" s="10" t="str">
        <f t="shared" si="28"/>
        <v/>
      </c>
      <c r="AG159" s="10" t="str">
        <f t="shared" si="34"/>
        <v/>
      </c>
      <c r="AH159" s="10" t="str">
        <f>IF(AND(Q159&gt;0,Q159&lt;30,K159=216),'Udvaskning nøgletal'!$C$42,IF(AND(Q159&gt;0,Q159&lt;30,K159&gt;7,K159&lt;17),'Udvaskning nøgletal'!$C$61,IF(AND(Q159&gt;0,Q159&lt;30,K159&lt;7),'Udvaskning nøgletal'!$C$62,"")))</f>
        <v/>
      </c>
      <c r="AI159" s="10">
        <f t="shared" si="30"/>
        <v>3</v>
      </c>
      <c r="AJ159" s="10">
        <f>IF($X159=1,LOOKUP(AI159,'Udvaskning nøgletal'!$C$12:$C$62,'Udvaskning nøgletal'!$E$12:$E$62)+Markniveau!$Y159*Markniveau!$S159/100,IF($X159=2,LOOKUP(AI159,'Udvaskning nøgletal'!$C$12:$C$62,'Udvaskning nøgletal'!$F$12:$F$62)+Markniveau!$Y159*Markniveau!$S159/100,IF($X159=3,LOOKUP(AI159,'Udvaskning nøgletal'!$C$12:$C$62,'Udvaskning nøgletal'!Q169:Q219)+Markniveau!$Y159*Markniveau!$S159/100,"")))</f>
        <v>68.517739337906349</v>
      </c>
      <c r="AK159" s="10">
        <f t="shared" si="29"/>
        <v>548.82709209662983</v>
      </c>
      <c r="AL159" s="10" t="str">
        <f t="shared" si="31"/>
        <v/>
      </c>
      <c r="AM159" s="10" t="str">
        <f t="shared" si="32"/>
        <v/>
      </c>
    </row>
    <row r="160" spans="1:39" x14ac:dyDescent="0.25">
      <c r="A160" s="15">
        <v>13452601</v>
      </c>
      <c r="B160" s="15">
        <v>6.84</v>
      </c>
      <c r="C160" s="15">
        <v>510949</v>
      </c>
      <c r="D160" s="15">
        <v>15484</v>
      </c>
      <c r="E160" s="15" t="s">
        <v>201</v>
      </c>
      <c r="F160" s="15">
        <v>2011</v>
      </c>
      <c r="G160" s="15">
        <v>20110411</v>
      </c>
      <c r="H160" s="15">
        <v>17112</v>
      </c>
      <c r="I160" s="15">
        <v>1.71</v>
      </c>
      <c r="J160" s="6" t="s">
        <v>60</v>
      </c>
      <c r="K160" s="15">
        <v>318</v>
      </c>
      <c r="L160" s="15" t="s">
        <v>171</v>
      </c>
      <c r="M160" s="15" t="s">
        <v>13</v>
      </c>
      <c r="N160" s="11" t="s">
        <v>1390</v>
      </c>
      <c r="O160" s="11" t="s">
        <v>42</v>
      </c>
      <c r="P160" s="11" t="s">
        <v>33</v>
      </c>
      <c r="Q160" s="15">
        <v>0</v>
      </c>
      <c r="R160" s="11" t="s">
        <v>1386</v>
      </c>
      <c r="S160" s="10">
        <v>77.154786758127003</v>
      </c>
      <c r="T160" s="15">
        <v>80</v>
      </c>
      <c r="U160" s="15">
        <v>0</v>
      </c>
      <c r="V160" s="15">
        <v>0</v>
      </c>
      <c r="W160" s="15">
        <v>1</v>
      </c>
      <c r="X160" s="15">
        <f>IF(O160='Udvaskning nøgletal'!$D$65,1,IF(O160='Udvaskning nøgletal'!$D$66,2,IF(O160='Udvaskning nøgletal'!$D$67,3,IF(O160='Udvaskning nøgletal'!$D$68,2,""))))</f>
        <v>2</v>
      </c>
      <c r="Y160" s="15">
        <f>LOOKUP(K160,'Udvaskning nøgletal'!$C$12:$C$60,'Udvaskning nøgletal'!$H$12:$H$60)</f>
        <v>0</v>
      </c>
      <c r="Z160" s="10">
        <f>IF(X160=1,LOOKUP(K160,'Udvaskning nøgletal'!$C$12:$C$60,'Udvaskning nøgletal'!$E$12:$E$60)+Markniveau!Y160*Markniveau!S160/100,IF(X160=2,LOOKUP(K160,'Udvaskning nøgletal'!$C$12:$C$60,'Udvaskning nøgletal'!$F$12:$F$60)+Markniveau!Y160*Markniveau!S160/100,IF(X160=3,LOOKUP(K160,'Udvaskning nøgletal'!$C$12:$C$60,'Udvaskning nøgletal'!G170:G218)+Markniveau!Y160*Markniveau!S160/100,"")))</f>
        <v>10</v>
      </c>
      <c r="AA160" s="10">
        <f t="shared" si="26"/>
        <v>17.100000000000001</v>
      </c>
      <c r="AB160" s="10" t="str">
        <f t="shared" si="25"/>
        <v/>
      </c>
      <c r="AC160" s="10" t="str">
        <f t="shared" si="27"/>
        <v/>
      </c>
      <c r="AD160" s="10">
        <f>IF(AND(Q160&gt;0,Q160&lt;30,K160&lt;8),Markniveau!Z160*'Udvaskning nøgletal'!$I$12/100,IF(AND(Q160&gt;0,Q160&lt;30,K160=216),Markniveau!Z160*'Udvaskning nøgletal'!$I$34/100,Markniveau!Z160))</f>
        <v>10</v>
      </c>
      <c r="AE160" s="10">
        <f t="shared" si="33"/>
        <v>17.100000000000001</v>
      </c>
      <c r="AF160" s="10" t="str">
        <f t="shared" si="28"/>
        <v/>
      </c>
      <c r="AG160" s="10" t="str">
        <f t="shared" si="34"/>
        <v/>
      </c>
      <c r="AH160" s="10" t="str">
        <f>IF(AND(Q160&gt;0,Q160&lt;30,K160=216),'Udvaskning nøgletal'!$C$42,IF(AND(Q160&gt;0,Q160&lt;30,K160&gt;7,K160&lt;17),'Udvaskning nøgletal'!$C$61,IF(AND(Q160&gt;0,Q160&lt;30,K160&lt;7),'Udvaskning nøgletal'!$C$62,"")))</f>
        <v/>
      </c>
      <c r="AI160" s="10">
        <f t="shared" si="30"/>
        <v>318</v>
      </c>
      <c r="AJ160" s="10">
        <f>IF($X160=1,LOOKUP(AI160,'Udvaskning nøgletal'!$C$12:$C$62,'Udvaskning nøgletal'!$E$12:$E$62)+Markniveau!$Y160*Markniveau!$S160/100,IF($X160=2,LOOKUP(AI160,'Udvaskning nøgletal'!$C$12:$C$62,'Udvaskning nøgletal'!$F$12:$F$62)+Markniveau!$Y160*Markniveau!$S160/100,IF($X160=3,LOOKUP(AI160,'Udvaskning nøgletal'!$C$12:$C$62,'Udvaskning nøgletal'!Q170:Q220)+Markniveau!$Y160*Markniveau!$S160/100,"")))</f>
        <v>10</v>
      </c>
      <c r="AK160" s="10">
        <f t="shared" si="29"/>
        <v>17.100000000000001</v>
      </c>
      <c r="AL160" s="10" t="str">
        <f t="shared" si="31"/>
        <v/>
      </c>
      <c r="AM160" s="10" t="str">
        <f t="shared" si="32"/>
        <v/>
      </c>
    </row>
    <row r="161" spans="1:39" x14ac:dyDescent="0.25">
      <c r="A161" s="15">
        <v>13452601</v>
      </c>
      <c r="B161" s="15">
        <v>6.84</v>
      </c>
      <c r="C161" s="15">
        <v>15376</v>
      </c>
      <c r="D161" s="15">
        <v>15484</v>
      </c>
      <c r="E161" s="15" t="s">
        <v>202</v>
      </c>
      <c r="F161" s="15">
        <v>2011</v>
      </c>
      <c r="G161" s="15">
        <v>20110411</v>
      </c>
      <c r="H161" s="15">
        <v>10390</v>
      </c>
      <c r="I161" s="15">
        <v>1.04</v>
      </c>
      <c r="J161" s="6" t="s">
        <v>1413</v>
      </c>
      <c r="K161" s="15">
        <v>254</v>
      </c>
      <c r="L161" s="15" t="s">
        <v>27</v>
      </c>
      <c r="M161" s="15" t="s">
        <v>4</v>
      </c>
      <c r="N161" s="11" t="s">
        <v>1406</v>
      </c>
      <c r="O161" s="11" t="s">
        <v>46</v>
      </c>
      <c r="P161" s="11" t="s">
        <v>33</v>
      </c>
      <c r="Q161" s="15">
        <v>0</v>
      </c>
      <c r="R161" s="11" t="s">
        <v>1386</v>
      </c>
      <c r="S161" s="10">
        <v>77.154786758127003</v>
      </c>
      <c r="T161" s="15">
        <v>80</v>
      </c>
      <c r="U161" s="15">
        <v>0</v>
      </c>
      <c r="V161" s="15">
        <v>0</v>
      </c>
      <c r="W161" s="15">
        <v>1</v>
      </c>
      <c r="X161" s="15">
        <f>IF(O161='Udvaskning nøgletal'!$D$65,1,IF(O161='Udvaskning nøgletal'!$D$66,2,IF(O161='Udvaskning nøgletal'!$D$67,3,IF(O161='Udvaskning nøgletal'!$D$68,2,""))))</f>
        <v>2</v>
      </c>
      <c r="Y161" s="15">
        <f>LOOKUP(K161,'Udvaskning nøgletal'!$C$12:$C$60,'Udvaskning nøgletal'!$H$12:$H$60)</f>
        <v>0</v>
      </c>
      <c r="Z161" s="10">
        <f>IF(X161=1,LOOKUP(K161,'Udvaskning nøgletal'!$C$12:$C$60,'Udvaskning nøgletal'!$E$12:$E$60)+Markniveau!Y161*Markniveau!S161/100,IF(X161=2,LOOKUP(K161,'Udvaskning nøgletal'!$C$12:$C$60,'Udvaskning nøgletal'!$F$12:$F$60)+Markniveau!Y161*Markniveau!S161/100,IF(X161=3,LOOKUP(K161,'Udvaskning nøgletal'!$C$12:$C$60,'Udvaskning nøgletal'!G171:G219)+Markniveau!Y161*Markniveau!S161/100,"")))</f>
        <v>21.2</v>
      </c>
      <c r="AA161" s="10">
        <f t="shared" si="26"/>
        <v>22.047999999999998</v>
      </c>
      <c r="AB161" s="10" t="str">
        <f t="shared" si="25"/>
        <v/>
      </c>
      <c r="AC161" s="10" t="str">
        <f t="shared" si="27"/>
        <v/>
      </c>
      <c r="AD161" s="10">
        <f>IF(AND(Q161&gt;0,Q161&lt;30,K161&lt;8),Markniveau!Z161*'Udvaskning nøgletal'!$I$12/100,IF(AND(Q161&gt;0,Q161&lt;30,K161=216),Markniveau!Z161*'Udvaskning nøgletal'!$I$34/100,Markniveau!Z161))</f>
        <v>21.2</v>
      </c>
      <c r="AE161" s="10">
        <f t="shared" si="33"/>
        <v>22.047999999999998</v>
      </c>
      <c r="AF161" s="10" t="str">
        <f t="shared" si="28"/>
        <v/>
      </c>
      <c r="AG161" s="10" t="str">
        <f t="shared" si="34"/>
        <v/>
      </c>
      <c r="AH161" s="10" t="str">
        <f>IF(AND(Q161&gt;0,Q161&lt;30,K161=216),'Udvaskning nøgletal'!$C$42,IF(AND(Q161&gt;0,Q161&lt;30,K161&gt;7,K161&lt;17),'Udvaskning nøgletal'!$C$61,IF(AND(Q161&gt;0,Q161&lt;30,K161&lt;7),'Udvaskning nøgletal'!$C$62,"")))</f>
        <v/>
      </c>
      <c r="AI161" s="10">
        <f t="shared" si="30"/>
        <v>254</v>
      </c>
      <c r="AJ161" s="10">
        <f>IF($X161=1,LOOKUP(AI161,'Udvaskning nøgletal'!$C$12:$C$62,'Udvaskning nøgletal'!$E$12:$E$62)+Markniveau!$Y161*Markniveau!$S161/100,IF($X161=2,LOOKUP(AI161,'Udvaskning nøgletal'!$C$12:$C$62,'Udvaskning nøgletal'!$F$12:$F$62)+Markniveau!$Y161*Markniveau!$S161/100,IF($X161=3,LOOKUP(AI161,'Udvaskning nøgletal'!$C$12:$C$62,'Udvaskning nøgletal'!Q171:Q221)+Markniveau!$Y161*Markniveau!$S161/100,"")))</f>
        <v>21.2</v>
      </c>
      <c r="AK161" s="10">
        <f t="shared" si="29"/>
        <v>22.047999999999998</v>
      </c>
      <c r="AL161" s="10" t="str">
        <f t="shared" si="31"/>
        <v/>
      </c>
      <c r="AM161" s="10" t="str">
        <f t="shared" si="32"/>
        <v/>
      </c>
    </row>
    <row r="162" spans="1:39" x14ac:dyDescent="0.25">
      <c r="A162" s="15">
        <v>13452601</v>
      </c>
      <c r="B162" s="15">
        <v>6.84</v>
      </c>
      <c r="C162" s="15">
        <v>24908</v>
      </c>
      <c r="D162" s="15">
        <v>15484</v>
      </c>
      <c r="E162" s="15" t="s">
        <v>203</v>
      </c>
      <c r="F162" s="15">
        <v>2011</v>
      </c>
      <c r="G162" s="15">
        <v>20110411</v>
      </c>
      <c r="H162" s="15">
        <v>4769</v>
      </c>
      <c r="I162" s="15">
        <v>0.48</v>
      </c>
      <c r="J162" s="6" t="s">
        <v>1414</v>
      </c>
      <c r="K162" s="15">
        <v>902</v>
      </c>
      <c r="L162" s="15" t="s">
        <v>160</v>
      </c>
      <c r="M162" s="15" t="s">
        <v>81</v>
      </c>
      <c r="N162" s="11" t="s">
        <v>1390</v>
      </c>
      <c r="O162" s="11" t="s">
        <v>42</v>
      </c>
      <c r="P162" s="11" t="s">
        <v>33</v>
      </c>
      <c r="Q162" s="15">
        <v>0</v>
      </c>
      <c r="R162" s="11" t="s">
        <v>1386</v>
      </c>
      <c r="S162" s="10">
        <v>77.154786758127003</v>
      </c>
      <c r="T162" s="15">
        <v>80</v>
      </c>
      <c r="U162" s="15">
        <v>0</v>
      </c>
      <c r="V162" s="15">
        <v>0</v>
      </c>
      <c r="W162" s="15">
        <v>1</v>
      </c>
      <c r="X162" s="15">
        <f>IF(O162='Udvaskning nøgletal'!$D$65,1,IF(O162='Udvaskning nøgletal'!$D$66,2,IF(O162='Udvaskning nøgletal'!$D$67,3,IF(O162='Udvaskning nøgletal'!$D$68,2,""))))</f>
        <v>2</v>
      </c>
      <c r="Y162" s="15">
        <f>LOOKUP(K162,'Udvaskning nøgletal'!$C$12:$C$60,'Udvaskning nøgletal'!$H$12:$H$60)</f>
        <v>0</v>
      </c>
      <c r="Z162" s="10">
        <f>IF(X162=1,LOOKUP(K162,'Udvaskning nøgletal'!$C$12:$C$60,'Udvaskning nøgletal'!$E$12:$E$60)+Markniveau!Y162*Markniveau!S162/100,IF(X162=2,LOOKUP(K162,'Udvaskning nøgletal'!$C$12:$C$60,'Udvaskning nøgletal'!$F$12:$F$60)+Markniveau!Y162*Markniveau!S162/100,IF(X162=3,LOOKUP(K162,'Udvaskning nøgletal'!$C$12:$C$60,'Udvaskning nøgletal'!G172:G220)+Markniveau!Y162*Markniveau!S162/100,"")))</f>
        <v>10</v>
      </c>
      <c r="AA162" s="10">
        <f t="shared" si="26"/>
        <v>4.8</v>
      </c>
      <c r="AB162" s="10" t="str">
        <f t="shared" si="25"/>
        <v/>
      </c>
      <c r="AC162" s="10" t="str">
        <f t="shared" si="27"/>
        <v/>
      </c>
      <c r="AD162" s="10">
        <f>IF(AND(Q162&gt;0,Q162&lt;30,K162&lt;8),Markniveau!Z162*'Udvaskning nøgletal'!$I$12/100,IF(AND(Q162&gt;0,Q162&lt;30,K162=216),Markniveau!Z162*'Udvaskning nøgletal'!$I$34/100,Markniveau!Z162))</f>
        <v>10</v>
      </c>
      <c r="AE162" s="10">
        <f t="shared" si="33"/>
        <v>4.8</v>
      </c>
      <c r="AF162" s="10" t="str">
        <f t="shared" si="28"/>
        <v/>
      </c>
      <c r="AG162" s="10" t="str">
        <f t="shared" si="34"/>
        <v/>
      </c>
      <c r="AH162" s="10" t="str">
        <f>IF(AND(Q162&gt;0,Q162&lt;30,K162=216),'Udvaskning nøgletal'!$C$42,IF(AND(Q162&gt;0,Q162&lt;30,K162&gt;7,K162&lt;17),'Udvaskning nøgletal'!$C$61,IF(AND(Q162&gt;0,Q162&lt;30,K162&lt;7),'Udvaskning nøgletal'!$C$62,"")))</f>
        <v/>
      </c>
      <c r="AI162" s="10">
        <f t="shared" si="30"/>
        <v>902</v>
      </c>
      <c r="AJ162" s="10">
        <f>IF($X162=1,LOOKUP(AI162,'Udvaskning nøgletal'!$C$12:$C$62,'Udvaskning nøgletal'!$E$12:$E$62)+Markniveau!$Y162*Markniveau!$S162/100,IF($X162=2,LOOKUP(AI162,'Udvaskning nøgletal'!$C$12:$C$62,'Udvaskning nøgletal'!$F$12:$F$62)+Markniveau!$Y162*Markniveau!$S162/100,IF($X162=3,LOOKUP(AI162,'Udvaskning nøgletal'!$C$12:$C$62,'Udvaskning nøgletal'!Q172:Q222)+Markniveau!$Y162*Markniveau!$S162/100,"")))</f>
        <v>10</v>
      </c>
      <c r="AK162" s="10">
        <f t="shared" si="29"/>
        <v>4.8</v>
      </c>
      <c r="AL162" s="10" t="str">
        <f t="shared" si="31"/>
        <v/>
      </c>
      <c r="AM162" s="10" t="str">
        <f t="shared" si="32"/>
        <v/>
      </c>
    </row>
    <row r="163" spans="1:39" x14ac:dyDescent="0.25">
      <c r="A163" s="15">
        <v>13759006</v>
      </c>
      <c r="B163" s="15">
        <v>17.079999999999998</v>
      </c>
      <c r="C163" s="15">
        <v>133726</v>
      </c>
      <c r="D163" s="15">
        <v>37818</v>
      </c>
      <c r="E163" s="15" t="s">
        <v>204</v>
      </c>
      <c r="F163" s="15">
        <v>2011</v>
      </c>
      <c r="G163" s="15">
        <v>20110415</v>
      </c>
      <c r="H163" s="15">
        <v>26627</v>
      </c>
      <c r="I163" s="15">
        <v>2.66</v>
      </c>
      <c r="J163" s="6" t="s">
        <v>1407</v>
      </c>
      <c r="K163" s="15">
        <v>11</v>
      </c>
      <c r="L163" s="15" t="s">
        <v>102</v>
      </c>
      <c r="M163" s="15" t="s">
        <v>5</v>
      </c>
      <c r="N163" s="11" t="s">
        <v>1384</v>
      </c>
      <c r="O163" s="11" t="s">
        <v>28</v>
      </c>
      <c r="P163" s="11" t="s">
        <v>33</v>
      </c>
      <c r="Q163" s="15">
        <v>0</v>
      </c>
      <c r="R163" s="11" t="s">
        <v>1386</v>
      </c>
      <c r="S163" s="10">
        <v>66.439733425255994</v>
      </c>
      <c r="T163" s="15">
        <v>80</v>
      </c>
      <c r="U163" s="15">
        <v>0</v>
      </c>
      <c r="V163" s="15">
        <v>0</v>
      </c>
      <c r="W163" s="15">
        <v>0</v>
      </c>
      <c r="X163" s="15">
        <f>IF(O163='Udvaskning nøgletal'!$D$65,1,IF(O163='Udvaskning nøgletal'!$D$66,2,IF(O163='Udvaskning nøgletal'!$D$67,3,IF(O163='Udvaskning nøgletal'!$D$68,2,""))))</f>
        <v>1</v>
      </c>
      <c r="Y163" s="15">
        <f>LOOKUP(K163,'Udvaskning nøgletal'!$C$12:$C$60,'Udvaskning nøgletal'!$H$12:$H$60)</f>
        <v>5</v>
      </c>
      <c r="Z163" s="10">
        <f>IF(X163=1,LOOKUP(K163,'Udvaskning nøgletal'!$C$12:$C$60,'Udvaskning nøgletal'!$E$12:$E$60)+Markniveau!Y163*Markniveau!S163/100,IF(X163=2,LOOKUP(K163,'Udvaskning nøgletal'!$C$12:$C$60,'Udvaskning nøgletal'!$F$12:$F$60)+Markniveau!Y163*Markniveau!S163/100,IF(X163=3,LOOKUP(K163,'Udvaskning nøgletal'!$C$12:$C$60,'Udvaskning nøgletal'!G173:G221)+Markniveau!Y163*Markniveau!S163/100,"")))</f>
        <v>67.981986671262803</v>
      </c>
      <c r="AA163" s="10">
        <f t="shared" si="26"/>
        <v>180.83208454555907</v>
      </c>
      <c r="AB163" s="10" t="str">
        <f t="shared" si="25"/>
        <v/>
      </c>
      <c r="AC163" s="10" t="str">
        <f t="shared" si="27"/>
        <v/>
      </c>
      <c r="AD163" s="10">
        <f>IF(AND(Q163&gt;0,Q163&lt;30,K163&lt;8),Markniveau!Z163*'Udvaskning nøgletal'!$I$12/100,IF(AND(Q163&gt;0,Q163&lt;30,K163=216),Markniveau!Z163*'Udvaskning nøgletal'!$I$34/100,Markniveau!Z163))</f>
        <v>67.981986671262803</v>
      </c>
      <c r="AE163" s="10">
        <f t="shared" si="33"/>
        <v>180.83208454555907</v>
      </c>
      <c r="AF163" s="10" t="str">
        <f t="shared" si="28"/>
        <v/>
      </c>
      <c r="AG163" s="10" t="str">
        <f t="shared" si="34"/>
        <v/>
      </c>
      <c r="AH163" s="10" t="str">
        <f>IF(AND(Q163&gt;0,Q163&lt;30,K163=216),'Udvaskning nøgletal'!$C$42,IF(AND(Q163&gt;0,Q163&lt;30,K163&gt;7,K163&lt;17),'Udvaskning nøgletal'!$C$61,IF(AND(Q163&gt;0,Q163&lt;30,K163&lt;7),'Udvaskning nøgletal'!$C$62,"")))</f>
        <v/>
      </c>
      <c r="AI163" s="10">
        <f t="shared" si="30"/>
        <v>11</v>
      </c>
      <c r="AJ163" s="10">
        <f>IF($X163=1,LOOKUP(AI163,'Udvaskning nøgletal'!$C$12:$C$62,'Udvaskning nøgletal'!$E$12:$E$62)+Markniveau!$Y163*Markniveau!$S163/100,IF($X163=2,LOOKUP(AI163,'Udvaskning nøgletal'!$C$12:$C$62,'Udvaskning nøgletal'!$F$12:$F$62)+Markniveau!$Y163*Markniveau!$S163/100,IF($X163=3,LOOKUP(AI163,'Udvaskning nøgletal'!$C$12:$C$62,'Udvaskning nøgletal'!Q173:Q223)+Markniveau!$Y163*Markniveau!$S163/100,"")))</f>
        <v>67.981986671262803</v>
      </c>
      <c r="AK163" s="10">
        <f t="shared" si="29"/>
        <v>180.83208454555907</v>
      </c>
      <c r="AL163" s="10" t="str">
        <f t="shared" si="31"/>
        <v/>
      </c>
      <c r="AM163" s="10" t="str">
        <f t="shared" si="32"/>
        <v/>
      </c>
    </row>
    <row r="164" spans="1:39" x14ac:dyDescent="0.25">
      <c r="A164" s="15">
        <v>13759006</v>
      </c>
      <c r="B164" s="15">
        <v>17.079999999999998</v>
      </c>
      <c r="C164" s="15">
        <v>133729</v>
      </c>
      <c r="D164" s="15">
        <v>37818</v>
      </c>
      <c r="E164" s="15" t="s">
        <v>205</v>
      </c>
      <c r="F164" s="15">
        <v>2011</v>
      </c>
      <c r="G164" s="15">
        <v>20110415</v>
      </c>
      <c r="H164" s="15">
        <v>14643</v>
      </c>
      <c r="I164" s="15">
        <v>1.46</v>
      </c>
      <c r="J164" s="6" t="s">
        <v>69</v>
      </c>
      <c r="K164" s="15">
        <v>583</v>
      </c>
      <c r="L164" s="15" t="s">
        <v>154</v>
      </c>
      <c r="M164" s="15" t="s">
        <v>155</v>
      </c>
      <c r="N164" s="11" t="s">
        <v>1384</v>
      </c>
      <c r="O164" s="11" t="s">
        <v>28</v>
      </c>
      <c r="P164" s="11" t="s">
        <v>33</v>
      </c>
      <c r="Q164" s="15">
        <v>1</v>
      </c>
      <c r="R164" s="11" t="s">
        <v>11</v>
      </c>
      <c r="S164" s="10">
        <v>66.439733425255994</v>
      </c>
      <c r="T164" s="15">
        <v>80</v>
      </c>
      <c r="U164" s="15">
        <v>0</v>
      </c>
      <c r="V164" s="15">
        <v>0</v>
      </c>
      <c r="W164" s="15">
        <v>0</v>
      </c>
      <c r="X164" s="15">
        <f>IF(O164='Udvaskning nøgletal'!$D$65,1,IF(O164='Udvaskning nøgletal'!$D$66,2,IF(O164='Udvaskning nøgletal'!$D$67,3,IF(O164='Udvaskning nøgletal'!$D$68,2,""))))</f>
        <v>1</v>
      </c>
      <c r="Y164" s="15">
        <f>LOOKUP(K164,'Udvaskning nøgletal'!$C$12:$C$60,'Udvaskning nøgletal'!$H$12:$H$60)</f>
        <v>0</v>
      </c>
      <c r="Z164" s="10">
        <f>IF(X164=1,LOOKUP(K164,'Udvaskning nøgletal'!$C$12:$C$60,'Udvaskning nøgletal'!$E$12:$E$60)+Markniveau!Y164*Markniveau!S164/100,IF(X164=2,LOOKUP(K164,'Udvaskning nøgletal'!$C$12:$C$60,'Udvaskning nøgletal'!$F$12:$F$60)+Markniveau!Y164*Markniveau!S164/100,IF(X164=3,LOOKUP(K164,'Udvaskning nøgletal'!$C$12:$C$60,'Udvaskning nøgletal'!G174:G222)+Markniveau!Y164*Markniveau!S164/100,"")))</f>
        <v>10</v>
      </c>
      <c r="AA164" s="10">
        <f t="shared" si="26"/>
        <v>14.6</v>
      </c>
      <c r="AB164" s="10">
        <f t="shared" si="25"/>
        <v>9.9</v>
      </c>
      <c r="AC164" s="10">
        <f t="shared" si="27"/>
        <v>14.454000000000001</v>
      </c>
      <c r="AD164" s="10">
        <f>IF(AND(Q164&gt;0,Q164&lt;30,K164&lt;8),Markniveau!Z164*'Udvaskning nøgletal'!$I$12/100,IF(AND(Q164&gt;0,Q164&lt;30,K164=216),Markniveau!Z164*'Udvaskning nøgletal'!$I$34/100,Markniveau!Z164))</f>
        <v>10</v>
      </c>
      <c r="AE164" s="10">
        <f t="shared" si="33"/>
        <v>14.6</v>
      </c>
      <c r="AF164" s="10">
        <f t="shared" si="28"/>
        <v>9.9</v>
      </c>
      <c r="AG164" s="10">
        <f t="shared" si="34"/>
        <v>14.454000000000001</v>
      </c>
      <c r="AH164" s="10" t="str">
        <f>IF(AND(Q164&gt;0,Q164&lt;30,K164=216),'Udvaskning nøgletal'!$C$42,IF(AND(Q164&gt;0,Q164&lt;30,K164&gt;7,K164&lt;17),'Udvaskning nøgletal'!$C$61,IF(AND(Q164&gt;0,Q164&lt;30,K164&lt;7),'Udvaskning nøgletal'!$C$62,"")))</f>
        <v/>
      </c>
      <c r="AI164" s="10">
        <f t="shared" si="30"/>
        <v>583</v>
      </c>
      <c r="AJ164" s="10">
        <f>IF($X164=1,LOOKUP(AI164,'Udvaskning nøgletal'!$C$12:$C$62,'Udvaskning nøgletal'!$E$12:$E$62)+Markniveau!$Y164*Markniveau!$S164/100,IF($X164=2,LOOKUP(AI164,'Udvaskning nøgletal'!$C$12:$C$62,'Udvaskning nøgletal'!$F$12:$F$62)+Markniveau!$Y164*Markniveau!$S164/100,IF($X164=3,LOOKUP(AI164,'Udvaskning nøgletal'!$C$12:$C$62,'Udvaskning nøgletal'!Q174:Q224)+Markniveau!$Y164*Markniveau!$S164/100,"")))</f>
        <v>10</v>
      </c>
      <c r="AK164" s="10">
        <f t="shared" si="29"/>
        <v>14.6</v>
      </c>
      <c r="AL164" s="10">
        <f t="shared" si="31"/>
        <v>9.9</v>
      </c>
      <c r="AM164" s="10">
        <f t="shared" si="32"/>
        <v>14.454000000000001</v>
      </c>
    </row>
    <row r="165" spans="1:39" x14ac:dyDescent="0.25">
      <c r="A165" s="15">
        <v>13759006</v>
      </c>
      <c r="B165" s="15">
        <v>17.079999999999998</v>
      </c>
      <c r="C165" s="15">
        <v>133730</v>
      </c>
      <c r="D165" s="15">
        <v>37818</v>
      </c>
      <c r="E165" s="15" t="s">
        <v>206</v>
      </c>
      <c r="F165" s="15">
        <v>2011</v>
      </c>
      <c r="G165" s="15">
        <v>20110415</v>
      </c>
      <c r="H165" s="15">
        <v>15497</v>
      </c>
      <c r="I165" s="15">
        <v>1.55</v>
      </c>
      <c r="J165" s="6" t="s">
        <v>36</v>
      </c>
      <c r="K165" s="15">
        <v>264</v>
      </c>
      <c r="L165" s="15" t="s">
        <v>207</v>
      </c>
      <c r="M165" s="15" t="s">
        <v>4</v>
      </c>
      <c r="N165" s="11" t="s">
        <v>1384</v>
      </c>
      <c r="O165" s="11" t="s">
        <v>28</v>
      </c>
      <c r="P165" s="11" t="s">
        <v>33</v>
      </c>
      <c r="Q165" s="15">
        <v>1</v>
      </c>
      <c r="R165" s="11" t="s">
        <v>11</v>
      </c>
      <c r="S165" s="10">
        <v>66.439733425255994</v>
      </c>
      <c r="T165" s="15">
        <v>80</v>
      </c>
      <c r="U165" s="15">
        <v>0</v>
      </c>
      <c r="V165" s="15">
        <v>0</v>
      </c>
      <c r="W165" s="15">
        <v>0</v>
      </c>
      <c r="X165" s="15">
        <f>IF(O165='Udvaskning nøgletal'!$D$65,1,IF(O165='Udvaskning nøgletal'!$D$66,2,IF(O165='Udvaskning nøgletal'!$D$67,3,IF(O165='Udvaskning nøgletal'!$D$68,2,""))))</f>
        <v>1</v>
      </c>
      <c r="Y165" s="15">
        <f>LOOKUP(K165,'Udvaskning nøgletal'!$C$12:$C$60,'Udvaskning nøgletal'!$H$12:$H$60)</f>
        <v>0</v>
      </c>
      <c r="Z165" s="10">
        <f>IF(X165=1,LOOKUP(K165,'Udvaskning nøgletal'!$C$12:$C$60,'Udvaskning nøgletal'!$E$12:$E$60)+Markniveau!Y165*Markniveau!S165/100,IF(X165=2,LOOKUP(K165,'Udvaskning nøgletal'!$C$12:$C$60,'Udvaskning nøgletal'!$F$12:$F$60)+Markniveau!Y165*Markniveau!S165/100,IF(X165=3,LOOKUP(K165,'Udvaskning nøgletal'!$C$12:$C$60,'Udvaskning nøgletal'!G175:G223)+Markniveau!Y165*Markniveau!S165/100,"")))</f>
        <v>10.6</v>
      </c>
      <c r="AA165" s="10">
        <f t="shared" si="26"/>
        <v>16.43</v>
      </c>
      <c r="AB165" s="10">
        <f t="shared" si="25"/>
        <v>10.493999999999998</v>
      </c>
      <c r="AC165" s="10">
        <f t="shared" si="27"/>
        <v>16.265699999999999</v>
      </c>
      <c r="AD165" s="10">
        <f>IF(AND(Q165&gt;0,Q165&lt;30,K165&lt;8),Markniveau!Z165*'Udvaskning nøgletal'!$I$12/100,IF(AND(Q165&gt;0,Q165&lt;30,K165=216),Markniveau!Z165*'Udvaskning nøgletal'!$I$34/100,Markniveau!Z165))</f>
        <v>10.6</v>
      </c>
      <c r="AE165" s="10">
        <f t="shared" si="33"/>
        <v>16.43</v>
      </c>
      <c r="AF165" s="10">
        <f t="shared" si="28"/>
        <v>10.493999999999998</v>
      </c>
      <c r="AG165" s="10">
        <f t="shared" si="34"/>
        <v>16.265699999999999</v>
      </c>
      <c r="AH165" s="10" t="str">
        <f>IF(AND(Q165&gt;0,Q165&lt;30,K165=216),'Udvaskning nøgletal'!$C$42,IF(AND(Q165&gt;0,Q165&lt;30,K165&gt;7,K165&lt;17),'Udvaskning nøgletal'!$C$61,IF(AND(Q165&gt;0,Q165&lt;30,K165&lt;7),'Udvaskning nøgletal'!$C$62,"")))</f>
        <v/>
      </c>
      <c r="AI165" s="10">
        <f t="shared" si="30"/>
        <v>264</v>
      </c>
      <c r="AJ165" s="10">
        <f>IF($X165=1,LOOKUP(AI165,'Udvaskning nøgletal'!$C$12:$C$62,'Udvaskning nøgletal'!$E$12:$E$62)+Markniveau!$Y165*Markniveau!$S165/100,IF($X165=2,LOOKUP(AI165,'Udvaskning nøgletal'!$C$12:$C$62,'Udvaskning nøgletal'!$F$12:$F$62)+Markniveau!$Y165*Markniveau!$S165/100,IF($X165=3,LOOKUP(AI165,'Udvaskning nøgletal'!$C$12:$C$62,'Udvaskning nøgletal'!Q175:Q225)+Markniveau!$Y165*Markniveau!$S165/100,"")))</f>
        <v>10.6</v>
      </c>
      <c r="AK165" s="10">
        <f t="shared" si="29"/>
        <v>16.43</v>
      </c>
      <c r="AL165" s="10">
        <f t="shared" si="31"/>
        <v>10.493999999999998</v>
      </c>
      <c r="AM165" s="10">
        <f t="shared" si="32"/>
        <v>16.265699999999999</v>
      </c>
    </row>
    <row r="166" spans="1:39" x14ac:dyDescent="0.25">
      <c r="A166" s="15">
        <v>13759006</v>
      </c>
      <c r="B166" s="15">
        <v>17.079999999999998</v>
      </c>
      <c r="C166" s="15">
        <v>133731</v>
      </c>
      <c r="D166" s="15">
        <v>37818</v>
      </c>
      <c r="E166" s="15" t="s">
        <v>208</v>
      </c>
      <c r="F166" s="15">
        <v>2011</v>
      </c>
      <c r="G166" s="15">
        <v>20110415</v>
      </c>
      <c r="H166" s="15">
        <v>10798</v>
      </c>
      <c r="I166" s="15">
        <v>1.08</v>
      </c>
      <c r="J166" s="6" t="s">
        <v>1400</v>
      </c>
      <c r="K166" s="15">
        <v>264</v>
      </c>
      <c r="L166" s="15" t="s">
        <v>207</v>
      </c>
      <c r="M166" s="15" t="s">
        <v>4</v>
      </c>
      <c r="N166" s="11" t="s">
        <v>1384</v>
      </c>
      <c r="O166" s="11" t="s">
        <v>28</v>
      </c>
      <c r="P166" s="11" t="s">
        <v>33</v>
      </c>
      <c r="Q166" s="15">
        <v>1</v>
      </c>
      <c r="R166" s="11" t="s">
        <v>11</v>
      </c>
      <c r="S166" s="10">
        <v>66.439733425255994</v>
      </c>
      <c r="T166" s="15">
        <v>80</v>
      </c>
      <c r="U166" s="15">
        <v>0</v>
      </c>
      <c r="V166" s="15">
        <v>0</v>
      </c>
      <c r="W166" s="15">
        <v>0</v>
      </c>
      <c r="X166" s="15">
        <f>IF(O166='Udvaskning nøgletal'!$D$65,1,IF(O166='Udvaskning nøgletal'!$D$66,2,IF(O166='Udvaskning nøgletal'!$D$67,3,IF(O166='Udvaskning nøgletal'!$D$68,2,""))))</f>
        <v>1</v>
      </c>
      <c r="Y166" s="15">
        <f>LOOKUP(K166,'Udvaskning nøgletal'!$C$12:$C$60,'Udvaskning nøgletal'!$H$12:$H$60)</f>
        <v>0</v>
      </c>
      <c r="Z166" s="10">
        <f>IF(X166=1,LOOKUP(K166,'Udvaskning nøgletal'!$C$12:$C$60,'Udvaskning nøgletal'!$E$12:$E$60)+Markniveau!Y166*Markniveau!S166/100,IF(X166=2,LOOKUP(K166,'Udvaskning nøgletal'!$C$12:$C$60,'Udvaskning nøgletal'!$F$12:$F$60)+Markniveau!Y166*Markniveau!S166/100,IF(X166=3,LOOKUP(K166,'Udvaskning nøgletal'!$C$12:$C$60,'Udvaskning nøgletal'!G176:G224)+Markniveau!Y166*Markniveau!S166/100,"")))</f>
        <v>10.6</v>
      </c>
      <c r="AA166" s="10">
        <f t="shared" si="26"/>
        <v>11.448</v>
      </c>
      <c r="AB166" s="10">
        <f t="shared" si="25"/>
        <v>10.493999999999998</v>
      </c>
      <c r="AC166" s="10">
        <f t="shared" si="27"/>
        <v>11.333519999999998</v>
      </c>
      <c r="AD166" s="10">
        <f>IF(AND(Q166&gt;0,Q166&lt;30,K166&lt;8),Markniveau!Z166*'Udvaskning nøgletal'!$I$12/100,IF(AND(Q166&gt;0,Q166&lt;30,K166=216),Markniveau!Z166*'Udvaskning nøgletal'!$I$34/100,Markniveau!Z166))</f>
        <v>10.6</v>
      </c>
      <c r="AE166" s="10">
        <f t="shared" si="33"/>
        <v>11.448</v>
      </c>
      <c r="AF166" s="10">
        <f t="shared" si="28"/>
        <v>10.493999999999998</v>
      </c>
      <c r="AG166" s="10">
        <f t="shared" si="34"/>
        <v>11.333519999999998</v>
      </c>
      <c r="AH166" s="10" t="str">
        <f>IF(AND(Q166&gt;0,Q166&lt;30,K166=216),'Udvaskning nøgletal'!$C$42,IF(AND(Q166&gt;0,Q166&lt;30,K166&gt;7,K166&lt;17),'Udvaskning nøgletal'!$C$61,IF(AND(Q166&gt;0,Q166&lt;30,K166&lt;7),'Udvaskning nøgletal'!$C$62,"")))</f>
        <v/>
      </c>
      <c r="AI166" s="10">
        <f t="shared" si="30"/>
        <v>264</v>
      </c>
      <c r="AJ166" s="10">
        <f>IF($X166=1,LOOKUP(AI166,'Udvaskning nøgletal'!$C$12:$C$62,'Udvaskning nøgletal'!$E$12:$E$62)+Markniveau!$Y166*Markniveau!$S166/100,IF($X166=2,LOOKUP(AI166,'Udvaskning nøgletal'!$C$12:$C$62,'Udvaskning nøgletal'!$F$12:$F$62)+Markniveau!$Y166*Markniveau!$S166/100,IF($X166=3,LOOKUP(AI166,'Udvaskning nøgletal'!$C$12:$C$62,'Udvaskning nøgletal'!Q176:Q226)+Markniveau!$Y166*Markniveau!$S166/100,"")))</f>
        <v>10.6</v>
      </c>
      <c r="AK166" s="10">
        <f t="shared" si="29"/>
        <v>11.448</v>
      </c>
      <c r="AL166" s="10">
        <f t="shared" si="31"/>
        <v>10.493999999999998</v>
      </c>
      <c r="AM166" s="10">
        <f t="shared" si="32"/>
        <v>11.333519999999998</v>
      </c>
    </row>
    <row r="167" spans="1:39" x14ac:dyDescent="0.25">
      <c r="A167" s="15">
        <v>13759006</v>
      </c>
      <c r="B167" s="15">
        <v>17.079999999999998</v>
      </c>
      <c r="C167" s="15">
        <v>134219</v>
      </c>
      <c r="D167" s="15">
        <v>37818</v>
      </c>
      <c r="E167" s="15" t="s">
        <v>209</v>
      </c>
      <c r="F167" s="15">
        <v>2011</v>
      </c>
      <c r="G167" s="15">
        <v>20110415</v>
      </c>
      <c r="H167" s="15">
        <v>3874</v>
      </c>
      <c r="I167" s="15">
        <v>0.39</v>
      </c>
      <c r="J167" s="6" t="s">
        <v>1398</v>
      </c>
      <c r="K167" s="15">
        <v>583</v>
      </c>
      <c r="L167" s="15" t="s">
        <v>154</v>
      </c>
      <c r="M167" s="15" t="s">
        <v>155</v>
      </c>
      <c r="N167" s="11" t="s">
        <v>1384</v>
      </c>
      <c r="O167" s="11" t="s">
        <v>28</v>
      </c>
      <c r="P167" s="11" t="s">
        <v>33</v>
      </c>
      <c r="Q167" s="15">
        <v>0</v>
      </c>
      <c r="R167" s="11" t="s">
        <v>1386</v>
      </c>
      <c r="S167" s="10">
        <v>66.439733425255994</v>
      </c>
      <c r="T167" s="15">
        <v>80</v>
      </c>
      <c r="U167" s="15">
        <v>0</v>
      </c>
      <c r="V167" s="15">
        <v>0</v>
      </c>
      <c r="W167" s="15">
        <v>0</v>
      </c>
      <c r="X167" s="15">
        <f>IF(O167='Udvaskning nøgletal'!$D$65,1,IF(O167='Udvaskning nøgletal'!$D$66,2,IF(O167='Udvaskning nøgletal'!$D$67,3,IF(O167='Udvaskning nøgletal'!$D$68,2,""))))</f>
        <v>1</v>
      </c>
      <c r="Y167" s="15">
        <f>LOOKUP(K167,'Udvaskning nøgletal'!$C$12:$C$60,'Udvaskning nøgletal'!$H$12:$H$60)</f>
        <v>0</v>
      </c>
      <c r="Z167" s="10">
        <f>IF(X167=1,LOOKUP(K167,'Udvaskning nøgletal'!$C$12:$C$60,'Udvaskning nøgletal'!$E$12:$E$60)+Markniveau!Y167*Markniveau!S167/100,IF(X167=2,LOOKUP(K167,'Udvaskning nøgletal'!$C$12:$C$60,'Udvaskning nøgletal'!$F$12:$F$60)+Markniveau!Y167*Markniveau!S167/100,IF(X167=3,LOOKUP(K167,'Udvaskning nøgletal'!$C$12:$C$60,'Udvaskning nøgletal'!G177:G225)+Markniveau!Y167*Markniveau!S167/100,"")))</f>
        <v>10</v>
      </c>
      <c r="AA167" s="10">
        <f t="shared" si="26"/>
        <v>3.9000000000000004</v>
      </c>
      <c r="AB167" s="10" t="str">
        <f t="shared" si="25"/>
        <v/>
      </c>
      <c r="AC167" s="10" t="str">
        <f t="shared" si="27"/>
        <v/>
      </c>
      <c r="AD167" s="10">
        <f>IF(AND(Q167&gt;0,Q167&lt;30,K167&lt;8),Markniveau!Z167*'Udvaskning nøgletal'!$I$12/100,IF(AND(Q167&gt;0,Q167&lt;30,K167=216),Markniveau!Z167*'Udvaskning nøgletal'!$I$34/100,Markniveau!Z167))</f>
        <v>10</v>
      </c>
      <c r="AE167" s="10">
        <f t="shared" si="33"/>
        <v>3.9000000000000004</v>
      </c>
      <c r="AF167" s="10" t="str">
        <f t="shared" si="28"/>
        <v/>
      </c>
      <c r="AG167" s="10" t="str">
        <f t="shared" si="34"/>
        <v/>
      </c>
      <c r="AH167" s="10" t="str">
        <f>IF(AND(Q167&gt;0,Q167&lt;30,K167=216),'Udvaskning nøgletal'!$C$42,IF(AND(Q167&gt;0,Q167&lt;30,K167&gt;7,K167&lt;17),'Udvaskning nøgletal'!$C$61,IF(AND(Q167&gt;0,Q167&lt;30,K167&lt;7),'Udvaskning nøgletal'!$C$62,"")))</f>
        <v/>
      </c>
      <c r="AI167" s="10">
        <f t="shared" si="30"/>
        <v>583</v>
      </c>
      <c r="AJ167" s="10">
        <f>IF($X167=1,LOOKUP(AI167,'Udvaskning nøgletal'!$C$12:$C$62,'Udvaskning nøgletal'!$E$12:$E$62)+Markniveau!$Y167*Markniveau!$S167/100,IF($X167=2,LOOKUP(AI167,'Udvaskning nøgletal'!$C$12:$C$62,'Udvaskning nøgletal'!$F$12:$F$62)+Markniveau!$Y167*Markniveau!$S167/100,IF($X167=3,LOOKUP(AI167,'Udvaskning nøgletal'!$C$12:$C$62,'Udvaskning nøgletal'!Q177:Q227)+Markniveau!$Y167*Markniveau!$S167/100,"")))</f>
        <v>10</v>
      </c>
      <c r="AK167" s="10">
        <f t="shared" si="29"/>
        <v>3.9000000000000004</v>
      </c>
      <c r="AL167" s="10" t="str">
        <f t="shared" si="31"/>
        <v/>
      </c>
      <c r="AM167" s="10" t="str">
        <f t="shared" si="32"/>
        <v/>
      </c>
    </row>
    <row r="168" spans="1:39" x14ac:dyDescent="0.25">
      <c r="A168" s="15">
        <v>13759006</v>
      </c>
      <c r="B168" s="15">
        <v>17.079999999999998</v>
      </c>
      <c r="C168" s="15">
        <v>134220</v>
      </c>
      <c r="D168" s="15">
        <v>37818</v>
      </c>
      <c r="E168" s="15" t="s">
        <v>210</v>
      </c>
      <c r="F168" s="15">
        <v>2011</v>
      </c>
      <c r="G168" s="15">
        <v>20110415</v>
      </c>
      <c r="H168" s="15">
        <v>10146</v>
      </c>
      <c r="I168" s="15">
        <v>1.01</v>
      </c>
      <c r="J168" s="6" t="s">
        <v>1409</v>
      </c>
      <c r="K168" s="15">
        <v>264</v>
      </c>
      <c r="L168" s="15" t="s">
        <v>207</v>
      </c>
      <c r="M168" s="15" t="s">
        <v>4</v>
      </c>
      <c r="N168" s="11" t="s">
        <v>1384</v>
      </c>
      <c r="O168" s="11" t="s">
        <v>28</v>
      </c>
      <c r="P168" s="11" t="s">
        <v>33</v>
      </c>
      <c r="Q168" s="15">
        <v>0</v>
      </c>
      <c r="R168" s="11" t="s">
        <v>1386</v>
      </c>
      <c r="S168" s="10">
        <v>66.439733425255994</v>
      </c>
      <c r="T168" s="15">
        <v>80</v>
      </c>
      <c r="U168" s="15">
        <v>0</v>
      </c>
      <c r="V168" s="15">
        <v>0</v>
      </c>
      <c r="W168" s="15">
        <v>0</v>
      </c>
      <c r="X168" s="15">
        <f>IF(O168='Udvaskning nøgletal'!$D$65,1,IF(O168='Udvaskning nøgletal'!$D$66,2,IF(O168='Udvaskning nøgletal'!$D$67,3,IF(O168='Udvaskning nøgletal'!$D$68,2,""))))</f>
        <v>1</v>
      </c>
      <c r="Y168" s="15">
        <f>LOOKUP(K168,'Udvaskning nøgletal'!$C$12:$C$60,'Udvaskning nøgletal'!$H$12:$H$60)</f>
        <v>0</v>
      </c>
      <c r="Z168" s="10">
        <f>IF(X168=1,LOOKUP(K168,'Udvaskning nøgletal'!$C$12:$C$60,'Udvaskning nøgletal'!$E$12:$E$60)+Markniveau!Y168*Markniveau!S168/100,IF(X168=2,LOOKUP(K168,'Udvaskning nøgletal'!$C$12:$C$60,'Udvaskning nøgletal'!$F$12:$F$60)+Markniveau!Y168*Markniveau!S168/100,IF(X168=3,LOOKUP(K168,'Udvaskning nøgletal'!$C$12:$C$60,'Udvaskning nøgletal'!G178:G226)+Markniveau!Y168*Markniveau!S168/100,"")))</f>
        <v>10.6</v>
      </c>
      <c r="AA168" s="10">
        <f t="shared" si="26"/>
        <v>10.706</v>
      </c>
      <c r="AB168" s="10" t="str">
        <f t="shared" si="25"/>
        <v/>
      </c>
      <c r="AC168" s="10" t="str">
        <f t="shared" si="27"/>
        <v/>
      </c>
      <c r="AD168" s="10">
        <f>IF(AND(Q168&gt;0,Q168&lt;30,K168&lt;8),Markniveau!Z168*'Udvaskning nøgletal'!$I$12/100,IF(AND(Q168&gt;0,Q168&lt;30,K168=216),Markniveau!Z168*'Udvaskning nøgletal'!$I$34/100,Markniveau!Z168))</f>
        <v>10.6</v>
      </c>
      <c r="AE168" s="10">
        <f t="shared" si="33"/>
        <v>10.706</v>
      </c>
      <c r="AF168" s="10" t="str">
        <f t="shared" si="28"/>
        <v/>
      </c>
      <c r="AG168" s="10" t="str">
        <f t="shared" si="34"/>
        <v/>
      </c>
      <c r="AH168" s="10" t="str">
        <f>IF(AND(Q168&gt;0,Q168&lt;30,K168=216),'Udvaskning nøgletal'!$C$42,IF(AND(Q168&gt;0,Q168&lt;30,K168&gt;7,K168&lt;17),'Udvaskning nøgletal'!$C$61,IF(AND(Q168&gt;0,Q168&lt;30,K168&lt;7),'Udvaskning nøgletal'!$C$62,"")))</f>
        <v/>
      </c>
      <c r="AI168" s="10">
        <f t="shared" si="30"/>
        <v>264</v>
      </c>
      <c r="AJ168" s="10">
        <f>IF($X168=1,LOOKUP(AI168,'Udvaskning nøgletal'!$C$12:$C$62,'Udvaskning nøgletal'!$E$12:$E$62)+Markniveau!$Y168*Markniveau!$S168/100,IF($X168=2,LOOKUP(AI168,'Udvaskning nøgletal'!$C$12:$C$62,'Udvaskning nøgletal'!$F$12:$F$62)+Markniveau!$Y168*Markniveau!$S168/100,IF($X168=3,LOOKUP(AI168,'Udvaskning nøgletal'!$C$12:$C$62,'Udvaskning nøgletal'!Q178:Q228)+Markniveau!$Y168*Markniveau!$S168/100,"")))</f>
        <v>10.6</v>
      </c>
      <c r="AK168" s="10">
        <f t="shared" si="29"/>
        <v>10.706</v>
      </c>
      <c r="AL168" s="10" t="str">
        <f t="shared" si="31"/>
        <v/>
      </c>
      <c r="AM168" s="10" t="str">
        <f t="shared" si="32"/>
        <v/>
      </c>
    </row>
    <row r="169" spans="1:39" x14ac:dyDescent="0.25">
      <c r="A169" s="15">
        <v>13759006</v>
      </c>
      <c r="B169" s="15">
        <v>17.079999999999998</v>
      </c>
      <c r="C169" s="15">
        <v>134222</v>
      </c>
      <c r="D169" s="15">
        <v>37818</v>
      </c>
      <c r="E169" s="15" t="s">
        <v>211</v>
      </c>
      <c r="F169" s="15">
        <v>2011</v>
      </c>
      <c r="G169" s="15">
        <v>20110415</v>
      </c>
      <c r="H169" s="15">
        <v>174584</v>
      </c>
      <c r="I169" s="15">
        <v>17.46</v>
      </c>
      <c r="J169" s="6" t="s">
        <v>61</v>
      </c>
      <c r="K169" s="15">
        <v>11</v>
      </c>
      <c r="L169" s="15" t="s">
        <v>102</v>
      </c>
      <c r="M169" s="15" t="s">
        <v>5</v>
      </c>
      <c r="N169" s="11" t="s">
        <v>1384</v>
      </c>
      <c r="O169" s="11" t="s">
        <v>28</v>
      </c>
      <c r="P169" s="11" t="s">
        <v>33</v>
      </c>
      <c r="Q169" s="15">
        <v>0</v>
      </c>
      <c r="R169" s="11" t="s">
        <v>1386</v>
      </c>
      <c r="S169" s="10">
        <v>66.439733425255994</v>
      </c>
      <c r="T169" s="15">
        <v>80</v>
      </c>
      <c r="U169" s="15">
        <v>0</v>
      </c>
      <c r="V169" s="15">
        <v>0</v>
      </c>
      <c r="W169" s="15">
        <v>0</v>
      </c>
      <c r="X169" s="15">
        <f>IF(O169='Udvaskning nøgletal'!$D$65,1,IF(O169='Udvaskning nøgletal'!$D$66,2,IF(O169='Udvaskning nøgletal'!$D$67,3,IF(O169='Udvaskning nøgletal'!$D$68,2,""))))</f>
        <v>1</v>
      </c>
      <c r="Y169" s="15">
        <f>LOOKUP(K169,'Udvaskning nøgletal'!$C$12:$C$60,'Udvaskning nøgletal'!$H$12:$H$60)</f>
        <v>5</v>
      </c>
      <c r="Z169" s="10">
        <f>IF(X169=1,LOOKUP(K169,'Udvaskning nøgletal'!$C$12:$C$60,'Udvaskning nøgletal'!$E$12:$E$60)+Markniveau!Y169*Markniveau!S169/100,IF(X169=2,LOOKUP(K169,'Udvaskning nøgletal'!$C$12:$C$60,'Udvaskning nøgletal'!$F$12:$F$60)+Markniveau!Y169*Markniveau!S169/100,IF(X169=3,LOOKUP(K169,'Udvaskning nøgletal'!$C$12:$C$60,'Udvaskning nøgletal'!G179:G227)+Markniveau!Y169*Markniveau!S169/100,"")))</f>
        <v>67.981986671262803</v>
      </c>
      <c r="AA169" s="10">
        <f t="shared" si="26"/>
        <v>1186.9654872802487</v>
      </c>
      <c r="AB169" s="10" t="str">
        <f t="shared" si="25"/>
        <v/>
      </c>
      <c r="AC169" s="10" t="str">
        <f t="shared" si="27"/>
        <v/>
      </c>
      <c r="AD169" s="10">
        <f>IF(AND(Q169&gt;0,Q169&lt;30,K169&lt;8),Markniveau!Z169*'Udvaskning nøgletal'!$I$12/100,IF(AND(Q169&gt;0,Q169&lt;30,K169=216),Markniveau!Z169*'Udvaskning nøgletal'!$I$34/100,Markniveau!Z169))</f>
        <v>67.981986671262803</v>
      </c>
      <c r="AE169" s="10">
        <f t="shared" si="33"/>
        <v>1186.9654872802487</v>
      </c>
      <c r="AF169" s="10" t="str">
        <f t="shared" si="28"/>
        <v/>
      </c>
      <c r="AG169" s="10" t="str">
        <f t="shared" si="34"/>
        <v/>
      </c>
      <c r="AH169" s="10" t="str">
        <f>IF(AND(Q169&gt;0,Q169&lt;30,K169=216),'Udvaskning nøgletal'!$C$42,IF(AND(Q169&gt;0,Q169&lt;30,K169&gt;7,K169&lt;17),'Udvaskning nøgletal'!$C$61,IF(AND(Q169&gt;0,Q169&lt;30,K169&lt;7),'Udvaskning nøgletal'!$C$62,"")))</f>
        <v/>
      </c>
      <c r="AI169" s="10">
        <f t="shared" si="30"/>
        <v>11</v>
      </c>
      <c r="AJ169" s="10">
        <f>IF($X169=1,LOOKUP(AI169,'Udvaskning nøgletal'!$C$12:$C$62,'Udvaskning nøgletal'!$E$12:$E$62)+Markniveau!$Y169*Markniveau!$S169/100,IF($X169=2,LOOKUP(AI169,'Udvaskning nøgletal'!$C$12:$C$62,'Udvaskning nøgletal'!$F$12:$F$62)+Markniveau!$Y169*Markniveau!$S169/100,IF($X169=3,LOOKUP(AI169,'Udvaskning nøgletal'!$C$12:$C$62,'Udvaskning nøgletal'!Q179:Q229)+Markniveau!$Y169*Markniveau!$S169/100,"")))</f>
        <v>67.981986671262803</v>
      </c>
      <c r="AK169" s="10">
        <f t="shared" si="29"/>
        <v>1186.9654872802487</v>
      </c>
      <c r="AL169" s="10" t="str">
        <f t="shared" si="31"/>
        <v/>
      </c>
      <c r="AM169" s="10" t="str">
        <f t="shared" si="32"/>
        <v/>
      </c>
    </row>
    <row r="170" spans="1:39" x14ac:dyDescent="0.25">
      <c r="A170" s="15">
        <v>13759006</v>
      </c>
      <c r="B170" s="15">
        <v>17.079999999999998</v>
      </c>
      <c r="C170" s="15">
        <v>138405</v>
      </c>
      <c r="D170" s="15">
        <v>37818</v>
      </c>
      <c r="E170" s="15" t="s">
        <v>212</v>
      </c>
      <c r="F170" s="15">
        <v>2011</v>
      </c>
      <c r="G170" s="15">
        <v>20110415</v>
      </c>
      <c r="H170" s="15">
        <v>43159</v>
      </c>
      <c r="I170" s="15">
        <v>4.32</v>
      </c>
      <c r="J170" s="6" t="s">
        <v>1403</v>
      </c>
      <c r="K170" s="15">
        <v>22</v>
      </c>
      <c r="L170" s="15" t="s">
        <v>213</v>
      </c>
      <c r="M170" s="15" t="s">
        <v>5</v>
      </c>
      <c r="N170" s="11" t="s">
        <v>1384</v>
      </c>
      <c r="O170" s="11" t="s">
        <v>28</v>
      </c>
      <c r="P170" s="11" t="s">
        <v>33</v>
      </c>
      <c r="Q170" s="15">
        <v>1</v>
      </c>
      <c r="R170" s="11" t="s">
        <v>11</v>
      </c>
      <c r="S170" s="10">
        <v>66.439733425255994</v>
      </c>
      <c r="T170" s="15">
        <v>80</v>
      </c>
      <c r="U170" s="15">
        <v>0</v>
      </c>
      <c r="V170" s="15">
        <v>0</v>
      </c>
      <c r="W170" s="15">
        <v>0</v>
      </c>
      <c r="X170" s="15">
        <f>IF(O170='Udvaskning nøgletal'!$D$65,1,IF(O170='Udvaskning nøgletal'!$D$66,2,IF(O170='Udvaskning nøgletal'!$D$67,3,IF(O170='Udvaskning nøgletal'!$D$68,2,""))))</f>
        <v>1</v>
      </c>
      <c r="Y170" s="15">
        <f>LOOKUP(K170,'Udvaskning nøgletal'!$C$12:$C$60,'Udvaskning nøgletal'!$H$12:$H$60)</f>
        <v>5</v>
      </c>
      <c r="Z170" s="10">
        <f>IF(X170=1,LOOKUP(K170,'Udvaskning nøgletal'!$C$12:$C$60,'Udvaskning nøgletal'!$E$12:$E$60)+Markniveau!Y170*Markniveau!S170/100,IF(X170=2,LOOKUP(K170,'Udvaskning nøgletal'!$C$12:$C$60,'Udvaskning nøgletal'!$F$12:$F$60)+Markniveau!Y170*Markniveau!S170/100,IF(X170=3,LOOKUP(K170,'Udvaskning nøgletal'!$C$12:$C$60,'Udvaskning nøgletal'!G180:G228)+Markniveau!Y170*Markniveau!S170/100,"")))</f>
        <v>67.981986671262803</v>
      </c>
      <c r="AA170" s="10">
        <f t="shared" si="26"/>
        <v>293.68218241985534</v>
      </c>
      <c r="AB170" s="10">
        <f t="shared" si="25"/>
        <v>67.302166804550183</v>
      </c>
      <c r="AC170" s="10">
        <f t="shared" si="27"/>
        <v>290.74536059565679</v>
      </c>
      <c r="AD170" s="10">
        <f>IF(AND(Q170&gt;0,Q170&lt;30,K170&lt;8),Markniveau!Z170*'Udvaskning nøgletal'!$I$12/100,IF(AND(Q170&gt;0,Q170&lt;30,K170=216),Markniveau!Z170*'Udvaskning nøgletal'!$I$34/100,Markniveau!Z170))</f>
        <v>67.981986671262803</v>
      </c>
      <c r="AE170" s="10">
        <f t="shared" si="33"/>
        <v>293.68218241985534</v>
      </c>
      <c r="AF170" s="10">
        <f t="shared" si="28"/>
        <v>67.302166804550183</v>
      </c>
      <c r="AG170" s="10">
        <f t="shared" si="34"/>
        <v>290.74536059565679</v>
      </c>
      <c r="AH170" s="10" t="str">
        <f>IF(AND(Q170&gt;0,Q170&lt;30,K170=216),'Udvaskning nøgletal'!$C$42,IF(AND(Q170&gt;0,Q170&lt;30,K170&gt;7,K170&lt;17),'Udvaskning nøgletal'!$C$61,IF(AND(Q170&gt;0,Q170&lt;30,K170&lt;7),'Udvaskning nøgletal'!$C$62,"")))</f>
        <v/>
      </c>
      <c r="AI170" s="10">
        <f t="shared" si="30"/>
        <v>22</v>
      </c>
      <c r="AJ170" s="10">
        <f>IF($X170=1,LOOKUP(AI170,'Udvaskning nøgletal'!$C$12:$C$62,'Udvaskning nøgletal'!$E$12:$E$62)+Markniveau!$Y170*Markniveau!$S170/100,IF($X170=2,LOOKUP(AI170,'Udvaskning nøgletal'!$C$12:$C$62,'Udvaskning nøgletal'!$F$12:$F$62)+Markniveau!$Y170*Markniveau!$S170/100,IF($X170=3,LOOKUP(AI170,'Udvaskning nøgletal'!$C$12:$C$62,'Udvaskning nøgletal'!Q180:Q230)+Markniveau!$Y170*Markniveau!$S170/100,"")))</f>
        <v>67.981986671262803</v>
      </c>
      <c r="AK170" s="10">
        <f t="shared" si="29"/>
        <v>293.68218241985534</v>
      </c>
      <c r="AL170" s="10">
        <f t="shared" si="31"/>
        <v>67.302166804550183</v>
      </c>
      <c r="AM170" s="10">
        <f t="shared" si="32"/>
        <v>290.74536059565679</v>
      </c>
    </row>
    <row r="171" spans="1:39" x14ac:dyDescent="0.25">
      <c r="A171" s="15">
        <v>13759006</v>
      </c>
      <c r="B171" s="15">
        <v>17.079999999999998</v>
      </c>
      <c r="C171" s="15">
        <v>140853</v>
      </c>
      <c r="D171" s="15">
        <v>37818</v>
      </c>
      <c r="E171" s="15" t="s">
        <v>214</v>
      </c>
      <c r="F171" s="15">
        <v>2011</v>
      </c>
      <c r="G171" s="15">
        <v>20110415</v>
      </c>
      <c r="H171" s="15">
        <v>170831</v>
      </c>
      <c r="I171" s="15">
        <v>17.079999999999998</v>
      </c>
      <c r="J171" s="6" t="s">
        <v>31</v>
      </c>
      <c r="K171" s="15">
        <v>11</v>
      </c>
      <c r="L171" s="15" t="s">
        <v>102</v>
      </c>
      <c r="M171" s="15" t="s">
        <v>5</v>
      </c>
      <c r="N171" s="11" t="s">
        <v>1384</v>
      </c>
      <c r="O171" s="11" t="s">
        <v>28</v>
      </c>
      <c r="P171" s="11" t="s">
        <v>29</v>
      </c>
      <c r="Q171" s="15">
        <v>25</v>
      </c>
      <c r="R171" s="11" t="s">
        <v>7</v>
      </c>
      <c r="S171" s="10">
        <v>66.439733425255994</v>
      </c>
      <c r="T171" s="15">
        <v>80</v>
      </c>
      <c r="U171" s="15">
        <v>0</v>
      </c>
      <c r="V171" s="15">
        <v>0</v>
      </c>
      <c r="W171" s="15">
        <v>0</v>
      </c>
      <c r="X171" s="15">
        <f>IF(O171='Udvaskning nøgletal'!$D$65,1,IF(O171='Udvaskning nøgletal'!$D$66,2,IF(O171='Udvaskning nøgletal'!$D$67,3,IF(O171='Udvaskning nøgletal'!$D$68,2,""))))</f>
        <v>1</v>
      </c>
      <c r="Y171" s="15">
        <f>LOOKUP(K171,'Udvaskning nøgletal'!$C$12:$C$60,'Udvaskning nøgletal'!$H$12:$H$60)</f>
        <v>5</v>
      </c>
      <c r="Z171" s="10">
        <f>IF(X171=1,LOOKUP(K171,'Udvaskning nøgletal'!$C$12:$C$60,'Udvaskning nøgletal'!$E$12:$E$60)+Markniveau!Y171*Markniveau!S171/100,IF(X171=2,LOOKUP(K171,'Udvaskning nøgletal'!$C$12:$C$60,'Udvaskning nøgletal'!$F$12:$F$60)+Markniveau!Y171*Markniveau!S171/100,IF(X171=3,LOOKUP(K171,'Udvaskning nøgletal'!$C$12:$C$60,'Udvaskning nøgletal'!G181:G229)+Markniveau!Y171*Markniveau!S171/100,"")))</f>
        <v>67.981986671262803</v>
      </c>
      <c r="AA171" s="10">
        <f t="shared" si="26"/>
        <v>1161.1323323451686</v>
      </c>
      <c r="AB171" s="10">
        <f t="shared" si="25"/>
        <v>50.986490003447109</v>
      </c>
      <c r="AC171" s="10">
        <f t="shared" si="27"/>
        <v>870.84924925887651</v>
      </c>
      <c r="AD171" s="10">
        <f>IF(AND(Q171&gt;0,Q171&lt;30,K171&lt;8),Markniveau!Z171*'Udvaskning nøgletal'!$I$12/100,IF(AND(Q171&gt;0,Q171&lt;30,K171=216),Markniveau!Z171*'Udvaskning nøgletal'!$I$34/100,Markniveau!Z171))</f>
        <v>67.981986671262803</v>
      </c>
      <c r="AE171" s="10">
        <f t="shared" si="33"/>
        <v>1161.1323323451686</v>
      </c>
      <c r="AF171" s="10">
        <f t="shared" si="28"/>
        <v>50.986490003447109</v>
      </c>
      <c r="AG171" s="10">
        <f t="shared" si="34"/>
        <v>870.84924925887651</v>
      </c>
      <c r="AH171" s="10">
        <f>IF(AND(Q171&gt;0,Q171&lt;30,K171=216),'Udvaskning nøgletal'!$C$42,IF(AND(Q171&gt;0,Q171&lt;30,K171&gt;7,K171&lt;17),'Udvaskning nøgletal'!$C$61,IF(AND(Q171&gt;0,Q171&lt;30,K171&lt;7),'Udvaskning nøgletal'!$C$62,"")))</f>
        <v>1001</v>
      </c>
      <c r="AI171" s="10">
        <f t="shared" si="30"/>
        <v>1001</v>
      </c>
      <c r="AJ171" s="10">
        <f>IF($X171=1,LOOKUP(AI171,'Udvaskning nøgletal'!$C$12:$C$62,'Udvaskning nøgletal'!$E$12:$E$62)+Markniveau!$Y171*Markniveau!$S171/100,IF($X171=2,LOOKUP(AI171,'Udvaskning nøgletal'!$C$12:$C$62,'Udvaskning nøgletal'!$F$12:$F$62)+Markniveau!$Y171*Markniveau!$S171/100,IF($X171=3,LOOKUP(AI171,'Udvaskning nøgletal'!$C$12:$C$62,'Udvaskning nøgletal'!Q181:Q231)+Markniveau!$Y171*Markniveau!$S171/100,"")))</f>
        <v>33.821986671262799</v>
      </c>
      <c r="AK171" s="10">
        <f t="shared" si="29"/>
        <v>577.67953234516858</v>
      </c>
      <c r="AL171" s="10">
        <f t="shared" si="31"/>
        <v>25.366490003447097</v>
      </c>
      <c r="AM171" s="10">
        <f t="shared" si="32"/>
        <v>433.25964925887638</v>
      </c>
    </row>
    <row r="172" spans="1:39" x14ac:dyDescent="0.25">
      <c r="A172" s="15">
        <v>13759006</v>
      </c>
      <c r="B172" s="15">
        <v>17.079999999999998</v>
      </c>
      <c r="C172" s="15">
        <v>146984</v>
      </c>
      <c r="D172" s="15">
        <v>37818</v>
      </c>
      <c r="E172" s="15" t="s">
        <v>215</v>
      </c>
      <c r="F172" s="15">
        <v>2011</v>
      </c>
      <c r="G172" s="15">
        <v>20110415</v>
      </c>
      <c r="H172" s="15">
        <v>75122</v>
      </c>
      <c r="I172" s="15">
        <v>7.51</v>
      </c>
      <c r="J172" s="6" t="s">
        <v>34</v>
      </c>
      <c r="K172" s="15">
        <v>22</v>
      </c>
      <c r="L172" s="15" t="s">
        <v>213</v>
      </c>
      <c r="M172" s="15" t="s">
        <v>5</v>
      </c>
      <c r="N172" s="11" t="s">
        <v>1384</v>
      </c>
      <c r="O172" s="11" t="s">
        <v>28</v>
      </c>
      <c r="P172" s="11" t="s">
        <v>33</v>
      </c>
      <c r="Q172" s="15">
        <v>1</v>
      </c>
      <c r="R172" s="11" t="s">
        <v>11</v>
      </c>
      <c r="S172" s="10">
        <v>66.439733425255994</v>
      </c>
      <c r="T172" s="15">
        <v>80</v>
      </c>
      <c r="U172" s="15">
        <v>0</v>
      </c>
      <c r="V172" s="15">
        <v>0</v>
      </c>
      <c r="W172" s="15">
        <v>0</v>
      </c>
      <c r="X172" s="15">
        <f>IF(O172='Udvaskning nøgletal'!$D$65,1,IF(O172='Udvaskning nøgletal'!$D$66,2,IF(O172='Udvaskning nøgletal'!$D$67,3,IF(O172='Udvaskning nøgletal'!$D$68,2,""))))</f>
        <v>1</v>
      </c>
      <c r="Y172" s="15">
        <f>LOOKUP(K172,'Udvaskning nøgletal'!$C$12:$C$60,'Udvaskning nøgletal'!$H$12:$H$60)</f>
        <v>5</v>
      </c>
      <c r="Z172" s="10">
        <f>IF(X172=1,LOOKUP(K172,'Udvaskning nøgletal'!$C$12:$C$60,'Udvaskning nøgletal'!$E$12:$E$60)+Markniveau!Y172*Markniveau!S172/100,IF(X172=2,LOOKUP(K172,'Udvaskning nøgletal'!$C$12:$C$60,'Udvaskning nøgletal'!$F$12:$F$60)+Markniveau!Y172*Markniveau!S172/100,IF(X172=3,LOOKUP(K172,'Udvaskning nøgletal'!$C$12:$C$60,'Udvaskning nøgletal'!G182:G230)+Markniveau!Y172*Markniveau!S172/100,"")))</f>
        <v>67.981986671262803</v>
      </c>
      <c r="AA172" s="10">
        <f t="shared" si="26"/>
        <v>510.54471990118361</v>
      </c>
      <c r="AB172" s="10">
        <f t="shared" si="25"/>
        <v>67.302166804550183</v>
      </c>
      <c r="AC172" s="10">
        <f t="shared" si="27"/>
        <v>505.43927270217188</v>
      </c>
      <c r="AD172" s="10">
        <f>IF(AND(Q172&gt;0,Q172&lt;30,K172&lt;8),Markniveau!Z172*'Udvaskning nøgletal'!$I$12/100,IF(AND(Q172&gt;0,Q172&lt;30,K172=216),Markniveau!Z172*'Udvaskning nøgletal'!$I$34/100,Markniveau!Z172))</f>
        <v>67.981986671262803</v>
      </c>
      <c r="AE172" s="10">
        <f t="shared" si="33"/>
        <v>510.54471990118361</v>
      </c>
      <c r="AF172" s="10">
        <f t="shared" si="28"/>
        <v>67.302166804550183</v>
      </c>
      <c r="AG172" s="10">
        <f t="shared" si="34"/>
        <v>505.43927270217188</v>
      </c>
      <c r="AH172" s="10" t="str">
        <f>IF(AND(Q172&gt;0,Q172&lt;30,K172=216),'Udvaskning nøgletal'!$C$42,IF(AND(Q172&gt;0,Q172&lt;30,K172&gt;7,K172&lt;17),'Udvaskning nøgletal'!$C$61,IF(AND(Q172&gt;0,Q172&lt;30,K172&lt;7),'Udvaskning nøgletal'!$C$62,"")))</f>
        <v/>
      </c>
      <c r="AI172" s="10">
        <f t="shared" si="30"/>
        <v>22</v>
      </c>
      <c r="AJ172" s="10">
        <f>IF($X172=1,LOOKUP(AI172,'Udvaskning nøgletal'!$C$12:$C$62,'Udvaskning nøgletal'!$E$12:$E$62)+Markniveau!$Y172*Markniveau!$S172/100,IF($X172=2,LOOKUP(AI172,'Udvaskning nøgletal'!$C$12:$C$62,'Udvaskning nøgletal'!$F$12:$F$62)+Markniveau!$Y172*Markniveau!$S172/100,IF($X172=3,LOOKUP(AI172,'Udvaskning nøgletal'!$C$12:$C$62,'Udvaskning nøgletal'!Q182:Q232)+Markniveau!$Y172*Markniveau!$S172/100,"")))</f>
        <v>67.981986671262803</v>
      </c>
      <c r="AK172" s="10">
        <f t="shared" si="29"/>
        <v>510.54471990118361</v>
      </c>
      <c r="AL172" s="10">
        <f t="shared" si="31"/>
        <v>67.302166804550183</v>
      </c>
      <c r="AM172" s="10">
        <f t="shared" si="32"/>
        <v>505.43927270217188</v>
      </c>
    </row>
    <row r="173" spans="1:39" x14ac:dyDescent="0.25">
      <c r="A173" s="15">
        <v>13759006</v>
      </c>
      <c r="B173" s="15">
        <v>17.079999999999998</v>
      </c>
      <c r="C173" s="15">
        <v>155705</v>
      </c>
      <c r="D173" s="15">
        <v>37818</v>
      </c>
      <c r="E173" s="15" t="s">
        <v>216</v>
      </c>
      <c r="F173" s="15">
        <v>2011</v>
      </c>
      <c r="G173" s="15">
        <v>20110415</v>
      </c>
      <c r="H173" s="15">
        <v>274089</v>
      </c>
      <c r="I173" s="15">
        <v>27.41</v>
      </c>
      <c r="J173" s="6" t="s">
        <v>35</v>
      </c>
      <c r="K173" s="15">
        <v>10</v>
      </c>
      <c r="L173" s="15" t="s">
        <v>107</v>
      </c>
      <c r="M173" s="15" t="s">
        <v>5</v>
      </c>
      <c r="N173" s="11" t="s">
        <v>1384</v>
      </c>
      <c r="O173" s="11" t="s">
        <v>28</v>
      </c>
      <c r="P173" s="11" t="s">
        <v>33</v>
      </c>
      <c r="Q173" s="15">
        <v>1</v>
      </c>
      <c r="R173" s="11" t="s">
        <v>11</v>
      </c>
      <c r="S173" s="10">
        <v>66.439733425255994</v>
      </c>
      <c r="T173" s="15">
        <v>80</v>
      </c>
      <c r="U173" s="15">
        <v>0</v>
      </c>
      <c r="V173" s="15">
        <v>0</v>
      </c>
      <c r="W173" s="15">
        <v>0</v>
      </c>
      <c r="X173" s="15">
        <f>IF(O173='Udvaskning nøgletal'!$D$65,1,IF(O173='Udvaskning nøgletal'!$D$66,2,IF(O173='Udvaskning nøgletal'!$D$67,3,IF(O173='Udvaskning nøgletal'!$D$68,2,""))))</f>
        <v>1</v>
      </c>
      <c r="Y173" s="15">
        <f>LOOKUP(K173,'Udvaskning nøgletal'!$C$12:$C$60,'Udvaskning nøgletal'!$H$12:$H$60)</f>
        <v>5</v>
      </c>
      <c r="Z173" s="10">
        <f>IF(X173=1,LOOKUP(K173,'Udvaskning nøgletal'!$C$12:$C$60,'Udvaskning nøgletal'!$E$12:$E$60)+Markniveau!Y173*Markniveau!S173/100,IF(X173=2,LOOKUP(K173,'Udvaskning nøgletal'!$C$12:$C$60,'Udvaskning nøgletal'!$F$12:$F$60)+Markniveau!Y173*Markniveau!S173/100,IF(X173=3,LOOKUP(K173,'Udvaskning nøgletal'!$C$12:$C$60,'Udvaskning nøgletal'!G183:G231)+Markniveau!Y173*Markniveau!S173/100,"")))</f>
        <v>67.981986671262803</v>
      </c>
      <c r="AA173" s="10">
        <f t="shared" si="26"/>
        <v>1863.3862546593134</v>
      </c>
      <c r="AB173" s="10">
        <f t="shared" si="25"/>
        <v>67.302166804550183</v>
      </c>
      <c r="AC173" s="10">
        <f t="shared" si="27"/>
        <v>1844.7523921127206</v>
      </c>
      <c r="AD173" s="10">
        <f>IF(AND(Q173&gt;0,Q173&lt;30,K173&lt;8),Markniveau!Z173*'Udvaskning nøgletal'!$I$12/100,IF(AND(Q173&gt;0,Q173&lt;30,K173=216),Markniveau!Z173*'Udvaskning nøgletal'!$I$34/100,Markniveau!Z173))</f>
        <v>67.981986671262803</v>
      </c>
      <c r="AE173" s="10">
        <f t="shared" si="33"/>
        <v>1863.3862546593134</v>
      </c>
      <c r="AF173" s="10">
        <f t="shared" si="28"/>
        <v>67.302166804550183</v>
      </c>
      <c r="AG173" s="10">
        <f t="shared" si="34"/>
        <v>1844.7523921127206</v>
      </c>
      <c r="AH173" s="10">
        <f>IF(AND(Q173&gt;0,Q173&lt;30,K173=216),'Udvaskning nøgletal'!$C$42,IF(AND(Q173&gt;0,Q173&lt;30,K173&gt;7,K173&lt;17),'Udvaskning nøgletal'!$C$61,IF(AND(Q173&gt;0,Q173&lt;30,K173&lt;7),'Udvaskning nøgletal'!$C$62,"")))</f>
        <v>1001</v>
      </c>
      <c r="AI173" s="10">
        <f t="shared" si="30"/>
        <v>1001</v>
      </c>
      <c r="AJ173" s="10">
        <f>IF($X173=1,LOOKUP(AI173,'Udvaskning nøgletal'!$C$12:$C$62,'Udvaskning nøgletal'!$E$12:$E$62)+Markniveau!$Y173*Markniveau!$S173/100,IF($X173=2,LOOKUP(AI173,'Udvaskning nøgletal'!$C$12:$C$62,'Udvaskning nøgletal'!$F$12:$F$62)+Markniveau!$Y173*Markniveau!$S173/100,IF($X173=3,LOOKUP(AI173,'Udvaskning nøgletal'!$C$12:$C$62,'Udvaskning nøgletal'!Q183:Q233)+Markniveau!$Y173*Markniveau!$S173/100,"")))</f>
        <v>33.821986671262799</v>
      </c>
      <c r="AK173" s="10">
        <f t="shared" si="29"/>
        <v>927.06065465931329</v>
      </c>
      <c r="AL173" s="10">
        <f t="shared" si="31"/>
        <v>33.483766804550172</v>
      </c>
      <c r="AM173" s="10">
        <f t="shared" si="32"/>
        <v>917.79004811272023</v>
      </c>
    </row>
    <row r="174" spans="1:39" x14ac:dyDescent="0.25">
      <c r="A174" s="15">
        <v>13759006</v>
      </c>
      <c r="B174" s="15">
        <v>17.079999999999998</v>
      </c>
      <c r="C174" s="15">
        <v>172112</v>
      </c>
      <c r="D174" s="15">
        <v>37818</v>
      </c>
      <c r="E174" s="15" t="s">
        <v>215</v>
      </c>
      <c r="F174" s="15">
        <v>2011</v>
      </c>
      <c r="G174" s="15">
        <v>20110415</v>
      </c>
      <c r="H174" s="15">
        <v>70244</v>
      </c>
      <c r="I174" s="15">
        <v>7.02</v>
      </c>
      <c r="J174" s="6" t="s">
        <v>1401</v>
      </c>
      <c r="K174" s="15">
        <v>22</v>
      </c>
      <c r="L174" s="15" t="s">
        <v>213</v>
      </c>
      <c r="M174" s="15" t="s">
        <v>5</v>
      </c>
      <c r="N174" s="11" t="s">
        <v>1384</v>
      </c>
      <c r="O174" s="11" t="s">
        <v>28</v>
      </c>
      <c r="P174" s="11" t="s">
        <v>33</v>
      </c>
      <c r="Q174" s="15">
        <v>1</v>
      </c>
      <c r="R174" s="11" t="s">
        <v>11</v>
      </c>
      <c r="S174" s="10">
        <v>66.439733425255994</v>
      </c>
      <c r="T174" s="15">
        <v>80</v>
      </c>
      <c r="U174" s="15">
        <v>0</v>
      </c>
      <c r="V174" s="15">
        <v>0</v>
      </c>
      <c r="W174" s="15">
        <v>0</v>
      </c>
      <c r="X174" s="15">
        <f>IF(O174='Udvaskning nøgletal'!$D$65,1,IF(O174='Udvaskning nøgletal'!$D$66,2,IF(O174='Udvaskning nøgletal'!$D$67,3,IF(O174='Udvaskning nøgletal'!$D$68,2,""))))</f>
        <v>1</v>
      </c>
      <c r="Y174" s="15">
        <f>LOOKUP(K174,'Udvaskning nøgletal'!$C$12:$C$60,'Udvaskning nøgletal'!$H$12:$H$60)</f>
        <v>5</v>
      </c>
      <c r="Z174" s="10">
        <f>IF(X174=1,LOOKUP(K174,'Udvaskning nøgletal'!$C$12:$C$60,'Udvaskning nøgletal'!$E$12:$E$60)+Markniveau!Y174*Markniveau!S174/100,IF(X174=2,LOOKUP(K174,'Udvaskning nøgletal'!$C$12:$C$60,'Udvaskning nøgletal'!$F$12:$F$60)+Markniveau!Y174*Markniveau!S174/100,IF(X174=3,LOOKUP(K174,'Udvaskning nøgletal'!$C$12:$C$60,'Udvaskning nøgletal'!G184:G232)+Markniveau!Y174*Markniveau!S174/100,"")))</f>
        <v>67.981986671262803</v>
      </c>
      <c r="AA174" s="10">
        <f t="shared" si="26"/>
        <v>477.23354643226486</v>
      </c>
      <c r="AB174" s="10">
        <f t="shared" si="25"/>
        <v>67.302166804550183</v>
      </c>
      <c r="AC174" s="10">
        <f t="shared" si="27"/>
        <v>472.46121096794224</v>
      </c>
      <c r="AD174" s="10">
        <f>IF(AND(Q174&gt;0,Q174&lt;30,K174&lt;8),Markniveau!Z174*'Udvaskning nøgletal'!$I$12/100,IF(AND(Q174&gt;0,Q174&lt;30,K174=216),Markniveau!Z174*'Udvaskning nøgletal'!$I$34/100,Markniveau!Z174))</f>
        <v>67.981986671262803</v>
      </c>
      <c r="AE174" s="10">
        <f t="shared" si="33"/>
        <v>477.23354643226486</v>
      </c>
      <c r="AF174" s="10">
        <f t="shared" si="28"/>
        <v>67.302166804550183</v>
      </c>
      <c r="AG174" s="10">
        <f t="shared" si="34"/>
        <v>472.46121096794224</v>
      </c>
      <c r="AH174" s="10" t="str">
        <f>IF(AND(Q174&gt;0,Q174&lt;30,K174=216),'Udvaskning nøgletal'!$C$42,IF(AND(Q174&gt;0,Q174&lt;30,K174&gt;7,K174&lt;17),'Udvaskning nøgletal'!$C$61,IF(AND(Q174&gt;0,Q174&lt;30,K174&lt;7),'Udvaskning nøgletal'!$C$62,"")))</f>
        <v/>
      </c>
      <c r="AI174" s="10">
        <f t="shared" si="30"/>
        <v>22</v>
      </c>
      <c r="AJ174" s="10">
        <f>IF($X174=1,LOOKUP(AI174,'Udvaskning nøgletal'!$C$12:$C$62,'Udvaskning nøgletal'!$E$12:$E$62)+Markniveau!$Y174*Markniveau!$S174/100,IF($X174=2,LOOKUP(AI174,'Udvaskning nøgletal'!$C$12:$C$62,'Udvaskning nøgletal'!$F$12:$F$62)+Markniveau!$Y174*Markniveau!$S174/100,IF($X174=3,LOOKUP(AI174,'Udvaskning nøgletal'!$C$12:$C$62,'Udvaskning nøgletal'!Q184:Q234)+Markniveau!$Y174*Markniveau!$S174/100,"")))</f>
        <v>67.981986671262803</v>
      </c>
      <c r="AK174" s="10">
        <f t="shared" si="29"/>
        <v>477.23354643226486</v>
      </c>
      <c r="AL174" s="10">
        <f t="shared" si="31"/>
        <v>67.302166804550183</v>
      </c>
      <c r="AM174" s="10">
        <f t="shared" si="32"/>
        <v>472.46121096794224</v>
      </c>
    </row>
    <row r="175" spans="1:39" x14ac:dyDescent="0.25">
      <c r="A175" s="15">
        <v>13759006</v>
      </c>
      <c r="B175" s="15">
        <v>17.079999999999998</v>
      </c>
      <c r="C175" s="15">
        <v>102918</v>
      </c>
      <c r="D175" s="15">
        <v>37818</v>
      </c>
      <c r="E175" s="15" t="s">
        <v>217</v>
      </c>
      <c r="F175" s="15">
        <v>2011</v>
      </c>
      <c r="G175" s="15">
        <v>20110415</v>
      </c>
      <c r="H175" s="15">
        <v>41045</v>
      </c>
      <c r="I175" s="15">
        <v>4.0999999999999996</v>
      </c>
      <c r="J175" s="6" t="s">
        <v>26</v>
      </c>
      <c r="K175" s="15">
        <v>264</v>
      </c>
      <c r="L175" s="15" t="s">
        <v>207</v>
      </c>
      <c r="M175" s="15" t="s">
        <v>4</v>
      </c>
      <c r="N175" s="11" t="s">
        <v>1391</v>
      </c>
      <c r="O175" s="11" t="s">
        <v>46</v>
      </c>
      <c r="P175" s="11" t="s">
        <v>33</v>
      </c>
      <c r="Q175" s="15">
        <v>0</v>
      </c>
      <c r="R175" s="11" t="s">
        <v>1386</v>
      </c>
      <c r="S175" s="10">
        <v>66.439733425255994</v>
      </c>
      <c r="T175" s="15">
        <v>80</v>
      </c>
      <c r="U175" s="15">
        <v>0</v>
      </c>
      <c r="V175" s="15">
        <v>0</v>
      </c>
      <c r="W175" s="15">
        <v>0</v>
      </c>
      <c r="X175" s="15">
        <f>IF(O175='Udvaskning nøgletal'!$D$65,1,IF(O175='Udvaskning nøgletal'!$D$66,2,IF(O175='Udvaskning nøgletal'!$D$67,3,IF(O175='Udvaskning nøgletal'!$D$68,2,""))))</f>
        <v>2</v>
      </c>
      <c r="Y175" s="15">
        <f>LOOKUP(K175,'Udvaskning nøgletal'!$C$12:$C$60,'Udvaskning nøgletal'!$H$12:$H$60)</f>
        <v>0</v>
      </c>
      <c r="Z175" s="10">
        <f>IF(X175=1,LOOKUP(K175,'Udvaskning nøgletal'!$C$12:$C$60,'Udvaskning nøgletal'!$E$12:$E$60)+Markniveau!Y175*Markniveau!S175/100,IF(X175=2,LOOKUP(K175,'Udvaskning nøgletal'!$C$12:$C$60,'Udvaskning nøgletal'!$F$12:$F$60)+Markniveau!Y175*Markniveau!S175/100,IF(X175=3,LOOKUP(K175,'Udvaskning nøgletal'!$C$12:$C$60,'Udvaskning nøgletal'!G185:G233)+Markniveau!Y175*Markniveau!S175/100,"")))</f>
        <v>10.6</v>
      </c>
      <c r="AA175" s="10">
        <f t="shared" si="26"/>
        <v>43.459999999999994</v>
      </c>
      <c r="AB175" s="10" t="str">
        <f t="shared" si="25"/>
        <v/>
      </c>
      <c r="AC175" s="10" t="str">
        <f t="shared" si="27"/>
        <v/>
      </c>
      <c r="AD175" s="10">
        <f>IF(AND(Q175&gt;0,Q175&lt;30,K175&lt;8),Markniveau!Z175*'Udvaskning nøgletal'!$I$12/100,IF(AND(Q175&gt;0,Q175&lt;30,K175=216),Markniveau!Z175*'Udvaskning nøgletal'!$I$34/100,Markniveau!Z175))</f>
        <v>10.6</v>
      </c>
      <c r="AE175" s="10">
        <f t="shared" si="33"/>
        <v>43.459999999999994</v>
      </c>
      <c r="AF175" s="10" t="str">
        <f t="shared" si="28"/>
        <v/>
      </c>
      <c r="AG175" s="10" t="str">
        <f t="shared" si="34"/>
        <v/>
      </c>
      <c r="AH175" s="10" t="str">
        <f>IF(AND(Q175&gt;0,Q175&lt;30,K175=216),'Udvaskning nøgletal'!$C$42,IF(AND(Q175&gt;0,Q175&lt;30,K175&gt;7,K175&lt;17),'Udvaskning nøgletal'!$C$61,IF(AND(Q175&gt;0,Q175&lt;30,K175&lt;7),'Udvaskning nøgletal'!$C$62,"")))</f>
        <v/>
      </c>
      <c r="AI175" s="10">
        <f t="shared" si="30"/>
        <v>264</v>
      </c>
      <c r="AJ175" s="10">
        <f>IF($X175=1,LOOKUP(AI175,'Udvaskning nøgletal'!$C$12:$C$62,'Udvaskning nøgletal'!$E$12:$E$62)+Markniveau!$Y175*Markniveau!$S175/100,IF($X175=2,LOOKUP(AI175,'Udvaskning nøgletal'!$C$12:$C$62,'Udvaskning nøgletal'!$F$12:$F$62)+Markniveau!$Y175*Markniveau!$S175/100,IF($X175=3,LOOKUP(AI175,'Udvaskning nøgletal'!$C$12:$C$62,'Udvaskning nøgletal'!Q185:Q235)+Markniveau!$Y175*Markniveau!$S175/100,"")))</f>
        <v>10.6</v>
      </c>
      <c r="AK175" s="10">
        <f t="shared" si="29"/>
        <v>43.459999999999994</v>
      </c>
      <c r="AL175" s="10" t="str">
        <f t="shared" si="31"/>
        <v/>
      </c>
      <c r="AM175" s="10" t="str">
        <f t="shared" si="32"/>
        <v/>
      </c>
    </row>
    <row r="176" spans="1:39" x14ac:dyDescent="0.25">
      <c r="A176" s="15">
        <v>13759006</v>
      </c>
      <c r="B176" s="15">
        <v>17.079999999999998</v>
      </c>
      <c r="C176" s="15">
        <v>133724</v>
      </c>
      <c r="D176" s="15">
        <v>37818</v>
      </c>
      <c r="E176" s="15" t="s">
        <v>218</v>
      </c>
      <c r="F176" s="15">
        <v>2011</v>
      </c>
      <c r="G176" s="15">
        <v>20110415</v>
      </c>
      <c r="H176" s="15">
        <v>35729</v>
      </c>
      <c r="I176" s="15">
        <v>3.57</v>
      </c>
      <c r="J176" s="6" t="s">
        <v>1402</v>
      </c>
      <c r="K176" s="15">
        <v>11</v>
      </c>
      <c r="L176" s="15" t="s">
        <v>102</v>
      </c>
      <c r="M176" s="15" t="s">
        <v>5</v>
      </c>
      <c r="N176" s="11" t="s">
        <v>1384</v>
      </c>
      <c r="O176" s="11" t="s">
        <v>28</v>
      </c>
      <c r="P176" s="11" t="s">
        <v>33</v>
      </c>
      <c r="Q176" s="15">
        <v>0</v>
      </c>
      <c r="R176" s="11" t="s">
        <v>1386</v>
      </c>
      <c r="S176" s="10">
        <v>66.439733425255994</v>
      </c>
      <c r="T176" s="15">
        <v>80</v>
      </c>
      <c r="U176" s="15">
        <v>0</v>
      </c>
      <c r="V176" s="15">
        <v>0</v>
      </c>
      <c r="W176" s="15">
        <v>0</v>
      </c>
      <c r="X176" s="15">
        <f>IF(O176='Udvaskning nøgletal'!$D$65,1,IF(O176='Udvaskning nøgletal'!$D$66,2,IF(O176='Udvaskning nøgletal'!$D$67,3,IF(O176='Udvaskning nøgletal'!$D$68,2,""))))</f>
        <v>1</v>
      </c>
      <c r="Y176" s="15">
        <f>LOOKUP(K176,'Udvaskning nøgletal'!$C$12:$C$60,'Udvaskning nøgletal'!$H$12:$H$60)</f>
        <v>5</v>
      </c>
      <c r="Z176" s="10">
        <f>IF(X176=1,LOOKUP(K176,'Udvaskning nøgletal'!$C$12:$C$60,'Udvaskning nøgletal'!$E$12:$E$60)+Markniveau!Y176*Markniveau!S176/100,IF(X176=2,LOOKUP(K176,'Udvaskning nøgletal'!$C$12:$C$60,'Udvaskning nøgletal'!$F$12:$F$60)+Markniveau!Y176*Markniveau!S176/100,IF(X176=3,LOOKUP(K176,'Udvaskning nøgletal'!$C$12:$C$60,'Udvaskning nøgletal'!G186:G234)+Markniveau!Y176*Markniveau!S176/100,"")))</f>
        <v>67.981986671262803</v>
      </c>
      <c r="AA176" s="10">
        <f t="shared" si="26"/>
        <v>242.69569241640821</v>
      </c>
      <c r="AB176" s="10" t="str">
        <f t="shared" si="25"/>
        <v/>
      </c>
      <c r="AC176" s="10" t="str">
        <f t="shared" si="27"/>
        <v/>
      </c>
      <c r="AD176" s="10">
        <f>IF(AND(Q176&gt;0,Q176&lt;30,K176&lt;8),Markniveau!Z176*'Udvaskning nøgletal'!$I$12/100,IF(AND(Q176&gt;0,Q176&lt;30,K176=216),Markniveau!Z176*'Udvaskning nøgletal'!$I$34/100,Markniveau!Z176))</f>
        <v>67.981986671262803</v>
      </c>
      <c r="AE176" s="10">
        <f t="shared" si="33"/>
        <v>242.69569241640821</v>
      </c>
      <c r="AF176" s="10" t="str">
        <f t="shared" si="28"/>
        <v/>
      </c>
      <c r="AG176" s="10" t="str">
        <f t="shared" si="34"/>
        <v/>
      </c>
      <c r="AH176" s="10" t="str">
        <f>IF(AND(Q176&gt;0,Q176&lt;30,K176=216),'Udvaskning nøgletal'!$C$42,IF(AND(Q176&gt;0,Q176&lt;30,K176&gt;7,K176&lt;17),'Udvaskning nøgletal'!$C$61,IF(AND(Q176&gt;0,Q176&lt;30,K176&lt;7),'Udvaskning nøgletal'!$C$62,"")))</f>
        <v/>
      </c>
      <c r="AI176" s="10">
        <f t="shared" si="30"/>
        <v>11</v>
      </c>
      <c r="AJ176" s="10">
        <f>IF($X176=1,LOOKUP(AI176,'Udvaskning nøgletal'!$C$12:$C$62,'Udvaskning nøgletal'!$E$12:$E$62)+Markniveau!$Y176*Markniveau!$S176/100,IF($X176=2,LOOKUP(AI176,'Udvaskning nøgletal'!$C$12:$C$62,'Udvaskning nøgletal'!$F$12:$F$62)+Markniveau!$Y176*Markniveau!$S176/100,IF($X176=3,LOOKUP(AI176,'Udvaskning nøgletal'!$C$12:$C$62,'Udvaskning nøgletal'!Q186:Q236)+Markniveau!$Y176*Markniveau!$S176/100,"")))</f>
        <v>67.981986671262803</v>
      </c>
      <c r="AK176" s="10">
        <f t="shared" si="29"/>
        <v>242.69569241640821</v>
      </c>
      <c r="AL176" s="10" t="str">
        <f t="shared" si="31"/>
        <v/>
      </c>
      <c r="AM176" s="10" t="str">
        <f t="shared" si="32"/>
        <v/>
      </c>
    </row>
    <row r="177" spans="1:39" x14ac:dyDescent="0.25">
      <c r="A177" s="15">
        <v>14265473</v>
      </c>
      <c r="B177" s="15">
        <v>11.69</v>
      </c>
      <c r="C177" s="15">
        <v>80163</v>
      </c>
      <c r="D177" s="15">
        <v>150693</v>
      </c>
      <c r="E177" s="15" t="s">
        <v>185</v>
      </c>
      <c r="F177" s="15">
        <v>2011</v>
      </c>
      <c r="G177" s="15">
        <v>20110421</v>
      </c>
      <c r="H177" s="15">
        <v>13928</v>
      </c>
      <c r="I177" s="15">
        <v>1.39</v>
      </c>
      <c r="J177" s="6" t="s">
        <v>1415</v>
      </c>
      <c r="K177" s="15">
        <v>902</v>
      </c>
      <c r="L177" s="15" t="s">
        <v>160</v>
      </c>
      <c r="M177" s="15" t="s">
        <v>81</v>
      </c>
      <c r="N177" s="11" t="s">
        <v>1384</v>
      </c>
      <c r="O177" s="11" t="s">
        <v>28</v>
      </c>
      <c r="P177" s="11" t="s">
        <v>33</v>
      </c>
      <c r="Q177" s="15">
        <v>0</v>
      </c>
      <c r="R177" s="11" t="s">
        <v>1386</v>
      </c>
      <c r="S177" s="10">
        <v>0</v>
      </c>
      <c r="T177" s="15">
        <v>80</v>
      </c>
      <c r="U177" s="15">
        <v>0</v>
      </c>
      <c r="V177" s="15">
        <v>0</v>
      </c>
      <c r="W177" s="15">
        <v>0</v>
      </c>
      <c r="X177" s="15">
        <f>IF(O177='Udvaskning nøgletal'!$D$65,1,IF(O177='Udvaskning nøgletal'!$D$66,2,IF(O177='Udvaskning nøgletal'!$D$67,3,IF(O177='Udvaskning nøgletal'!$D$68,2,""))))</f>
        <v>1</v>
      </c>
      <c r="Y177" s="15">
        <f>LOOKUP(K177,'Udvaskning nøgletal'!$C$12:$C$60,'Udvaskning nøgletal'!$H$12:$H$60)</f>
        <v>0</v>
      </c>
      <c r="Z177" s="10">
        <f>IF(X177=1,LOOKUP(K177,'Udvaskning nøgletal'!$C$12:$C$60,'Udvaskning nøgletal'!$E$12:$E$60)+Markniveau!Y177*Markniveau!S177/100,IF(X177=2,LOOKUP(K177,'Udvaskning nøgletal'!$C$12:$C$60,'Udvaskning nøgletal'!$F$12:$F$60)+Markniveau!Y177*Markniveau!S177/100,IF(X177=3,LOOKUP(K177,'Udvaskning nøgletal'!$C$12:$C$60,'Udvaskning nøgletal'!G187:G235)+Markniveau!Y177*Markniveau!S177/100,"")))</f>
        <v>10</v>
      </c>
      <c r="AA177" s="10">
        <f t="shared" si="26"/>
        <v>13.899999999999999</v>
      </c>
      <c r="AB177" s="10" t="str">
        <f t="shared" si="25"/>
        <v/>
      </c>
      <c r="AC177" s="10" t="str">
        <f t="shared" si="27"/>
        <v/>
      </c>
      <c r="AD177" s="10">
        <f>IF(AND(Q177&gt;0,Q177&lt;30,K177&lt;8),Markniveau!Z177*'Udvaskning nøgletal'!$I$12/100,IF(AND(Q177&gt;0,Q177&lt;30,K177=216),Markniveau!Z177*'Udvaskning nøgletal'!$I$34/100,Markniveau!Z177))</f>
        <v>10</v>
      </c>
      <c r="AE177" s="10">
        <f t="shared" si="33"/>
        <v>13.899999999999999</v>
      </c>
      <c r="AF177" s="10" t="str">
        <f t="shared" si="28"/>
        <v/>
      </c>
      <c r="AG177" s="10" t="str">
        <f t="shared" si="34"/>
        <v/>
      </c>
      <c r="AH177" s="10" t="str">
        <f>IF(AND(Q177&gt;0,Q177&lt;30,K177=216),'Udvaskning nøgletal'!$C$42,IF(AND(Q177&gt;0,Q177&lt;30,K177&gt;7,K177&lt;17),'Udvaskning nøgletal'!$C$61,IF(AND(Q177&gt;0,Q177&lt;30,K177&lt;7),'Udvaskning nøgletal'!$C$62,"")))</f>
        <v/>
      </c>
      <c r="AI177" s="10">
        <f t="shared" si="30"/>
        <v>902</v>
      </c>
      <c r="AJ177" s="10">
        <f>IF($X177=1,LOOKUP(AI177,'Udvaskning nøgletal'!$C$12:$C$62,'Udvaskning nøgletal'!$E$12:$E$62)+Markniveau!$Y177*Markniveau!$S177/100,IF($X177=2,LOOKUP(AI177,'Udvaskning nøgletal'!$C$12:$C$62,'Udvaskning nøgletal'!$F$12:$F$62)+Markniveau!$Y177*Markniveau!$S177/100,IF($X177=3,LOOKUP(AI177,'Udvaskning nøgletal'!$C$12:$C$62,'Udvaskning nøgletal'!Q187:Q237)+Markniveau!$Y177*Markniveau!$S177/100,"")))</f>
        <v>10</v>
      </c>
      <c r="AK177" s="10">
        <f t="shared" si="29"/>
        <v>13.899999999999999</v>
      </c>
      <c r="AL177" s="10" t="str">
        <f t="shared" si="31"/>
        <v/>
      </c>
      <c r="AM177" s="10" t="str">
        <f t="shared" si="32"/>
        <v/>
      </c>
    </row>
    <row r="178" spans="1:39" x14ac:dyDescent="0.25">
      <c r="A178" s="15">
        <v>14265473</v>
      </c>
      <c r="B178" s="15">
        <v>11.69</v>
      </c>
      <c r="C178" s="15">
        <v>166369</v>
      </c>
      <c r="D178" s="15">
        <v>150693</v>
      </c>
      <c r="E178" s="15" t="s">
        <v>219</v>
      </c>
      <c r="F178" s="15">
        <v>2011</v>
      </c>
      <c r="G178" s="15">
        <v>20110427</v>
      </c>
      <c r="H178" s="15">
        <v>800154</v>
      </c>
      <c r="I178" s="15">
        <v>80.02</v>
      </c>
      <c r="J178" s="6" t="s">
        <v>1416</v>
      </c>
      <c r="K178" s="15">
        <v>318</v>
      </c>
      <c r="L178" s="15" t="s">
        <v>171</v>
      </c>
      <c r="M178" s="15" t="s">
        <v>13</v>
      </c>
      <c r="N178" s="11" t="s">
        <v>1384</v>
      </c>
      <c r="O178" s="11" t="s">
        <v>28</v>
      </c>
      <c r="P178" s="11" t="s">
        <v>33</v>
      </c>
      <c r="Q178" s="15">
        <v>0</v>
      </c>
      <c r="R178" s="11" t="s">
        <v>1386</v>
      </c>
      <c r="S178" s="10">
        <v>0</v>
      </c>
      <c r="T178" s="15">
        <v>80</v>
      </c>
      <c r="U178" s="15">
        <v>0</v>
      </c>
      <c r="V178" s="15">
        <v>0</v>
      </c>
      <c r="W178" s="15">
        <v>0</v>
      </c>
      <c r="X178" s="15">
        <f>IF(O178='Udvaskning nøgletal'!$D$65,1,IF(O178='Udvaskning nøgletal'!$D$66,2,IF(O178='Udvaskning nøgletal'!$D$67,3,IF(O178='Udvaskning nøgletal'!$D$68,2,""))))</f>
        <v>1</v>
      </c>
      <c r="Y178" s="15">
        <f>LOOKUP(K178,'Udvaskning nøgletal'!$C$12:$C$60,'Udvaskning nøgletal'!$H$12:$H$60)</f>
        <v>0</v>
      </c>
      <c r="Z178" s="10">
        <f>IF(X178=1,LOOKUP(K178,'Udvaskning nøgletal'!$C$12:$C$60,'Udvaskning nøgletal'!$E$12:$E$60)+Markniveau!Y178*Markniveau!S178/100,IF(X178=2,LOOKUP(K178,'Udvaskning nøgletal'!$C$12:$C$60,'Udvaskning nøgletal'!$F$12:$F$60)+Markniveau!Y178*Markniveau!S178/100,IF(X178=3,LOOKUP(K178,'Udvaskning nøgletal'!$C$12:$C$60,'Udvaskning nøgletal'!G188:G236)+Markniveau!Y178*Markniveau!S178/100,"")))</f>
        <v>10</v>
      </c>
      <c r="AA178" s="10">
        <f t="shared" si="26"/>
        <v>800.19999999999993</v>
      </c>
      <c r="AB178" s="10" t="str">
        <f t="shared" si="25"/>
        <v/>
      </c>
      <c r="AC178" s="10" t="str">
        <f t="shared" si="27"/>
        <v/>
      </c>
      <c r="AD178" s="10">
        <f>IF(AND(Q178&gt;0,Q178&lt;30,K178&lt;8),Markniveau!Z178*'Udvaskning nøgletal'!$I$12/100,IF(AND(Q178&gt;0,Q178&lt;30,K178=216),Markniveau!Z178*'Udvaskning nøgletal'!$I$34/100,Markniveau!Z178))</f>
        <v>10</v>
      </c>
      <c r="AE178" s="10">
        <f t="shared" si="33"/>
        <v>800.19999999999993</v>
      </c>
      <c r="AF178" s="10" t="str">
        <f t="shared" si="28"/>
        <v/>
      </c>
      <c r="AG178" s="10" t="str">
        <f t="shared" si="34"/>
        <v/>
      </c>
      <c r="AH178" s="10" t="str">
        <f>IF(AND(Q178&gt;0,Q178&lt;30,K178=216),'Udvaskning nøgletal'!$C$42,IF(AND(Q178&gt;0,Q178&lt;30,K178&gt;7,K178&lt;17),'Udvaskning nøgletal'!$C$61,IF(AND(Q178&gt;0,Q178&lt;30,K178&lt;7),'Udvaskning nøgletal'!$C$62,"")))</f>
        <v/>
      </c>
      <c r="AI178" s="10">
        <f t="shared" si="30"/>
        <v>318</v>
      </c>
      <c r="AJ178" s="10">
        <f>IF($X178=1,LOOKUP(AI178,'Udvaskning nøgletal'!$C$12:$C$62,'Udvaskning nøgletal'!$E$12:$E$62)+Markniveau!$Y178*Markniveau!$S178/100,IF($X178=2,LOOKUP(AI178,'Udvaskning nøgletal'!$C$12:$C$62,'Udvaskning nøgletal'!$F$12:$F$62)+Markniveau!$Y178*Markniveau!$S178/100,IF($X178=3,LOOKUP(AI178,'Udvaskning nøgletal'!$C$12:$C$62,'Udvaskning nøgletal'!Q188:Q238)+Markniveau!$Y178*Markniveau!$S178/100,"")))</f>
        <v>10</v>
      </c>
      <c r="AK178" s="10">
        <f t="shared" si="29"/>
        <v>800.19999999999993</v>
      </c>
      <c r="AL178" s="10" t="str">
        <f t="shared" si="31"/>
        <v/>
      </c>
      <c r="AM178" s="10" t="str">
        <f t="shared" si="32"/>
        <v/>
      </c>
    </row>
    <row r="179" spans="1:39" x14ac:dyDescent="0.25">
      <c r="A179" s="15">
        <v>14265473</v>
      </c>
      <c r="B179" s="15">
        <v>11.69</v>
      </c>
      <c r="C179" s="15">
        <v>210497</v>
      </c>
      <c r="D179" s="15">
        <v>150693</v>
      </c>
      <c r="E179" s="15" t="s">
        <v>220</v>
      </c>
      <c r="F179" s="15">
        <v>2011</v>
      </c>
      <c r="G179" s="15">
        <v>20110427</v>
      </c>
      <c r="H179" s="15">
        <v>221359</v>
      </c>
      <c r="I179" s="15">
        <v>22.14</v>
      </c>
      <c r="J179" s="6" t="s">
        <v>91</v>
      </c>
      <c r="K179" s="15">
        <v>318</v>
      </c>
      <c r="L179" s="15" t="s">
        <v>171</v>
      </c>
      <c r="M179" s="15" t="s">
        <v>13</v>
      </c>
      <c r="N179" s="11" t="s">
        <v>1384</v>
      </c>
      <c r="O179" s="11" t="s">
        <v>28</v>
      </c>
      <c r="P179" s="11" t="s">
        <v>33</v>
      </c>
      <c r="Q179" s="15">
        <v>0</v>
      </c>
      <c r="R179" s="11" t="s">
        <v>1386</v>
      </c>
      <c r="S179" s="10">
        <v>0</v>
      </c>
      <c r="T179" s="15">
        <v>80</v>
      </c>
      <c r="U179" s="15">
        <v>0</v>
      </c>
      <c r="V179" s="15">
        <v>0</v>
      </c>
      <c r="W179" s="15">
        <v>0</v>
      </c>
      <c r="X179" s="15">
        <f>IF(O179='Udvaskning nøgletal'!$D$65,1,IF(O179='Udvaskning nøgletal'!$D$66,2,IF(O179='Udvaskning nøgletal'!$D$67,3,IF(O179='Udvaskning nøgletal'!$D$68,2,""))))</f>
        <v>1</v>
      </c>
      <c r="Y179" s="15">
        <f>LOOKUP(K179,'Udvaskning nøgletal'!$C$12:$C$60,'Udvaskning nøgletal'!$H$12:$H$60)</f>
        <v>0</v>
      </c>
      <c r="Z179" s="10">
        <f>IF(X179=1,LOOKUP(K179,'Udvaskning nøgletal'!$C$12:$C$60,'Udvaskning nøgletal'!$E$12:$E$60)+Markniveau!Y179*Markniveau!S179/100,IF(X179=2,LOOKUP(K179,'Udvaskning nøgletal'!$C$12:$C$60,'Udvaskning nøgletal'!$F$12:$F$60)+Markniveau!Y179*Markniveau!S179/100,IF(X179=3,LOOKUP(K179,'Udvaskning nøgletal'!$C$12:$C$60,'Udvaskning nøgletal'!G189:G237)+Markniveau!Y179*Markniveau!S179/100,"")))</f>
        <v>10</v>
      </c>
      <c r="AA179" s="10">
        <f t="shared" si="26"/>
        <v>221.4</v>
      </c>
      <c r="AB179" s="10" t="str">
        <f t="shared" si="25"/>
        <v/>
      </c>
      <c r="AC179" s="10" t="str">
        <f t="shared" si="27"/>
        <v/>
      </c>
      <c r="AD179" s="10">
        <f>IF(AND(Q179&gt;0,Q179&lt;30,K179&lt;8),Markniveau!Z179*'Udvaskning nøgletal'!$I$12/100,IF(AND(Q179&gt;0,Q179&lt;30,K179=216),Markniveau!Z179*'Udvaskning nøgletal'!$I$34/100,Markniveau!Z179))</f>
        <v>10</v>
      </c>
      <c r="AE179" s="10">
        <f t="shared" si="33"/>
        <v>221.4</v>
      </c>
      <c r="AF179" s="10" t="str">
        <f t="shared" si="28"/>
        <v/>
      </c>
      <c r="AG179" s="10" t="str">
        <f t="shared" si="34"/>
        <v/>
      </c>
      <c r="AH179" s="10" t="str">
        <f>IF(AND(Q179&gt;0,Q179&lt;30,K179=216),'Udvaskning nøgletal'!$C$42,IF(AND(Q179&gt;0,Q179&lt;30,K179&gt;7,K179&lt;17),'Udvaskning nøgletal'!$C$61,IF(AND(Q179&gt;0,Q179&lt;30,K179&lt;7),'Udvaskning nøgletal'!$C$62,"")))</f>
        <v/>
      </c>
      <c r="AI179" s="10">
        <f t="shared" si="30"/>
        <v>318</v>
      </c>
      <c r="AJ179" s="10">
        <f>IF($X179=1,LOOKUP(AI179,'Udvaskning nøgletal'!$C$12:$C$62,'Udvaskning nøgletal'!$E$12:$E$62)+Markniveau!$Y179*Markniveau!$S179/100,IF($X179=2,LOOKUP(AI179,'Udvaskning nøgletal'!$C$12:$C$62,'Udvaskning nøgletal'!$F$12:$F$62)+Markniveau!$Y179*Markniveau!$S179/100,IF($X179=3,LOOKUP(AI179,'Udvaskning nøgletal'!$C$12:$C$62,'Udvaskning nøgletal'!Q189:Q239)+Markniveau!$Y179*Markniveau!$S179/100,"")))</f>
        <v>10</v>
      </c>
      <c r="AK179" s="10">
        <f t="shared" si="29"/>
        <v>221.4</v>
      </c>
      <c r="AL179" s="10" t="str">
        <f t="shared" si="31"/>
        <v/>
      </c>
      <c r="AM179" s="10" t="str">
        <f t="shared" si="32"/>
        <v/>
      </c>
    </row>
    <row r="180" spans="1:39" x14ac:dyDescent="0.25">
      <c r="A180" s="15">
        <v>14265473</v>
      </c>
      <c r="B180" s="15">
        <v>11.69</v>
      </c>
      <c r="C180" s="15">
        <v>216033</v>
      </c>
      <c r="D180" s="15">
        <v>150693</v>
      </c>
      <c r="E180" s="15" t="s">
        <v>221</v>
      </c>
      <c r="F180" s="15">
        <v>2011</v>
      </c>
      <c r="G180" s="15">
        <v>20110427</v>
      </c>
      <c r="H180" s="15">
        <v>27096</v>
      </c>
      <c r="I180" s="15">
        <v>2.71</v>
      </c>
      <c r="J180" s="6" t="s">
        <v>36</v>
      </c>
      <c r="K180" s="15">
        <v>252</v>
      </c>
      <c r="L180" s="15" t="s">
        <v>41</v>
      </c>
      <c r="M180" s="15" t="s">
        <v>4</v>
      </c>
      <c r="N180" s="11" t="s">
        <v>1406</v>
      </c>
      <c r="O180" s="11" t="s">
        <v>46</v>
      </c>
      <c r="P180" s="11" t="s">
        <v>33</v>
      </c>
      <c r="Q180" s="15">
        <v>0</v>
      </c>
      <c r="R180" s="11" t="s">
        <v>1386</v>
      </c>
      <c r="S180" s="10">
        <v>0</v>
      </c>
      <c r="T180" s="15">
        <v>80</v>
      </c>
      <c r="U180" s="15">
        <v>0</v>
      </c>
      <c r="V180" s="15">
        <v>0</v>
      </c>
      <c r="W180" s="15">
        <v>0</v>
      </c>
      <c r="X180" s="15">
        <f>IF(O180='Udvaskning nøgletal'!$D$65,1,IF(O180='Udvaskning nøgletal'!$D$66,2,IF(O180='Udvaskning nøgletal'!$D$67,3,IF(O180='Udvaskning nøgletal'!$D$68,2,""))))</f>
        <v>2</v>
      </c>
      <c r="Y180" s="15">
        <f>LOOKUP(K180,'Udvaskning nøgletal'!$C$12:$C$60,'Udvaskning nøgletal'!$H$12:$H$60)</f>
        <v>0</v>
      </c>
      <c r="Z180" s="10">
        <f>IF(X180=1,LOOKUP(K180,'Udvaskning nøgletal'!$C$12:$C$60,'Udvaskning nøgletal'!$E$12:$E$60)+Markniveau!Y180*Markniveau!S180/100,IF(X180=2,LOOKUP(K180,'Udvaskning nøgletal'!$C$12:$C$60,'Udvaskning nøgletal'!$F$12:$F$60)+Markniveau!Y180*Markniveau!S180/100,IF(X180=3,LOOKUP(K180,'Udvaskning nøgletal'!$C$12:$C$60,'Udvaskning nøgletal'!G190:G238)+Markniveau!Y180*Markniveau!S180/100,"")))</f>
        <v>21.2</v>
      </c>
      <c r="AA180" s="10">
        <f t="shared" si="26"/>
        <v>57.451999999999998</v>
      </c>
      <c r="AB180" s="10" t="str">
        <f t="shared" si="25"/>
        <v/>
      </c>
      <c r="AC180" s="10" t="str">
        <f t="shared" si="27"/>
        <v/>
      </c>
      <c r="AD180" s="10">
        <f>IF(AND(Q180&gt;0,Q180&lt;30,K180&lt;8),Markniveau!Z180*'Udvaskning nøgletal'!$I$12/100,IF(AND(Q180&gt;0,Q180&lt;30,K180=216),Markniveau!Z180*'Udvaskning nøgletal'!$I$34/100,Markniveau!Z180))</f>
        <v>21.2</v>
      </c>
      <c r="AE180" s="10">
        <f t="shared" si="33"/>
        <v>57.451999999999998</v>
      </c>
      <c r="AF180" s="10" t="str">
        <f t="shared" si="28"/>
        <v/>
      </c>
      <c r="AG180" s="10" t="str">
        <f t="shared" si="34"/>
        <v/>
      </c>
      <c r="AH180" s="10" t="str">
        <f>IF(AND(Q180&gt;0,Q180&lt;30,K180=216),'Udvaskning nøgletal'!$C$42,IF(AND(Q180&gt;0,Q180&lt;30,K180&gt;7,K180&lt;17),'Udvaskning nøgletal'!$C$61,IF(AND(Q180&gt;0,Q180&lt;30,K180&lt;7),'Udvaskning nøgletal'!$C$62,"")))</f>
        <v/>
      </c>
      <c r="AI180" s="10">
        <f t="shared" si="30"/>
        <v>252</v>
      </c>
      <c r="AJ180" s="10">
        <f>IF($X180=1,LOOKUP(AI180,'Udvaskning nøgletal'!$C$12:$C$62,'Udvaskning nøgletal'!$E$12:$E$62)+Markniveau!$Y180*Markniveau!$S180/100,IF($X180=2,LOOKUP(AI180,'Udvaskning nøgletal'!$C$12:$C$62,'Udvaskning nøgletal'!$F$12:$F$62)+Markniveau!$Y180*Markniveau!$S180/100,IF($X180=3,LOOKUP(AI180,'Udvaskning nøgletal'!$C$12:$C$62,'Udvaskning nøgletal'!Q190:Q240)+Markniveau!$Y180*Markniveau!$S180/100,"")))</f>
        <v>21.2</v>
      </c>
      <c r="AK180" s="10">
        <f t="shared" si="29"/>
        <v>57.451999999999998</v>
      </c>
      <c r="AL180" s="10" t="str">
        <f t="shared" si="31"/>
        <v/>
      </c>
      <c r="AM180" s="10" t="str">
        <f t="shared" si="32"/>
        <v/>
      </c>
    </row>
    <row r="181" spans="1:39" x14ac:dyDescent="0.25">
      <c r="A181" s="15">
        <v>14265473</v>
      </c>
      <c r="B181" s="15">
        <v>11.69</v>
      </c>
      <c r="C181" s="15">
        <v>234436</v>
      </c>
      <c r="D181" s="15">
        <v>150693</v>
      </c>
      <c r="E181" s="15" t="s">
        <v>220</v>
      </c>
      <c r="F181" s="15">
        <v>2011</v>
      </c>
      <c r="G181" s="15">
        <v>20110427</v>
      </c>
      <c r="H181" s="15">
        <v>33136</v>
      </c>
      <c r="I181" s="15">
        <v>3.31</v>
      </c>
      <c r="J181" s="6" t="s">
        <v>1417</v>
      </c>
      <c r="K181" s="15">
        <v>318</v>
      </c>
      <c r="L181" s="15" t="s">
        <v>171</v>
      </c>
      <c r="M181" s="15" t="s">
        <v>13</v>
      </c>
      <c r="N181" s="11" t="s">
        <v>1384</v>
      </c>
      <c r="O181" s="11" t="s">
        <v>28</v>
      </c>
      <c r="P181" s="11" t="s">
        <v>33</v>
      </c>
      <c r="Q181" s="15">
        <v>0</v>
      </c>
      <c r="R181" s="11" t="s">
        <v>1386</v>
      </c>
      <c r="S181" s="10">
        <v>0</v>
      </c>
      <c r="T181" s="15">
        <v>80</v>
      </c>
      <c r="U181" s="15">
        <v>0</v>
      </c>
      <c r="V181" s="15">
        <v>0</v>
      </c>
      <c r="W181" s="15">
        <v>0</v>
      </c>
      <c r="X181" s="15">
        <f>IF(O181='Udvaskning nøgletal'!$D$65,1,IF(O181='Udvaskning nøgletal'!$D$66,2,IF(O181='Udvaskning nøgletal'!$D$67,3,IF(O181='Udvaskning nøgletal'!$D$68,2,""))))</f>
        <v>1</v>
      </c>
      <c r="Y181" s="15">
        <f>LOOKUP(K181,'Udvaskning nøgletal'!$C$12:$C$60,'Udvaskning nøgletal'!$H$12:$H$60)</f>
        <v>0</v>
      </c>
      <c r="Z181" s="10">
        <f>IF(X181=1,LOOKUP(K181,'Udvaskning nøgletal'!$C$12:$C$60,'Udvaskning nøgletal'!$E$12:$E$60)+Markniveau!Y181*Markniveau!S181/100,IF(X181=2,LOOKUP(K181,'Udvaskning nøgletal'!$C$12:$C$60,'Udvaskning nøgletal'!$F$12:$F$60)+Markniveau!Y181*Markniveau!S181/100,IF(X181=3,LOOKUP(K181,'Udvaskning nøgletal'!$C$12:$C$60,'Udvaskning nøgletal'!G191:G239)+Markniveau!Y181*Markniveau!S181/100,"")))</f>
        <v>10</v>
      </c>
      <c r="AA181" s="10">
        <f t="shared" si="26"/>
        <v>33.1</v>
      </c>
      <c r="AB181" s="10" t="str">
        <f t="shared" si="25"/>
        <v/>
      </c>
      <c r="AC181" s="10" t="str">
        <f t="shared" si="27"/>
        <v/>
      </c>
      <c r="AD181" s="10">
        <f>IF(AND(Q181&gt;0,Q181&lt;30,K181&lt;8),Markniveau!Z181*'Udvaskning nøgletal'!$I$12/100,IF(AND(Q181&gt;0,Q181&lt;30,K181=216),Markniveau!Z181*'Udvaskning nøgletal'!$I$34/100,Markniveau!Z181))</f>
        <v>10</v>
      </c>
      <c r="AE181" s="10">
        <f t="shared" si="33"/>
        <v>33.1</v>
      </c>
      <c r="AF181" s="10" t="str">
        <f t="shared" si="28"/>
        <v/>
      </c>
      <c r="AG181" s="10" t="str">
        <f t="shared" si="34"/>
        <v/>
      </c>
      <c r="AH181" s="10" t="str">
        <f>IF(AND(Q181&gt;0,Q181&lt;30,K181=216),'Udvaskning nøgletal'!$C$42,IF(AND(Q181&gt;0,Q181&lt;30,K181&gt;7,K181&lt;17),'Udvaskning nøgletal'!$C$61,IF(AND(Q181&gt;0,Q181&lt;30,K181&lt;7),'Udvaskning nøgletal'!$C$62,"")))</f>
        <v/>
      </c>
      <c r="AI181" s="10">
        <f t="shared" si="30"/>
        <v>318</v>
      </c>
      <c r="AJ181" s="10">
        <f>IF($X181=1,LOOKUP(AI181,'Udvaskning nøgletal'!$C$12:$C$62,'Udvaskning nøgletal'!$E$12:$E$62)+Markniveau!$Y181*Markniveau!$S181/100,IF($X181=2,LOOKUP(AI181,'Udvaskning nøgletal'!$C$12:$C$62,'Udvaskning nøgletal'!$F$12:$F$62)+Markniveau!$Y181*Markniveau!$S181/100,IF($X181=3,LOOKUP(AI181,'Udvaskning nøgletal'!$C$12:$C$62,'Udvaskning nøgletal'!Q191:Q241)+Markniveau!$Y181*Markniveau!$S181/100,"")))</f>
        <v>10</v>
      </c>
      <c r="AK181" s="10">
        <f t="shared" si="29"/>
        <v>33.1</v>
      </c>
      <c r="AL181" s="10" t="str">
        <f t="shared" si="31"/>
        <v/>
      </c>
      <c r="AM181" s="10" t="str">
        <f t="shared" si="32"/>
        <v/>
      </c>
    </row>
    <row r="182" spans="1:39" x14ac:dyDescent="0.25">
      <c r="A182" s="15">
        <v>14265473</v>
      </c>
      <c r="B182" s="15">
        <v>11.69</v>
      </c>
      <c r="C182" s="15">
        <v>243239</v>
      </c>
      <c r="D182" s="15">
        <v>150693</v>
      </c>
      <c r="E182" s="15" t="s">
        <v>222</v>
      </c>
      <c r="F182" s="15">
        <v>2011</v>
      </c>
      <c r="G182" s="15">
        <v>20110427</v>
      </c>
      <c r="H182" s="15">
        <v>3260</v>
      </c>
      <c r="I182" s="15">
        <v>0.33</v>
      </c>
      <c r="J182" s="6" t="s">
        <v>1418</v>
      </c>
      <c r="K182" s="15">
        <v>254</v>
      </c>
      <c r="L182" s="15" t="s">
        <v>27</v>
      </c>
      <c r="M182" s="15" t="s">
        <v>4</v>
      </c>
      <c r="N182" s="11" t="s">
        <v>1384</v>
      </c>
      <c r="O182" s="11" t="s">
        <v>28</v>
      </c>
      <c r="P182" s="11" t="s">
        <v>33</v>
      </c>
      <c r="Q182" s="15">
        <v>0</v>
      </c>
      <c r="R182" s="11" t="s">
        <v>1386</v>
      </c>
      <c r="S182" s="10">
        <v>0</v>
      </c>
      <c r="T182" s="15">
        <v>80</v>
      </c>
      <c r="U182" s="15">
        <v>0</v>
      </c>
      <c r="V182" s="15">
        <v>0</v>
      </c>
      <c r="W182" s="15">
        <v>0</v>
      </c>
      <c r="X182" s="15">
        <f>IF(O182='Udvaskning nøgletal'!$D$65,1,IF(O182='Udvaskning nøgletal'!$D$66,2,IF(O182='Udvaskning nøgletal'!$D$67,3,IF(O182='Udvaskning nøgletal'!$D$68,2,""))))</f>
        <v>1</v>
      </c>
      <c r="Y182" s="15">
        <f>LOOKUP(K182,'Udvaskning nøgletal'!$C$12:$C$60,'Udvaskning nøgletal'!$H$12:$H$60)</f>
        <v>0</v>
      </c>
      <c r="Z182" s="10">
        <f>IF(X182=1,LOOKUP(K182,'Udvaskning nøgletal'!$C$12:$C$60,'Udvaskning nøgletal'!$E$12:$E$60)+Markniveau!Y182*Markniveau!S182/100,IF(X182=2,LOOKUP(K182,'Udvaskning nøgletal'!$C$12:$C$60,'Udvaskning nøgletal'!$F$12:$F$60)+Markniveau!Y182*Markniveau!S182/100,IF(X182=3,LOOKUP(K182,'Udvaskning nøgletal'!$C$12:$C$60,'Udvaskning nøgletal'!G192:G240)+Markniveau!Y182*Markniveau!S182/100,"")))</f>
        <v>21.2</v>
      </c>
      <c r="AA182" s="10">
        <f t="shared" si="26"/>
        <v>6.9960000000000004</v>
      </c>
      <c r="AB182" s="10" t="str">
        <f t="shared" si="25"/>
        <v/>
      </c>
      <c r="AC182" s="10" t="str">
        <f t="shared" si="27"/>
        <v/>
      </c>
      <c r="AD182" s="10">
        <f>IF(AND(Q182&gt;0,Q182&lt;30,K182&lt;8),Markniveau!Z182*'Udvaskning nøgletal'!$I$12/100,IF(AND(Q182&gt;0,Q182&lt;30,K182=216),Markniveau!Z182*'Udvaskning nøgletal'!$I$34/100,Markniveau!Z182))</f>
        <v>21.2</v>
      </c>
      <c r="AE182" s="10">
        <f t="shared" si="33"/>
        <v>6.9960000000000004</v>
      </c>
      <c r="AF182" s="10" t="str">
        <f t="shared" si="28"/>
        <v/>
      </c>
      <c r="AG182" s="10" t="str">
        <f t="shared" si="34"/>
        <v/>
      </c>
      <c r="AH182" s="10" t="str">
        <f>IF(AND(Q182&gt;0,Q182&lt;30,K182=216),'Udvaskning nøgletal'!$C$42,IF(AND(Q182&gt;0,Q182&lt;30,K182&gt;7,K182&lt;17),'Udvaskning nøgletal'!$C$61,IF(AND(Q182&gt;0,Q182&lt;30,K182&lt;7),'Udvaskning nøgletal'!$C$62,"")))</f>
        <v/>
      </c>
      <c r="AI182" s="10">
        <f t="shared" si="30"/>
        <v>254</v>
      </c>
      <c r="AJ182" s="10">
        <f>IF($X182=1,LOOKUP(AI182,'Udvaskning nøgletal'!$C$12:$C$62,'Udvaskning nøgletal'!$E$12:$E$62)+Markniveau!$Y182*Markniveau!$S182/100,IF($X182=2,LOOKUP(AI182,'Udvaskning nøgletal'!$C$12:$C$62,'Udvaskning nøgletal'!$F$12:$F$62)+Markniveau!$Y182*Markniveau!$S182/100,IF($X182=3,LOOKUP(AI182,'Udvaskning nøgletal'!$C$12:$C$62,'Udvaskning nøgletal'!Q192:Q242)+Markniveau!$Y182*Markniveau!$S182/100,"")))</f>
        <v>21.2</v>
      </c>
      <c r="AK182" s="10">
        <f t="shared" si="29"/>
        <v>6.9960000000000004</v>
      </c>
      <c r="AL182" s="10" t="str">
        <f t="shared" si="31"/>
        <v/>
      </c>
      <c r="AM182" s="10" t="str">
        <f t="shared" si="32"/>
        <v/>
      </c>
    </row>
    <row r="183" spans="1:39" x14ac:dyDescent="0.25">
      <c r="A183" s="15">
        <v>14265473</v>
      </c>
      <c r="B183" s="15">
        <v>11.69</v>
      </c>
      <c r="C183" s="15">
        <v>243240</v>
      </c>
      <c r="D183" s="15">
        <v>150693</v>
      </c>
      <c r="E183" s="15" t="s">
        <v>222</v>
      </c>
      <c r="F183" s="15">
        <v>2011</v>
      </c>
      <c r="G183" s="15">
        <v>20110427</v>
      </c>
      <c r="H183" s="15">
        <v>8464</v>
      </c>
      <c r="I183" s="15">
        <v>0.85</v>
      </c>
      <c r="J183" s="6" t="s">
        <v>1419</v>
      </c>
      <c r="K183" s="15">
        <v>902</v>
      </c>
      <c r="L183" s="15" t="s">
        <v>160</v>
      </c>
      <c r="M183" s="15" t="s">
        <v>81</v>
      </c>
      <c r="N183" s="11" t="s">
        <v>1384</v>
      </c>
      <c r="O183" s="11" t="s">
        <v>28</v>
      </c>
      <c r="P183" s="11" t="s">
        <v>33</v>
      </c>
      <c r="Q183" s="15">
        <v>0</v>
      </c>
      <c r="R183" s="11" t="s">
        <v>1386</v>
      </c>
      <c r="S183" s="10">
        <v>0</v>
      </c>
      <c r="T183" s="15">
        <v>80</v>
      </c>
      <c r="U183" s="15">
        <v>0</v>
      </c>
      <c r="V183" s="15">
        <v>0</v>
      </c>
      <c r="W183" s="15">
        <v>0</v>
      </c>
      <c r="X183" s="15">
        <f>IF(O183='Udvaskning nøgletal'!$D$65,1,IF(O183='Udvaskning nøgletal'!$D$66,2,IF(O183='Udvaskning nøgletal'!$D$67,3,IF(O183='Udvaskning nøgletal'!$D$68,2,""))))</f>
        <v>1</v>
      </c>
      <c r="Y183" s="15">
        <f>LOOKUP(K183,'Udvaskning nøgletal'!$C$12:$C$60,'Udvaskning nøgletal'!$H$12:$H$60)</f>
        <v>0</v>
      </c>
      <c r="Z183" s="10">
        <f>IF(X183=1,LOOKUP(K183,'Udvaskning nøgletal'!$C$12:$C$60,'Udvaskning nøgletal'!$E$12:$E$60)+Markniveau!Y183*Markniveau!S183/100,IF(X183=2,LOOKUP(K183,'Udvaskning nøgletal'!$C$12:$C$60,'Udvaskning nøgletal'!$F$12:$F$60)+Markniveau!Y183*Markniveau!S183/100,IF(X183=3,LOOKUP(K183,'Udvaskning nøgletal'!$C$12:$C$60,'Udvaskning nøgletal'!G193:G241)+Markniveau!Y183*Markniveau!S183/100,"")))</f>
        <v>10</v>
      </c>
      <c r="AA183" s="10">
        <f t="shared" si="26"/>
        <v>8.5</v>
      </c>
      <c r="AB183" s="10" t="str">
        <f t="shared" si="25"/>
        <v/>
      </c>
      <c r="AC183" s="10" t="str">
        <f t="shared" si="27"/>
        <v/>
      </c>
      <c r="AD183" s="10">
        <f>IF(AND(Q183&gt;0,Q183&lt;30,K183&lt;8),Markniveau!Z183*'Udvaskning nøgletal'!$I$12/100,IF(AND(Q183&gt;0,Q183&lt;30,K183=216),Markniveau!Z183*'Udvaskning nøgletal'!$I$34/100,Markniveau!Z183))</f>
        <v>10</v>
      </c>
      <c r="AE183" s="10">
        <f t="shared" si="33"/>
        <v>8.5</v>
      </c>
      <c r="AF183" s="10" t="str">
        <f t="shared" si="28"/>
        <v/>
      </c>
      <c r="AG183" s="10" t="str">
        <f t="shared" si="34"/>
        <v/>
      </c>
      <c r="AH183" s="10" t="str">
        <f>IF(AND(Q183&gt;0,Q183&lt;30,K183=216),'Udvaskning nøgletal'!$C$42,IF(AND(Q183&gt;0,Q183&lt;30,K183&gt;7,K183&lt;17),'Udvaskning nøgletal'!$C$61,IF(AND(Q183&gt;0,Q183&lt;30,K183&lt;7),'Udvaskning nøgletal'!$C$62,"")))</f>
        <v/>
      </c>
      <c r="AI183" s="10">
        <f t="shared" si="30"/>
        <v>902</v>
      </c>
      <c r="AJ183" s="10">
        <f>IF($X183=1,LOOKUP(AI183,'Udvaskning nøgletal'!$C$12:$C$62,'Udvaskning nøgletal'!$E$12:$E$62)+Markniveau!$Y183*Markniveau!$S183/100,IF($X183=2,LOOKUP(AI183,'Udvaskning nøgletal'!$C$12:$C$62,'Udvaskning nøgletal'!$F$12:$F$62)+Markniveau!$Y183*Markniveau!$S183/100,IF($X183=3,LOOKUP(AI183,'Udvaskning nøgletal'!$C$12:$C$62,'Udvaskning nøgletal'!Q193:Q243)+Markniveau!$Y183*Markniveau!$S183/100,"")))</f>
        <v>10</v>
      </c>
      <c r="AK183" s="10">
        <f t="shared" si="29"/>
        <v>8.5</v>
      </c>
      <c r="AL183" s="10" t="str">
        <f t="shared" si="31"/>
        <v/>
      </c>
      <c r="AM183" s="10" t="str">
        <f t="shared" si="32"/>
        <v/>
      </c>
    </row>
    <row r="184" spans="1:39" x14ac:dyDescent="0.25">
      <c r="A184" s="15">
        <v>14265473</v>
      </c>
      <c r="B184" s="15">
        <v>11.69</v>
      </c>
      <c r="C184" s="15">
        <v>244216</v>
      </c>
      <c r="D184" s="15">
        <v>150693</v>
      </c>
      <c r="E184" s="15" t="s">
        <v>223</v>
      </c>
      <c r="F184" s="15">
        <v>2011</v>
      </c>
      <c r="G184" s="15">
        <v>20110421</v>
      </c>
      <c r="H184" s="15">
        <v>4076</v>
      </c>
      <c r="I184" s="15">
        <v>0.41</v>
      </c>
      <c r="J184" s="6" t="s">
        <v>1420</v>
      </c>
      <c r="K184" s="15">
        <v>252</v>
      </c>
      <c r="L184" s="15" t="s">
        <v>41</v>
      </c>
      <c r="M184" s="15" t="s">
        <v>4</v>
      </c>
      <c r="N184" s="11" t="s">
        <v>1384</v>
      </c>
      <c r="O184" s="11" t="s">
        <v>28</v>
      </c>
      <c r="P184" s="11" t="s">
        <v>33</v>
      </c>
      <c r="Q184" s="15">
        <v>0</v>
      </c>
      <c r="R184" s="11" t="s">
        <v>1386</v>
      </c>
      <c r="S184" s="10">
        <v>0</v>
      </c>
      <c r="T184" s="15">
        <v>80</v>
      </c>
      <c r="U184" s="15">
        <v>0</v>
      </c>
      <c r="V184" s="15">
        <v>0</v>
      </c>
      <c r="W184" s="15">
        <v>0</v>
      </c>
      <c r="X184" s="15">
        <f>IF(O184='Udvaskning nøgletal'!$D$65,1,IF(O184='Udvaskning nøgletal'!$D$66,2,IF(O184='Udvaskning nøgletal'!$D$67,3,IF(O184='Udvaskning nøgletal'!$D$68,2,""))))</f>
        <v>1</v>
      </c>
      <c r="Y184" s="15">
        <f>LOOKUP(K184,'Udvaskning nøgletal'!$C$12:$C$60,'Udvaskning nøgletal'!$H$12:$H$60)</f>
        <v>0</v>
      </c>
      <c r="Z184" s="10">
        <f>IF(X184=1,LOOKUP(K184,'Udvaskning nøgletal'!$C$12:$C$60,'Udvaskning nøgletal'!$E$12:$E$60)+Markniveau!Y184*Markniveau!S184/100,IF(X184=2,LOOKUP(K184,'Udvaskning nøgletal'!$C$12:$C$60,'Udvaskning nøgletal'!$F$12:$F$60)+Markniveau!Y184*Markniveau!S184/100,IF(X184=3,LOOKUP(K184,'Udvaskning nøgletal'!$C$12:$C$60,'Udvaskning nøgletal'!G194:G242)+Markniveau!Y184*Markniveau!S184/100,"")))</f>
        <v>21.2</v>
      </c>
      <c r="AA184" s="10">
        <f t="shared" si="26"/>
        <v>8.6919999999999984</v>
      </c>
      <c r="AB184" s="10" t="str">
        <f t="shared" si="25"/>
        <v/>
      </c>
      <c r="AC184" s="10" t="str">
        <f t="shared" si="27"/>
        <v/>
      </c>
      <c r="AD184" s="10">
        <f>IF(AND(Q184&gt;0,Q184&lt;30,K184&lt;8),Markniveau!Z184*'Udvaskning nøgletal'!$I$12/100,IF(AND(Q184&gt;0,Q184&lt;30,K184=216),Markniveau!Z184*'Udvaskning nøgletal'!$I$34/100,Markniveau!Z184))</f>
        <v>21.2</v>
      </c>
      <c r="AE184" s="10">
        <f t="shared" si="33"/>
        <v>8.6919999999999984</v>
      </c>
      <c r="AF184" s="10" t="str">
        <f t="shared" si="28"/>
        <v/>
      </c>
      <c r="AG184" s="10" t="str">
        <f t="shared" si="34"/>
        <v/>
      </c>
      <c r="AH184" s="10" t="str">
        <f>IF(AND(Q184&gt;0,Q184&lt;30,K184=216),'Udvaskning nøgletal'!$C$42,IF(AND(Q184&gt;0,Q184&lt;30,K184&gt;7,K184&lt;17),'Udvaskning nøgletal'!$C$61,IF(AND(Q184&gt;0,Q184&lt;30,K184&lt;7),'Udvaskning nøgletal'!$C$62,"")))</f>
        <v/>
      </c>
      <c r="AI184" s="10">
        <f t="shared" si="30"/>
        <v>252</v>
      </c>
      <c r="AJ184" s="10">
        <f>IF($X184=1,LOOKUP(AI184,'Udvaskning nøgletal'!$C$12:$C$62,'Udvaskning nøgletal'!$E$12:$E$62)+Markniveau!$Y184*Markniveau!$S184/100,IF($X184=2,LOOKUP(AI184,'Udvaskning nøgletal'!$C$12:$C$62,'Udvaskning nøgletal'!$F$12:$F$62)+Markniveau!$Y184*Markniveau!$S184/100,IF($X184=3,LOOKUP(AI184,'Udvaskning nøgletal'!$C$12:$C$62,'Udvaskning nøgletal'!Q194:Q244)+Markniveau!$Y184*Markniveau!$S184/100,"")))</f>
        <v>21.2</v>
      </c>
      <c r="AK184" s="10">
        <f t="shared" si="29"/>
        <v>8.6919999999999984</v>
      </c>
      <c r="AL184" s="10" t="str">
        <f t="shared" si="31"/>
        <v/>
      </c>
      <c r="AM184" s="10" t="str">
        <f t="shared" si="32"/>
        <v/>
      </c>
    </row>
    <row r="185" spans="1:39" x14ac:dyDescent="0.25">
      <c r="A185" s="15">
        <v>14265473</v>
      </c>
      <c r="B185" s="15">
        <v>11.69</v>
      </c>
      <c r="C185" s="15">
        <v>246557</v>
      </c>
      <c r="D185" s="15">
        <v>150693</v>
      </c>
      <c r="E185" s="15" t="s">
        <v>185</v>
      </c>
      <c r="F185" s="15">
        <v>2011</v>
      </c>
      <c r="G185" s="15">
        <v>20110427</v>
      </c>
      <c r="H185" s="15">
        <v>58025</v>
      </c>
      <c r="I185" s="15">
        <v>5.8</v>
      </c>
      <c r="J185" s="6" t="s">
        <v>1421</v>
      </c>
      <c r="K185" s="15">
        <v>902</v>
      </c>
      <c r="L185" s="15" t="s">
        <v>160</v>
      </c>
      <c r="M185" s="15" t="s">
        <v>81</v>
      </c>
      <c r="N185" s="11" t="s">
        <v>1384</v>
      </c>
      <c r="O185" s="11" t="s">
        <v>28</v>
      </c>
      <c r="P185" s="11" t="s">
        <v>33</v>
      </c>
      <c r="Q185" s="15">
        <v>0</v>
      </c>
      <c r="R185" s="11" t="s">
        <v>1386</v>
      </c>
      <c r="S185" s="10">
        <v>0</v>
      </c>
      <c r="T185" s="15">
        <v>80</v>
      </c>
      <c r="U185" s="15">
        <v>0</v>
      </c>
      <c r="V185" s="15">
        <v>0</v>
      </c>
      <c r="W185" s="15">
        <v>0</v>
      </c>
      <c r="X185" s="15">
        <f>IF(O185='Udvaskning nøgletal'!$D$65,1,IF(O185='Udvaskning nøgletal'!$D$66,2,IF(O185='Udvaskning nøgletal'!$D$67,3,IF(O185='Udvaskning nøgletal'!$D$68,2,""))))</f>
        <v>1</v>
      </c>
      <c r="Y185" s="15">
        <f>LOOKUP(K185,'Udvaskning nøgletal'!$C$12:$C$60,'Udvaskning nøgletal'!$H$12:$H$60)</f>
        <v>0</v>
      </c>
      <c r="Z185" s="10">
        <f>IF(X185=1,LOOKUP(K185,'Udvaskning nøgletal'!$C$12:$C$60,'Udvaskning nøgletal'!$E$12:$E$60)+Markniveau!Y185*Markniveau!S185/100,IF(X185=2,LOOKUP(K185,'Udvaskning nøgletal'!$C$12:$C$60,'Udvaskning nøgletal'!$F$12:$F$60)+Markniveau!Y185*Markniveau!S185/100,IF(X185=3,LOOKUP(K185,'Udvaskning nøgletal'!$C$12:$C$60,'Udvaskning nøgletal'!G195:G243)+Markniveau!Y185*Markniveau!S185/100,"")))</f>
        <v>10</v>
      </c>
      <c r="AA185" s="10">
        <f t="shared" si="26"/>
        <v>58</v>
      </c>
      <c r="AB185" s="10" t="str">
        <f t="shared" si="25"/>
        <v/>
      </c>
      <c r="AC185" s="10" t="str">
        <f t="shared" si="27"/>
        <v/>
      </c>
      <c r="AD185" s="10">
        <f>IF(AND(Q185&gt;0,Q185&lt;30,K185&lt;8),Markniveau!Z185*'Udvaskning nøgletal'!$I$12/100,IF(AND(Q185&gt;0,Q185&lt;30,K185=216),Markniveau!Z185*'Udvaskning nøgletal'!$I$34/100,Markniveau!Z185))</f>
        <v>10</v>
      </c>
      <c r="AE185" s="10">
        <f t="shared" si="33"/>
        <v>58</v>
      </c>
      <c r="AF185" s="10" t="str">
        <f t="shared" si="28"/>
        <v/>
      </c>
      <c r="AG185" s="10" t="str">
        <f t="shared" si="34"/>
        <v/>
      </c>
      <c r="AH185" s="10" t="str">
        <f>IF(AND(Q185&gt;0,Q185&lt;30,K185=216),'Udvaskning nøgletal'!$C$42,IF(AND(Q185&gt;0,Q185&lt;30,K185&gt;7,K185&lt;17),'Udvaskning nøgletal'!$C$61,IF(AND(Q185&gt;0,Q185&lt;30,K185&lt;7),'Udvaskning nøgletal'!$C$62,"")))</f>
        <v/>
      </c>
      <c r="AI185" s="10">
        <f t="shared" si="30"/>
        <v>902</v>
      </c>
      <c r="AJ185" s="10">
        <f>IF($X185=1,LOOKUP(AI185,'Udvaskning nøgletal'!$C$12:$C$62,'Udvaskning nøgletal'!$E$12:$E$62)+Markniveau!$Y185*Markniveau!$S185/100,IF($X185=2,LOOKUP(AI185,'Udvaskning nøgletal'!$C$12:$C$62,'Udvaskning nøgletal'!$F$12:$F$62)+Markniveau!$Y185*Markniveau!$S185/100,IF($X185=3,LOOKUP(AI185,'Udvaskning nøgletal'!$C$12:$C$62,'Udvaskning nøgletal'!Q195:Q245)+Markniveau!$Y185*Markniveau!$S185/100,"")))</f>
        <v>10</v>
      </c>
      <c r="AK185" s="10">
        <f t="shared" si="29"/>
        <v>58</v>
      </c>
      <c r="AL185" s="10" t="str">
        <f t="shared" si="31"/>
        <v/>
      </c>
      <c r="AM185" s="10" t="str">
        <f t="shared" si="32"/>
        <v/>
      </c>
    </row>
    <row r="186" spans="1:39" x14ac:dyDescent="0.25">
      <c r="A186" s="15">
        <v>14265473</v>
      </c>
      <c r="B186" s="15">
        <v>11.69</v>
      </c>
      <c r="C186" s="15">
        <v>246607</v>
      </c>
      <c r="D186" s="15">
        <v>150693</v>
      </c>
      <c r="E186" s="15" t="s">
        <v>224</v>
      </c>
      <c r="F186" s="15">
        <v>2011</v>
      </c>
      <c r="G186" s="15">
        <v>20110427</v>
      </c>
      <c r="H186" s="15">
        <v>10713</v>
      </c>
      <c r="I186" s="15">
        <v>1.07</v>
      </c>
      <c r="J186" s="6" t="s">
        <v>1422</v>
      </c>
      <c r="K186" s="15">
        <v>276</v>
      </c>
      <c r="L186" s="15" t="s">
        <v>146</v>
      </c>
      <c r="M186" s="15" t="s">
        <v>4</v>
      </c>
      <c r="N186" s="11" t="s">
        <v>1384</v>
      </c>
      <c r="O186" s="11" t="s">
        <v>28</v>
      </c>
      <c r="P186" s="11" t="s">
        <v>33</v>
      </c>
      <c r="Q186" s="15">
        <v>0</v>
      </c>
      <c r="R186" s="11" t="s">
        <v>1386</v>
      </c>
      <c r="S186" s="10">
        <v>0</v>
      </c>
      <c r="T186" s="15">
        <v>80</v>
      </c>
      <c r="U186" s="15">
        <v>0</v>
      </c>
      <c r="V186" s="15">
        <v>0</v>
      </c>
      <c r="W186" s="15">
        <v>0</v>
      </c>
      <c r="X186" s="15">
        <f>IF(O186='Udvaskning nøgletal'!$D$65,1,IF(O186='Udvaskning nøgletal'!$D$66,2,IF(O186='Udvaskning nøgletal'!$D$67,3,IF(O186='Udvaskning nøgletal'!$D$68,2,""))))</f>
        <v>1</v>
      </c>
      <c r="Y186" s="15">
        <f>LOOKUP(K186,'Udvaskning nøgletal'!$C$12:$C$60,'Udvaskning nøgletal'!$H$12:$H$60)</f>
        <v>0</v>
      </c>
      <c r="Z186" s="10">
        <f>IF(X186=1,LOOKUP(K186,'Udvaskning nøgletal'!$C$12:$C$60,'Udvaskning nøgletal'!$E$12:$E$60)+Markniveau!Y186*Markniveau!S186/100,IF(X186=2,LOOKUP(K186,'Udvaskning nøgletal'!$C$12:$C$60,'Udvaskning nøgletal'!$F$12:$F$60)+Markniveau!Y186*Markniveau!S186/100,IF(X186=3,LOOKUP(K186,'Udvaskning nøgletal'!$C$12:$C$60,'Udvaskning nøgletal'!G196:G244)+Markniveau!Y186*Markniveau!S186/100,"")))</f>
        <v>10.6</v>
      </c>
      <c r="AA186" s="10">
        <f t="shared" si="26"/>
        <v>11.342000000000001</v>
      </c>
      <c r="AB186" s="10" t="str">
        <f t="shared" si="25"/>
        <v/>
      </c>
      <c r="AC186" s="10" t="str">
        <f t="shared" si="27"/>
        <v/>
      </c>
      <c r="AD186" s="10">
        <f>IF(AND(Q186&gt;0,Q186&lt;30,K186&lt;8),Markniveau!Z186*'Udvaskning nøgletal'!$I$12/100,IF(AND(Q186&gt;0,Q186&lt;30,K186=216),Markniveau!Z186*'Udvaskning nøgletal'!$I$34/100,Markniveau!Z186))</f>
        <v>10.6</v>
      </c>
      <c r="AE186" s="10">
        <f t="shared" si="33"/>
        <v>11.342000000000001</v>
      </c>
      <c r="AF186" s="10" t="str">
        <f t="shared" si="28"/>
        <v/>
      </c>
      <c r="AG186" s="10" t="str">
        <f t="shared" si="34"/>
        <v/>
      </c>
      <c r="AH186" s="10" t="str">
        <f>IF(AND(Q186&gt;0,Q186&lt;30,K186=216),'Udvaskning nøgletal'!$C$42,IF(AND(Q186&gt;0,Q186&lt;30,K186&gt;7,K186&lt;17),'Udvaskning nøgletal'!$C$61,IF(AND(Q186&gt;0,Q186&lt;30,K186&lt;7),'Udvaskning nøgletal'!$C$62,"")))</f>
        <v/>
      </c>
      <c r="AI186" s="10">
        <f t="shared" si="30"/>
        <v>276</v>
      </c>
      <c r="AJ186" s="10">
        <f>IF($X186=1,LOOKUP(AI186,'Udvaskning nøgletal'!$C$12:$C$62,'Udvaskning nøgletal'!$E$12:$E$62)+Markniveau!$Y186*Markniveau!$S186/100,IF($X186=2,LOOKUP(AI186,'Udvaskning nøgletal'!$C$12:$C$62,'Udvaskning nøgletal'!$F$12:$F$62)+Markniveau!$Y186*Markniveau!$S186/100,IF($X186=3,LOOKUP(AI186,'Udvaskning nøgletal'!$C$12:$C$62,'Udvaskning nøgletal'!Q196:Q246)+Markniveau!$Y186*Markniveau!$S186/100,"")))</f>
        <v>10.6</v>
      </c>
      <c r="AK186" s="10">
        <f t="shared" si="29"/>
        <v>11.342000000000001</v>
      </c>
      <c r="AL186" s="10" t="str">
        <f t="shared" si="31"/>
        <v/>
      </c>
      <c r="AM186" s="10" t="str">
        <f t="shared" si="32"/>
        <v/>
      </c>
    </row>
    <row r="187" spans="1:39" x14ac:dyDescent="0.25">
      <c r="A187" s="15">
        <v>14265473</v>
      </c>
      <c r="B187" s="15">
        <v>11.69</v>
      </c>
      <c r="C187" s="15">
        <v>248740</v>
      </c>
      <c r="D187" s="15">
        <v>150693</v>
      </c>
      <c r="E187" s="15" t="s">
        <v>220</v>
      </c>
      <c r="F187" s="15">
        <v>2011</v>
      </c>
      <c r="G187" s="15">
        <v>20110427</v>
      </c>
      <c r="H187" s="15">
        <v>17131</v>
      </c>
      <c r="I187" s="15">
        <v>1.71</v>
      </c>
      <c r="J187" s="6" t="s">
        <v>1423</v>
      </c>
      <c r="K187" s="15">
        <v>318</v>
      </c>
      <c r="L187" s="15" t="s">
        <v>171</v>
      </c>
      <c r="M187" s="15" t="s">
        <v>13</v>
      </c>
      <c r="N187" s="11" t="s">
        <v>1384</v>
      </c>
      <c r="O187" s="11" t="s">
        <v>28</v>
      </c>
      <c r="P187" s="11" t="s">
        <v>33</v>
      </c>
      <c r="Q187" s="15">
        <v>0</v>
      </c>
      <c r="R187" s="11" t="s">
        <v>1386</v>
      </c>
      <c r="S187" s="10">
        <v>0</v>
      </c>
      <c r="T187" s="15">
        <v>80</v>
      </c>
      <c r="U187" s="15">
        <v>0</v>
      </c>
      <c r="V187" s="15">
        <v>0</v>
      </c>
      <c r="W187" s="15">
        <v>0</v>
      </c>
      <c r="X187" s="15">
        <f>IF(O187='Udvaskning nøgletal'!$D$65,1,IF(O187='Udvaskning nøgletal'!$D$66,2,IF(O187='Udvaskning nøgletal'!$D$67,3,IF(O187='Udvaskning nøgletal'!$D$68,2,""))))</f>
        <v>1</v>
      </c>
      <c r="Y187" s="15">
        <f>LOOKUP(K187,'Udvaskning nøgletal'!$C$12:$C$60,'Udvaskning nøgletal'!$H$12:$H$60)</f>
        <v>0</v>
      </c>
      <c r="Z187" s="10">
        <f>IF(X187=1,LOOKUP(K187,'Udvaskning nøgletal'!$C$12:$C$60,'Udvaskning nøgletal'!$E$12:$E$60)+Markniveau!Y187*Markniveau!S187/100,IF(X187=2,LOOKUP(K187,'Udvaskning nøgletal'!$C$12:$C$60,'Udvaskning nøgletal'!$F$12:$F$60)+Markniveau!Y187*Markniveau!S187/100,IF(X187=3,LOOKUP(K187,'Udvaskning nøgletal'!$C$12:$C$60,'Udvaskning nøgletal'!G197:G245)+Markniveau!Y187*Markniveau!S187/100,"")))</f>
        <v>10</v>
      </c>
      <c r="AA187" s="10">
        <f t="shared" si="26"/>
        <v>17.100000000000001</v>
      </c>
      <c r="AB187" s="10" t="str">
        <f t="shared" si="25"/>
        <v/>
      </c>
      <c r="AC187" s="10" t="str">
        <f t="shared" si="27"/>
        <v/>
      </c>
      <c r="AD187" s="10">
        <f>IF(AND(Q187&gt;0,Q187&lt;30,K187&lt;8),Markniveau!Z187*'Udvaskning nøgletal'!$I$12/100,IF(AND(Q187&gt;0,Q187&lt;30,K187=216),Markniveau!Z187*'Udvaskning nøgletal'!$I$34/100,Markniveau!Z187))</f>
        <v>10</v>
      </c>
      <c r="AE187" s="10">
        <f t="shared" si="33"/>
        <v>17.100000000000001</v>
      </c>
      <c r="AF187" s="10" t="str">
        <f t="shared" si="28"/>
        <v/>
      </c>
      <c r="AG187" s="10" t="str">
        <f t="shared" si="34"/>
        <v/>
      </c>
      <c r="AH187" s="10" t="str">
        <f>IF(AND(Q187&gt;0,Q187&lt;30,K187=216),'Udvaskning nøgletal'!$C$42,IF(AND(Q187&gt;0,Q187&lt;30,K187&gt;7,K187&lt;17),'Udvaskning nøgletal'!$C$61,IF(AND(Q187&gt;0,Q187&lt;30,K187&lt;7),'Udvaskning nøgletal'!$C$62,"")))</f>
        <v/>
      </c>
      <c r="AI187" s="10">
        <f t="shared" si="30"/>
        <v>318</v>
      </c>
      <c r="AJ187" s="10">
        <f>IF($X187=1,LOOKUP(AI187,'Udvaskning nøgletal'!$C$12:$C$62,'Udvaskning nøgletal'!$E$12:$E$62)+Markniveau!$Y187*Markniveau!$S187/100,IF($X187=2,LOOKUP(AI187,'Udvaskning nøgletal'!$C$12:$C$62,'Udvaskning nøgletal'!$F$12:$F$62)+Markniveau!$Y187*Markniveau!$S187/100,IF($X187=3,LOOKUP(AI187,'Udvaskning nøgletal'!$C$12:$C$62,'Udvaskning nøgletal'!Q197:Q247)+Markniveau!$Y187*Markniveau!$S187/100,"")))</f>
        <v>10</v>
      </c>
      <c r="AK187" s="10">
        <f t="shared" si="29"/>
        <v>17.100000000000001</v>
      </c>
      <c r="AL187" s="10" t="str">
        <f t="shared" si="31"/>
        <v/>
      </c>
      <c r="AM187" s="10" t="str">
        <f t="shared" si="32"/>
        <v/>
      </c>
    </row>
    <row r="188" spans="1:39" x14ac:dyDescent="0.25">
      <c r="A188" s="15">
        <v>14265473</v>
      </c>
      <c r="B188" s="15">
        <v>11.69</v>
      </c>
      <c r="C188" s="15">
        <v>248833</v>
      </c>
      <c r="D188" s="15">
        <v>150693</v>
      </c>
      <c r="E188" s="15" t="s">
        <v>222</v>
      </c>
      <c r="F188" s="15">
        <v>2011</v>
      </c>
      <c r="G188" s="15">
        <v>20110427</v>
      </c>
      <c r="H188" s="15">
        <v>12325</v>
      </c>
      <c r="I188" s="15">
        <v>1.23</v>
      </c>
      <c r="J188" s="6" t="s">
        <v>1424</v>
      </c>
      <c r="K188" s="15">
        <v>254</v>
      </c>
      <c r="L188" s="15" t="s">
        <v>27</v>
      </c>
      <c r="M188" s="15" t="s">
        <v>4</v>
      </c>
      <c r="N188" s="11" t="s">
        <v>1384</v>
      </c>
      <c r="O188" s="11" t="s">
        <v>28</v>
      </c>
      <c r="P188" s="11" t="s">
        <v>33</v>
      </c>
      <c r="Q188" s="15">
        <v>0</v>
      </c>
      <c r="R188" s="11" t="s">
        <v>1386</v>
      </c>
      <c r="S188" s="10">
        <v>0</v>
      </c>
      <c r="T188" s="15">
        <v>80</v>
      </c>
      <c r="U188" s="15">
        <v>0</v>
      </c>
      <c r="V188" s="15">
        <v>0</v>
      </c>
      <c r="W188" s="15">
        <v>0</v>
      </c>
      <c r="X188" s="15">
        <f>IF(O188='Udvaskning nøgletal'!$D$65,1,IF(O188='Udvaskning nøgletal'!$D$66,2,IF(O188='Udvaskning nøgletal'!$D$67,3,IF(O188='Udvaskning nøgletal'!$D$68,2,""))))</f>
        <v>1</v>
      </c>
      <c r="Y188" s="15">
        <f>LOOKUP(K188,'Udvaskning nøgletal'!$C$12:$C$60,'Udvaskning nøgletal'!$H$12:$H$60)</f>
        <v>0</v>
      </c>
      <c r="Z188" s="10">
        <f>IF(X188=1,LOOKUP(K188,'Udvaskning nøgletal'!$C$12:$C$60,'Udvaskning nøgletal'!$E$12:$E$60)+Markniveau!Y188*Markniveau!S188/100,IF(X188=2,LOOKUP(K188,'Udvaskning nøgletal'!$C$12:$C$60,'Udvaskning nøgletal'!$F$12:$F$60)+Markniveau!Y188*Markniveau!S188/100,IF(X188=3,LOOKUP(K188,'Udvaskning nøgletal'!$C$12:$C$60,'Udvaskning nøgletal'!G198:G246)+Markniveau!Y188*Markniveau!S188/100,"")))</f>
        <v>21.2</v>
      </c>
      <c r="AA188" s="10">
        <f t="shared" si="26"/>
        <v>26.076000000000001</v>
      </c>
      <c r="AB188" s="10" t="str">
        <f t="shared" si="25"/>
        <v/>
      </c>
      <c r="AC188" s="10" t="str">
        <f t="shared" si="27"/>
        <v/>
      </c>
      <c r="AD188" s="10">
        <f>IF(AND(Q188&gt;0,Q188&lt;30,K188&lt;8),Markniveau!Z188*'Udvaskning nøgletal'!$I$12/100,IF(AND(Q188&gt;0,Q188&lt;30,K188=216),Markniveau!Z188*'Udvaskning nøgletal'!$I$34/100,Markniveau!Z188))</f>
        <v>21.2</v>
      </c>
      <c r="AE188" s="10">
        <f t="shared" si="33"/>
        <v>26.076000000000001</v>
      </c>
      <c r="AF188" s="10" t="str">
        <f t="shared" si="28"/>
        <v/>
      </c>
      <c r="AG188" s="10" t="str">
        <f t="shared" si="34"/>
        <v/>
      </c>
      <c r="AH188" s="10" t="str">
        <f>IF(AND(Q188&gt;0,Q188&lt;30,K188=216),'Udvaskning nøgletal'!$C$42,IF(AND(Q188&gt;0,Q188&lt;30,K188&gt;7,K188&lt;17),'Udvaskning nøgletal'!$C$61,IF(AND(Q188&gt;0,Q188&lt;30,K188&lt;7),'Udvaskning nøgletal'!$C$62,"")))</f>
        <v/>
      </c>
      <c r="AI188" s="10">
        <f t="shared" si="30"/>
        <v>254</v>
      </c>
      <c r="AJ188" s="10">
        <f>IF($X188=1,LOOKUP(AI188,'Udvaskning nøgletal'!$C$12:$C$62,'Udvaskning nøgletal'!$E$12:$E$62)+Markniveau!$Y188*Markniveau!$S188/100,IF($X188=2,LOOKUP(AI188,'Udvaskning nøgletal'!$C$12:$C$62,'Udvaskning nøgletal'!$F$12:$F$62)+Markniveau!$Y188*Markniveau!$S188/100,IF($X188=3,LOOKUP(AI188,'Udvaskning nøgletal'!$C$12:$C$62,'Udvaskning nøgletal'!Q198:Q248)+Markniveau!$Y188*Markniveau!$S188/100,"")))</f>
        <v>21.2</v>
      </c>
      <c r="AK188" s="10">
        <f t="shared" si="29"/>
        <v>26.076000000000001</v>
      </c>
      <c r="AL188" s="10" t="str">
        <f t="shared" si="31"/>
        <v/>
      </c>
      <c r="AM188" s="10" t="str">
        <f t="shared" si="32"/>
        <v/>
      </c>
    </row>
    <row r="189" spans="1:39" x14ac:dyDescent="0.25">
      <c r="A189" s="15">
        <v>14265473</v>
      </c>
      <c r="B189" s="15">
        <v>11.69</v>
      </c>
      <c r="C189" s="15">
        <v>305421</v>
      </c>
      <c r="D189" s="15">
        <v>150693</v>
      </c>
      <c r="E189" s="15" t="s">
        <v>225</v>
      </c>
      <c r="F189" s="15">
        <v>2011</v>
      </c>
      <c r="G189" s="15">
        <v>20110421</v>
      </c>
      <c r="H189" s="15">
        <v>4320</v>
      </c>
      <c r="I189" s="15">
        <v>0.43</v>
      </c>
      <c r="J189" s="6" t="s">
        <v>1425</v>
      </c>
      <c r="K189" s="15">
        <v>318</v>
      </c>
      <c r="L189" s="15" t="s">
        <v>171</v>
      </c>
      <c r="M189" s="15" t="s">
        <v>13</v>
      </c>
      <c r="N189" s="11" t="s">
        <v>1384</v>
      </c>
      <c r="O189" s="11" t="s">
        <v>28</v>
      </c>
      <c r="P189" s="11" t="s">
        <v>33</v>
      </c>
      <c r="Q189" s="15">
        <v>0</v>
      </c>
      <c r="R189" s="11" t="s">
        <v>1386</v>
      </c>
      <c r="S189" s="10">
        <v>0</v>
      </c>
      <c r="T189" s="15">
        <v>80</v>
      </c>
      <c r="U189" s="15">
        <v>0</v>
      </c>
      <c r="V189" s="15">
        <v>0</v>
      </c>
      <c r="W189" s="15">
        <v>0</v>
      </c>
      <c r="X189" s="15">
        <f>IF(O189='Udvaskning nøgletal'!$D$65,1,IF(O189='Udvaskning nøgletal'!$D$66,2,IF(O189='Udvaskning nøgletal'!$D$67,3,IF(O189='Udvaskning nøgletal'!$D$68,2,""))))</f>
        <v>1</v>
      </c>
      <c r="Y189" s="15">
        <f>LOOKUP(K189,'Udvaskning nøgletal'!$C$12:$C$60,'Udvaskning nøgletal'!$H$12:$H$60)</f>
        <v>0</v>
      </c>
      <c r="Z189" s="10">
        <f>IF(X189=1,LOOKUP(K189,'Udvaskning nøgletal'!$C$12:$C$60,'Udvaskning nøgletal'!$E$12:$E$60)+Markniveau!Y189*Markniveau!S189/100,IF(X189=2,LOOKUP(K189,'Udvaskning nøgletal'!$C$12:$C$60,'Udvaskning nøgletal'!$F$12:$F$60)+Markniveau!Y189*Markniveau!S189/100,IF(X189=3,LOOKUP(K189,'Udvaskning nøgletal'!$C$12:$C$60,'Udvaskning nøgletal'!G199:G247)+Markniveau!Y189*Markniveau!S189/100,"")))</f>
        <v>10</v>
      </c>
      <c r="AA189" s="10">
        <f t="shared" si="26"/>
        <v>4.3</v>
      </c>
      <c r="AB189" s="10" t="str">
        <f t="shared" si="25"/>
        <v/>
      </c>
      <c r="AC189" s="10" t="str">
        <f t="shared" si="27"/>
        <v/>
      </c>
      <c r="AD189" s="10">
        <f>IF(AND(Q189&gt;0,Q189&lt;30,K189&lt;8),Markniveau!Z189*'Udvaskning nøgletal'!$I$12/100,IF(AND(Q189&gt;0,Q189&lt;30,K189=216),Markniveau!Z189*'Udvaskning nøgletal'!$I$34/100,Markniveau!Z189))</f>
        <v>10</v>
      </c>
      <c r="AE189" s="10">
        <f t="shared" si="33"/>
        <v>4.3</v>
      </c>
      <c r="AF189" s="10" t="str">
        <f t="shared" si="28"/>
        <v/>
      </c>
      <c r="AG189" s="10" t="str">
        <f t="shared" si="34"/>
        <v/>
      </c>
      <c r="AH189" s="10" t="str">
        <f>IF(AND(Q189&gt;0,Q189&lt;30,K189=216),'Udvaskning nøgletal'!$C$42,IF(AND(Q189&gt;0,Q189&lt;30,K189&gt;7,K189&lt;17),'Udvaskning nøgletal'!$C$61,IF(AND(Q189&gt;0,Q189&lt;30,K189&lt;7),'Udvaskning nøgletal'!$C$62,"")))</f>
        <v/>
      </c>
      <c r="AI189" s="10">
        <f t="shared" si="30"/>
        <v>318</v>
      </c>
      <c r="AJ189" s="10">
        <f>IF($X189=1,LOOKUP(AI189,'Udvaskning nøgletal'!$C$12:$C$62,'Udvaskning nøgletal'!$E$12:$E$62)+Markniveau!$Y189*Markniveau!$S189/100,IF($X189=2,LOOKUP(AI189,'Udvaskning nøgletal'!$C$12:$C$62,'Udvaskning nøgletal'!$F$12:$F$62)+Markniveau!$Y189*Markniveau!$S189/100,IF($X189=3,LOOKUP(AI189,'Udvaskning nøgletal'!$C$12:$C$62,'Udvaskning nøgletal'!Q199:Q249)+Markniveau!$Y189*Markniveau!$S189/100,"")))</f>
        <v>10</v>
      </c>
      <c r="AK189" s="10">
        <f t="shared" si="29"/>
        <v>4.3</v>
      </c>
      <c r="AL189" s="10" t="str">
        <f t="shared" si="31"/>
        <v/>
      </c>
      <c r="AM189" s="10" t="str">
        <f t="shared" si="32"/>
        <v/>
      </c>
    </row>
    <row r="190" spans="1:39" x14ac:dyDescent="0.25">
      <c r="A190" s="15">
        <v>14265473</v>
      </c>
      <c r="B190" s="15">
        <v>11.69</v>
      </c>
      <c r="C190" s="15">
        <v>332729</v>
      </c>
      <c r="D190" s="15">
        <v>150693</v>
      </c>
      <c r="E190" s="15" t="s">
        <v>185</v>
      </c>
      <c r="F190" s="15">
        <v>2011</v>
      </c>
      <c r="G190" s="15">
        <v>20110427</v>
      </c>
      <c r="H190" s="15">
        <v>26026</v>
      </c>
      <c r="I190" s="15">
        <v>2.6</v>
      </c>
      <c r="J190" s="6" t="s">
        <v>1404</v>
      </c>
      <c r="K190" s="15">
        <v>902</v>
      </c>
      <c r="L190" s="15" t="s">
        <v>160</v>
      </c>
      <c r="M190" s="15" t="s">
        <v>81</v>
      </c>
      <c r="N190" s="11" t="s">
        <v>1384</v>
      </c>
      <c r="O190" s="11" t="s">
        <v>28</v>
      </c>
      <c r="P190" s="11" t="s">
        <v>33</v>
      </c>
      <c r="Q190" s="15">
        <v>0</v>
      </c>
      <c r="R190" s="11" t="s">
        <v>1386</v>
      </c>
      <c r="S190" s="10">
        <v>0</v>
      </c>
      <c r="T190" s="15">
        <v>80</v>
      </c>
      <c r="U190" s="15">
        <v>0</v>
      </c>
      <c r="V190" s="15">
        <v>0</v>
      </c>
      <c r="W190" s="15">
        <v>0</v>
      </c>
      <c r="X190" s="15">
        <f>IF(O190='Udvaskning nøgletal'!$D$65,1,IF(O190='Udvaskning nøgletal'!$D$66,2,IF(O190='Udvaskning nøgletal'!$D$67,3,IF(O190='Udvaskning nøgletal'!$D$68,2,""))))</f>
        <v>1</v>
      </c>
      <c r="Y190" s="15">
        <f>LOOKUP(K190,'Udvaskning nøgletal'!$C$12:$C$60,'Udvaskning nøgletal'!$H$12:$H$60)</f>
        <v>0</v>
      </c>
      <c r="Z190" s="10">
        <f>IF(X190=1,LOOKUP(K190,'Udvaskning nøgletal'!$C$12:$C$60,'Udvaskning nøgletal'!$E$12:$E$60)+Markniveau!Y190*Markniveau!S190/100,IF(X190=2,LOOKUP(K190,'Udvaskning nøgletal'!$C$12:$C$60,'Udvaskning nøgletal'!$F$12:$F$60)+Markniveau!Y190*Markniveau!S190/100,IF(X190=3,LOOKUP(K190,'Udvaskning nøgletal'!$C$12:$C$60,'Udvaskning nøgletal'!G200:G248)+Markniveau!Y190*Markniveau!S190/100,"")))</f>
        <v>10</v>
      </c>
      <c r="AA190" s="10">
        <f t="shared" si="26"/>
        <v>26</v>
      </c>
      <c r="AB190" s="10" t="str">
        <f t="shared" si="25"/>
        <v/>
      </c>
      <c r="AC190" s="10" t="str">
        <f t="shared" si="27"/>
        <v/>
      </c>
      <c r="AD190" s="10">
        <f>IF(AND(Q190&gt;0,Q190&lt;30,K190&lt;8),Markniveau!Z190*'Udvaskning nøgletal'!$I$12/100,IF(AND(Q190&gt;0,Q190&lt;30,K190=216),Markniveau!Z190*'Udvaskning nøgletal'!$I$34/100,Markniveau!Z190))</f>
        <v>10</v>
      </c>
      <c r="AE190" s="10">
        <f t="shared" si="33"/>
        <v>26</v>
      </c>
      <c r="AF190" s="10" t="str">
        <f t="shared" si="28"/>
        <v/>
      </c>
      <c r="AG190" s="10" t="str">
        <f t="shared" si="34"/>
        <v/>
      </c>
      <c r="AH190" s="10" t="str">
        <f>IF(AND(Q190&gt;0,Q190&lt;30,K190=216),'Udvaskning nøgletal'!$C$42,IF(AND(Q190&gt;0,Q190&lt;30,K190&gt;7,K190&lt;17),'Udvaskning nøgletal'!$C$61,IF(AND(Q190&gt;0,Q190&lt;30,K190&lt;7),'Udvaskning nøgletal'!$C$62,"")))</f>
        <v/>
      </c>
      <c r="AI190" s="10">
        <f t="shared" si="30"/>
        <v>902</v>
      </c>
      <c r="AJ190" s="10">
        <f>IF($X190=1,LOOKUP(AI190,'Udvaskning nøgletal'!$C$12:$C$62,'Udvaskning nøgletal'!$E$12:$E$62)+Markniveau!$Y190*Markniveau!$S190/100,IF($X190=2,LOOKUP(AI190,'Udvaskning nøgletal'!$C$12:$C$62,'Udvaskning nøgletal'!$F$12:$F$62)+Markniveau!$Y190*Markniveau!$S190/100,IF($X190=3,LOOKUP(AI190,'Udvaskning nøgletal'!$C$12:$C$62,'Udvaskning nøgletal'!Q200:Q250)+Markniveau!$Y190*Markniveau!$S190/100,"")))</f>
        <v>10</v>
      </c>
      <c r="AK190" s="10">
        <f t="shared" si="29"/>
        <v>26</v>
      </c>
      <c r="AL190" s="10" t="str">
        <f t="shared" si="31"/>
        <v/>
      </c>
      <c r="AM190" s="10" t="str">
        <f t="shared" si="32"/>
        <v/>
      </c>
    </row>
    <row r="191" spans="1:39" x14ac:dyDescent="0.25">
      <c r="A191" s="15">
        <v>14265473</v>
      </c>
      <c r="B191" s="15">
        <v>11.69</v>
      </c>
      <c r="C191" s="15">
        <v>372414</v>
      </c>
      <c r="D191" s="15">
        <v>150693</v>
      </c>
      <c r="E191" s="15" t="s">
        <v>226</v>
      </c>
      <c r="F191" s="15">
        <v>2011</v>
      </c>
      <c r="G191" s="15">
        <v>20110427</v>
      </c>
      <c r="H191" s="15">
        <v>5387</v>
      </c>
      <c r="I191" s="15">
        <v>0.54</v>
      </c>
      <c r="J191" s="6" t="s">
        <v>1410</v>
      </c>
      <c r="K191" s="15">
        <v>254</v>
      </c>
      <c r="L191" s="15" t="s">
        <v>27</v>
      </c>
      <c r="M191" s="15" t="s">
        <v>4</v>
      </c>
      <c r="N191" s="11" t="s">
        <v>1384</v>
      </c>
      <c r="O191" s="11" t="s">
        <v>28</v>
      </c>
      <c r="P191" s="11" t="s">
        <v>33</v>
      </c>
      <c r="Q191" s="15">
        <v>0</v>
      </c>
      <c r="R191" s="11" t="s">
        <v>1386</v>
      </c>
      <c r="S191" s="10">
        <v>0</v>
      </c>
      <c r="T191" s="15">
        <v>80</v>
      </c>
      <c r="U191" s="15">
        <v>0</v>
      </c>
      <c r="V191" s="15">
        <v>0</v>
      </c>
      <c r="W191" s="15">
        <v>0</v>
      </c>
      <c r="X191" s="15">
        <f>IF(O191='Udvaskning nøgletal'!$D$65,1,IF(O191='Udvaskning nøgletal'!$D$66,2,IF(O191='Udvaskning nøgletal'!$D$67,3,IF(O191='Udvaskning nøgletal'!$D$68,2,""))))</f>
        <v>1</v>
      </c>
      <c r="Y191" s="15">
        <f>LOOKUP(K191,'Udvaskning nøgletal'!$C$12:$C$60,'Udvaskning nøgletal'!$H$12:$H$60)</f>
        <v>0</v>
      </c>
      <c r="Z191" s="10">
        <f>IF(X191=1,LOOKUP(K191,'Udvaskning nøgletal'!$C$12:$C$60,'Udvaskning nøgletal'!$E$12:$E$60)+Markniveau!Y191*Markniveau!S191/100,IF(X191=2,LOOKUP(K191,'Udvaskning nøgletal'!$C$12:$C$60,'Udvaskning nøgletal'!$F$12:$F$60)+Markniveau!Y191*Markniveau!S191/100,IF(X191=3,LOOKUP(K191,'Udvaskning nøgletal'!$C$12:$C$60,'Udvaskning nøgletal'!G201:G249)+Markniveau!Y191*Markniveau!S191/100,"")))</f>
        <v>21.2</v>
      </c>
      <c r="AA191" s="10">
        <f t="shared" si="26"/>
        <v>11.448</v>
      </c>
      <c r="AB191" s="10" t="str">
        <f t="shared" si="25"/>
        <v/>
      </c>
      <c r="AC191" s="10" t="str">
        <f t="shared" si="27"/>
        <v/>
      </c>
      <c r="AD191" s="10">
        <f>IF(AND(Q191&gt;0,Q191&lt;30,K191&lt;8),Markniveau!Z191*'Udvaskning nøgletal'!$I$12/100,IF(AND(Q191&gt;0,Q191&lt;30,K191=216),Markniveau!Z191*'Udvaskning nøgletal'!$I$34/100,Markniveau!Z191))</f>
        <v>21.2</v>
      </c>
      <c r="AE191" s="10">
        <f t="shared" si="33"/>
        <v>11.448</v>
      </c>
      <c r="AF191" s="10" t="str">
        <f t="shared" si="28"/>
        <v/>
      </c>
      <c r="AG191" s="10" t="str">
        <f t="shared" si="34"/>
        <v/>
      </c>
      <c r="AH191" s="10" t="str">
        <f>IF(AND(Q191&gt;0,Q191&lt;30,K191=216),'Udvaskning nøgletal'!$C$42,IF(AND(Q191&gt;0,Q191&lt;30,K191&gt;7,K191&lt;17),'Udvaskning nøgletal'!$C$61,IF(AND(Q191&gt;0,Q191&lt;30,K191&lt;7),'Udvaskning nøgletal'!$C$62,"")))</f>
        <v/>
      </c>
      <c r="AI191" s="10">
        <f t="shared" si="30"/>
        <v>254</v>
      </c>
      <c r="AJ191" s="10">
        <f>IF($X191=1,LOOKUP(AI191,'Udvaskning nøgletal'!$C$12:$C$62,'Udvaskning nøgletal'!$E$12:$E$62)+Markniveau!$Y191*Markniveau!$S191/100,IF($X191=2,LOOKUP(AI191,'Udvaskning nøgletal'!$C$12:$C$62,'Udvaskning nøgletal'!$F$12:$F$62)+Markniveau!$Y191*Markniveau!$S191/100,IF($X191=3,LOOKUP(AI191,'Udvaskning nøgletal'!$C$12:$C$62,'Udvaskning nøgletal'!Q201:Q251)+Markniveau!$Y191*Markniveau!$S191/100,"")))</f>
        <v>21.2</v>
      </c>
      <c r="AK191" s="10">
        <f t="shared" si="29"/>
        <v>11.448</v>
      </c>
      <c r="AL191" s="10" t="str">
        <f t="shared" si="31"/>
        <v/>
      </c>
      <c r="AM191" s="10" t="str">
        <f t="shared" si="32"/>
        <v/>
      </c>
    </row>
    <row r="192" spans="1:39" x14ac:dyDescent="0.25">
      <c r="A192" s="15">
        <v>14265473</v>
      </c>
      <c r="B192" s="15">
        <v>11.69</v>
      </c>
      <c r="C192" s="15">
        <v>551025</v>
      </c>
      <c r="D192" s="15">
        <v>150693</v>
      </c>
      <c r="E192" s="15" t="s">
        <v>227</v>
      </c>
      <c r="F192" s="15">
        <v>2011</v>
      </c>
      <c r="G192" s="15">
        <v>20110324</v>
      </c>
      <c r="H192" s="15">
        <v>5849</v>
      </c>
      <c r="I192" s="15">
        <v>0.57999999999999996</v>
      </c>
      <c r="J192" s="6" t="s">
        <v>1426</v>
      </c>
      <c r="K192" s="15">
        <v>254</v>
      </c>
      <c r="L192" s="15" t="s">
        <v>27</v>
      </c>
      <c r="M192" s="15" t="s">
        <v>4</v>
      </c>
      <c r="N192" s="11" t="s">
        <v>1384</v>
      </c>
      <c r="O192" s="11" t="s">
        <v>28</v>
      </c>
      <c r="P192" s="11" t="s">
        <v>33</v>
      </c>
      <c r="Q192" s="15">
        <v>0</v>
      </c>
      <c r="R192" s="11" t="s">
        <v>1386</v>
      </c>
      <c r="S192" s="10">
        <v>0</v>
      </c>
      <c r="T192" s="15">
        <v>80</v>
      </c>
      <c r="U192" s="15">
        <v>0</v>
      </c>
      <c r="V192" s="15">
        <v>0</v>
      </c>
      <c r="W192" s="15">
        <v>0</v>
      </c>
      <c r="X192" s="15">
        <f>IF(O192='Udvaskning nøgletal'!$D$65,1,IF(O192='Udvaskning nøgletal'!$D$66,2,IF(O192='Udvaskning nøgletal'!$D$67,3,IF(O192='Udvaskning nøgletal'!$D$68,2,""))))</f>
        <v>1</v>
      </c>
      <c r="Y192" s="15">
        <f>LOOKUP(K192,'Udvaskning nøgletal'!$C$12:$C$60,'Udvaskning nøgletal'!$H$12:$H$60)</f>
        <v>0</v>
      </c>
      <c r="Z192" s="10">
        <f>IF(X192=1,LOOKUP(K192,'Udvaskning nøgletal'!$C$12:$C$60,'Udvaskning nøgletal'!$E$12:$E$60)+Markniveau!Y192*Markniveau!S192/100,IF(X192=2,LOOKUP(K192,'Udvaskning nøgletal'!$C$12:$C$60,'Udvaskning nøgletal'!$F$12:$F$60)+Markniveau!Y192*Markniveau!S192/100,IF(X192=3,LOOKUP(K192,'Udvaskning nøgletal'!$C$12:$C$60,'Udvaskning nøgletal'!G202:G250)+Markniveau!Y192*Markniveau!S192/100,"")))</f>
        <v>21.2</v>
      </c>
      <c r="AA192" s="10">
        <f t="shared" si="26"/>
        <v>12.295999999999999</v>
      </c>
      <c r="AB192" s="10" t="str">
        <f t="shared" si="25"/>
        <v/>
      </c>
      <c r="AC192" s="10" t="str">
        <f t="shared" si="27"/>
        <v/>
      </c>
      <c r="AD192" s="10">
        <f>IF(AND(Q192&gt;0,Q192&lt;30,K192&lt;8),Markniveau!Z192*'Udvaskning nøgletal'!$I$12/100,IF(AND(Q192&gt;0,Q192&lt;30,K192=216),Markniveau!Z192*'Udvaskning nøgletal'!$I$34/100,Markniveau!Z192))</f>
        <v>21.2</v>
      </c>
      <c r="AE192" s="10">
        <f t="shared" si="33"/>
        <v>12.295999999999999</v>
      </c>
      <c r="AF192" s="10" t="str">
        <f t="shared" si="28"/>
        <v/>
      </c>
      <c r="AG192" s="10" t="str">
        <f t="shared" si="34"/>
        <v/>
      </c>
      <c r="AH192" s="10" t="str">
        <f>IF(AND(Q192&gt;0,Q192&lt;30,K192=216),'Udvaskning nøgletal'!$C$42,IF(AND(Q192&gt;0,Q192&lt;30,K192&gt;7,K192&lt;17),'Udvaskning nøgletal'!$C$61,IF(AND(Q192&gt;0,Q192&lt;30,K192&lt;7),'Udvaskning nøgletal'!$C$62,"")))</f>
        <v/>
      </c>
      <c r="AI192" s="10">
        <f t="shared" si="30"/>
        <v>254</v>
      </c>
      <c r="AJ192" s="10">
        <f>IF($X192=1,LOOKUP(AI192,'Udvaskning nøgletal'!$C$12:$C$62,'Udvaskning nøgletal'!$E$12:$E$62)+Markniveau!$Y192*Markniveau!$S192/100,IF($X192=2,LOOKUP(AI192,'Udvaskning nøgletal'!$C$12:$C$62,'Udvaskning nøgletal'!$F$12:$F$62)+Markniveau!$Y192*Markniveau!$S192/100,IF($X192=3,LOOKUP(AI192,'Udvaskning nøgletal'!$C$12:$C$62,'Udvaskning nøgletal'!Q202:Q252)+Markniveau!$Y192*Markniveau!$S192/100,"")))</f>
        <v>21.2</v>
      </c>
      <c r="AK192" s="10">
        <f t="shared" si="29"/>
        <v>12.295999999999999</v>
      </c>
      <c r="AL192" s="10" t="str">
        <f t="shared" si="31"/>
        <v/>
      </c>
      <c r="AM192" s="10" t="str">
        <f t="shared" si="32"/>
        <v/>
      </c>
    </row>
    <row r="193" spans="1:39" x14ac:dyDescent="0.25">
      <c r="A193" s="15">
        <v>14265473</v>
      </c>
      <c r="B193" s="15">
        <v>11.69</v>
      </c>
      <c r="C193" s="15">
        <v>577811</v>
      </c>
      <c r="D193" s="15">
        <v>150693</v>
      </c>
      <c r="E193" s="15" t="s">
        <v>228</v>
      </c>
      <c r="F193" s="15">
        <v>2011</v>
      </c>
      <c r="G193" s="15">
        <v>20110324</v>
      </c>
      <c r="H193" s="15">
        <v>6340</v>
      </c>
      <c r="I193" s="15">
        <v>0.63</v>
      </c>
      <c r="J193" s="6" t="s">
        <v>31</v>
      </c>
      <c r="K193" s="15">
        <v>254</v>
      </c>
      <c r="L193" s="15" t="s">
        <v>27</v>
      </c>
      <c r="M193" s="15" t="s">
        <v>4</v>
      </c>
      <c r="N193" s="11" t="s">
        <v>1384</v>
      </c>
      <c r="O193" s="11" t="s">
        <v>28</v>
      </c>
      <c r="P193" s="11" t="s">
        <v>33</v>
      </c>
      <c r="Q193" s="15">
        <v>0</v>
      </c>
      <c r="R193" s="11" t="s">
        <v>1386</v>
      </c>
      <c r="S193" s="10">
        <v>0</v>
      </c>
      <c r="T193" s="15">
        <v>80</v>
      </c>
      <c r="U193" s="15">
        <v>0</v>
      </c>
      <c r="V193" s="15">
        <v>0</v>
      </c>
      <c r="W193" s="15">
        <v>0</v>
      </c>
      <c r="X193" s="15">
        <f>IF(O193='Udvaskning nøgletal'!$D$65,1,IF(O193='Udvaskning nøgletal'!$D$66,2,IF(O193='Udvaskning nøgletal'!$D$67,3,IF(O193='Udvaskning nøgletal'!$D$68,2,""))))</f>
        <v>1</v>
      </c>
      <c r="Y193" s="15">
        <f>LOOKUP(K193,'Udvaskning nøgletal'!$C$12:$C$60,'Udvaskning nøgletal'!$H$12:$H$60)</f>
        <v>0</v>
      </c>
      <c r="Z193" s="10">
        <f>IF(X193=1,LOOKUP(K193,'Udvaskning nøgletal'!$C$12:$C$60,'Udvaskning nøgletal'!$E$12:$E$60)+Markniveau!Y193*Markniveau!S193/100,IF(X193=2,LOOKUP(K193,'Udvaskning nøgletal'!$C$12:$C$60,'Udvaskning nøgletal'!$F$12:$F$60)+Markniveau!Y193*Markniveau!S193/100,IF(X193=3,LOOKUP(K193,'Udvaskning nøgletal'!$C$12:$C$60,'Udvaskning nøgletal'!G203:G251)+Markniveau!Y193*Markniveau!S193/100,"")))</f>
        <v>21.2</v>
      </c>
      <c r="AA193" s="10">
        <f t="shared" si="26"/>
        <v>13.356</v>
      </c>
      <c r="AB193" s="10" t="str">
        <f t="shared" si="25"/>
        <v/>
      </c>
      <c r="AC193" s="10" t="str">
        <f t="shared" si="27"/>
        <v/>
      </c>
      <c r="AD193" s="10">
        <f>IF(AND(Q193&gt;0,Q193&lt;30,K193&lt;8),Markniveau!Z193*'Udvaskning nøgletal'!$I$12/100,IF(AND(Q193&gt;0,Q193&lt;30,K193=216),Markniveau!Z193*'Udvaskning nøgletal'!$I$34/100,Markniveau!Z193))</f>
        <v>21.2</v>
      </c>
      <c r="AE193" s="10">
        <f t="shared" si="33"/>
        <v>13.356</v>
      </c>
      <c r="AF193" s="10" t="str">
        <f t="shared" si="28"/>
        <v/>
      </c>
      <c r="AG193" s="10" t="str">
        <f t="shared" si="34"/>
        <v/>
      </c>
      <c r="AH193" s="10" t="str">
        <f>IF(AND(Q193&gt;0,Q193&lt;30,K193=216),'Udvaskning nøgletal'!$C$42,IF(AND(Q193&gt;0,Q193&lt;30,K193&gt;7,K193&lt;17),'Udvaskning nøgletal'!$C$61,IF(AND(Q193&gt;0,Q193&lt;30,K193&lt;7),'Udvaskning nøgletal'!$C$62,"")))</f>
        <v/>
      </c>
      <c r="AI193" s="10">
        <f t="shared" si="30"/>
        <v>254</v>
      </c>
      <c r="AJ193" s="10">
        <f>IF($X193=1,LOOKUP(AI193,'Udvaskning nøgletal'!$C$12:$C$62,'Udvaskning nøgletal'!$E$12:$E$62)+Markniveau!$Y193*Markniveau!$S193/100,IF($X193=2,LOOKUP(AI193,'Udvaskning nøgletal'!$C$12:$C$62,'Udvaskning nøgletal'!$F$12:$F$62)+Markniveau!$Y193*Markniveau!$S193/100,IF($X193=3,LOOKUP(AI193,'Udvaskning nøgletal'!$C$12:$C$62,'Udvaskning nøgletal'!Q203:Q253)+Markniveau!$Y193*Markniveau!$S193/100,"")))</f>
        <v>21.2</v>
      </c>
      <c r="AK193" s="10">
        <f t="shared" si="29"/>
        <v>13.356</v>
      </c>
      <c r="AL193" s="10" t="str">
        <f t="shared" si="31"/>
        <v/>
      </c>
      <c r="AM193" s="10" t="str">
        <f t="shared" si="32"/>
        <v/>
      </c>
    </row>
    <row r="194" spans="1:39" x14ac:dyDescent="0.25">
      <c r="A194" s="15">
        <v>14265473</v>
      </c>
      <c r="B194" s="15">
        <v>11.69</v>
      </c>
      <c r="C194" s="15">
        <v>577812</v>
      </c>
      <c r="D194" s="15">
        <v>150693</v>
      </c>
      <c r="E194" s="15" t="s">
        <v>229</v>
      </c>
      <c r="F194" s="15">
        <v>2011</v>
      </c>
      <c r="G194" s="15">
        <v>20110324</v>
      </c>
      <c r="H194" s="15">
        <v>73003</v>
      </c>
      <c r="I194" s="15">
        <v>7.3</v>
      </c>
      <c r="J194" s="6" t="s">
        <v>1427</v>
      </c>
      <c r="K194" s="15">
        <v>254</v>
      </c>
      <c r="L194" s="15" t="s">
        <v>27</v>
      </c>
      <c r="M194" s="15" t="s">
        <v>4</v>
      </c>
      <c r="N194" s="11" t="s">
        <v>1390</v>
      </c>
      <c r="O194" s="11" t="s">
        <v>42</v>
      </c>
      <c r="P194" s="11" t="s">
        <v>33</v>
      </c>
      <c r="Q194" s="15">
        <v>0</v>
      </c>
      <c r="R194" s="11" t="s">
        <v>1386</v>
      </c>
      <c r="S194" s="10">
        <v>0</v>
      </c>
      <c r="T194" s="15">
        <v>80</v>
      </c>
      <c r="U194" s="15">
        <v>0</v>
      </c>
      <c r="V194" s="15">
        <v>0</v>
      </c>
      <c r="W194" s="15">
        <v>0</v>
      </c>
      <c r="X194" s="15">
        <f>IF(O194='Udvaskning nøgletal'!$D$65,1,IF(O194='Udvaskning nøgletal'!$D$66,2,IF(O194='Udvaskning nøgletal'!$D$67,3,IF(O194='Udvaskning nøgletal'!$D$68,2,""))))</f>
        <v>2</v>
      </c>
      <c r="Y194" s="15">
        <f>LOOKUP(K194,'Udvaskning nøgletal'!$C$12:$C$60,'Udvaskning nøgletal'!$H$12:$H$60)</f>
        <v>0</v>
      </c>
      <c r="Z194" s="10">
        <f>IF(X194=1,LOOKUP(K194,'Udvaskning nøgletal'!$C$12:$C$60,'Udvaskning nøgletal'!$E$12:$E$60)+Markniveau!Y194*Markniveau!S194/100,IF(X194=2,LOOKUP(K194,'Udvaskning nøgletal'!$C$12:$C$60,'Udvaskning nøgletal'!$F$12:$F$60)+Markniveau!Y194*Markniveau!S194/100,IF(X194=3,LOOKUP(K194,'Udvaskning nøgletal'!$C$12:$C$60,'Udvaskning nøgletal'!G204:G252)+Markniveau!Y194*Markniveau!S194/100,"")))</f>
        <v>21.2</v>
      </c>
      <c r="AA194" s="10">
        <f t="shared" si="26"/>
        <v>154.76</v>
      </c>
      <c r="AB194" s="10" t="str">
        <f t="shared" ref="AB194:AB257" si="35">IF(Q194&gt;0,(100-Q194)*Z194/100,"")</f>
        <v/>
      </c>
      <c r="AC194" s="10" t="str">
        <f t="shared" si="27"/>
        <v/>
      </c>
      <c r="AD194" s="10">
        <f>IF(AND(Q194&gt;0,Q194&lt;30,K194&lt;8),Markniveau!Z194*'Udvaskning nøgletal'!$I$12/100,IF(AND(Q194&gt;0,Q194&lt;30,K194=216),Markniveau!Z194*'Udvaskning nøgletal'!$I$34/100,Markniveau!Z194))</f>
        <v>21.2</v>
      </c>
      <c r="AE194" s="10">
        <f t="shared" si="33"/>
        <v>154.76</v>
      </c>
      <c r="AF194" s="10" t="str">
        <f t="shared" si="28"/>
        <v/>
      </c>
      <c r="AG194" s="10" t="str">
        <f t="shared" si="34"/>
        <v/>
      </c>
      <c r="AH194" s="10" t="str">
        <f>IF(AND(Q194&gt;0,Q194&lt;30,K194=216),'Udvaskning nøgletal'!$C$42,IF(AND(Q194&gt;0,Q194&lt;30,K194&gt;7,K194&lt;17),'Udvaskning nøgletal'!$C$61,IF(AND(Q194&gt;0,Q194&lt;30,K194&lt;7),'Udvaskning nøgletal'!$C$62,"")))</f>
        <v/>
      </c>
      <c r="AI194" s="10">
        <f t="shared" si="30"/>
        <v>254</v>
      </c>
      <c r="AJ194" s="10">
        <f>IF($X194=1,LOOKUP(AI194,'Udvaskning nøgletal'!$C$12:$C$62,'Udvaskning nøgletal'!$E$12:$E$62)+Markniveau!$Y194*Markniveau!$S194/100,IF($X194=2,LOOKUP(AI194,'Udvaskning nøgletal'!$C$12:$C$62,'Udvaskning nøgletal'!$F$12:$F$62)+Markniveau!$Y194*Markniveau!$S194/100,IF($X194=3,LOOKUP(AI194,'Udvaskning nøgletal'!$C$12:$C$62,'Udvaskning nøgletal'!Q204:Q254)+Markniveau!$Y194*Markniveau!$S194/100,"")))</f>
        <v>21.2</v>
      </c>
      <c r="AK194" s="10">
        <f t="shared" si="29"/>
        <v>154.76</v>
      </c>
      <c r="AL194" s="10" t="str">
        <f t="shared" si="31"/>
        <v/>
      </c>
      <c r="AM194" s="10" t="str">
        <f t="shared" si="32"/>
        <v/>
      </c>
    </row>
    <row r="195" spans="1:39" x14ac:dyDescent="0.25">
      <c r="A195" s="15">
        <v>14265473</v>
      </c>
      <c r="B195" s="15">
        <v>11.69</v>
      </c>
      <c r="C195" s="15">
        <v>577816</v>
      </c>
      <c r="D195" s="15">
        <v>150693</v>
      </c>
      <c r="E195" s="15" t="s">
        <v>230</v>
      </c>
      <c r="F195" s="15">
        <v>2011</v>
      </c>
      <c r="G195" s="15">
        <v>20110324</v>
      </c>
      <c r="H195" s="15">
        <v>44162</v>
      </c>
      <c r="I195" s="15">
        <v>4.42</v>
      </c>
      <c r="J195" s="6" t="s">
        <v>1428</v>
      </c>
      <c r="K195" s="15">
        <v>254</v>
      </c>
      <c r="L195" s="15" t="s">
        <v>27</v>
      </c>
      <c r="M195" s="15" t="s">
        <v>4</v>
      </c>
      <c r="N195" s="11" t="s">
        <v>1390</v>
      </c>
      <c r="O195" s="11" t="s">
        <v>42</v>
      </c>
      <c r="P195" s="11" t="s">
        <v>33</v>
      </c>
      <c r="Q195" s="15">
        <v>0</v>
      </c>
      <c r="R195" s="11" t="s">
        <v>1386</v>
      </c>
      <c r="S195" s="10">
        <v>0</v>
      </c>
      <c r="T195" s="15">
        <v>80</v>
      </c>
      <c r="U195" s="15">
        <v>0</v>
      </c>
      <c r="V195" s="15">
        <v>0</v>
      </c>
      <c r="W195" s="15">
        <v>0</v>
      </c>
      <c r="X195" s="15">
        <f>IF(O195='Udvaskning nøgletal'!$D$65,1,IF(O195='Udvaskning nøgletal'!$D$66,2,IF(O195='Udvaskning nøgletal'!$D$67,3,IF(O195='Udvaskning nøgletal'!$D$68,2,""))))</f>
        <v>2</v>
      </c>
      <c r="Y195" s="15">
        <f>LOOKUP(K195,'Udvaskning nøgletal'!$C$12:$C$60,'Udvaskning nøgletal'!$H$12:$H$60)</f>
        <v>0</v>
      </c>
      <c r="Z195" s="10">
        <f>IF(X195=1,LOOKUP(K195,'Udvaskning nøgletal'!$C$12:$C$60,'Udvaskning nøgletal'!$E$12:$E$60)+Markniveau!Y195*Markniveau!S195/100,IF(X195=2,LOOKUP(K195,'Udvaskning nøgletal'!$C$12:$C$60,'Udvaskning nøgletal'!$F$12:$F$60)+Markniveau!Y195*Markniveau!S195/100,IF(X195=3,LOOKUP(K195,'Udvaskning nøgletal'!$C$12:$C$60,'Udvaskning nøgletal'!G205:G253)+Markniveau!Y195*Markniveau!S195/100,"")))</f>
        <v>21.2</v>
      </c>
      <c r="AA195" s="10">
        <f t="shared" ref="AA195:AA258" si="36">Z195*I195</f>
        <v>93.703999999999994</v>
      </c>
      <c r="AB195" s="10" t="str">
        <f t="shared" si="35"/>
        <v/>
      </c>
      <c r="AC195" s="10" t="str">
        <f t="shared" ref="AC195:AC258" si="37">IF(Q195&gt;0,AB195*I195,"")</f>
        <v/>
      </c>
      <c r="AD195" s="10">
        <f>IF(AND(Q195&gt;0,Q195&lt;30,K195&lt;8),Markniveau!Z195*'Udvaskning nøgletal'!$I$12/100,IF(AND(Q195&gt;0,Q195&lt;30,K195=216),Markniveau!Z195*'Udvaskning nøgletal'!$I$34/100,Markniveau!Z195))</f>
        <v>21.2</v>
      </c>
      <c r="AE195" s="10">
        <f t="shared" si="33"/>
        <v>93.703999999999994</v>
      </c>
      <c r="AF195" s="10" t="str">
        <f t="shared" ref="AF195:AF258" si="38">IF($Q195&gt;0,(100-$Q195)*$AD195/100,"")</f>
        <v/>
      </c>
      <c r="AG195" s="10" t="str">
        <f t="shared" si="34"/>
        <v/>
      </c>
      <c r="AH195" s="10" t="str">
        <f>IF(AND(Q195&gt;0,Q195&lt;30,K195=216),'Udvaskning nøgletal'!$C$42,IF(AND(Q195&gt;0,Q195&lt;30,K195&gt;7,K195&lt;17),'Udvaskning nøgletal'!$C$61,IF(AND(Q195&gt;0,Q195&lt;30,K195&lt;7),'Udvaskning nøgletal'!$C$62,"")))</f>
        <v/>
      </c>
      <c r="AI195" s="10">
        <f t="shared" si="30"/>
        <v>254</v>
      </c>
      <c r="AJ195" s="10">
        <f>IF($X195=1,LOOKUP(AI195,'Udvaskning nøgletal'!$C$12:$C$62,'Udvaskning nøgletal'!$E$12:$E$62)+Markniveau!$Y195*Markniveau!$S195/100,IF($X195=2,LOOKUP(AI195,'Udvaskning nøgletal'!$C$12:$C$62,'Udvaskning nøgletal'!$F$12:$F$62)+Markniveau!$Y195*Markniveau!$S195/100,IF($X195=3,LOOKUP(AI195,'Udvaskning nøgletal'!$C$12:$C$62,'Udvaskning nøgletal'!Q205:Q255)+Markniveau!$Y195*Markniveau!$S195/100,"")))</f>
        <v>21.2</v>
      </c>
      <c r="AK195" s="10">
        <f t="shared" ref="AK195:AK258" si="39">AJ195*$I195</f>
        <v>93.703999999999994</v>
      </c>
      <c r="AL195" s="10" t="str">
        <f t="shared" si="31"/>
        <v/>
      </c>
      <c r="AM195" s="10" t="str">
        <f t="shared" si="32"/>
        <v/>
      </c>
    </row>
    <row r="196" spans="1:39" x14ac:dyDescent="0.25">
      <c r="A196" s="15">
        <v>14265473</v>
      </c>
      <c r="B196" s="15">
        <v>11.69</v>
      </c>
      <c r="C196" s="15">
        <v>577817</v>
      </c>
      <c r="D196" s="15">
        <v>150693</v>
      </c>
      <c r="E196" s="15" t="s">
        <v>231</v>
      </c>
      <c r="F196" s="15">
        <v>2011</v>
      </c>
      <c r="G196" s="15">
        <v>20110324</v>
      </c>
      <c r="H196" s="15">
        <v>64942</v>
      </c>
      <c r="I196" s="15">
        <v>6.49</v>
      </c>
      <c r="J196" s="6" t="s">
        <v>1429</v>
      </c>
      <c r="K196" s="15">
        <v>254</v>
      </c>
      <c r="L196" s="15" t="s">
        <v>27</v>
      </c>
      <c r="M196" s="15" t="s">
        <v>4</v>
      </c>
      <c r="N196" s="11" t="s">
        <v>1390</v>
      </c>
      <c r="O196" s="11" t="s">
        <v>42</v>
      </c>
      <c r="P196" s="11" t="s">
        <v>33</v>
      </c>
      <c r="Q196" s="15">
        <v>0</v>
      </c>
      <c r="R196" s="11" t="s">
        <v>1386</v>
      </c>
      <c r="S196" s="10">
        <v>0</v>
      </c>
      <c r="T196" s="15">
        <v>80</v>
      </c>
      <c r="U196" s="15">
        <v>0</v>
      </c>
      <c r="V196" s="15">
        <v>0</v>
      </c>
      <c r="W196" s="15">
        <v>0</v>
      </c>
      <c r="X196" s="15">
        <f>IF(O196='Udvaskning nøgletal'!$D$65,1,IF(O196='Udvaskning nøgletal'!$D$66,2,IF(O196='Udvaskning nøgletal'!$D$67,3,IF(O196='Udvaskning nøgletal'!$D$68,2,""))))</f>
        <v>2</v>
      </c>
      <c r="Y196" s="15">
        <f>LOOKUP(K196,'Udvaskning nøgletal'!$C$12:$C$60,'Udvaskning nøgletal'!$H$12:$H$60)</f>
        <v>0</v>
      </c>
      <c r="Z196" s="10">
        <f>IF(X196=1,LOOKUP(K196,'Udvaskning nøgletal'!$C$12:$C$60,'Udvaskning nøgletal'!$E$12:$E$60)+Markniveau!Y196*Markniveau!S196/100,IF(X196=2,LOOKUP(K196,'Udvaskning nøgletal'!$C$12:$C$60,'Udvaskning nøgletal'!$F$12:$F$60)+Markniveau!Y196*Markniveau!S196/100,IF(X196=3,LOOKUP(K196,'Udvaskning nøgletal'!$C$12:$C$60,'Udvaskning nøgletal'!G206:G254)+Markniveau!Y196*Markniveau!S196/100,"")))</f>
        <v>21.2</v>
      </c>
      <c r="AA196" s="10">
        <f t="shared" si="36"/>
        <v>137.58799999999999</v>
      </c>
      <c r="AB196" s="10" t="str">
        <f t="shared" si="35"/>
        <v/>
      </c>
      <c r="AC196" s="10" t="str">
        <f t="shared" si="37"/>
        <v/>
      </c>
      <c r="AD196" s="10">
        <f>IF(AND(Q196&gt;0,Q196&lt;30,K196&lt;8),Markniveau!Z196*'Udvaskning nøgletal'!$I$12/100,IF(AND(Q196&gt;0,Q196&lt;30,K196=216),Markniveau!Z196*'Udvaskning nøgletal'!$I$34/100,Markniveau!Z196))</f>
        <v>21.2</v>
      </c>
      <c r="AE196" s="10">
        <f t="shared" si="33"/>
        <v>137.58799999999999</v>
      </c>
      <c r="AF196" s="10" t="str">
        <f t="shared" si="38"/>
        <v/>
      </c>
      <c r="AG196" s="10" t="str">
        <f t="shared" si="34"/>
        <v/>
      </c>
      <c r="AH196" s="10" t="str">
        <f>IF(AND(Q196&gt;0,Q196&lt;30,K196=216),'Udvaskning nøgletal'!$C$42,IF(AND(Q196&gt;0,Q196&lt;30,K196&gt;7,K196&lt;17),'Udvaskning nøgletal'!$C$61,IF(AND(Q196&gt;0,Q196&lt;30,K196&lt;7),'Udvaskning nøgletal'!$C$62,"")))</f>
        <v/>
      </c>
      <c r="AI196" s="10">
        <f t="shared" si="30"/>
        <v>254</v>
      </c>
      <c r="AJ196" s="10">
        <f>IF($X196=1,LOOKUP(AI196,'Udvaskning nøgletal'!$C$12:$C$62,'Udvaskning nøgletal'!$E$12:$E$62)+Markniveau!$Y196*Markniveau!$S196/100,IF($X196=2,LOOKUP(AI196,'Udvaskning nøgletal'!$C$12:$C$62,'Udvaskning nøgletal'!$F$12:$F$62)+Markniveau!$Y196*Markniveau!$S196/100,IF($X196=3,LOOKUP(AI196,'Udvaskning nøgletal'!$C$12:$C$62,'Udvaskning nøgletal'!Q206:Q256)+Markniveau!$Y196*Markniveau!$S196/100,"")))</f>
        <v>21.2</v>
      </c>
      <c r="AK196" s="10">
        <f t="shared" si="39"/>
        <v>137.58799999999999</v>
      </c>
      <c r="AL196" s="10" t="str">
        <f t="shared" si="31"/>
        <v/>
      </c>
      <c r="AM196" s="10" t="str">
        <f t="shared" si="32"/>
        <v/>
      </c>
    </row>
    <row r="197" spans="1:39" x14ac:dyDescent="0.25">
      <c r="A197" s="15">
        <v>14265473</v>
      </c>
      <c r="B197" s="15">
        <v>11.69</v>
      </c>
      <c r="C197" s="15">
        <v>578316</v>
      </c>
      <c r="D197" s="15">
        <v>150693</v>
      </c>
      <c r="E197" s="15" t="s">
        <v>232</v>
      </c>
      <c r="F197" s="15">
        <v>2011</v>
      </c>
      <c r="G197" s="15">
        <v>20110324</v>
      </c>
      <c r="H197" s="15">
        <v>28999</v>
      </c>
      <c r="I197" s="15">
        <v>2.9</v>
      </c>
      <c r="J197" s="6" t="s">
        <v>1430</v>
      </c>
      <c r="K197" s="15">
        <v>254</v>
      </c>
      <c r="L197" s="15" t="s">
        <v>27</v>
      </c>
      <c r="M197" s="15" t="s">
        <v>4</v>
      </c>
      <c r="N197" s="11" t="s">
        <v>1390</v>
      </c>
      <c r="O197" s="11" t="s">
        <v>42</v>
      </c>
      <c r="P197" s="11" t="s">
        <v>33</v>
      </c>
      <c r="Q197" s="15">
        <v>0</v>
      </c>
      <c r="R197" s="11" t="s">
        <v>1386</v>
      </c>
      <c r="S197" s="10">
        <v>0</v>
      </c>
      <c r="T197" s="15">
        <v>80</v>
      </c>
      <c r="U197" s="15">
        <v>0</v>
      </c>
      <c r="V197" s="15">
        <v>0</v>
      </c>
      <c r="W197" s="15">
        <v>0</v>
      </c>
      <c r="X197" s="15">
        <f>IF(O197='Udvaskning nøgletal'!$D$65,1,IF(O197='Udvaskning nøgletal'!$D$66,2,IF(O197='Udvaskning nøgletal'!$D$67,3,IF(O197='Udvaskning nøgletal'!$D$68,2,""))))</f>
        <v>2</v>
      </c>
      <c r="Y197" s="15">
        <f>LOOKUP(K197,'Udvaskning nøgletal'!$C$12:$C$60,'Udvaskning nøgletal'!$H$12:$H$60)</f>
        <v>0</v>
      </c>
      <c r="Z197" s="10">
        <f>IF(X197=1,LOOKUP(K197,'Udvaskning nøgletal'!$C$12:$C$60,'Udvaskning nøgletal'!$E$12:$E$60)+Markniveau!Y197*Markniveau!S197/100,IF(X197=2,LOOKUP(K197,'Udvaskning nøgletal'!$C$12:$C$60,'Udvaskning nøgletal'!$F$12:$F$60)+Markniveau!Y197*Markniveau!S197/100,IF(X197=3,LOOKUP(K197,'Udvaskning nøgletal'!$C$12:$C$60,'Udvaskning nøgletal'!G207:G255)+Markniveau!Y197*Markniveau!S197/100,"")))</f>
        <v>21.2</v>
      </c>
      <c r="AA197" s="10">
        <f t="shared" si="36"/>
        <v>61.48</v>
      </c>
      <c r="AB197" s="10" t="str">
        <f t="shared" si="35"/>
        <v/>
      </c>
      <c r="AC197" s="10" t="str">
        <f t="shared" si="37"/>
        <v/>
      </c>
      <c r="AD197" s="10">
        <f>IF(AND(Q197&gt;0,Q197&lt;30,K197&lt;8),Markniveau!Z197*'Udvaskning nøgletal'!$I$12/100,IF(AND(Q197&gt;0,Q197&lt;30,K197=216),Markniveau!Z197*'Udvaskning nøgletal'!$I$34/100,Markniveau!Z197))</f>
        <v>21.2</v>
      </c>
      <c r="AE197" s="10">
        <f t="shared" si="33"/>
        <v>61.48</v>
      </c>
      <c r="AF197" s="10" t="str">
        <f t="shared" si="38"/>
        <v/>
      </c>
      <c r="AG197" s="10" t="str">
        <f t="shared" si="34"/>
        <v/>
      </c>
      <c r="AH197" s="10" t="str">
        <f>IF(AND(Q197&gt;0,Q197&lt;30,K197=216),'Udvaskning nøgletal'!$C$42,IF(AND(Q197&gt;0,Q197&lt;30,K197&gt;7,K197&lt;17),'Udvaskning nøgletal'!$C$61,IF(AND(Q197&gt;0,Q197&lt;30,K197&lt;7),'Udvaskning nøgletal'!$C$62,"")))</f>
        <v/>
      </c>
      <c r="AI197" s="10">
        <f t="shared" si="30"/>
        <v>254</v>
      </c>
      <c r="AJ197" s="10">
        <f>IF($X197=1,LOOKUP(AI197,'Udvaskning nøgletal'!$C$12:$C$62,'Udvaskning nøgletal'!$E$12:$E$62)+Markniveau!$Y197*Markniveau!$S197/100,IF($X197=2,LOOKUP(AI197,'Udvaskning nøgletal'!$C$12:$C$62,'Udvaskning nøgletal'!$F$12:$F$62)+Markniveau!$Y197*Markniveau!$S197/100,IF($X197=3,LOOKUP(AI197,'Udvaskning nøgletal'!$C$12:$C$62,'Udvaskning nøgletal'!Q207:Q257)+Markniveau!$Y197*Markniveau!$S197/100,"")))</f>
        <v>21.2</v>
      </c>
      <c r="AK197" s="10">
        <f t="shared" si="39"/>
        <v>61.48</v>
      </c>
      <c r="AL197" s="10" t="str">
        <f t="shared" si="31"/>
        <v/>
      </c>
      <c r="AM197" s="10" t="str">
        <f t="shared" si="32"/>
        <v/>
      </c>
    </row>
    <row r="198" spans="1:39" x14ac:dyDescent="0.25">
      <c r="A198" s="15">
        <v>14265473</v>
      </c>
      <c r="B198" s="15">
        <v>11.69</v>
      </c>
      <c r="C198" s="15">
        <v>578318</v>
      </c>
      <c r="D198" s="15">
        <v>150693</v>
      </c>
      <c r="E198" s="15" t="s">
        <v>233</v>
      </c>
      <c r="F198" s="15">
        <v>2011</v>
      </c>
      <c r="G198" s="15">
        <v>20110324</v>
      </c>
      <c r="H198" s="15">
        <v>18861</v>
      </c>
      <c r="I198" s="15">
        <v>1.89</v>
      </c>
      <c r="J198" s="6" t="s">
        <v>1431</v>
      </c>
      <c r="K198" s="15">
        <v>276</v>
      </c>
      <c r="L198" s="15" t="s">
        <v>146</v>
      </c>
      <c r="M198" s="15" t="s">
        <v>4</v>
      </c>
      <c r="N198" s="11" t="s">
        <v>1390</v>
      </c>
      <c r="O198" s="11" t="s">
        <v>42</v>
      </c>
      <c r="P198" s="11" t="s">
        <v>33</v>
      </c>
      <c r="Q198" s="15">
        <v>0</v>
      </c>
      <c r="R198" s="11" t="s">
        <v>1386</v>
      </c>
      <c r="S198" s="10">
        <v>0</v>
      </c>
      <c r="T198" s="15">
        <v>80</v>
      </c>
      <c r="U198" s="15">
        <v>0</v>
      </c>
      <c r="V198" s="15">
        <v>0</v>
      </c>
      <c r="W198" s="15">
        <v>0</v>
      </c>
      <c r="X198" s="15">
        <f>IF(O198='Udvaskning nøgletal'!$D$65,1,IF(O198='Udvaskning nøgletal'!$D$66,2,IF(O198='Udvaskning nøgletal'!$D$67,3,IF(O198='Udvaskning nøgletal'!$D$68,2,""))))</f>
        <v>2</v>
      </c>
      <c r="Y198" s="15">
        <f>LOOKUP(K198,'Udvaskning nøgletal'!$C$12:$C$60,'Udvaskning nøgletal'!$H$12:$H$60)</f>
        <v>0</v>
      </c>
      <c r="Z198" s="10">
        <f>IF(X198=1,LOOKUP(K198,'Udvaskning nøgletal'!$C$12:$C$60,'Udvaskning nøgletal'!$E$12:$E$60)+Markniveau!Y198*Markniveau!S198/100,IF(X198=2,LOOKUP(K198,'Udvaskning nøgletal'!$C$12:$C$60,'Udvaskning nøgletal'!$F$12:$F$60)+Markniveau!Y198*Markniveau!S198/100,IF(X198=3,LOOKUP(K198,'Udvaskning nøgletal'!$C$12:$C$60,'Udvaskning nøgletal'!G208:G256)+Markniveau!Y198*Markniveau!S198/100,"")))</f>
        <v>10.6</v>
      </c>
      <c r="AA198" s="10">
        <f t="shared" si="36"/>
        <v>20.033999999999999</v>
      </c>
      <c r="AB198" s="10" t="str">
        <f t="shared" si="35"/>
        <v/>
      </c>
      <c r="AC198" s="10" t="str">
        <f t="shared" si="37"/>
        <v/>
      </c>
      <c r="AD198" s="10">
        <f>IF(AND(Q198&gt;0,Q198&lt;30,K198&lt;8),Markniveau!Z198*'Udvaskning nøgletal'!$I$12/100,IF(AND(Q198&gt;0,Q198&lt;30,K198=216),Markniveau!Z198*'Udvaskning nøgletal'!$I$34/100,Markniveau!Z198))</f>
        <v>10.6</v>
      </c>
      <c r="AE198" s="10">
        <f t="shared" si="33"/>
        <v>20.033999999999999</v>
      </c>
      <c r="AF198" s="10" t="str">
        <f t="shared" si="38"/>
        <v/>
      </c>
      <c r="AG198" s="10" t="str">
        <f t="shared" si="34"/>
        <v/>
      </c>
      <c r="AH198" s="10" t="str">
        <f>IF(AND(Q198&gt;0,Q198&lt;30,K198=216),'Udvaskning nøgletal'!$C$42,IF(AND(Q198&gt;0,Q198&lt;30,K198&gt;7,K198&lt;17),'Udvaskning nøgletal'!$C$61,IF(AND(Q198&gt;0,Q198&lt;30,K198&lt;7),'Udvaskning nøgletal'!$C$62,"")))</f>
        <v/>
      </c>
      <c r="AI198" s="10">
        <f t="shared" si="30"/>
        <v>276</v>
      </c>
      <c r="AJ198" s="10">
        <f>IF($X198=1,LOOKUP(AI198,'Udvaskning nøgletal'!$C$12:$C$62,'Udvaskning nøgletal'!$E$12:$E$62)+Markniveau!$Y198*Markniveau!$S198/100,IF($X198=2,LOOKUP(AI198,'Udvaskning nøgletal'!$C$12:$C$62,'Udvaskning nøgletal'!$F$12:$F$62)+Markniveau!$Y198*Markniveau!$S198/100,IF($X198=3,LOOKUP(AI198,'Udvaskning nøgletal'!$C$12:$C$62,'Udvaskning nøgletal'!Q208:Q258)+Markniveau!$Y198*Markniveau!$S198/100,"")))</f>
        <v>10.6</v>
      </c>
      <c r="AK198" s="10">
        <f t="shared" si="39"/>
        <v>20.033999999999999</v>
      </c>
      <c r="AL198" s="10" t="str">
        <f t="shared" si="31"/>
        <v/>
      </c>
      <c r="AM198" s="10" t="str">
        <f t="shared" si="32"/>
        <v/>
      </c>
    </row>
    <row r="199" spans="1:39" x14ac:dyDescent="0.25">
      <c r="A199" s="15">
        <v>14265473</v>
      </c>
      <c r="B199" s="15">
        <v>11.69</v>
      </c>
      <c r="C199" s="15">
        <v>578319</v>
      </c>
      <c r="D199" s="15">
        <v>150693</v>
      </c>
      <c r="E199" s="15" t="s">
        <v>234</v>
      </c>
      <c r="F199" s="15">
        <v>2011</v>
      </c>
      <c r="G199" s="15">
        <v>20110324</v>
      </c>
      <c r="H199" s="15">
        <v>29507</v>
      </c>
      <c r="I199" s="15">
        <v>2.95</v>
      </c>
      <c r="J199" s="6" t="s">
        <v>1432</v>
      </c>
      <c r="K199" s="15">
        <v>254</v>
      </c>
      <c r="L199" s="15" t="s">
        <v>27</v>
      </c>
      <c r="M199" s="15" t="s">
        <v>4</v>
      </c>
      <c r="N199" s="11" t="s">
        <v>1406</v>
      </c>
      <c r="O199" s="11" t="s">
        <v>46</v>
      </c>
      <c r="P199" s="11" t="s">
        <v>33</v>
      </c>
      <c r="Q199" s="15">
        <v>0</v>
      </c>
      <c r="R199" s="11" t="s">
        <v>1386</v>
      </c>
      <c r="S199" s="10">
        <v>0</v>
      </c>
      <c r="T199" s="15">
        <v>80</v>
      </c>
      <c r="U199" s="15">
        <v>0</v>
      </c>
      <c r="V199" s="15">
        <v>0</v>
      </c>
      <c r="W199" s="15">
        <v>0</v>
      </c>
      <c r="X199" s="15">
        <f>IF(O199='Udvaskning nøgletal'!$D$65,1,IF(O199='Udvaskning nøgletal'!$D$66,2,IF(O199='Udvaskning nøgletal'!$D$67,3,IF(O199='Udvaskning nøgletal'!$D$68,2,""))))</f>
        <v>2</v>
      </c>
      <c r="Y199" s="15">
        <f>LOOKUP(K199,'Udvaskning nøgletal'!$C$12:$C$60,'Udvaskning nøgletal'!$H$12:$H$60)</f>
        <v>0</v>
      </c>
      <c r="Z199" s="10">
        <f>IF(X199=1,LOOKUP(K199,'Udvaskning nøgletal'!$C$12:$C$60,'Udvaskning nøgletal'!$E$12:$E$60)+Markniveau!Y199*Markniveau!S199/100,IF(X199=2,LOOKUP(K199,'Udvaskning nøgletal'!$C$12:$C$60,'Udvaskning nøgletal'!$F$12:$F$60)+Markniveau!Y199*Markniveau!S199/100,IF(X199=3,LOOKUP(K199,'Udvaskning nøgletal'!$C$12:$C$60,'Udvaskning nøgletal'!G209:G257)+Markniveau!Y199*Markniveau!S199/100,"")))</f>
        <v>21.2</v>
      </c>
      <c r="AA199" s="10">
        <f t="shared" si="36"/>
        <v>62.54</v>
      </c>
      <c r="AB199" s="10" t="str">
        <f t="shared" si="35"/>
        <v/>
      </c>
      <c r="AC199" s="10" t="str">
        <f t="shared" si="37"/>
        <v/>
      </c>
      <c r="AD199" s="10">
        <f>IF(AND(Q199&gt;0,Q199&lt;30,K199&lt;8),Markniveau!Z199*'Udvaskning nøgletal'!$I$12/100,IF(AND(Q199&gt;0,Q199&lt;30,K199=216),Markniveau!Z199*'Udvaskning nøgletal'!$I$34/100,Markniveau!Z199))</f>
        <v>21.2</v>
      </c>
      <c r="AE199" s="10">
        <f t="shared" si="33"/>
        <v>62.54</v>
      </c>
      <c r="AF199" s="10" t="str">
        <f t="shared" si="38"/>
        <v/>
      </c>
      <c r="AG199" s="10" t="str">
        <f t="shared" si="34"/>
        <v/>
      </c>
      <c r="AH199" s="10" t="str">
        <f>IF(AND(Q199&gt;0,Q199&lt;30,K199=216),'Udvaskning nøgletal'!$C$42,IF(AND(Q199&gt;0,Q199&lt;30,K199&gt;7,K199&lt;17),'Udvaskning nøgletal'!$C$61,IF(AND(Q199&gt;0,Q199&lt;30,K199&lt;7),'Udvaskning nøgletal'!$C$62,"")))</f>
        <v/>
      </c>
      <c r="AI199" s="10">
        <f t="shared" si="30"/>
        <v>254</v>
      </c>
      <c r="AJ199" s="10">
        <f>IF($X199=1,LOOKUP(AI199,'Udvaskning nøgletal'!$C$12:$C$62,'Udvaskning nøgletal'!$E$12:$E$62)+Markniveau!$Y199*Markniveau!$S199/100,IF($X199=2,LOOKUP(AI199,'Udvaskning nøgletal'!$C$12:$C$62,'Udvaskning nøgletal'!$F$12:$F$62)+Markniveau!$Y199*Markniveau!$S199/100,IF($X199=3,LOOKUP(AI199,'Udvaskning nøgletal'!$C$12:$C$62,'Udvaskning nøgletal'!Q209:Q259)+Markniveau!$Y199*Markniveau!$S199/100,"")))</f>
        <v>21.2</v>
      </c>
      <c r="AK199" s="10">
        <f t="shared" si="39"/>
        <v>62.54</v>
      </c>
      <c r="AL199" s="10" t="str">
        <f t="shared" si="31"/>
        <v/>
      </c>
      <c r="AM199" s="10" t="str">
        <f t="shared" si="32"/>
        <v/>
      </c>
    </row>
    <row r="200" spans="1:39" x14ac:dyDescent="0.25">
      <c r="A200" s="15">
        <v>14265473</v>
      </c>
      <c r="B200" s="15">
        <v>11.69</v>
      </c>
      <c r="C200" s="15">
        <v>578320</v>
      </c>
      <c r="D200" s="15">
        <v>150693</v>
      </c>
      <c r="E200" s="15" t="s">
        <v>185</v>
      </c>
      <c r="F200" s="15">
        <v>2011</v>
      </c>
      <c r="G200" s="15">
        <v>20110324</v>
      </c>
      <c r="H200" s="15">
        <v>116932</v>
      </c>
      <c r="I200" s="15">
        <v>11.69</v>
      </c>
      <c r="J200" s="6" t="s">
        <v>1433</v>
      </c>
      <c r="K200" s="15">
        <v>902</v>
      </c>
      <c r="L200" s="15" t="s">
        <v>160</v>
      </c>
      <c r="M200" s="15" t="s">
        <v>81</v>
      </c>
      <c r="N200" s="11" t="s">
        <v>1391</v>
      </c>
      <c r="O200" s="11" t="s">
        <v>46</v>
      </c>
      <c r="P200" s="11" t="s">
        <v>29</v>
      </c>
      <c r="Q200" s="15">
        <v>95</v>
      </c>
      <c r="R200" s="11" t="s">
        <v>3</v>
      </c>
      <c r="S200" s="10">
        <v>0</v>
      </c>
      <c r="T200" s="15">
        <v>80</v>
      </c>
      <c r="U200" s="15">
        <v>0</v>
      </c>
      <c r="V200" s="15">
        <v>0</v>
      </c>
      <c r="W200" s="15">
        <v>0</v>
      </c>
      <c r="X200" s="15">
        <f>IF(O200='Udvaskning nøgletal'!$D$65,1,IF(O200='Udvaskning nøgletal'!$D$66,2,IF(O200='Udvaskning nøgletal'!$D$67,3,IF(O200='Udvaskning nøgletal'!$D$68,2,""))))</f>
        <v>2</v>
      </c>
      <c r="Y200" s="15">
        <f>LOOKUP(K200,'Udvaskning nøgletal'!$C$12:$C$60,'Udvaskning nøgletal'!$H$12:$H$60)</f>
        <v>0</v>
      </c>
      <c r="Z200" s="10">
        <f>IF(X200=1,LOOKUP(K200,'Udvaskning nøgletal'!$C$12:$C$60,'Udvaskning nøgletal'!$E$12:$E$60)+Markniveau!Y200*Markniveau!S200/100,IF(X200=2,LOOKUP(K200,'Udvaskning nøgletal'!$C$12:$C$60,'Udvaskning nøgletal'!$F$12:$F$60)+Markniveau!Y200*Markniveau!S200/100,IF(X200=3,LOOKUP(K200,'Udvaskning nøgletal'!$C$12:$C$60,'Udvaskning nøgletal'!G210:G258)+Markniveau!Y200*Markniveau!S200/100,"")))</f>
        <v>10</v>
      </c>
      <c r="AA200" s="10">
        <f t="shared" si="36"/>
        <v>116.89999999999999</v>
      </c>
      <c r="AB200" s="10">
        <f t="shared" si="35"/>
        <v>0.5</v>
      </c>
      <c r="AC200" s="10">
        <f t="shared" si="37"/>
        <v>5.8449999999999998</v>
      </c>
      <c r="AD200" s="10">
        <f>IF(AND(Q200&gt;0,Q200&lt;30,K200&lt;8),Markniveau!Z200*'Udvaskning nøgletal'!$I$12/100,IF(AND(Q200&gt;0,Q200&lt;30,K200=216),Markniveau!Z200*'Udvaskning nøgletal'!$I$34/100,Markniveau!Z200))</f>
        <v>10</v>
      </c>
      <c r="AE200" s="10">
        <f t="shared" si="33"/>
        <v>116.89999999999999</v>
      </c>
      <c r="AF200" s="10">
        <f t="shared" si="38"/>
        <v>0.5</v>
      </c>
      <c r="AG200" s="10">
        <f t="shared" si="34"/>
        <v>5.8449999999999998</v>
      </c>
      <c r="AH200" s="10" t="str">
        <f>IF(AND(Q200&gt;0,Q200&lt;30,K200=216),'Udvaskning nøgletal'!$C$42,IF(AND(Q200&gt;0,Q200&lt;30,K200&gt;7,K200&lt;17),'Udvaskning nøgletal'!$C$61,IF(AND(Q200&gt;0,Q200&lt;30,K200&lt;7),'Udvaskning nøgletal'!$C$62,"")))</f>
        <v/>
      </c>
      <c r="AI200" s="10">
        <f t="shared" ref="AI200:AI263" si="40">IF(SUM(AH200)&gt;0,AH200,K200)</f>
        <v>902</v>
      </c>
      <c r="AJ200" s="10">
        <f>IF($X200=1,LOOKUP(AI200,'Udvaskning nøgletal'!$C$12:$C$62,'Udvaskning nøgletal'!$E$12:$E$62)+Markniveau!$Y200*Markniveau!$S200/100,IF($X200=2,LOOKUP(AI200,'Udvaskning nøgletal'!$C$12:$C$62,'Udvaskning nøgletal'!$F$12:$F$62)+Markniveau!$Y200*Markniveau!$S200/100,IF($X200=3,LOOKUP(AI200,'Udvaskning nøgletal'!$C$12:$C$62,'Udvaskning nøgletal'!Q210:Q260)+Markniveau!$Y200*Markniveau!$S200/100,"")))</f>
        <v>10</v>
      </c>
      <c r="AK200" s="10">
        <f t="shared" si="39"/>
        <v>116.89999999999999</v>
      </c>
      <c r="AL200" s="10">
        <f t="shared" si="31"/>
        <v>0.5</v>
      </c>
      <c r="AM200" s="10">
        <f t="shared" si="32"/>
        <v>5.8449999999999998</v>
      </c>
    </row>
    <row r="201" spans="1:39" x14ac:dyDescent="0.25">
      <c r="A201" s="15">
        <v>14265473</v>
      </c>
      <c r="B201" s="15">
        <v>11.69</v>
      </c>
      <c r="C201" s="15">
        <v>578831</v>
      </c>
      <c r="D201" s="15">
        <v>150693</v>
      </c>
      <c r="E201" s="15" t="s">
        <v>224</v>
      </c>
      <c r="F201" s="15">
        <v>2011</v>
      </c>
      <c r="G201" s="15">
        <v>20110324</v>
      </c>
      <c r="H201" s="15">
        <v>184877</v>
      </c>
      <c r="I201" s="15">
        <v>18.489999999999998</v>
      </c>
      <c r="J201" s="6" t="s">
        <v>53</v>
      </c>
      <c r="K201" s="15">
        <v>318</v>
      </c>
      <c r="L201" s="15" t="s">
        <v>171</v>
      </c>
      <c r="M201" s="15" t="s">
        <v>13</v>
      </c>
      <c r="N201" s="11" t="s">
        <v>1384</v>
      </c>
      <c r="O201" s="11" t="s">
        <v>28</v>
      </c>
      <c r="P201" s="11" t="s">
        <v>33</v>
      </c>
      <c r="Q201" s="15">
        <v>0</v>
      </c>
      <c r="R201" s="11" t="s">
        <v>1386</v>
      </c>
      <c r="S201" s="10">
        <v>0</v>
      </c>
      <c r="T201" s="15">
        <v>80</v>
      </c>
      <c r="U201" s="15">
        <v>0</v>
      </c>
      <c r="V201" s="15">
        <v>0</v>
      </c>
      <c r="W201" s="15">
        <v>0</v>
      </c>
      <c r="X201" s="15">
        <f>IF(O201='Udvaskning nøgletal'!$D$65,1,IF(O201='Udvaskning nøgletal'!$D$66,2,IF(O201='Udvaskning nøgletal'!$D$67,3,IF(O201='Udvaskning nøgletal'!$D$68,2,""))))</f>
        <v>1</v>
      </c>
      <c r="Y201" s="15">
        <f>LOOKUP(K201,'Udvaskning nøgletal'!$C$12:$C$60,'Udvaskning nøgletal'!$H$12:$H$60)</f>
        <v>0</v>
      </c>
      <c r="Z201" s="10">
        <f>IF(X201=1,LOOKUP(K201,'Udvaskning nøgletal'!$C$12:$C$60,'Udvaskning nøgletal'!$E$12:$E$60)+Markniveau!Y201*Markniveau!S201/100,IF(X201=2,LOOKUP(K201,'Udvaskning nøgletal'!$C$12:$C$60,'Udvaskning nøgletal'!$F$12:$F$60)+Markniveau!Y201*Markniveau!S201/100,IF(X201=3,LOOKUP(K201,'Udvaskning nøgletal'!$C$12:$C$60,'Udvaskning nøgletal'!G211:G259)+Markniveau!Y201*Markniveau!S201/100,"")))</f>
        <v>10</v>
      </c>
      <c r="AA201" s="10">
        <f t="shared" si="36"/>
        <v>184.89999999999998</v>
      </c>
      <c r="AB201" s="10" t="str">
        <f t="shared" si="35"/>
        <v/>
      </c>
      <c r="AC201" s="10" t="str">
        <f t="shared" si="37"/>
        <v/>
      </c>
      <c r="AD201" s="10">
        <f>IF(AND(Q201&gt;0,Q201&lt;30,K201&lt;8),Markniveau!Z201*'Udvaskning nøgletal'!$I$12/100,IF(AND(Q201&gt;0,Q201&lt;30,K201=216),Markniveau!Z201*'Udvaskning nøgletal'!$I$34/100,Markniveau!Z201))</f>
        <v>10</v>
      </c>
      <c r="AE201" s="10">
        <f t="shared" si="33"/>
        <v>184.89999999999998</v>
      </c>
      <c r="AF201" s="10" t="str">
        <f t="shared" si="38"/>
        <v/>
      </c>
      <c r="AG201" s="10" t="str">
        <f t="shared" si="34"/>
        <v/>
      </c>
      <c r="AH201" s="10" t="str">
        <f>IF(AND(Q201&gt;0,Q201&lt;30,K201=216),'Udvaskning nøgletal'!$C$42,IF(AND(Q201&gt;0,Q201&lt;30,K201&gt;7,K201&lt;17),'Udvaskning nøgletal'!$C$61,IF(AND(Q201&gt;0,Q201&lt;30,K201&lt;7),'Udvaskning nøgletal'!$C$62,"")))</f>
        <v/>
      </c>
      <c r="AI201" s="10">
        <f t="shared" si="40"/>
        <v>318</v>
      </c>
      <c r="AJ201" s="10">
        <f>IF($X201=1,LOOKUP(AI201,'Udvaskning nøgletal'!$C$12:$C$62,'Udvaskning nøgletal'!$E$12:$E$62)+Markniveau!$Y201*Markniveau!$S201/100,IF($X201=2,LOOKUP(AI201,'Udvaskning nøgletal'!$C$12:$C$62,'Udvaskning nøgletal'!$F$12:$F$62)+Markniveau!$Y201*Markniveau!$S201/100,IF($X201=3,LOOKUP(AI201,'Udvaskning nøgletal'!$C$12:$C$62,'Udvaskning nøgletal'!Q211:Q261)+Markniveau!$Y201*Markniveau!$S201/100,"")))</f>
        <v>10</v>
      </c>
      <c r="AK201" s="10">
        <f t="shared" si="39"/>
        <v>184.89999999999998</v>
      </c>
      <c r="AL201" s="10" t="str">
        <f t="shared" si="31"/>
        <v/>
      </c>
      <c r="AM201" s="10" t="str">
        <f t="shared" si="32"/>
        <v/>
      </c>
    </row>
    <row r="202" spans="1:39" x14ac:dyDescent="0.25">
      <c r="A202" s="15">
        <v>14265473</v>
      </c>
      <c r="B202" s="15">
        <v>11.69</v>
      </c>
      <c r="C202" s="15">
        <v>578833</v>
      </c>
      <c r="D202" s="15">
        <v>150693</v>
      </c>
      <c r="E202" s="15" t="s">
        <v>235</v>
      </c>
      <c r="F202" s="15">
        <v>2011</v>
      </c>
      <c r="G202" s="15">
        <v>20110324</v>
      </c>
      <c r="H202" s="15">
        <v>13548</v>
      </c>
      <c r="I202" s="15">
        <v>1.35</v>
      </c>
      <c r="J202" s="6" t="s">
        <v>1434</v>
      </c>
      <c r="K202" s="15">
        <v>318</v>
      </c>
      <c r="L202" s="15" t="s">
        <v>171</v>
      </c>
      <c r="M202" s="15" t="s">
        <v>13</v>
      </c>
      <c r="N202" s="11" t="s">
        <v>1384</v>
      </c>
      <c r="O202" s="11" t="s">
        <v>28</v>
      </c>
      <c r="P202" s="11" t="s">
        <v>33</v>
      </c>
      <c r="Q202" s="15">
        <v>0</v>
      </c>
      <c r="R202" s="11" t="s">
        <v>1386</v>
      </c>
      <c r="S202" s="10">
        <v>0</v>
      </c>
      <c r="T202" s="15">
        <v>80</v>
      </c>
      <c r="U202" s="15">
        <v>0</v>
      </c>
      <c r="V202" s="15">
        <v>0</v>
      </c>
      <c r="W202" s="15">
        <v>0</v>
      </c>
      <c r="X202" s="15">
        <f>IF(O202='Udvaskning nøgletal'!$D$65,1,IF(O202='Udvaskning nøgletal'!$D$66,2,IF(O202='Udvaskning nøgletal'!$D$67,3,IF(O202='Udvaskning nøgletal'!$D$68,2,""))))</f>
        <v>1</v>
      </c>
      <c r="Y202" s="15">
        <f>LOOKUP(K202,'Udvaskning nøgletal'!$C$12:$C$60,'Udvaskning nøgletal'!$H$12:$H$60)</f>
        <v>0</v>
      </c>
      <c r="Z202" s="10">
        <f>IF(X202=1,LOOKUP(K202,'Udvaskning nøgletal'!$C$12:$C$60,'Udvaskning nøgletal'!$E$12:$E$60)+Markniveau!Y202*Markniveau!S202/100,IF(X202=2,LOOKUP(K202,'Udvaskning nøgletal'!$C$12:$C$60,'Udvaskning nøgletal'!$F$12:$F$60)+Markniveau!Y202*Markniveau!S202/100,IF(X202=3,LOOKUP(K202,'Udvaskning nøgletal'!$C$12:$C$60,'Udvaskning nøgletal'!G212:G260)+Markniveau!Y202*Markniveau!S202/100,"")))</f>
        <v>10</v>
      </c>
      <c r="AA202" s="10">
        <f t="shared" si="36"/>
        <v>13.5</v>
      </c>
      <c r="AB202" s="10" t="str">
        <f t="shared" si="35"/>
        <v/>
      </c>
      <c r="AC202" s="10" t="str">
        <f t="shared" si="37"/>
        <v/>
      </c>
      <c r="AD202" s="10">
        <f>IF(AND(Q202&gt;0,Q202&lt;30,K202&lt;8),Markniveau!Z202*'Udvaskning nøgletal'!$I$12/100,IF(AND(Q202&gt;0,Q202&lt;30,K202=216),Markniveau!Z202*'Udvaskning nøgletal'!$I$34/100,Markniveau!Z202))</f>
        <v>10</v>
      </c>
      <c r="AE202" s="10">
        <f t="shared" si="33"/>
        <v>13.5</v>
      </c>
      <c r="AF202" s="10" t="str">
        <f t="shared" si="38"/>
        <v/>
      </c>
      <c r="AG202" s="10" t="str">
        <f t="shared" si="34"/>
        <v/>
      </c>
      <c r="AH202" s="10" t="str">
        <f>IF(AND(Q202&gt;0,Q202&lt;30,K202=216),'Udvaskning nøgletal'!$C$42,IF(AND(Q202&gt;0,Q202&lt;30,K202&gt;7,K202&lt;17),'Udvaskning nøgletal'!$C$61,IF(AND(Q202&gt;0,Q202&lt;30,K202&lt;7),'Udvaskning nøgletal'!$C$62,"")))</f>
        <v/>
      </c>
      <c r="AI202" s="10">
        <f t="shared" si="40"/>
        <v>318</v>
      </c>
      <c r="AJ202" s="10">
        <f>IF($X202=1,LOOKUP(AI202,'Udvaskning nøgletal'!$C$12:$C$62,'Udvaskning nøgletal'!$E$12:$E$62)+Markniveau!$Y202*Markniveau!$S202/100,IF($X202=2,LOOKUP(AI202,'Udvaskning nøgletal'!$C$12:$C$62,'Udvaskning nøgletal'!$F$12:$F$62)+Markniveau!$Y202*Markniveau!$S202/100,IF($X202=3,LOOKUP(AI202,'Udvaskning nøgletal'!$C$12:$C$62,'Udvaskning nøgletal'!Q212:Q262)+Markniveau!$Y202*Markniveau!$S202/100,"")))</f>
        <v>10</v>
      </c>
      <c r="AK202" s="10">
        <f t="shared" si="39"/>
        <v>13.5</v>
      </c>
      <c r="AL202" s="10" t="str">
        <f t="shared" si="31"/>
        <v/>
      </c>
      <c r="AM202" s="10" t="str">
        <f t="shared" si="32"/>
        <v/>
      </c>
    </row>
    <row r="203" spans="1:39" x14ac:dyDescent="0.25">
      <c r="A203" s="15">
        <v>14265473</v>
      </c>
      <c r="B203" s="15">
        <v>11.69</v>
      </c>
      <c r="C203" s="15">
        <v>578834</v>
      </c>
      <c r="D203" s="15">
        <v>150693</v>
      </c>
      <c r="E203" s="15" t="s">
        <v>220</v>
      </c>
      <c r="F203" s="15">
        <v>2011</v>
      </c>
      <c r="G203" s="15">
        <v>20110324</v>
      </c>
      <c r="H203" s="15">
        <v>8455</v>
      </c>
      <c r="I203" s="15">
        <v>0.85</v>
      </c>
      <c r="J203" s="6" t="s">
        <v>1392</v>
      </c>
      <c r="K203" s="15">
        <v>318</v>
      </c>
      <c r="L203" s="15" t="s">
        <v>171</v>
      </c>
      <c r="M203" s="15" t="s">
        <v>13</v>
      </c>
      <c r="N203" s="11" t="s">
        <v>1384</v>
      </c>
      <c r="O203" s="11" t="s">
        <v>28</v>
      </c>
      <c r="P203" s="11" t="s">
        <v>33</v>
      </c>
      <c r="Q203" s="15">
        <v>0</v>
      </c>
      <c r="R203" s="11" t="s">
        <v>1386</v>
      </c>
      <c r="S203" s="10">
        <v>0</v>
      </c>
      <c r="T203" s="15">
        <v>80</v>
      </c>
      <c r="U203" s="15">
        <v>0</v>
      </c>
      <c r="V203" s="15">
        <v>0</v>
      </c>
      <c r="W203" s="15">
        <v>0</v>
      </c>
      <c r="X203" s="15">
        <f>IF(O203='Udvaskning nøgletal'!$D$65,1,IF(O203='Udvaskning nøgletal'!$D$66,2,IF(O203='Udvaskning nøgletal'!$D$67,3,IF(O203='Udvaskning nøgletal'!$D$68,2,""))))</f>
        <v>1</v>
      </c>
      <c r="Y203" s="15">
        <f>LOOKUP(K203,'Udvaskning nøgletal'!$C$12:$C$60,'Udvaskning nøgletal'!$H$12:$H$60)</f>
        <v>0</v>
      </c>
      <c r="Z203" s="10">
        <f>IF(X203=1,LOOKUP(K203,'Udvaskning nøgletal'!$C$12:$C$60,'Udvaskning nøgletal'!$E$12:$E$60)+Markniveau!Y203*Markniveau!S203/100,IF(X203=2,LOOKUP(K203,'Udvaskning nøgletal'!$C$12:$C$60,'Udvaskning nøgletal'!$F$12:$F$60)+Markniveau!Y203*Markniveau!S203/100,IF(X203=3,LOOKUP(K203,'Udvaskning nøgletal'!$C$12:$C$60,'Udvaskning nøgletal'!G213:G261)+Markniveau!Y203*Markniveau!S203/100,"")))</f>
        <v>10</v>
      </c>
      <c r="AA203" s="10">
        <f t="shared" si="36"/>
        <v>8.5</v>
      </c>
      <c r="AB203" s="10" t="str">
        <f t="shared" si="35"/>
        <v/>
      </c>
      <c r="AC203" s="10" t="str">
        <f t="shared" si="37"/>
        <v/>
      </c>
      <c r="AD203" s="10">
        <f>IF(AND(Q203&gt;0,Q203&lt;30,K203&lt;8),Markniveau!Z203*'Udvaskning nøgletal'!$I$12/100,IF(AND(Q203&gt;0,Q203&lt;30,K203=216),Markniveau!Z203*'Udvaskning nøgletal'!$I$34/100,Markniveau!Z203))</f>
        <v>10</v>
      </c>
      <c r="AE203" s="10">
        <f t="shared" si="33"/>
        <v>8.5</v>
      </c>
      <c r="AF203" s="10" t="str">
        <f t="shared" si="38"/>
        <v/>
      </c>
      <c r="AG203" s="10" t="str">
        <f t="shared" si="34"/>
        <v/>
      </c>
      <c r="AH203" s="10" t="str">
        <f>IF(AND(Q203&gt;0,Q203&lt;30,K203=216),'Udvaskning nøgletal'!$C$42,IF(AND(Q203&gt;0,Q203&lt;30,K203&gt;7,K203&lt;17),'Udvaskning nøgletal'!$C$61,IF(AND(Q203&gt;0,Q203&lt;30,K203&lt;7),'Udvaskning nøgletal'!$C$62,"")))</f>
        <v/>
      </c>
      <c r="AI203" s="10">
        <f t="shared" si="40"/>
        <v>318</v>
      </c>
      <c r="AJ203" s="10">
        <f>IF($X203=1,LOOKUP(AI203,'Udvaskning nøgletal'!$C$12:$C$62,'Udvaskning nøgletal'!$E$12:$E$62)+Markniveau!$Y203*Markniveau!$S203/100,IF($X203=2,LOOKUP(AI203,'Udvaskning nøgletal'!$C$12:$C$62,'Udvaskning nøgletal'!$F$12:$F$62)+Markniveau!$Y203*Markniveau!$S203/100,IF($X203=3,LOOKUP(AI203,'Udvaskning nøgletal'!$C$12:$C$62,'Udvaskning nøgletal'!Q213:Q263)+Markniveau!$Y203*Markniveau!$S203/100,"")))</f>
        <v>10</v>
      </c>
      <c r="AK203" s="10">
        <f t="shared" si="39"/>
        <v>8.5</v>
      </c>
      <c r="AL203" s="10" t="str">
        <f t="shared" ref="AL203:AL266" si="41">IF($Q203&gt;0,(100-$Q203)*AJ203/100,"")</f>
        <v/>
      </c>
      <c r="AM203" s="10" t="str">
        <f t="shared" ref="AM203:AM266" si="42">IF($Q203&gt;0,(100-$Q203)*AJ203/100*I203,"")</f>
        <v/>
      </c>
    </row>
    <row r="204" spans="1:39" x14ac:dyDescent="0.25">
      <c r="A204" s="15">
        <v>14265473</v>
      </c>
      <c r="B204" s="15">
        <v>11.69</v>
      </c>
      <c r="C204" s="15">
        <v>578835</v>
      </c>
      <c r="D204" s="15">
        <v>150693</v>
      </c>
      <c r="E204" s="15" t="s">
        <v>236</v>
      </c>
      <c r="F204" s="15">
        <v>2011</v>
      </c>
      <c r="G204" s="15">
        <v>20110324</v>
      </c>
      <c r="H204" s="15">
        <v>13171</v>
      </c>
      <c r="I204" s="15">
        <v>1.32</v>
      </c>
      <c r="J204" s="6" t="s">
        <v>1394</v>
      </c>
      <c r="K204" s="15">
        <v>318</v>
      </c>
      <c r="L204" s="15" t="s">
        <v>171</v>
      </c>
      <c r="M204" s="15" t="s">
        <v>13</v>
      </c>
      <c r="N204" s="11" t="s">
        <v>1390</v>
      </c>
      <c r="O204" s="11" t="s">
        <v>42</v>
      </c>
      <c r="P204" s="11" t="s">
        <v>33</v>
      </c>
      <c r="Q204" s="15">
        <v>0</v>
      </c>
      <c r="R204" s="11" t="s">
        <v>1386</v>
      </c>
      <c r="S204" s="10">
        <v>0</v>
      </c>
      <c r="T204" s="15">
        <v>80</v>
      </c>
      <c r="U204" s="15">
        <v>0</v>
      </c>
      <c r="V204" s="15">
        <v>0</v>
      </c>
      <c r="W204" s="15">
        <v>0</v>
      </c>
      <c r="X204" s="15">
        <f>IF(O204='Udvaskning nøgletal'!$D$65,1,IF(O204='Udvaskning nøgletal'!$D$66,2,IF(O204='Udvaskning nøgletal'!$D$67,3,IF(O204='Udvaskning nøgletal'!$D$68,2,""))))</f>
        <v>2</v>
      </c>
      <c r="Y204" s="15">
        <f>LOOKUP(K204,'Udvaskning nøgletal'!$C$12:$C$60,'Udvaskning nøgletal'!$H$12:$H$60)</f>
        <v>0</v>
      </c>
      <c r="Z204" s="10">
        <f>IF(X204=1,LOOKUP(K204,'Udvaskning nøgletal'!$C$12:$C$60,'Udvaskning nøgletal'!$E$12:$E$60)+Markniveau!Y204*Markniveau!S204/100,IF(X204=2,LOOKUP(K204,'Udvaskning nøgletal'!$C$12:$C$60,'Udvaskning nøgletal'!$F$12:$F$60)+Markniveau!Y204*Markniveau!S204/100,IF(X204=3,LOOKUP(K204,'Udvaskning nøgletal'!$C$12:$C$60,'Udvaskning nøgletal'!G214:G262)+Markniveau!Y204*Markniveau!S204/100,"")))</f>
        <v>10</v>
      </c>
      <c r="AA204" s="10">
        <f t="shared" si="36"/>
        <v>13.200000000000001</v>
      </c>
      <c r="AB204" s="10" t="str">
        <f t="shared" si="35"/>
        <v/>
      </c>
      <c r="AC204" s="10" t="str">
        <f t="shared" si="37"/>
        <v/>
      </c>
      <c r="AD204" s="10">
        <f>IF(AND(Q204&gt;0,Q204&lt;30,K204&lt;8),Markniveau!Z204*'Udvaskning nøgletal'!$I$12/100,IF(AND(Q204&gt;0,Q204&lt;30,K204=216),Markniveau!Z204*'Udvaskning nøgletal'!$I$34/100,Markniveau!Z204))</f>
        <v>10</v>
      </c>
      <c r="AE204" s="10">
        <f t="shared" si="33"/>
        <v>13.200000000000001</v>
      </c>
      <c r="AF204" s="10" t="str">
        <f t="shared" si="38"/>
        <v/>
      </c>
      <c r="AG204" s="10" t="str">
        <f t="shared" si="34"/>
        <v/>
      </c>
      <c r="AH204" s="10" t="str">
        <f>IF(AND(Q204&gt;0,Q204&lt;30,K204=216),'Udvaskning nøgletal'!$C$42,IF(AND(Q204&gt;0,Q204&lt;30,K204&gt;7,K204&lt;17),'Udvaskning nøgletal'!$C$61,IF(AND(Q204&gt;0,Q204&lt;30,K204&lt;7),'Udvaskning nøgletal'!$C$62,"")))</f>
        <v/>
      </c>
      <c r="AI204" s="10">
        <f t="shared" si="40"/>
        <v>318</v>
      </c>
      <c r="AJ204" s="10">
        <f>IF($X204=1,LOOKUP(AI204,'Udvaskning nøgletal'!$C$12:$C$62,'Udvaskning nøgletal'!$E$12:$E$62)+Markniveau!$Y204*Markniveau!$S204/100,IF($X204=2,LOOKUP(AI204,'Udvaskning nøgletal'!$C$12:$C$62,'Udvaskning nøgletal'!$F$12:$F$62)+Markniveau!$Y204*Markniveau!$S204/100,IF($X204=3,LOOKUP(AI204,'Udvaskning nøgletal'!$C$12:$C$62,'Udvaskning nøgletal'!Q214:Q264)+Markniveau!$Y204*Markniveau!$S204/100,"")))</f>
        <v>10</v>
      </c>
      <c r="AK204" s="10">
        <f t="shared" si="39"/>
        <v>13.200000000000001</v>
      </c>
      <c r="AL204" s="10" t="str">
        <f t="shared" si="41"/>
        <v/>
      </c>
      <c r="AM204" s="10" t="str">
        <f t="shared" si="42"/>
        <v/>
      </c>
    </row>
    <row r="205" spans="1:39" x14ac:dyDescent="0.25">
      <c r="A205" s="15">
        <v>14265473</v>
      </c>
      <c r="B205" s="15">
        <v>11.69</v>
      </c>
      <c r="C205" s="15">
        <v>578836</v>
      </c>
      <c r="D205" s="15">
        <v>150693</v>
      </c>
      <c r="E205" s="15" t="s">
        <v>237</v>
      </c>
      <c r="F205" s="15">
        <v>2011</v>
      </c>
      <c r="G205" s="15">
        <v>20110324</v>
      </c>
      <c r="H205" s="15">
        <v>11132</v>
      </c>
      <c r="I205" s="15">
        <v>1.1100000000000001</v>
      </c>
      <c r="J205" s="6" t="s">
        <v>1435</v>
      </c>
      <c r="K205" s="15">
        <v>252</v>
      </c>
      <c r="L205" s="15" t="s">
        <v>41</v>
      </c>
      <c r="M205" s="15" t="s">
        <v>4</v>
      </c>
      <c r="N205" s="11" t="s">
        <v>1384</v>
      </c>
      <c r="O205" s="11" t="s">
        <v>28</v>
      </c>
      <c r="P205" s="11" t="s">
        <v>33</v>
      </c>
      <c r="Q205" s="15">
        <v>0</v>
      </c>
      <c r="R205" s="11" t="s">
        <v>1386</v>
      </c>
      <c r="S205" s="10">
        <v>0</v>
      </c>
      <c r="T205" s="15">
        <v>80</v>
      </c>
      <c r="U205" s="15">
        <v>0</v>
      </c>
      <c r="V205" s="15">
        <v>0</v>
      </c>
      <c r="W205" s="15">
        <v>0</v>
      </c>
      <c r="X205" s="15">
        <f>IF(O205='Udvaskning nøgletal'!$D$65,1,IF(O205='Udvaskning nøgletal'!$D$66,2,IF(O205='Udvaskning nøgletal'!$D$67,3,IF(O205='Udvaskning nøgletal'!$D$68,2,""))))</f>
        <v>1</v>
      </c>
      <c r="Y205" s="15">
        <f>LOOKUP(K205,'Udvaskning nøgletal'!$C$12:$C$60,'Udvaskning nøgletal'!$H$12:$H$60)</f>
        <v>0</v>
      </c>
      <c r="Z205" s="10">
        <f>IF(X205=1,LOOKUP(K205,'Udvaskning nøgletal'!$C$12:$C$60,'Udvaskning nøgletal'!$E$12:$E$60)+Markniveau!Y205*Markniveau!S205/100,IF(X205=2,LOOKUP(K205,'Udvaskning nøgletal'!$C$12:$C$60,'Udvaskning nøgletal'!$F$12:$F$60)+Markniveau!Y205*Markniveau!S205/100,IF(X205=3,LOOKUP(K205,'Udvaskning nøgletal'!$C$12:$C$60,'Udvaskning nøgletal'!G215:G263)+Markniveau!Y205*Markniveau!S205/100,"")))</f>
        <v>21.2</v>
      </c>
      <c r="AA205" s="10">
        <f t="shared" si="36"/>
        <v>23.532</v>
      </c>
      <c r="AB205" s="10" t="str">
        <f t="shared" si="35"/>
        <v/>
      </c>
      <c r="AC205" s="10" t="str">
        <f t="shared" si="37"/>
        <v/>
      </c>
      <c r="AD205" s="10">
        <f>IF(AND(Q205&gt;0,Q205&lt;30,K205&lt;8),Markniveau!Z205*'Udvaskning nøgletal'!$I$12/100,IF(AND(Q205&gt;0,Q205&lt;30,K205=216),Markniveau!Z205*'Udvaskning nøgletal'!$I$34/100,Markniveau!Z205))</f>
        <v>21.2</v>
      </c>
      <c r="AE205" s="10">
        <f t="shared" si="33"/>
        <v>23.532</v>
      </c>
      <c r="AF205" s="10" t="str">
        <f t="shared" si="38"/>
        <v/>
      </c>
      <c r="AG205" s="10" t="str">
        <f t="shared" si="34"/>
        <v/>
      </c>
      <c r="AH205" s="10" t="str">
        <f>IF(AND(Q205&gt;0,Q205&lt;30,K205=216),'Udvaskning nøgletal'!$C$42,IF(AND(Q205&gt;0,Q205&lt;30,K205&gt;7,K205&lt;17),'Udvaskning nøgletal'!$C$61,IF(AND(Q205&gt;0,Q205&lt;30,K205&lt;7),'Udvaskning nøgletal'!$C$62,"")))</f>
        <v/>
      </c>
      <c r="AI205" s="10">
        <f t="shared" si="40"/>
        <v>252</v>
      </c>
      <c r="AJ205" s="10">
        <f>IF($X205=1,LOOKUP(AI205,'Udvaskning nøgletal'!$C$12:$C$62,'Udvaskning nøgletal'!$E$12:$E$62)+Markniveau!$Y205*Markniveau!$S205/100,IF($X205=2,LOOKUP(AI205,'Udvaskning nøgletal'!$C$12:$C$62,'Udvaskning nøgletal'!$F$12:$F$62)+Markniveau!$Y205*Markniveau!$S205/100,IF($X205=3,LOOKUP(AI205,'Udvaskning nøgletal'!$C$12:$C$62,'Udvaskning nøgletal'!Q215:Q265)+Markniveau!$Y205*Markniveau!$S205/100,"")))</f>
        <v>21.2</v>
      </c>
      <c r="AK205" s="10">
        <f t="shared" si="39"/>
        <v>23.532</v>
      </c>
      <c r="AL205" s="10" t="str">
        <f t="shared" si="41"/>
        <v/>
      </c>
      <c r="AM205" s="10" t="str">
        <f t="shared" si="42"/>
        <v/>
      </c>
    </row>
    <row r="206" spans="1:39" x14ac:dyDescent="0.25">
      <c r="A206" s="15">
        <v>14265473</v>
      </c>
      <c r="B206" s="15">
        <v>11.69</v>
      </c>
      <c r="C206" s="15">
        <v>579309</v>
      </c>
      <c r="D206" s="15">
        <v>150693</v>
      </c>
      <c r="E206" s="15" t="s">
        <v>238</v>
      </c>
      <c r="F206" s="15">
        <v>2011</v>
      </c>
      <c r="G206" s="15">
        <v>20110324</v>
      </c>
      <c r="H206" s="15">
        <v>22812</v>
      </c>
      <c r="I206" s="15">
        <v>2.2799999999999998</v>
      </c>
      <c r="J206" s="6" t="s">
        <v>87</v>
      </c>
      <c r="K206" s="15">
        <v>318</v>
      </c>
      <c r="L206" s="15" t="s">
        <v>171</v>
      </c>
      <c r="M206" s="15" t="s">
        <v>13</v>
      </c>
      <c r="N206" s="11" t="s">
        <v>1384</v>
      </c>
      <c r="O206" s="11" t="s">
        <v>28</v>
      </c>
      <c r="P206" s="11" t="s">
        <v>33</v>
      </c>
      <c r="Q206" s="15">
        <v>0</v>
      </c>
      <c r="R206" s="11" t="s">
        <v>1386</v>
      </c>
      <c r="S206" s="10">
        <v>0</v>
      </c>
      <c r="T206" s="15">
        <v>80</v>
      </c>
      <c r="U206" s="15">
        <v>0</v>
      </c>
      <c r="V206" s="15">
        <v>0</v>
      </c>
      <c r="W206" s="15">
        <v>0</v>
      </c>
      <c r="X206" s="15">
        <f>IF(O206='Udvaskning nøgletal'!$D$65,1,IF(O206='Udvaskning nøgletal'!$D$66,2,IF(O206='Udvaskning nøgletal'!$D$67,3,IF(O206='Udvaskning nøgletal'!$D$68,2,""))))</f>
        <v>1</v>
      </c>
      <c r="Y206" s="15">
        <f>LOOKUP(K206,'Udvaskning nøgletal'!$C$12:$C$60,'Udvaskning nøgletal'!$H$12:$H$60)</f>
        <v>0</v>
      </c>
      <c r="Z206" s="10">
        <f>IF(X206=1,LOOKUP(K206,'Udvaskning nøgletal'!$C$12:$C$60,'Udvaskning nøgletal'!$E$12:$E$60)+Markniveau!Y206*Markniveau!S206/100,IF(X206=2,LOOKUP(K206,'Udvaskning nøgletal'!$C$12:$C$60,'Udvaskning nøgletal'!$F$12:$F$60)+Markniveau!Y206*Markniveau!S206/100,IF(X206=3,LOOKUP(K206,'Udvaskning nøgletal'!$C$12:$C$60,'Udvaskning nøgletal'!G216:G264)+Markniveau!Y206*Markniveau!S206/100,"")))</f>
        <v>10</v>
      </c>
      <c r="AA206" s="10">
        <f t="shared" si="36"/>
        <v>22.799999999999997</v>
      </c>
      <c r="AB206" s="10" t="str">
        <f t="shared" si="35"/>
        <v/>
      </c>
      <c r="AC206" s="10" t="str">
        <f t="shared" si="37"/>
        <v/>
      </c>
      <c r="AD206" s="10">
        <f>IF(AND(Q206&gt;0,Q206&lt;30,K206&lt;8),Markniveau!Z206*'Udvaskning nøgletal'!$I$12/100,IF(AND(Q206&gt;0,Q206&lt;30,K206=216),Markniveau!Z206*'Udvaskning nøgletal'!$I$34/100,Markniveau!Z206))</f>
        <v>10</v>
      </c>
      <c r="AE206" s="10">
        <f t="shared" si="33"/>
        <v>22.799999999999997</v>
      </c>
      <c r="AF206" s="10" t="str">
        <f t="shared" si="38"/>
        <v/>
      </c>
      <c r="AG206" s="10" t="str">
        <f t="shared" si="34"/>
        <v/>
      </c>
      <c r="AH206" s="10" t="str">
        <f>IF(AND(Q206&gt;0,Q206&lt;30,K206=216),'Udvaskning nøgletal'!$C$42,IF(AND(Q206&gt;0,Q206&lt;30,K206&gt;7,K206&lt;17),'Udvaskning nøgletal'!$C$61,IF(AND(Q206&gt;0,Q206&lt;30,K206&lt;7),'Udvaskning nøgletal'!$C$62,"")))</f>
        <v/>
      </c>
      <c r="AI206" s="10">
        <f t="shared" si="40"/>
        <v>318</v>
      </c>
      <c r="AJ206" s="10">
        <f>IF($X206=1,LOOKUP(AI206,'Udvaskning nøgletal'!$C$12:$C$62,'Udvaskning nøgletal'!$E$12:$E$62)+Markniveau!$Y206*Markniveau!$S206/100,IF($X206=2,LOOKUP(AI206,'Udvaskning nøgletal'!$C$12:$C$62,'Udvaskning nøgletal'!$F$12:$F$62)+Markniveau!$Y206*Markniveau!$S206/100,IF($X206=3,LOOKUP(AI206,'Udvaskning nøgletal'!$C$12:$C$62,'Udvaskning nøgletal'!Q216:Q266)+Markniveau!$Y206*Markniveau!$S206/100,"")))</f>
        <v>10</v>
      </c>
      <c r="AK206" s="10">
        <f t="shared" si="39"/>
        <v>22.799999999999997</v>
      </c>
      <c r="AL206" s="10" t="str">
        <f t="shared" si="41"/>
        <v/>
      </c>
      <c r="AM206" s="10" t="str">
        <f t="shared" si="42"/>
        <v/>
      </c>
    </row>
    <row r="207" spans="1:39" x14ac:dyDescent="0.25">
      <c r="A207" s="15">
        <v>14265473</v>
      </c>
      <c r="B207" s="15">
        <v>11.69</v>
      </c>
      <c r="C207" s="15">
        <v>579310</v>
      </c>
      <c r="D207" s="15">
        <v>150693</v>
      </c>
      <c r="E207" s="15" t="s">
        <v>228</v>
      </c>
      <c r="F207" s="15">
        <v>2011</v>
      </c>
      <c r="G207" s="15">
        <v>20110324</v>
      </c>
      <c r="H207" s="15">
        <v>65955</v>
      </c>
      <c r="I207" s="15">
        <v>6.6</v>
      </c>
      <c r="J207" s="6" t="s">
        <v>34</v>
      </c>
      <c r="K207" s="15">
        <v>260</v>
      </c>
      <c r="L207" s="15" t="s">
        <v>45</v>
      </c>
      <c r="M207" s="15" t="s">
        <v>5</v>
      </c>
      <c r="N207" s="11" t="s">
        <v>1384</v>
      </c>
      <c r="O207" s="11" t="s">
        <v>28</v>
      </c>
      <c r="P207" s="11" t="s">
        <v>33</v>
      </c>
      <c r="Q207" s="15">
        <v>0</v>
      </c>
      <c r="R207" s="11" t="s">
        <v>1386</v>
      </c>
      <c r="S207" s="10">
        <v>0</v>
      </c>
      <c r="T207" s="15">
        <v>80</v>
      </c>
      <c r="U207" s="15">
        <v>0</v>
      </c>
      <c r="V207" s="15">
        <v>0</v>
      </c>
      <c r="W207" s="15">
        <v>0</v>
      </c>
      <c r="X207" s="15">
        <f>IF(O207='Udvaskning nøgletal'!$D$65,1,IF(O207='Udvaskning nøgletal'!$D$66,2,IF(O207='Udvaskning nøgletal'!$D$67,3,IF(O207='Udvaskning nøgletal'!$D$68,2,""))))</f>
        <v>1</v>
      </c>
      <c r="Y207" s="15">
        <f>LOOKUP(K207,'Udvaskning nøgletal'!$C$12:$C$60,'Udvaskning nøgletal'!$H$12:$H$60)</f>
        <v>0</v>
      </c>
      <c r="Z207" s="10">
        <f>IF(X207=1,LOOKUP(K207,'Udvaskning nøgletal'!$C$12:$C$60,'Udvaskning nøgletal'!$E$12:$E$60)+Markniveau!Y207*Markniveau!S207/100,IF(X207=2,LOOKUP(K207,'Udvaskning nøgletal'!$C$12:$C$60,'Udvaskning nøgletal'!$F$12:$F$60)+Markniveau!Y207*Markniveau!S207/100,IF(X207=3,LOOKUP(K207,'Udvaskning nøgletal'!$C$12:$C$60,'Udvaskning nøgletal'!G217:G265)+Markniveau!Y207*Markniveau!S207/100,"")))</f>
        <v>33.723295792149436</v>
      </c>
      <c r="AA207" s="10">
        <f t="shared" si="36"/>
        <v>222.57375222818627</v>
      </c>
      <c r="AB207" s="10" t="str">
        <f t="shared" si="35"/>
        <v/>
      </c>
      <c r="AC207" s="10" t="str">
        <f t="shared" si="37"/>
        <v/>
      </c>
      <c r="AD207" s="10">
        <f>IF(AND(Q207&gt;0,Q207&lt;30,K207&lt;8),Markniveau!Z207*'Udvaskning nøgletal'!$I$12/100,IF(AND(Q207&gt;0,Q207&lt;30,K207=216),Markniveau!Z207*'Udvaskning nøgletal'!$I$34/100,Markniveau!Z207))</f>
        <v>33.723295792149436</v>
      </c>
      <c r="AE207" s="10">
        <f t="shared" si="33"/>
        <v>222.57375222818627</v>
      </c>
      <c r="AF207" s="10" t="str">
        <f t="shared" si="38"/>
        <v/>
      </c>
      <c r="AG207" s="10" t="str">
        <f t="shared" si="34"/>
        <v/>
      </c>
      <c r="AH207" s="10" t="str">
        <f>IF(AND(Q207&gt;0,Q207&lt;30,K207=216),'Udvaskning nøgletal'!$C$42,IF(AND(Q207&gt;0,Q207&lt;30,K207&gt;7,K207&lt;17),'Udvaskning nøgletal'!$C$61,IF(AND(Q207&gt;0,Q207&lt;30,K207&lt;7),'Udvaskning nøgletal'!$C$62,"")))</f>
        <v/>
      </c>
      <c r="AI207" s="10">
        <f t="shared" si="40"/>
        <v>260</v>
      </c>
      <c r="AJ207" s="10">
        <f>IF($X207=1,LOOKUP(AI207,'Udvaskning nøgletal'!$C$12:$C$62,'Udvaskning nøgletal'!$E$12:$E$62)+Markniveau!$Y207*Markniveau!$S207/100,IF($X207=2,LOOKUP(AI207,'Udvaskning nøgletal'!$C$12:$C$62,'Udvaskning nøgletal'!$F$12:$F$62)+Markniveau!$Y207*Markniveau!$S207/100,IF($X207=3,LOOKUP(AI207,'Udvaskning nøgletal'!$C$12:$C$62,'Udvaskning nøgletal'!Q217:Q267)+Markniveau!$Y207*Markniveau!$S207/100,"")))</f>
        <v>33.723295792149436</v>
      </c>
      <c r="AK207" s="10">
        <f t="shared" si="39"/>
        <v>222.57375222818627</v>
      </c>
      <c r="AL207" s="10" t="str">
        <f t="shared" si="41"/>
        <v/>
      </c>
      <c r="AM207" s="10" t="str">
        <f t="shared" si="42"/>
        <v/>
      </c>
    </row>
    <row r="208" spans="1:39" x14ac:dyDescent="0.25">
      <c r="A208" s="15">
        <v>14265473</v>
      </c>
      <c r="B208" s="15">
        <v>11.69</v>
      </c>
      <c r="C208" s="15">
        <v>579311</v>
      </c>
      <c r="D208" s="15">
        <v>150693</v>
      </c>
      <c r="E208" s="15" t="s">
        <v>228</v>
      </c>
      <c r="F208" s="15">
        <v>2011</v>
      </c>
      <c r="G208" s="15">
        <v>20110324</v>
      </c>
      <c r="H208" s="15">
        <v>56989</v>
      </c>
      <c r="I208" s="15">
        <v>5.7</v>
      </c>
      <c r="J208" s="6" t="s">
        <v>1436</v>
      </c>
      <c r="K208" s="15">
        <v>254</v>
      </c>
      <c r="L208" s="15" t="s">
        <v>27</v>
      </c>
      <c r="M208" s="15" t="s">
        <v>4</v>
      </c>
      <c r="N208" s="11" t="s">
        <v>1384</v>
      </c>
      <c r="O208" s="11" t="s">
        <v>28</v>
      </c>
      <c r="P208" s="11" t="s">
        <v>33</v>
      </c>
      <c r="Q208" s="15">
        <v>0</v>
      </c>
      <c r="R208" s="11" t="s">
        <v>1386</v>
      </c>
      <c r="S208" s="10">
        <v>0</v>
      </c>
      <c r="T208" s="15">
        <v>80</v>
      </c>
      <c r="U208" s="15">
        <v>0</v>
      </c>
      <c r="V208" s="15">
        <v>0</v>
      </c>
      <c r="W208" s="15">
        <v>0</v>
      </c>
      <c r="X208" s="15">
        <f>IF(O208='Udvaskning nøgletal'!$D$65,1,IF(O208='Udvaskning nøgletal'!$D$66,2,IF(O208='Udvaskning nøgletal'!$D$67,3,IF(O208='Udvaskning nøgletal'!$D$68,2,""))))</f>
        <v>1</v>
      </c>
      <c r="Y208" s="15">
        <f>LOOKUP(K208,'Udvaskning nøgletal'!$C$12:$C$60,'Udvaskning nøgletal'!$H$12:$H$60)</f>
        <v>0</v>
      </c>
      <c r="Z208" s="10">
        <f>IF(X208=1,LOOKUP(K208,'Udvaskning nøgletal'!$C$12:$C$60,'Udvaskning nøgletal'!$E$12:$E$60)+Markniveau!Y208*Markniveau!S208/100,IF(X208=2,LOOKUP(K208,'Udvaskning nøgletal'!$C$12:$C$60,'Udvaskning nøgletal'!$F$12:$F$60)+Markniveau!Y208*Markniveau!S208/100,IF(X208=3,LOOKUP(K208,'Udvaskning nøgletal'!$C$12:$C$60,'Udvaskning nøgletal'!G218:G266)+Markniveau!Y208*Markniveau!S208/100,"")))</f>
        <v>21.2</v>
      </c>
      <c r="AA208" s="10">
        <f t="shared" si="36"/>
        <v>120.84</v>
      </c>
      <c r="AB208" s="10" t="str">
        <f t="shared" si="35"/>
        <v/>
      </c>
      <c r="AC208" s="10" t="str">
        <f t="shared" si="37"/>
        <v/>
      </c>
      <c r="AD208" s="10">
        <f>IF(AND(Q208&gt;0,Q208&lt;30,K208&lt;8),Markniveau!Z208*'Udvaskning nøgletal'!$I$12/100,IF(AND(Q208&gt;0,Q208&lt;30,K208=216),Markniveau!Z208*'Udvaskning nøgletal'!$I$34/100,Markniveau!Z208))</f>
        <v>21.2</v>
      </c>
      <c r="AE208" s="10">
        <f t="shared" si="33"/>
        <v>120.84</v>
      </c>
      <c r="AF208" s="10" t="str">
        <f t="shared" si="38"/>
        <v/>
      </c>
      <c r="AG208" s="10" t="str">
        <f t="shared" si="34"/>
        <v/>
      </c>
      <c r="AH208" s="10" t="str">
        <f>IF(AND(Q208&gt;0,Q208&lt;30,K208=216),'Udvaskning nøgletal'!$C$42,IF(AND(Q208&gt;0,Q208&lt;30,K208&gt;7,K208&lt;17),'Udvaskning nøgletal'!$C$61,IF(AND(Q208&gt;0,Q208&lt;30,K208&lt;7),'Udvaskning nøgletal'!$C$62,"")))</f>
        <v/>
      </c>
      <c r="AI208" s="10">
        <f t="shared" si="40"/>
        <v>254</v>
      </c>
      <c r="AJ208" s="10">
        <f>IF($X208=1,LOOKUP(AI208,'Udvaskning nøgletal'!$C$12:$C$62,'Udvaskning nøgletal'!$E$12:$E$62)+Markniveau!$Y208*Markniveau!$S208/100,IF($X208=2,LOOKUP(AI208,'Udvaskning nøgletal'!$C$12:$C$62,'Udvaskning nøgletal'!$F$12:$F$62)+Markniveau!$Y208*Markniveau!$S208/100,IF($X208=3,LOOKUP(AI208,'Udvaskning nøgletal'!$C$12:$C$62,'Udvaskning nøgletal'!Q218:Q268)+Markniveau!$Y208*Markniveau!$S208/100,"")))</f>
        <v>21.2</v>
      </c>
      <c r="AK208" s="10">
        <f t="shared" si="39"/>
        <v>120.84</v>
      </c>
      <c r="AL208" s="10" t="str">
        <f t="shared" si="41"/>
        <v/>
      </c>
      <c r="AM208" s="10" t="str">
        <f t="shared" si="42"/>
        <v/>
      </c>
    </row>
    <row r="209" spans="1:39" x14ac:dyDescent="0.25">
      <c r="A209" s="15">
        <v>14265473</v>
      </c>
      <c r="B209" s="15">
        <v>11.69</v>
      </c>
      <c r="C209" s="15">
        <v>579312</v>
      </c>
      <c r="D209" s="15">
        <v>150693</v>
      </c>
      <c r="E209" s="15" t="s">
        <v>239</v>
      </c>
      <c r="F209" s="15">
        <v>2011</v>
      </c>
      <c r="G209" s="15">
        <v>20110324</v>
      </c>
      <c r="H209" s="15">
        <v>19385</v>
      </c>
      <c r="I209" s="15">
        <v>1.94</v>
      </c>
      <c r="J209" s="6" t="s">
        <v>86</v>
      </c>
      <c r="K209" s="15">
        <v>318</v>
      </c>
      <c r="L209" s="15" t="s">
        <v>171</v>
      </c>
      <c r="M209" s="15" t="s">
        <v>13</v>
      </c>
      <c r="N209" s="11" t="s">
        <v>1390</v>
      </c>
      <c r="O209" s="11" t="s">
        <v>42</v>
      </c>
      <c r="P209" s="11" t="s">
        <v>33</v>
      </c>
      <c r="Q209" s="15">
        <v>0</v>
      </c>
      <c r="R209" s="11" t="s">
        <v>1386</v>
      </c>
      <c r="S209" s="10">
        <v>0</v>
      </c>
      <c r="T209" s="15">
        <v>80</v>
      </c>
      <c r="U209" s="15">
        <v>0</v>
      </c>
      <c r="V209" s="15">
        <v>0</v>
      </c>
      <c r="W209" s="15">
        <v>0</v>
      </c>
      <c r="X209" s="15">
        <f>IF(O209='Udvaskning nøgletal'!$D$65,1,IF(O209='Udvaskning nøgletal'!$D$66,2,IF(O209='Udvaskning nøgletal'!$D$67,3,IF(O209='Udvaskning nøgletal'!$D$68,2,""))))</f>
        <v>2</v>
      </c>
      <c r="Y209" s="15">
        <f>LOOKUP(K209,'Udvaskning nøgletal'!$C$12:$C$60,'Udvaskning nøgletal'!$H$12:$H$60)</f>
        <v>0</v>
      </c>
      <c r="Z209" s="10">
        <f>IF(X209=1,LOOKUP(K209,'Udvaskning nøgletal'!$C$12:$C$60,'Udvaskning nøgletal'!$E$12:$E$60)+Markniveau!Y209*Markniveau!S209/100,IF(X209=2,LOOKUP(K209,'Udvaskning nøgletal'!$C$12:$C$60,'Udvaskning nøgletal'!$F$12:$F$60)+Markniveau!Y209*Markniveau!S209/100,IF(X209=3,LOOKUP(K209,'Udvaskning nøgletal'!$C$12:$C$60,'Udvaskning nøgletal'!G219:G267)+Markniveau!Y209*Markniveau!S209/100,"")))</f>
        <v>10</v>
      </c>
      <c r="AA209" s="10">
        <f t="shared" si="36"/>
        <v>19.399999999999999</v>
      </c>
      <c r="AB209" s="10" t="str">
        <f t="shared" si="35"/>
        <v/>
      </c>
      <c r="AC209" s="10" t="str">
        <f t="shared" si="37"/>
        <v/>
      </c>
      <c r="AD209" s="10">
        <f>IF(AND(Q209&gt;0,Q209&lt;30,K209&lt;8),Markniveau!Z209*'Udvaskning nøgletal'!$I$12/100,IF(AND(Q209&gt;0,Q209&lt;30,K209=216),Markniveau!Z209*'Udvaskning nøgletal'!$I$34/100,Markniveau!Z209))</f>
        <v>10</v>
      </c>
      <c r="AE209" s="10">
        <f t="shared" ref="AE209:AE272" si="43">AD209*I209</f>
        <v>19.399999999999999</v>
      </c>
      <c r="AF209" s="10" t="str">
        <f t="shared" si="38"/>
        <v/>
      </c>
      <c r="AG209" s="10" t="str">
        <f t="shared" ref="AG209:AG272" si="44">IF($Q209&gt;0,(100-$Q209)*$AD209/100*I209,"")</f>
        <v/>
      </c>
      <c r="AH209" s="10" t="str">
        <f>IF(AND(Q209&gt;0,Q209&lt;30,K209=216),'Udvaskning nøgletal'!$C$42,IF(AND(Q209&gt;0,Q209&lt;30,K209&gt;7,K209&lt;17),'Udvaskning nøgletal'!$C$61,IF(AND(Q209&gt;0,Q209&lt;30,K209&lt;7),'Udvaskning nøgletal'!$C$62,"")))</f>
        <v/>
      </c>
      <c r="AI209" s="10">
        <f t="shared" si="40"/>
        <v>318</v>
      </c>
      <c r="AJ209" s="10">
        <f>IF($X209=1,LOOKUP(AI209,'Udvaskning nøgletal'!$C$12:$C$62,'Udvaskning nøgletal'!$E$12:$E$62)+Markniveau!$Y209*Markniveau!$S209/100,IF($X209=2,LOOKUP(AI209,'Udvaskning nøgletal'!$C$12:$C$62,'Udvaskning nøgletal'!$F$12:$F$62)+Markniveau!$Y209*Markniveau!$S209/100,IF($X209=3,LOOKUP(AI209,'Udvaskning nøgletal'!$C$12:$C$62,'Udvaskning nøgletal'!Q219:Q269)+Markniveau!$Y209*Markniveau!$S209/100,"")))</f>
        <v>10</v>
      </c>
      <c r="AK209" s="10">
        <f t="shared" si="39"/>
        <v>19.399999999999999</v>
      </c>
      <c r="AL209" s="10" t="str">
        <f t="shared" si="41"/>
        <v/>
      </c>
      <c r="AM209" s="10" t="str">
        <f t="shared" si="42"/>
        <v/>
      </c>
    </row>
    <row r="210" spans="1:39" x14ac:dyDescent="0.25">
      <c r="A210" s="15">
        <v>14265473</v>
      </c>
      <c r="B210" s="15">
        <v>11.69</v>
      </c>
      <c r="C210" s="15">
        <v>579313</v>
      </c>
      <c r="D210" s="15">
        <v>150693</v>
      </c>
      <c r="E210" s="15" t="s">
        <v>185</v>
      </c>
      <c r="F210" s="15">
        <v>2011</v>
      </c>
      <c r="G210" s="15">
        <v>20110324</v>
      </c>
      <c r="H210" s="15">
        <v>2003</v>
      </c>
      <c r="I210" s="15">
        <v>0.2</v>
      </c>
      <c r="J210" s="6" t="s">
        <v>1437</v>
      </c>
      <c r="K210" s="15">
        <v>902</v>
      </c>
      <c r="L210" s="15" t="s">
        <v>160</v>
      </c>
      <c r="M210" s="15" t="s">
        <v>81</v>
      </c>
      <c r="N210" s="11" t="s">
        <v>1390</v>
      </c>
      <c r="O210" s="11" t="s">
        <v>42</v>
      </c>
      <c r="P210" s="11" t="s">
        <v>33</v>
      </c>
      <c r="Q210" s="15">
        <v>0</v>
      </c>
      <c r="R210" s="11" t="s">
        <v>1386</v>
      </c>
      <c r="S210" s="10">
        <v>0</v>
      </c>
      <c r="T210" s="15">
        <v>80</v>
      </c>
      <c r="U210" s="15">
        <v>0</v>
      </c>
      <c r="V210" s="15">
        <v>0</v>
      </c>
      <c r="W210" s="15">
        <v>0</v>
      </c>
      <c r="X210" s="15">
        <f>IF(O210='Udvaskning nøgletal'!$D$65,1,IF(O210='Udvaskning nøgletal'!$D$66,2,IF(O210='Udvaskning nøgletal'!$D$67,3,IF(O210='Udvaskning nøgletal'!$D$68,2,""))))</f>
        <v>2</v>
      </c>
      <c r="Y210" s="15">
        <f>LOOKUP(K210,'Udvaskning nøgletal'!$C$12:$C$60,'Udvaskning nøgletal'!$H$12:$H$60)</f>
        <v>0</v>
      </c>
      <c r="Z210" s="10">
        <f>IF(X210=1,LOOKUP(K210,'Udvaskning nøgletal'!$C$12:$C$60,'Udvaskning nøgletal'!$E$12:$E$60)+Markniveau!Y210*Markniveau!S210/100,IF(X210=2,LOOKUP(K210,'Udvaskning nøgletal'!$C$12:$C$60,'Udvaskning nøgletal'!$F$12:$F$60)+Markniveau!Y210*Markniveau!S210/100,IF(X210=3,LOOKUP(K210,'Udvaskning nøgletal'!$C$12:$C$60,'Udvaskning nøgletal'!G220:G268)+Markniveau!Y210*Markniveau!S210/100,"")))</f>
        <v>10</v>
      </c>
      <c r="AA210" s="10">
        <f t="shared" si="36"/>
        <v>2</v>
      </c>
      <c r="AB210" s="10" t="str">
        <f t="shared" si="35"/>
        <v/>
      </c>
      <c r="AC210" s="10" t="str">
        <f t="shared" si="37"/>
        <v/>
      </c>
      <c r="AD210" s="10">
        <f>IF(AND(Q210&gt;0,Q210&lt;30,K210&lt;8),Markniveau!Z210*'Udvaskning nøgletal'!$I$12/100,IF(AND(Q210&gt;0,Q210&lt;30,K210=216),Markniveau!Z210*'Udvaskning nøgletal'!$I$34/100,Markniveau!Z210))</f>
        <v>10</v>
      </c>
      <c r="AE210" s="10">
        <f t="shared" si="43"/>
        <v>2</v>
      </c>
      <c r="AF210" s="10" t="str">
        <f t="shared" si="38"/>
        <v/>
      </c>
      <c r="AG210" s="10" t="str">
        <f t="shared" si="44"/>
        <v/>
      </c>
      <c r="AH210" s="10" t="str">
        <f>IF(AND(Q210&gt;0,Q210&lt;30,K210=216),'Udvaskning nøgletal'!$C$42,IF(AND(Q210&gt;0,Q210&lt;30,K210&gt;7,K210&lt;17),'Udvaskning nøgletal'!$C$61,IF(AND(Q210&gt;0,Q210&lt;30,K210&lt;7),'Udvaskning nøgletal'!$C$62,"")))</f>
        <v/>
      </c>
      <c r="AI210" s="10">
        <f t="shared" si="40"/>
        <v>902</v>
      </c>
      <c r="AJ210" s="10">
        <f>IF($X210=1,LOOKUP(AI210,'Udvaskning nøgletal'!$C$12:$C$62,'Udvaskning nøgletal'!$E$12:$E$62)+Markniveau!$Y210*Markniveau!$S210/100,IF($X210=2,LOOKUP(AI210,'Udvaskning nøgletal'!$C$12:$C$62,'Udvaskning nøgletal'!$F$12:$F$62)+Markniveau!$Y210*Markniveau!$S210/100,IF($X210=3,LOOKUP(AI210,'Udvaskning nøgletal'!$C$12:$C$62,'Udvaskning nøgletal'!Q220:Q270)+Markniveau!$Y210*Markniveau!$S210/100,"")))</f>
        <v>10</v>
      </c>
      <c r="AK210" s="10">
        <f t="shared" si="39"/>
        <v>2</v>
      </c>
      <c r="AL210" s="10" t="str">
        <f t="shared" si="41"/>
        <v/>
      </c>
      <c r="AM210" s="10" t="str">
        <f t="shared" si="42"/>
        <v/>
      </c>
    </row>
    <row r="211" spans="1:39" x14ac:dyDescent="0.25">
      <c r="A211" s="15">
        <v>14265473</v>
      </c>
      <c r="B211" s="15">
        <v>11.69</v>
      </c>
      <c r="C211" s="15">
        <v>579838</v>
      </c>
      <c r="D211" s="15">
        <v>150693</v>
      </c>
      <c r="E211" s="15" t="s">
        <v>240</v>
      </c>
      <c r="F211" s="15">
        <v>2011</v>
      </c>
      <c r="G211" s="15">
        <v>20110324</v>
      </c>
      <c r="H211" s="15">
        <v>19842</v>
      </c>
      <c r="I211" s="15">
        <v>1.98</v>
      </c>
      <c r="J211" s="6" t="s">
        <v>1438</v>
      </c>
      <c r="K211" s="15">
        <v>902</v>
      </c>
      <c r="L211" s="15" t="s">
        <v>160</v>
      </c>
      <c r="M211" s="15" t="s">
        <v>81</v>
      </c>
      <c r="N211" s="11" t="s">
        <v>1384</v>
      </c>
      <c r="O211" s="11" t="s">
        <v>28</v>
      </c>
      <c r="P211" s="11" t="s">
        <v>33</v>
      </c>
      <c r="Q211" s="15">
        <v>0</v>
      </c>
      <c r="R211" s="11" t="s">
        <v>1386</v>
      </c>
      <c r="S211" s="10">
        <v>0</v>
      </c>
      <c r="T211" s="15">
        <v>80</v>
      </c>
      <c r="U211" s="15">
        <v>0</v>
      </c>
      <c r="V211" s="15">
        <v>0</v>
      </c>
      <c r="W211" s="15">
        <v>0</v>
      </c>
      <c r="X211" s="15">
        <f>IF(O211='Udvaskning nøgletal'!$D$65,1,IF(O211='Udvaskning nøgletal'!$D$66,2,IF(O211='Udvaskning nøgletal'!$D$67,3,IF(O211='Udvaskning nøgletal'!$D$68,2,""))))</f>
        <v>1</v>
      </c>
      <c r="Y211" s="15">
        <f>LOOKUP(K211,'Udvaskning nøgletal'!$C$12:$C$60,'Udvaskning nøgletal'!$H$12:$H$60)</f>
        <v>0</v>
      </c>
      <c r="Z211" s="10">
        <f>IF(X211=1,LOOKUP(K211,'Udvaskning nøgletal'!$C$12:$C$60,'Udvaskning nøgletal'!$E$12:$E$60)+Markniveau!Y211*Markniveau!S211/100,IF(X211=2,LOOKUP(K211,'Udvaskning nøgletal'!$C$12:$C$60,'Udvaskning nøgletal'!$F$12:$F$60)+Markniveau!Y211*Markniveau!S211/100,IF(X211=3,LOOKUP(K211,'Udvaskning nøgletal'!$C$12:$C$60,'Udvaskning nøgletal'!G221:G269)+Markniveau!Y211*Markniveau!S211/100,"")))</f>
        <v>10</v>
      </c>
      <c r="AA211" s="10">
        <f t="shared" si="36"/>
        <v>19.8</v>
      </c>
      <c r="AB211" s="10" t="str">
        <f t="shared" si="35"/>
        <v/>
      </c>
      <c r="AC211" s="10" t="str">
        <f t="shared" si="37"/>
        <v/>
      </c>
      <c r="AD211" s="10">
        <f>IF(AND(Q211&gt;0,Q211&lt;30,K211&lt;8),Markniveau!Z211*'Udvaskning nøgletal'!$I$12/100,IF(AND(Q211&gt;0,Q211&lt;30,K211=216),Markniveau!Z211*'Udvaskning nøgletal'!$I$34/100,Markniveau!Z211))</f>
        <v>10</v>
      </c>
      <c r="AE211" s="10">
        <f t="shared" si="43"/>
        <v>19.8</v>
      </c>
      <c r="AF211" s="10" t="str">
        <f t="shared" si="38"/>
        <v/>
      </c>
      <c r="AG211" s="10" t="str">
        <f t="shared" si="44"/>
        <v/>
      </c>
      <c r="AH211" s="10" t="str">
        <f>IF(AND(Q211&gt;0,Q211&lt;30,K211=216),'Udvaskning nøgletal'!$C$42,IF(AND(Q211&gt;0,Q211&lt;30,K211&gt;7,K211&lt;17),'Udvaskning nøgletal'!$C$61,IF(AND(Q211&gt;0,Q211&lt;30,K211&lt;7),'Udvaskning nøgletal'!$C$62,"")))</f>
        <v/>
      </c>
      <c r="AI211" s="10">
        <f t="shared" si="40"/>
        <v>902</v>
      </c>
      <c r="AJ211" s="10">
        <f>IF($X211=1,LOOKUP(AI211,'Udvaskning nøgletal'!$C$12:$C$62,'Udvaskning nøgletal'!$E$12:$E$62)+Markniveau!$Y211*Markniveau!$S211/100,IF($X211=2,LOOKUP(AI211,'Udvaskning nøgletal'!$C$12:$C$62,'Udvaskning nøgletal'!$F$12:$F$62)+Markniveau!$Y211*Markniveau!$S211/100,IF($X211=3,LOOKUP(AI211,'Udvaskning nøgletal'!$C$12:$C$62,'Udvaskning nøgletal'!Q221:Q271)+Markniveau!$Y211*Markniveau!$S211/100,"")))</f>
        <v>10</v>
      </c>
      <c r="AK211" s="10">
        <f t="shared" si="39"/>
        <v>19.8</v>
      </c>
      <c r="AL211" s="10" t="str">
        <f t="shared" si="41"/>
        <v/>
      </c>
      <c r="AM211" s="10" t="str">
        <f t="shared" si="42"/>
        <v/>
      </c>
    </row>
    <row r="212" spans="1:39" x14ac:dyDescent="0.25">
      <c r="A212" s="15">
        <v>14265473</v>
      </c>
      <c r="B212" s="15">
        <v>11.69</v>
      </c>
      <c r="C212" s="15">
        <v>579839</v>
      </c>
      <c r="D212" s="15">
        <v>150693</v>
      </c>
      <c r="E212" s="15" t="s">
        <v>185</v>
      </c>
      <c r="F212" s="15">
        <v>2011</v>
      </c>
      <c r="G212" s="15">
        <v>20110324</v>
      </c>
      <c r="H212" s="15">
        <v>6207</v>
      </c>
      <c r="I212" s="15">
        <v>0.62</v>
      </c>
      <c r="J212" s="6" t="s">
        <v>1439</v>
      </c>
      <c r="K212" s="15">
        <v>902</v>
      </c>
      <c r="L212" s="15" t="s">
        <v>160</v>
      </c>
      <c r="M212" s="15" t="s">
        <v>81</v>
      </c>
      <c r="N212" s="11" t="s">
        <v>1384</v>
      </c>
      <c r="O212" s="11" t="s">
        <v>28</v>
      </c>
      <c r="P212" s="11" t="s">
        <v>33</v>
      </c>
      <c r="Q212" s="15">
        <v>0</v>
      </c>
      <c r="R212" s="11" t="s">
        <v>1386</v>
      </c>
      <c r="S212" s="10">
        <v>0</v>
      </c>
      <c r="T212" s="15">
        <v>80</v>
      </c>
      <c r="U212" s="15">
        <v>0</v>
      </c>
      <c r="V212" s="15">
        <v>0</v>
      </c>
      <c r="W212" s="15">
        <v>0</v>
      </c>
      <c r="X212" s="15">
        <f>IF(O212='Udvaskning nøgletal'!$D$65,1,IF(O212='Udvaskning nøgletal'!$D$66,2,IF(O212='Udvaskning nøgletal'!$D$67,3,IF(O212='Udvaskning nøgletal'!$D$68,2,""))))</f>
        <v>1</v>
      </c>
      <c r="Y212" s="15">
        <f>LOOKUP(K212,'Udvaskning nøgletal'!$C$12:$C$60,'Udvaskning nøgletal'!$H$12:$H$60)</f>
        <v>0</v>
      </c>
      <c r="Z212" s="10">
        <f>IF(X212=1,LOOKUP(K212,'Udvaskning nøgletal'!$C$12:$C$60,'Udvaskning nøgletal'!$E$12:$E$60)+Markniveau!Y212*Markniveau!S212/100,IF(X212=2,LOOKUP(K212,'Udvaskning nøgletal'!$C$12:$C$60,'Udvaskning nøgletal'!$F$12:$F$60)+Markniveau!Y212*Markniveau!S212/100,IF(X212=3,LOOKUP(K212,'Udvaskning nøgletal'!$C$12:$C$60,'Udvaskning nøgletal'!G222:G270)+Markniveau!Y212*Markniveau!S212/100,"")))</f>
        <v>10</v>
      </c>
      <c r="AA212" s="10">
        <f t="shared" si="36"/>
        <v>6.2</v>
      </c>
      <c r="AB212" s="10" t="str">
        <f t="shared" si="35"/>
        <v/>
      </c>
      <c r="AC212" s="10" t="str">
        <f t="shared" si="37"/>
        <v/>
      </c>
      <c r="AD212" s="10">
        <f>IF(AND(Q212&gt;0,Q212&lt;30,K212&lt;8),Markniveau!Z212*'Udvaskning nøgletal'!$I$12/100,IF(AND(Q212&gt;0,Q212&lt;30,K212=216),Markniveau!Z212*'Udvaskning nøgletal'!$I$34/100,Markniveau!Z212))</f>
        <v>10</v>
      </c>
      <c r="AE212" s="10">
        <f t="shared" si="43"/>
        <v>6.2</v>
      </c>
      <c r="AF212" s="10" t="str">
        <f t="shared" si="38"/>
        <v/>
      </c>
      <c r="AG212" s="10" t="str">
        <f t="shared" si="44"/>
        <v/>
      </c>
      <c r="AH212" s="10" t="str">
        <f>IF(AND(Q212&gt;0,Q212&lt;30,K212=216),'Udvaskning nøgletal'!$C$42,IF(AND(Q212&gt;0,Q212&lt;30,K212&gt;7,K212&lt;17),'Udvaskning nøgletal'!$C$61,IF(AND(Q212&gt;0,Q212&lt;30,K212&lt;7),'Udvaskning nøgletal'!$C$62,"")))</f>
        <v/>
      </c>
      <c r="AI212" s="10">
        <f t="shared" si="40"/>
        <v>902</v>
      </c>
      <c r="AJ212" s="10">
        <f>IF($X212=1,LOOKUP(AI212,'Udvaskning nøgletal'!$C$12:$C$62,'Udvaskning nøgletal'!$E$12:$E$62)+Markniveau!$Y212*Markniveau!$S212/100,IF($X212=2,LOOKUP(AI212,'Udvaskning nøgletal'!$C$12:$C$62,'Udvaskning nøgletal'!$F$12:$F$62)+Markniveau!$Y212*Markniveau!$S212/100,IF($X212=3,LOOKUP(AI212,'Udvaskning nøgletal'!$C$12:$C$62,'Udvaskning nøgletal'!Q222:Q272)+Markniveau!$Y212*Markniveau!$S212/100,"")))</f>
        <v>10</v>
      </c>
      <c r="AK212" s="10">
        <f t="shared" si="39"/>
        <v>6.2</v>
      </c>
      <c r="AL212" s="10" t="str">
        <f t="shared" si="41"/>
        <v/>
      </c>
      <c r="AM212" s="10" t="str">
        <f t="shared" si="42"/>
        <v/>
      </c>
    </row>
    <row r="213" spans="1:39" x14ac:dyDescent="0.25">
      <c r="A213" s="15">
        <v>14265473</v>
      </c>
      <c r="B213" s="15">
        <v>11.69</v>
      </c>
      <c r="C213" s="15">
        <v>579840</v>
      </c>
      <c r="D213" s="15">
        <v>150693</v>
      </c>
      <c r="E213" s="15" t="s">
        <v>241</v>
      </c>
      <c r="F213" s="15">
        <v>2011</v>
      </c>
      <c r="G213" s="15">
        <v>20110324</v>
      </c>
      <c r="H213" s="15">
        <v>68943</v>
      </c>
      <c r="I213" s="15">
        <v>6.89</v>
      </c>
      <c r="J213" s="6" t="s">
        <v>1440</v>
      </c>
      <c r="K213" s="15">
        <v>254</v>
      </c>
      <c r="L213" s="15" t="s">
        <v>27</v>
      </c>
      <c r="M213" s="15" t="s">
        <v>4</v>
      </c>
      <c r="N213" s="11" t="s">
        <v>1406</v>
      </c>
      <c r="O213" s="11" t="s">
        <v>46</v>
      </c>
      <c r="P213" s="11" t="s">
        <v>33</v>
      </c>
      <c r="Q213" s="15">
        <v>0</v>
      </c>
      <c r="R213" s="11" t="s">
        <v>1386</v>
      </c>
      <c r="S213" s="10">
        <v>0</v>
      </c>
      <c r="T213" s="15">
        <v>80</v>
      </c>
      <c r="U213" s="15">
        <v>0</v>
      </c>
      <c r="V213" s="15">
        <v>0</v>
      </c>
      <c r="W213" s="15">
        <v>0</v>
      </c>
      <c r="X213" s="15">
        <f>IF(O213='Udvaskning nøgletal'!$D$65,1,IF(O213='Udvaskning nøgletal'!$D$66,2,IF(O213='Udvaskning nøgletal'!$D$67,3,IF(O213='Udvaskning nøgletal'!$D$68,2,""))))</f>
        <v>2</v>
      </c>
      <c r="Y213" s="15">
        <f>LOOKUP(K213,'Udvaskning nøgletal'!$C$12:$C$60,'Udvaskning nøgletal'!$H$12:$H$60)</f>
        <v>0</v>
      </c>
      <c r="Z213" s="10">
        <f>IF(X213=1,LOOKUP(K213,'Udvaskning nøgletal'!$C$12:$C$60,'Udvaskning nøgletal'!$E$12:$E$60)+Markniveau!Y213*Markniveau!S213/100,IF(X213=2,LOOKUP(K213,'Udvaskning nøgletal'!$C$12:$C$60,'Udvaskning nøgletal'!$F$12:$F$60)+Markniveau!Y213*Markniveau!S213/100,IF(X213=3,LOOKUP(K213,'Udvaskning nøgletal'!$C$12:$C$60,'Udvaskning nøgletal'!G223:G271)+Markniveau!Y213*Markniveau!S213/100,"")))</f>
        <v>21.2</v>
      </c>
      <c r="AA213" s="10">
        <f t="shared" si="36"/>
        <v>146.06799999999998</v>
      </c>
      <c r="AB213" s="10" t="str">
        <f t="shared" si="35"/>
        <v/>
      </c>
      <c r="AC213" s="10" t="str">
        <f t="shared" si="37"/>
        <v/>
      </c>
      <c r="AD213" s="10">
        <f>IF(AND(Q213&gt;0,Q213&lt;30,K213&lt;8),Markniveau!Z213*'Udvaskning nøgletal'!$I$12/100,IF(AND(Q213&gt;0,Q213&lt;30,K213=216),Markniveau!Z213*'Udvaskning nøgletal'!$I$34/100,Markniveau!Z213))</f>
        <v>21.2</v>
      </c>
      <c r="AE213" s="10">
        <f t="shared" si="43"/>
        <v>146.06799999999998</v>
      </c>
      <c r="AF213" s="10" t="str">
        <f t="shared" si="38"/>
        <v/>
      </c>
      <c r="AG213" s="10" t="str">
        <f t="shared" si="44"/>
        <v/>
      </c>
      <c r="AH213" s="10" t="str">
        <f>IF(AND(Q213&gt;0,Q213&lt;30,K213=216),'Udvaskning nøgletal'!$C$42,IF(AND(Q213&gt;0,Q213&lt;30,K213&gt;7,K213&lt;17),'Udvaskning nøgletal'!$C$61,IF(AND(Q213&gt;0,Q213&lt;30,K213&lt;7),'Udvaskning nøgletal'!$C$62,"")))</f>
        <v/>
      </c>
      <c r="AI213" s="10">
        <f t="shared" si="40"/>
        <v>254</v>
      </c>
      <c r="AJ213" s="10">
        <f>IF($X213=1,LOOKUP(AI213,'Udvaskning nøgletal'!$C$12:$C$62,'Udvaskning nøgletal'!$E$12:$E$62)+Markniveau!$Y213*Markniveau!$S213/100,IF($X213=2,LOOKUP(AI213,'Udvaskning nøgletal'!$C$12:$C$62,'Udvaskning nøgletal'!$F$12:$F$62)+Markniveau!$Y213*Markniveau!$S213/100,IF($X213=3,LOOKUP(AI213,'Udvaskning nøgletal'!$C$12:$C$62,'Udvaskning nøgletal'!Q223:Q273)+Markniveau!$Y213*Markniveau!$S213/100,"")))</f>
        <v>21.2</v>
      </c>
      <c r="AK213" s="10">
        <f t="shared" si="39"/>
        <v>146.06799999999998</v>
      </c>
      <c r="AL213" s="10" t="str">
        <f t="shared" si="41"/>
        <v/>
      </c>
      <c r="AM213" s="10" t="str">
        <f t="shared" si="42"/>
        <v/>
      </c>
    </row>
    <row r="214" spans="1:39" x14ac:dyDescent="0.25">
      <c r="A214" s="15">
        <v>14265473</v>
      </c>
      <c r="B214" s="15">
        <v>11.69</v>
      </c>
      <c r="C214" s="15">
        <v>579841</v>
      </c>
      <c r="D214" s="15">
        <v>150693</v>
      </c>
      <c r="E214" s="15" t="s">
        <v>241</v>
      </c>
      <c r="F214" s="15">
        <v>2011</v>
      </c>
      <c r="G214" s="15">
        <v>20110324</v>
      </c>
      <c r="H214" s="15">
        <v>22566</v>
      </c>
      <c r="I214" s="15">
        <v>2.2599999999999998</v>
      </c>
      <c r="J214" s="6" t="s">
        <v>1441</v>
      </c>
      <c r="K214" s="15">
        <v>252</v>
      </c>
      <c r="L214" s="15" t="s">
        <v>41</v>
      </c>
      <c r="M214" s="15" t="s">
        <v>4</v>
      </c>
      <c r="N214" s="11" t="s">
        <v>1390</v>
      </c>
      <c r="O214" s="11" t="s">
        <v>42</v>
      </c>
      <c r="P214" s="11" t="s">
        <v>33</v>
      </c>
      <c r="Q214" s="15">
        <v>0</v>
      </c>
      <c r="R214" s="11" t="s">
        <v>1386</v>
      </c>
      <c r="S214" s="10">
        <v>0</v>
      </c>
      <c r="T214" s="15">
        <v>80</v>
      </c>
      <c r="U214" s="15">
        <v>0</v>
      </c>
      <c r="V214" s="15">
        <v>0</v>
      </c>
      <c r="W214" s="15">
        <v>0</v>
      </c>
      <c r="X214" s="15">
        <f>IF(O214='Udvaskning nøgletal'!$D$65,1,IF(O214='Udvaskning nøgletal'!$D$66,2,IF(O214='Udvaskning nøgletal'!$D$67,3,IF(O214='Udvaskning nøgletal'!$D$68,2,""))))</f>
        <v>2</v>
      </c>
      <c r="Y214" s="15">
        <f>LOOKUP(K214,'Udvaskning nøgletal'!$C$12:$C$60,'Udvaskning nøgletal'!$H$12:$H$60)</f>
        <v>0</v>
      </c>
      <c r="Z214" s="10">
        <f>IF(X214=1,LOOKUP(K214,'Udvaskning nøgletal'!$C$12:$C$60,'Udvaskning nøgletal'!$E$12:$E$60)+Markniveau!Y214*Markniveau!S214/100,IF(X214=2,LOOKUP(K214,'Udvaskning nøgletal'!$C$12:$C$60,'Udvaskning nøgletal'!$F$12:$F$60)+Markniveau!Y214*Markniveau!S214/100,IF(X214=3,LOOKUP(K214,'Udvaskning nøgletal'!$C$12:$C$60,'Udvaskning nøgletal'!G224:G272)+Markniveau!Y214*Markniveau!S214/100,"")))</f>
        <v>21.2</v>
      </c>
      <c r="AA214" s="10">
        <f t="shared" si="36"/>
        <v>47.911999999999992</v>
      </c>
      <c r="AB214" s="10" t="str">
        <f t="shared" si="35"/>
        <v/>
      </c>
      <c r="AC214" s="10" t="str">
        <f t="shared" si="37"/>
        <v/>
      </c>
      <c r="AD214" s="10">
        <f>IF(AND(Q214&gt;0,Q214&lt;30,K214&lt;8),Markniveau!Z214*'Udvaskning nøgletal'!$I$12/100,IF(AND(Q214&gt;0,Q214&lt;30,K214=216),Markniveau!Z214*'Udvaskning nøgletal'!$I$34/100,Markniveau!Z214))</f>
        <v>21.2</v>
      </c>
      <c r="AE214" s="10">
        <f t="shared" si="43"/>
        <v>47.911999999999992</v>
      </c>
      <c r="AF214" s="10" t="str">
        <f t="shared" si="38"/>
        <v/>
      </c>
      <c r="AG214" s="10" t="str">
        <f t="shared" si="44"/>
        <v/>
      </c>
      <c r="AH214" s="10" t="str">
        <f>IF(AND(Q214&gt;0,Q214&lt;30,K214=216),'Udvaskning nøgletal'!$C$42,IF(AND(Q214&gt;0,Q214&lt;30,K214&gt;7,K214&lt;17),'Udvaskning nøgletal'!$C$61,IF(AND(Q214&gt;0,Q214&lt;30,K214&lt;7),'Udvaskning nøgletal'!$C$62,"")))</f>
        <v/>
      </c>
      <c r="AI214" s="10">
        <f t="shared" si="40"/>
        <v>252</v>
      </c>
      <c r="AJ214" s="10">
        <f>IF($X214=1,LOOKUP(AI214,'Udvaskning nøgletal'!$C$12:$C$62,'Udvaskning nøgletal'!$E$12:$E$62)+Markniveau!$Y214*Markniveau!$S214/100,IF($X214=2,LOOKUP(AI214,'Udvaskning nøgletal'!$C$12:$C$62,'Udvaskning nøgletal'!$F$12:$F$62)+Markniveau!$Y214*Markniveau!$S214/100,IF($X214=3,LOOKUP(AI214,'Udvaskning nøgletal'!$C$12:$C$62,'Udvaskning nøgletal'!Q224:Q274)+Markniveau!$Y214*Markniveau!$S214/100,"")))</f>
        <v>21.2</v>
      </c>
      <c r="AK214" s="10">
        <f t="shared" si="39"/>
        <v>47.911999999999992</v>
      </c>
      <c r="AL214" s="10" t="str">
        <f t="shared" si="41"/>
        <v/>
      </c>
      <c r="AM214" s="10" t="str">
        <f t="shared" si="42"/>
        <v/>
      </c>
    </row>
    <row r="215" spans="1:39" x14ac:dyDescent="0.25">
      <c r="A215" s="15">
        <v>14265473</v>
      </c>
      <c r="B215" s="15">
        <v>11.69</v>
      </c>
      <c r="C215" s="15">
        <v>579842</v>
      </c>
      <c r="D215" s="15">
        <v>150693</v>
      </c>
      <c r="E215" s="15" t="s">
        <v>241</v>
      </c>
      <c r="F215" s="15">
        <v>2011</v>
      </c>
      <c r="G215" s="15">
        <v>20110324</v>
      </c>
      <c r="H215" s="15">
        <v>39825</v>
      </c>
      <c r="I215" s="15">
        <v>3.98</v>
      </c>
      <c r="J215" s="6" t="s">
        <v>1442</v>
      </c>
      <c r="K215" s="15">
        <v>254</v>
      </c>
      <c r="L215" s="15" t="s">
        <v>27</v>
      </c>
      <c r="M215" s="15" t="s">
        <v>4</v>
      </c>
      <c r="N215" s="11" t="s">
        <v>1406</v>
      </c>
      <c r="O215" s="11" t="s">
        <v>46</v>
      </c>
      <c r="P215" s="11" t="s">
        <v>33</v>
      </c>
      <c r="Q215" s="15">
        <v>0</v>
      </c>
      <c r="R215" s="11" t="s">
        <v>1386</v>
      </c>
      <c r="S215" s="10">
        <v>0</v>
      </c>
      <c r="T215" s="15">
        <v>80</v>
      </c>
      <c r="U215" s="15">
        <v>0</v>
      </c>
      <c r="V215" s="15">
        <v>0</v>
      </c>
      <c r="W215" s="15">
        <v>0</v>
      </c>
      <c r="X215" s="15">
        <f>IF(O215='Udvaskning nøgletal'!$D$65,1,IF(O215='Udvaskning nøgletal'!$D$66,2,IF(O215='Udvaskning nøgletal'!$D$67,3,IF(O215='Udvaskning nøgletal'!$D$68,2,""))))</f>
        <v>2</v>
      </c>
      <c r="Y215" s="15">
        <f>LOOKUP(K215,'Udvaskning nøgletal'!$C$12:$C$60,'Udvaskning nøgletal'!$H$12:$H$60)</f>
        <v>0</v>
      </c>
      <c r="Z215" s="10">
        <f>IF(X215=1,LOOKUP(K215,'Udvaskning nøgletal'!$C$12:$C$60,'Udvaskning nøgletal'!$E$12:$E$60)+Markniveau!Y215*Markniveau!S215/100,IF(X215=2,LOOKUP(K215,'Udvaskning nøgletal'!$C$12:$C$60,'Udvaskning nøgletal'!$F$12:$F$60)+Markniveau!Y215*Markniveau!S215/100,IF(X215=3,LOOKUP(K215,'Udvaskning nøgletal'!$C$12:$C$60,'Udvaskning nøgletal'!G225:G273)+Markniveau!Y215*Markniveau!S215/100,"")))</f>
        <v>21.2</v>
      </c>
      <c r="AA215" s="10">
        <f t="shared" si="36"/>
        <v>84.375999999999991</v>
      </c>
      <c r="AB215" s="10" t="str">
        <f t="shared" si="35"/>
        <v/>
      </c>
      <c r="AC215" s="10" t="str">
        <f t="shared" si="37"/>
        <v/>
      </c>
      <c r="AD215" s="10">
        <f>IF(AND(Q215&gt;0,Q215&lt;30,K215&lt;8),Markniveau!Z215*'Udvaskning nøgletal'!$I$12/100,IF(AND(Q215&gt;0,Q215&lt;30,K215=216),Markniveau!Z215*'Udvaskning nøgletal'!$I$34/100,Markniveau!Z215))</f>
        <v>21.2</v>
      </c>
      <c r="AE215" s="10">
        <f t="shared" si="43"/>
        <v>84.375999999999991</v>
      </c>
      <c r="AF215" s="10" t="str">
        <f t="shared" si="38"/>
        <v/>
      </c>
      <c r="AG215" s="10" t="str">
        <f t="shared" si="44"/>
        <v/>
      </c>
      <c r="AH215" s="10" t="str">
        <f>IF(AND(Q215&gt;0,Q215&lt;30,K215=216),'Udvaskning nøgletal'!$C$42,IF(AND(Q215&gt;0,Q215&lt;30,K215&gt;7,K215&lt;17),'Udvaskning nøgletal'!$C$61,IF(AND(Q215&gt;0,Q215&lt;30,K215&lt;7),'Udvaskning nøgletal'!$C$62,"")))</f>
        <v/>
      </c>
      <c r="AI215" s="10">
        <f t="shared" si="40"/>
        <v>254</v>
      </c>
      <c r="AJ215" s="10">
        <f>IF($X215=1,LOOKUP(AI215,'Udvaskning nøgletal'!$C$12:$C$62,'Udvaskning nøgletal'!$E$12:$E$62)+Markniveau!$Y215*Markniveau!$S215/100,IF($X215=2,LOOKUP(AI215,'Udvaskning nøgletal'!$C$12:$C$62,'Udvaskning nøgletal'!$F$12:$F$62)+Markniveau!$Y215*Markniveau!$S215/100,IF($X215=3,LOOKUP(AI215,'Udvaskning nøgletal'!$C$12:$C$62,'Udvaskning nøgletal'!Q225:Q275)+Markniveau!$Y215*Markniveau!$S215/100,"")))</f>
        <v>21.2</v>
      </c>
      <c r="AK215" s="10">
        <f t="shared" si="39"/>
        <v>84.375999999999991</v>
      </c>
      <c r="AL215" s="10" t="str">
        <f t="shared" si="41"/>
        <v/>
      </c>
      <c r="AM215" s="10" t="str">
        <f t="shared" si="42"/>
        <v/>
      </c>
    </row>
    <row r="216" spans="1:39" x14ac:dyDescent="0.25">
      <c r="A216" s="15">
        <v>14265473</v>
      </c>
      <c r="B216" s="15">
        <v>11.69</v>
      </c>
      <c r="C216" s="15">
        <v>579843</v>
      </c>
      <c r="D216" s="15">
        <v>150693</v>
      </c>
      <c r="E216" s="15" t="s">
        <v>242</v>
      </c>
      <c r="F216" s="15">
        <v>2011</v>
      </c>
      <c r="G216" s="15">
        <v>20110324</v>
      </c>
      <c r="H216" s="15">
        <v>6049</v>
      </c>
      <c r="I216" s="15">
        <v>0.6</v>
      </c>
      <c r="J216" s="6" t="s">
        <v>35</v>
      </c>
      <c r="K216" s="15">
        <v>254</v>
      </c>
      <c r="L216" s="15" t="s">
        <v>27</v>
      </c>
      <c r="M216" s="15" t="s">
        <v>4</v>
      </c>
      <c r="N216" s="11" t="s">
        <v>1406</v>
      </c>
      <c r="O216" s="11" t="s">
        <v>46</v>
      </c>
      <c r="P216" s="11" t="s">
        <v>33</v>
      </c>
      <c r="Q216" s="15">
        <v>0</v>
      </c>
      <c r="R216" s="11" t="s">
        <v>1386</v>
      </c>
      <c r="S216" s="10">
        <v>0</v>
      </c>
      <c r="T216" s="15">
        <v>80</v>
      </c>
      <c r="U216" s="15">
        <v>0</v>
      </c>
      <c r="V216" s="15">
        <v>0</v>
      </c>
      <c r="W216" s="15">
        <v>0</v>
      </c>
      <c r="X216" s="15">
        <f>IF(O216='Udvaskning nøgletal'!$D$65,1,IF(O216='Udvaskning nøgletal'!$D$66,2,IF(O216='Udvaskning nøgletal'!$D$67,3,IF(O216='Udvaskning nøgletal'!$D$68,2,""))))</f>
        <v>2</v>
      </c>
      <c r="Y216" s="15">
        <f>LOOKUP(K216,'Udvaskning nøgletal'!$C$12:$C$60,'Udvaskning nøgletal'!$H$12:$H$60)</f>
        <v>0</v>
      </c>
      <c r="Z216" s="10">
        <f>IF(X216=1,LOOKUP(K216,'Udvaskning nøgletal'!$C$12:$C$60,'Udvaskning nøgletal'!$E$12:$E$60)+Markniveau!Y216*Markniveau!S216/100,IF(X216=2,LOOKUP(K216,'Udvaskning nøgletal'!$C$12:$C$60,'Udvaskning nøgletal'!$F$12:$F$60)+Markniveau!Y216*Markniveau!S216/100,IF(X216=3,LOOKUP(K216,'Udvaskning nøgletal'!$C$12:$C$60,'Udvaskning nøgletal'!G226:G274)+Markniveau!Y216*Markniveau!S216/100,"")))</f>
        <v>21.2</v>
      </c>
      <c r="AA216" s="10">
        <f t="shared" si="36"/>
        <v>12.719999999999999</v>
      </c>
      <c r="AB216" s="10" t="str">
        <f t="shared" si="35"/>
        <v/>
      </c>
      <c r="AC216" s="10" t="str">
        <f t="shared" si="37"/>
        <v/>
      </c>
      <c r="AD216" s="10">
        <f>IF(AND(Q216&gt;0,Q216&lt;30,K216&lt;8),Markniveau!Z216*'Udvaskning nøgletal'!$I$12/100,IF(AND(Q216&gt;0,Q216&lt;30,K216=216),Markniveau!Z216*'Udvaskning nøgletal'!$I$34/100,Markniveau!Z216))</f>
        <v>21.2</v>
      </c>
      <c r="AE216" s="10">
        <f t="shared" si="43"/>
        <v>12.719999999999999</v>
      </c>
      <c r="AF216" s="10" t="str">
        <f t="shared" si="38"/>
        <v/>
      </c>
      <c r="AG216" s="10" t="str">
        <f t="shared" si="44"/>
        <v/>
      </c>
      <c r="AH216" s="10" t="str">
        <f>IF(AND(Q216&gt;0,Q216&lt;30,K216=216),'Udvaskning nøgletal'!$C$42,IF(AND(Q216&gt;0,Q216&lt;30,K216&gt;7,K216&lt;17),'Udvaskning nøgletal'!$C$61,IF(AND(Q216&gt;0,Q216&lt;30,K216&lt;7),'Udvaskning nøgletal'!$C$62,"")))</f>
        <v/>
      </c>
      <c r="AI216" s="10">
        <f t="shared" si="40"/>
        <v>254</v>
      </c>
      <c r="AJ216" s="10">
        <f>IF($X216=1,LOOKUP(AI216,'Udvaskning nøgletal'!$C$12:$C$62,'Udvaskning nøgletal'!$E$12:$E$62)+Markniveau!$Y216*Markniveau!$S216/100,IF($X216=2,LOOKUP(AI216,'Udvaskning nøgletal'!$C$12:$C$62,'Udvaskning nøgletal'!$F$12:$F$62)+Markniveau!$Y216*Markniveau!$S216/100,IF($X216=3,LOOKUP(AI216,'Udvaskning nøgletal'!$C$12:$C$62,'Udvaskning nøgletal'!Q226:Q276)+Markniveau!$Y216*Markniveau!$S216/100,"")))</f>
        <v>21.2</v>
      </c>
      <c r="AK216" s="10">
        <f t="shared" si="39"/>
        <v>12.719999999999999</v>
      </c>
      <c r="AL216" s="10" t="str">
        <f t="shared" si="41"/>
        <v/>
      </c>
      <c r="AM216" s="10" t="str">
        <f t="shared" si="42"/>
        <v/>
      </c>
    </row>
    <row r="217" spans="1:39" x14ac:dyDescent="0.25">
      <c r="A217" s="15">
        <v>14265473</v>
      </c>
      <c r="B217" s="15">
        <v>11.69</v>
      </c>
      <c r="C217" s="15">
        <v>579844</v>
      </c>
      <c r="D217" s="15">
        <v>150693</v>
      </c>
      <c r="E217" s="15" t="s">
        <v>243</v>
      </c>
      <c r="F217" s="15">
        <v>2011</v>
      </c>
      <c r="G217" s="15">
        <v>20110324</v>
      </c>
      <c r="H217" s="15">
        <v>23012</v>
      </c>
      <c r="I217" s="15">
        <v>2.2999999999999998</v>
      </c>
      <c r="J217" s="6" t="s">
        <v>1443</v>
      </c>
      <c r="K217" s="15">
        <v>254</v>
      </c>
      <c r="L217" s="15" t="s">
        <v>27</v>
      </c>
      <c r="M217" s="15" t="s">
        <v>4</v>
      </c>
      <c r="N217" s="11" t="s">
        <v>1384</v>
      </c>
      <c r="O217" s="11" t="s">
        <v>28</v>
      </c>
      <c r="P217" s="11" t="s">
        <v>33</v>
      </c>
      <c r="Q217" s="15">
        <v>0</v>
      </c>
      <c r="R217" s="11" t="s">
        <v>1386</v>
      </c>
      <c r="S217" s="10">
        <v>0</v>
      </c>
      <c r="T217" s="15">
        <v>80</v>
      </c>
      <c r="U217" s="15">
        <v>0</v>
      </c>
      <c r="V217" s="15">
        <v>0</v>
      </c>
      <c r="W217" s="15">
        <v>0</v>
      </c>
      <c r="X217" s="15">
        <f>IF(O217='Udvaskning nøgletal'!$D$65,1,IF(O217='Udvaskning nøgletal'!$D$66,2,IF(O217='Udvaskning nøgletal'!$D$67,3,IF(O217='Udvaskning nøgletal'!$D$68,2,""))))</f>
        <v>1</v>
      </c>
      <c r="Y217" s="15">
        <f>LOOKUP(K217,'Udvaskning nøgletal'!$C$12:$C$60,'Udvaskning nøgletal'!$H$12:$H$60)</f>
        <v>0</v>
      </c>
      <c r="Z217" s="10">
        <f>IF(X217=1,LOOKUP(K217,'Udvaskning nøgletal'!$C$12:$C$60,'Udvaskning nøgletal'!$E$12:$E$60)+Markniveau!Y217*Markniveau!S217/100,IF(X217=2,LOOKUP(K217,'Udvaskning nøgletal'!$C$12:$C$60,'Udvaskning nøgletal'!$F$12:$F$60)+Markniveau!Y217*Markniveau!S217/100,IF(X217=3,LOOKUP(K217,'Udvaskning nøgletal'!$C$12:$C$60,'Udvaskning nøgletal'!G227:G275)+Markniveau!Y217*Markniveau!S217/100,"")))</f>
        <v>21.2</v>
      </c>
      <c r="AA217" s="10">
        <f t="shared" si="36"/>
        <v>48.76</v>
      </c>
      <c r="AB217" s="10" t="str">
        <f t="shared" si="35"/>
        <v/>
      </c>
      <c r="AC217" s="10" t="str">
        <f t="shared" si="37"/>
        <v/>
      </c>
      <c r="AD217" s="10">
        <f>IF(AND(Q217&gt;0,Q217&lt;30,K217&lt;8),Markniveau!Z217*'Udvaskning nøgletal'!$I$12/100,IF(AND(Q217&gt;0,Q217&lt;30,K217=216),Markniveau!Z217*'Udvaskning nøgletal'!$I$34/100,Markniveau!Z217))</f>
        <v>21.2</v>
      </c>
      <c r="AE217" s="10">
        <f t="shared" si="43"/>
        <v>48.76</v>
      </c>
      <c r="AF217" s="10" t="str">
        <f t="shared" si="38"/>
        <v/>
      </c>
      <c r="AG217" s="10" t="str">
        <f t="shared" si="44"/>
        <v/>
      </c>
      <c r="AH217" s="10" t="str">
        <f>IF(AND(Q217&gt;0,Q217&lt;30,K217=216),'Udvaskning nøgletal'!$C$42,IF(AND(Q217&gt;0,Q217&lt;30,K217&gt;7,K217&lt;17),'Udvaskning nøgletal'!$C$61,IF(AND(Q217&gt;0,Q217&lt;30,K217&lt;7),'Udvaskning nøgletal'!$C$62,"")))</f>
        <v/>
      </c>
      <c r="AI217" s="10">
        <f t="shared" si="40"/>
        <v>254</v>
      </c>
      <c r="AJ217" s="10">
        <f>IF($X217=1,LOOKUP(AI217,'Udvaskning nøgletal'!$C$12:$C$62,'Udvaskning nøgletal'!$E$12:$E$62)+Markniveau!$Y217*Markniveau!$S217/100,IF($X217=2,LOOKUP(AI217,'Udvaskning nøgletal'!$C$12:$C$62,'Udvaskning nøgletal'!$F$12:$F$62)+Markniveau!$Y217*Markniveau!$S217/100,IF($X217=3,LOOKUP(AI217,'Udvaskning nøgletal'!$C$12:$C$62,'Udvaskning nøgletal'!Q227:Q277)+Markniveau!$Y217*Markniveau!$S217/100,"")))</f>
        <v>21.2</v>
      </c>
      <c r="AK217" s="10">
        <f t="shared" si="39"/>
        <v>48.76</v>
      </c>
      <c r="AL217" s="10" t="str">
        <f t="shared" si="41"/>
        <v/>
      </c>
      <c r="AM217" s="10" t="str">
        <f t="shared" si="42"/>
        <v/>
      </c>
    </row>
    <row r="218" spans="1:39" x14ac:dyDescent="0.25">
      <c r="A218" s="15">
        <v>14265473</v>
      </c>
      <c r="B218" s="15">
        <v>11.69</v>
      </c>
      <c r="C218" s="15">
        <v>580355</v>
      </c>
      <c r="D218" s="15">
        <v>150693</v>
      </c>
      <c r="E218" s="15" t="s">
        <v>185</v>
      </c>
      <c r="F218" s="15">
        <v>2011</v>
      </c>
      <c r="G218" s="15">
        <v>20110324</v>
      </c>
      <c r="H218" s="15">
        <v>26888</v>
      </c>
      <c r="I218" s="15">
        <v>2.69</v>
      </c>
      <c r="J218" s="6" t="s">
        <v>1444</v>
      </c>
      <c r="K218" s="15">
        <v>902</v>
      </c>
      <c r="L218" s="15" t="s">
        <v>160</v>
      </c>
      <c r="M218" s="15" t="s">
        <v>81</v>
      </c>
      <c r="N218" s="11" t="s">
        <v>1406</v>
      </c>
      <c r="O218" s="11" t="s">
        <v>46</v>
      </c>
      <c r="P218" s="11" t="s">
        <v>33</v>
      </c>
      <c r="Q218" s="15">
        <v>0</v>
      </c>
      <c r="R218" s="11" t="s">
        <v>1386</v>
      </c>
      <c r="S218" s="10">
        <v>0</v>
      </c>
      <c r="T218" s="15">
        <v>80</v>
      </c>
      <c r="U218" s="15">
        <v>0</v>
      </c>
      <c r="V218" s="15">
        <v>0</v>
      </c>
      <c r="W218" s="15">
        <v>0</v>
      </c>
      <c r="X218" s="15">
        <f>IF(O218='Udvaskning nøgletal'!$D$65,1,IF(O218='Udvaskning nøgletal'!$D$66,2,IF(O218='Udvaskning nøgletal'!$D$67,3,IF(O218='Udvaskning nøgletal'!$D$68,2,""))))</f>
        <v>2</v>
      </c>
      <c r="Y218" s="15">
        <f>LOOKUP(K218,'Udvaskning nøgletal'!$C$12:$C$60,'Udvaskning nøgletal'!$H$12:$H$60)</f>
        <v>0</v>
      </c>
      <c r="Z218" s="10">
        <f>IF(X218=1,LOOKUP(K218,'Udvaskning nøgletal'!$C$12:$C$60,'Udvaskning nøgletal'!$E$12:$E$60)+Markniveau!Y218*Markniveau!S218/100,IF(X218=2,LOOKUP(K218,'Udvaskning nøgletal'!$C$12:$C$60,'Udvaskning nøgletal'!$F$12:$F$60)+Markniveau!Y218*Markniveau!S218/100,IF(X218=3,LOOKUP(K218,'Udvaskning nøgletal'!$C$12:$C$60,'Udvaskning nøgletal'!G228:G276)+Markniveau!Y218*Markniveau!S218/100,"")))</f>
        <v>10</v>
      </c>
      <c r="AA218" s="10">
        <f t="shared" si="36"/>
        <v>26.9</v>
      </c>
      <c r="AB218" s="10" t="str">
        <f t="shared" si="35"/>
        <v/>
      </c>
      <c r="AC218" s="10" t="str">
        <f t="shared" si="37"/>
        <v/>
      </c>
      <c r="AD218" s="10">
        <f>IF(AND(Q218&gt;0,Q218&lt;30,K218&lt;8),Markniveau!Z218*'Udvaskning nøgletal'!$I$12/100,IF(AND(Q218&gt;0,Q218&lt;30,K218=216),Markniveau!Z218*'Udvaskning nøgletal'!$I$34/100,Markniveau!Z218))</f>
        <v>10</v>
      </c>
      <c r="AE218" s="10">
        <f t="shared" si="43"/>
        <v>26.9</v>
      </c>
      <c r="AF218" s="10" t="str">
        <f t="shared" si="38"/>
        <v/>
      </c>
      <c r="AG218" s="10" t="str">
        <f t="shared" si="44"/>
        <v/>
      </c>
      <c r="AH218" s="10" t="str">
        <f>IF(AND(Q218&gt;0,Q218&lt;30,K218=216),'Udvaskning nøgletal'!$C$42,IF(AND(Q218&gt;0,Q218&lt;30,K218&gt;7,K218&lt;17),'Udvaskning nøgletal'!$C$61,IF(AND(Q218&gt;0,Q218&lt;30,K218&lt;7),'Udvaskning nøgletal'!$C$62,"")))</f>
        <v/>
      </c>
      <c r="AI218" s="10">
        <f t="shared" si="40"/>
        <v>902</v>
      </c>
      <c r="AJ218" s="10">
        <f>IF($X218=1,LOOKUP(AI218,'Udvaskning nøgletal'!$C$12:$C$62,'Udvaskning nøgletal'!$E$12:$E$62)+Markniveau!$Y218*Markniveau!$S218/100,IF($X218=2,LOOKUP(AI218,'Udvaskning nøgletal'!$C$12:$C$62,'Udvaskning nøgletal'!$F$12:$F$62)+Markniveau!$Y218*Markniveau!$S218/100,IF($X218=3,LOOKUP(AI218,'Udvaskning nøgletal'!$C$12:$C$62,'Udvaskning nøgletal'!Q228:Q278)+Markniveau!$Y218*Markniveau!$S218/100,"")))</f>
        <v>10</v>
      </c>
      <c r="AK218" s="10">
        <f t="shared" si="39"/>
        <v>26.9</v>
      </c>
      <c r="AL218" s="10" t="str">
        <f t="shared" si="41"/>
        <v/>
      </c>
      <c r="AM218" s="10" t="str">
        <f t="shared" si="42"/>
        <v/>
      </c>
    </row>
    <row r="219" spans="1:39" x14ac:dyDescent="0.25">
      <c r="A219" s="15">
        <v>14265473</v>
      </c>
      <c r="B219" s="15">
        <v>11.69</v>
      </c>
      <c r="C219" s="15">
        <v>580356</v>
      </c>
      <c r="D219" s="15">
        <v>150693</v>
      </c>
      <c r="E219" s="15" t="s">
        <v>185</v>
      </c>
      <c r="F219" s="15">
        <v>2011</v>
      </c>
      <c r="G219" s="15">
        <v>20110324</v>
      </c>
      <c r="H219" s="15">
        <v>115318</v>
      </c>
      <c r="I219" s="15">
        <v>11.53</v>
      </c>
      <c r="J219" s="6" t="s">
        <v>1445</v>
      </c>
      <c r="K219" s="15">
        <v>902</v>
      </c>
      <c r="L219" s="15" t="s">
        <v>160</v>
      </c>
      <c r="M219" s="15" t="s">
        <v>81</v>
      </c>
      <c r="N219" s="11" t="s">
        <v>1406</v>
      </c>
      <c r="O219" s="11" t="s">
        <v>46</v>
      </c>
      <c r="P219" s="11" t="s">
        <v>33</v>
      </c>
      <c r="Q219" s="15">
        <v>0</v>
      </c>
      <c r="R219" s="11" t="s">
        <v>1386</v>
      </c>
      <c r="S219" s="10">
        <v>0</v>
      </c>
      <c r="T219" s="15">
        <v>80</v>
      </c>
      <c r="U219" s="15">
        <v>0</v>
      </c>
      <c r="V219" s="15">
        <v>0</v>
      </c>
      <c r="W219" s="15">
        <v>0</v>
      </c>
      <c r="X219" s="15">
        <f>IF(O219='Udvaskning nøgletal'!$D$65,1,IF(O219='Udvaskning nøgletal'!$D$66,2,IF(O219='Udvaskning nøgletal'!$D$67,3,IF(O219='Udvaskning nøgletal'!$D$68,2,""))))</f>
        <v>2</v>
      </c>
      <c r="Y219" s="15">
        <f>LOOKUP(K219,'Udvaskning nøgletal'!$C$12:$C$60,'Udvaskning nøgletal'!$H$12:$H$60)</f>
        <v>0</v>
      </c>
      <c r="Z219" s="10">
        <f>IF(X219=1,LOOKUP(K219,'Udvaskning nøgletal'!$C$12:$C$60,'Udvaskning nøgletal'!$E$12:$E$60)+Markniveau!Y219*Markniveau!S219/100,IF(X219=2,LOOKUP(K219,'Udvaskning nøgletal'!$C$12:$C$60,'Udvaskning nøgletal'!$F$12:$F$60)+Markniveau!Y219*Markniveau!S219/100,IF(X219=3,LOOKUP(K219,'Udvaskning nøgletal'!$C$12:$C$60,'Udvaskning nøgletal'!G229:G277)+Markniveau!Y219*Markniveau!S219/100,"")))</f>
        <v>10</v>
      </c>
      <c r="AA219" s="10">
        <f t="shared" si="36"/>
        <v>115.3</v>
      </c>
      <c r="AB219" s="10" t="str">
        <f t="shared" si="35"/>
        <v/>
      </c>
      <c r="AC219" s="10" t="str">
        <f t="shared" si="37"/>
        <v/>
      </c>
      <c r="AD219" s="10">
        <f>IF(AND(Q219&gt;0,Q219&lt;30,K219&lt;8),Markniveau!Z219*'Udvaskning nøgletal'!$I$12/100,IF(AND(Q219&gt;0,Q219&lt;30,K219=216),Markniveau!Z219*'Udvaskning nøgletal'!$I$34/100,Markniveau!Z219))</f>
        <v>10</v>
      </c>
      <c r="AE219" s="10">
        <f t="shared" si="43"/>
        <v>115.3</v>
      </c>
      <c r="AF219" s="10" t="str">
        <f t="shared" si="38"/>
        <v/>
      </c>
      <c r="AG219" s="10" t="str">
        <f t="shared" si="44"/>
        <v/>
      </c>
      <c r="AH219" s="10" t="str">
        <f>IF(AND(Q219&gt;0,Q219&lt;30,K219=216),'Udvaskning nøgletal'!$C$42,IF(AND(Q219&gt;0,Q219&lt;30,K219&gt;7,K219&lt;17),'Udvaskning nøgletal'!$C$61,IF(AND(Q219&gt;0,Q219&lt;30,K219&lt;7),'Udvaskning nøgletal'!$C$62,"")))</f>
        <v/>
      </c>
      <c r="AI219" s="10">
        <f t="shared" si="40"/>
        <v>902</v>
      </c>
      <c r="AJ219" s="10">
        <f>IF($X219=1,LOOKUP(AI219,'Udvaskning nøgletal'!$C$12:$C$62,'Udvaskning nøgletal'!$E$12:$E$62)+Markniveau!$Y219*Markniveau!$S219/100,IF($X219=2,LOOKUP(AI219,'Udvaskning nøgletal'!$C$12:$C$62,'Udvaskning nøgletal'!$F$12:$F$62)+Markniveau!$Y219*Markniveau!$S219/100,IF($X219=3,LOOKUP(AI219,'Udvaskning nøgletal'!$C$12:$C$62,'Udvaskning nøgletal'!Q229:Q279)+Markniveau!$Y219*Markniveau!$S219/100,"")))</f>
        <v>10</v>
      </c>
      <c r="AK219" s="10">
        <f t="shared" si="39"/>
        <v>115.3</v>
      </c>
      <c r="AL219" s="10" t="str">
        <f t="shared" si="41"/>
        <v/>
      </c>
      <c r="AM219" s="10" t="str">
        <f t="shared" si="42"/>
        <v/>
      </c>
    </row>
    <row r="220" spans="1:39" x14ac:dyDescent="0.25">
      <c r="A220" s="15">
        <v>14265473</v>
      </c>
      <c r="B220" s="15">
        <v>11.69</v>
      </c>
      <c r="C220" s="15">
        <v>580357</v>
      </c>
      <c r="D220" s="15">
        <v>150693</v>
      </c>
      <c r="E220" s="15" t="s">
        <v>244</v>
      </c>
      <c r="F220" s="15">
        <v>2011</v>
      </c>
      <c r="G220" s="15">
        <v>20110324</v>
      </c>
      <c r="H220" s="15">
        <v>8012</v>
      </c>
      <c r="I220" s="15">
        <v>0.8</v>
      </c>
      <c r="J220" s="6" t="s">
        <v>1446</v>
      </c>
      <c r="K220" s="15">
        <v>254</v>
      </c>
      <c r="L220" s="15" t="s">
        <v>27</v>
      </c>
      <c r="M220" s="15" t="s">
        <v>4</v>
      </c>
      <c r="N220" s="11" t="s">
        <v>1384</v>
      </c>
      <c r="O220" s="11" t="s">
        <v>28</v>
      </c>
      <c r="P220" s="11" t="s">
        <v>33</v>
      </c>
      <c r="Q220" s="15">
        <v>0</v>
      </c>
      <c r="R220" s="11" t="s">
        <v>1386</v>
      </c>
      <c r="S220" s="10">
        <v>0</v>
      </c>
      <c r="T220" s="15">
        <v>80</v>
      </c>
      <c r="U220" s="15">
        <v>0</v>
      </c>
      <c r="V220" s="15">
        <v>0</v>
      </c>
      <c r="W220" s="15">
        <v>0</v>
      </c>
      <c r="X220" s="15">
        <f>IF(O220='Udvaskning nøgletal'!$D$65,1,IF(O220='Udvaskning nøgletal'!$D$66,2,IF(O220='Udvaskning nøgletal'!$D$67,3,IF(O220='Udvaskning nøgletal'!$D$68,2,""))))</f>
        <v>1</v>
      </c>
      <c r="Y220" s="15">
        <f>LOOKUP(K220,'Udvaskning nøgletal'!$C$12:$C$60,'Udvaskning nøgletal'!$H$12:$H$60)</f>
        <v>0</v>
      </c>
      <c r="Z220" s="10">
        <f>IF(X220=1,LOOKUP(K220,'Udvaskning nøgletal'!$C$12:$C$60,'Udvaskning nøgletal'!$E$12:$E$60)+Markniveau!Y220*Markniveau!S220/100,IF(X220=2,LOOKUP(K220,'Udvaskning nøgletal'!$C$12:$C$60,'Udvaskning nøgletal'!$F$12:$F$60)+Markniveau!Y220*Markniveau!S220/100,IF(X220=3,LOOKUP(K220,'Udvaskning nøgletal'!$C$12:$C$60,'Udvaskning nøgletal'!G230:G278)+Markniveau!Y220*Markniveau!S220/100,"")))</f>
        <v>21.2</v>
      </c>
      <c r="AA220" s="10">
        <f t="shared" si="36"/>
        <v>16.96</v>
      </c>
      <c r="AB220" s="10" t="str">
        <f t="shared" si="35"/>
        <v/>
      </c>
      <c r="AC220" s="10" t="str">
        <f t="shared" si="37"/>
        <v/>
      </c>
      <c r="AD220" s="10">
        <f>IF(AND(Q220&gt;0,Q220&lt;30,K220&lt;8),Markniveau!Z220*'Udvaskning nøgletal'!$I$12/100,IF(AND(Q220&gt;0,Q220&lt;30,K220=216),Markniveau!Z220*'Udvaskning nøgletal'!$I$34/100,Markniveau!Z220))</f>
        <v>21.2</v>
      </c>
      <c r="AE220" s="10">
        <f t="shared" si="43"/>
        <v>16.96</v>
      </c>
      <c r="AF220" s="10" t="str">
        <f t="shared" si="38"/>
        <v/>
      </c>
      <c r="AG220" s="10" t="str">
        <f t="shared" si="44"/>
        <v/>
      </c>
      <c r="AH220" s="10" t="str">
        <f>IF(AND(Q220&gt;0,Q220&lt;30,K220=216),'Udvaskning nøgletal'!$C$42,IF(AND(Q220&gt;0,Q220&lt;30,K220&gt;7,K220&lt;17),'Udvaskning nøgletal'!$C$61,IF(AND(Q220&gt;0,Q220&lt;30,K220&lt;7),'Udvaskning nøgletal'!$C$62,"")))</f>
        <v/>
      </c>
      <c r="AI220" s="10">
        <f t="shared" si="40"/>
        <v>254</v>
      </c>
      <c r="AJ220" s="10">
        <f>IF($X220=1,LOOKUP(AI220,'Udvaskning nøgletal'!$C$12:$C$62,'Udvaskning nøgletal'!$E$12:$E$62)+Markniveau!$Y220*Markniveau!$S220/100,IF($X220=2,LOOKUP(AI220,'Udvaskning nøgletal'!$C$12:$C$62,'Udvaskning nøgletal'!$F$12:$F$62)+Markniveau!$Y220*Markniveau!$S220/100,IF($X220=3,LOOKUP(AI220,'Udvaskning nøgletal'!$C$12:$C$62,'Udvaskning nøgletal'!Q230:Q280)+Markniveau!$Y220*Markniveau!$S220/100,"")))</f>
        <v>21.2</v>
      </c>
      <c r="AK220" s="10">
        <f t="shared" si="39"/>
        <v>16.96</v>
      </c>
      <c r="AL220" s="10" t="str">
        <f t="shared" si="41"/>
        <v/>
      </c>
      <c r="AM220" s="10" t="str">
        <f t="shared" si="42"/>
        <v/>
      </c>
    </row>
    <row r="221" spans="1:39" x14ac:dyDescent="0.25">
      <c r="A221" s="15">
        <v>14265473</v>
      </c>
      <c r="B221" s="15">
        <v>11.69</v>
      </c>
      <c r="C221" s="15">
        <v>580359</v>
      </c>
      <c r="D221" s="15">
        <v>150693</v>
      </c>
      <c r="E221" s="15" t="s">
        <v>245</v>
      </c>
      <c r="F221" s="15">
        <v>2011</v>
      </c>
      <c r="G221" s="15">
        <v>20110324</v>
      </c>
      <c r="H221" s="15">
        <v>6414</v>
      </c>
      <c r="I221" s="15">
        <v>0.64</v>
      </c>
      <c r="J221" s="6" t="s">
        <v>1447</v>
      </c>
      <c r="K221" s="15">
        <v>276</v>
      </c>
      <c r="L221" s="15" t="s">
        <v>146</v>
      </c>
      <c r="M221" s="15" t="s">
        <v>4</v>
      </c>
      <c r="N221" s="11" t="s">
        <v>1406</v>
      </c>
      <c r="O221" s="11" t="s">
        <v>46</v>
      </c>
      <c r="P221" s="11" t="s">
        <v>33</v>
      </c>
      <c r="Q221" s="15">
        <v>0</v>
      </c>
      <c r="R221" s="11" t="s">
        <v>1386</v>
      </c>
      <c r="S221" s="10">
        <v>0</v>
      </c>
      <c r="T221" s="15">
        <v>80</v>
      </c>
      <c r="U221" s="15">
        <v>0</v>
      </c>
      <c r="V221" s="15">
        <v>0</v>
      </c>
      <c r="W221" s="15">
        <v>0</v>
      </c>
      <c r="X221" s="15">
        <f>IF(O221='Udvaskning nøgletal'!$D$65,1,IF(O221='Udvaskning nøgletal'!$D$66,2,IF(O221='Udvaskning nøgletal'!$D$67,3,IF(O221='Udvaskning nøgletal'!$D$68,2,""))))</f>
        <v>2</v>
      </c>
      <c r="Y221" s="15">
        <f>LOOKUP(K221,'Udvaskning nøgletal'!$C$12:$C$60,'Udvaskning nøgletal'!$H$12:$H$60)</f>
        <v>0</v>
      </c>
      <c r="Z221" s="10">
        <f>IF(X221=1,LOOKUP(K221,'Udvaskning nøgletal'!$C$12:$C$60,'Udvaskning nøgletal'!$E$12:$E$60)+Markniveau!Y221*Markniveau!S221/100,IF(X221=2,LOOKUP(K221,'Udvaskning nøgletal'!$C$12:$C$60,'Udvaskning nøgletal'!$F$12:$F$60)+Markniveau!Y221*Markniveau!S221/100,IF(X221=3,LOOKUP(K221,'Udvaskning nøgletal'!$C$12:$C$60,'Udvaskning nøgletal'!G231:G279)+Markniveau!Y221*Markniveau!S221/100,"")))</f>
        <v>10.6</v>
      </c>
      <c r="AA221" s="10">
        <f t="shared" si="36"/>
        <v>6.7839999999999998</v>
      </c>
      <c r="AB221" s="10" t="str">
        <f t="shared" si="35"/>
        <v/>
      </c>
      <c r="AC221" s="10" t="str">
        <f t="shared" si="37"/>
        <v/>
      </c>
      <c r="AD221" s="10">
        <f>IF(AND(Q221&gt;0,Q221&lt;30,K221&lt;8),Markniveau!Z221*'Udvaskning nøgletal'!$I$12/100,IF(AND(Q221&gt;0,Q221&lt;30,K221=216),Markniveau!Z221*'Udvaskning nøgletal'!$I$34/100,Markniveau!Z221))</f>
        <v>10.6</v>
      </c>
      <c r="AE221" s="10">
        <f t="shared" si="43"/>
        <v>6.7839999999999998</v>
      </c>
      <c r="AF221" s="10" t="str">
        <f t="shared" si="38"/>
        <v/>
      </c>
      <c r="AG221" s="10" t="str">
        <f t="shared" si="44"/>
        <v/>
      </c>
      <c r="AH221" s="10" t="str">
        <f>IF(AND(Q221&gt;0,Q221&lt;30,K221=216),'Udvaskning nøgletal'!$C$42,IF(AND(Q221&gt;0,Q221&lt;30,K221&gt;7,K221&lt;17),'Udvaskning nøgletal'!$C$61,IF(AND(Q221&gt;0,Q221&lt;30,K221&lt;7),'Udvaskning nøgletal'!$C$62,"")))</f>
        <v/>
      </c>
      <c r="AI221" s="10">
        <f t="shared" si="40"/>
        <v>276</v>
      </c>
      <c r="AJ221" s="10">
        <f>IF($X221=1,LOOKUP(AI221,'Udvaskning nøgletal'!$C$12:$C$62,'Udvaskning nøgletal'!$E$12:$E$62)+Markniveau!$Y221*Markniveau!$S221/100,IF($X221=2,LOOKUP(AI221,'Udvaskning nøgletal'!$C$12:$C$62,'Udvaskning nøgletal'!$F$12:$F$62)+Markniveau!$Y221*Markniveau!$S221/100,IF($X221=3,LOOKUP(AI221,'Udvaskning nøgletal'!$C$12:$C$62,'Udvaskning nøgletal'!Q231:Q281)+Markniveau!$Y221*Markniveau!$S221/100,"")))</f>
        <v>10.6</v>
      </c>
      <c r="AK221" s="10">
        <f t="shared" si="39"/>
        <v>6.7839999999999998</v>
      </c>
      <c r="AL221" s="10" t="str">
        <f t="shared" si="41"/>
        <v/>
      </c>
      <c r="AM221" s="10" t="str">
        <f t="shared" si="42"/>
        <v/>
      </c>
    </row>
    <row r="222" spans="1:39" x14ac:dyDescent="0.25">
      <c r="A222" s="15">
        <v>14265473</v>
      </c>
      <c r="B222" s="15">
        <v>11.69</v>
      </c>
      <c r="C222" s="15">
        <v>580360</v>
      </c>
      <c r="D222" s="15">
        <v>150693</v>
      </c>
      <c r="E222" s="15" t="s">
        <v>246</v>
      </c>
      <c r="F222" s="15">
        <v>2011</v>
      </c>
      <c r="G222" s="15">
        <v>20110324</v>
      </c>
      <c r="H222" s="15">
        <v>40497</v>
      </c>
      <c r="I222" s="15">
        <v>4.05</v>
      </c>
      <c r="J222" s="6" t="s">
        <v>1448</v>
      </c>
      <c r="K222" s="15">
        <v>902</v>
      </c>
      <c r="L222" s="15" t="s">
        <v>160</v>
      </c>
      <c r="M222" s="15" t="s">
        <v>81</v>
      </c>
      <c r="N222" s="11" t="s">
        <v>1384</v>
      </c>
      <c r="O222" s="11" t="s">
        <v>28</v>
      </c>
      <c r="P222" s="11" t="s">
        <v>33</v>
      </c>
      <c r="Q222" s="15">
        <v>0</v>
      </c>
      <c r="R222" s="11" t="s">
        <v>1386</v>
      </c>
      <c r="S222" s="10">
        <v>0</v>
      </c>
      <c r="T222" s="15">
        <v>80</v>
      </c>
      <c r="U222" s="15">
        <v>0</v>
      </c>
      <c r="V222" s="15">
        <v>0</v>
      </c>
      <c r="W222" s="15">
        <v>0</v>
      </c>
      <c r="X222" s="15">
        <f>IF(O222='Udvaskning nøgletal'!$D$65,1,IF(O222='Udvaskning nøgletal'!$D$66,2,IF(O222='Udvaskning nøgletal'!$D$67,3,IF(O222='Udvaskning nøgletal'!$D$68,2,""))))</f>
        <v>1</v>
      </c>
      <c r="Y222" s="15">
        <f>LOOKUP(K222,'Udvaskning nøgletal'!$C$12:$C$60,'Udvaskning nøgletal'!$H$12:$H$60)</f>
        <v>0</v>
      </c>
      <c r="Z222" s="10">
        <f>IF(X222=1,LOOKUP(K222,'Udvaskning nøgletal'!$C$12:$C$60,'Udvaskning nøgletal'!$E$12:$E$60)+Markniveau!Y222*Markniveau!S222/100,IF(X222=2,LOOKUP(K222,'Udvaskning nøgletal'!$C$12:$C$60,'Udvaskning nøgletal'!$F$12:$F$60)+Markniveau!Y222*Markniveau!S222/100,IF(X222=3,LOOKUP(K222,'Udvaskning nøgletal'!$C$12:$C$60,'Udvaskning nøgletal'!G232:G280)+Markniveau!Y222*Markniveau!S222/100,"")))</f>
        <v>10</v>
      </c>
      <c r="AA222" s="10">
        <f t="shared" si="36"/>
        <v>40.5</v>
      </c>
      <c r="AB222" s="10" t="str">
        <f t="shared" si="35"/>
        <v/>
      </c>
      <c r="AC222" s="10" t="str">
        <f t="shared" si="37"/>
        <v/>
      </c>
      <c r="AD222" s="10">
        <f>IF(AND(Q222&gt;0,Q222&lt;30,K222&lt;8),Markniveau!Z222*'Udvaskning nøgletal'!$I$12/100,IF(AND(Q222&gt;0,Q222&lt;30,K222=216),Markniveau!Z222*'Udvaskning nøgletal'!$I$34/100,Markniveau!Z222))</f>
        <v>10</v>
      </c>
      <c r="AE222" s="10">
        <f t="shared" si="43"/>
        <v>40.5</v>
      </c>
      <c r="AF222" s="10" t="str">
        <f t="shared" si="38"/>
        <v/>
      </c>
      <c r="AG222" s="10" t="str">
        <f t="shared" si="44"/>
        <v/>
      </c>
      <c r="AH222" s="10" t="str">
        <f>IF(AND(Q222&gt;0,Q222&lt;30,K222=216),'Udvaskning nøgletal'!$C$42,IF(AND(Q222&gt;0,Q222&lt;30,K222&gt;7,K222&lt;17),'Udvaskning nøgletal'!$C$61,IF(AND(Q222&gt;0,Q222&lt;30,K222&lt;7),'Udvaskning nøgletal'!$C$62,"")))</f>
        <v/>
      </c>
      <c r="AI222" s="10">
        <f t="shared" si="40"/>
        <v>902</v>
      </c>
      <c r="AJ222" s="10">
        <f>IF($X222=1,LOOKUP(AI222,'Udvaskning nøgletal'!$C$12:$C$62,'Udvaskning nøgletal'!$E$12:$E$62)+Markniveau!$Y222*Markniveau!$S222/100,IF($X222=2,LOOKUP(AI222,'Udvaskning nøgletal'!$C$12:$C$62,'Udvaskning nøgletal'!$F$12:$F$62)+Markniveau!$Y222*Markniveau!$S222/100,IF($X222=3,LOOKUP(AI222,'Udvaskning nøgletal'!$C$12:$C$62,'Udvaskning nøgletal'!Q232:Q282)+Markniveau!$Y222*Markniveau!$S222/100,"")))</f>
        <v>10</v>
      </c>
      <c r="AK222" s="10">
        <f t="shared" si="39"/>
        <v>40.5</v>
      </c>
      <c r="AL222" s="10" t="str">
        <f t="shared" si="41"/>
        <v/>
      </c>
      <c r="AM222" s="10" t="str">
        <f t="shared" si="42"/>
        <v/>
      </c>
    </row>
    <row r="223" spans="1:39" x14ac:dyDescent="0.25">
      <c r="A223" s="15">
        <v>14265473</v>
      </c>
      <c r="B223" s="15">
        <v>11.69</v>
      </c>
      <c r="C223" s="15">
        <v>580361</v>
      </c>
      <c r="D223" s="15">
        <v>150693</v>
      </c>
      <c r="E223" s="15" t="s">
        <v>185</v>
      </c>
      <c r="F223" s="15">
        <v>2011</v>
      </c>
      <c r="G223" s="15">
        <v>20110324</v>
      </c>
      <c r="H223" s="15">
        <v>15222</v>
      </c>
      <c r="I223" s="15">
        <v>1.52</v>
      </c>
      <c r="J223" s="6" t="s">
        <v>1449</v>
      </c>
      <c r="K223" s="15">
        <v>902</v>
      </c>
      <c r="L223" s="15" t="s">
        <v>160</v>
      </c>
      <c r="M223" s="15" t="s">
        <v>81</v>
      </c>
      <c r="N223" s="11" t="s">
        <v>1406</v>
      </c>
      <c r="O223" s="11" t="s">
        <v>46</v>
      </c>
      <c r="P223" s="11" t="s">
        <v>33</v>
      </c>
      <c r="Q223" s="15">
        <v>0</v>
      </c>
      <c r="R223" s="11" t="s">
        <v>1386</v>
      </c>
      <c r="S223" s="10">
        <v>0</v>
      </c>
      <c r="T223" s="15">
        <v>80</v>
      </c>
      <c r="U223" s="15">
        <v>0</v>
      </c>
      <c r="V223" s="15">
        <v>0</v>
      </c>
      <c r="W223" s="15">
        <v>0</v>
      </c>
      <c r="X223" s="15">
        <f>IF(O223='Udvaskning nøgletal'!$D$65,1,IF(O223='Udvaskning nøgletal'!$D$66,2,IF(O223='Udvaskning nøgletal'!$D$67,3,IF(O223='Udvaskning nøgletal'!$D$68,2,""))))</f>
        <v>2</v>
      </c>
      <c r="Y223" s="15">
        <f>LOOKUP(K223,'Udvaskning nøgletal'!$C$12:$C$60,'Udvaskning nøgletal'!$H$12:$H$60)</f>
        <v>0</v>
      </c>
      <c r="Z223" s="10">
        <f>IF(X223=1,LOOKUP(K223,'Udvaskning nøgletal'!$C$12:$C$60,'Udvaskning nøgletal'!$E$12:$E$60)+Markniveau!Y223*Markniveau!S223/100,IF(X223=2,LOOKUP(K223,'Udvaskning nøgletal'!$C$12:$C$60,'Udvaskning nøgletal'!$F$12:$F$60)+Markniveau!Y223*Markniveau!S223/100,IF(X223=3,LOOKUP(K223,'Udvaskning nøgletal'!$C$12:$C$60,'Udvaskning nøgletal'!G233:G281)+Markniveau!Y223*Markniveau!S223/100,"")))</f>
        <v>10</v>
      </c>
      <c r="AA223" s="10">
        <f t="shared" si="36"/>
        <v>15.2</v>
      </c>
      <c r="AB223" s="10" t="str">
        <f t="shared" si="35"/>
        <v/>
      </c>
      <c r="AC223" s="10" t="str">
        <f t="shared" si="37"/>
        <v/>
      </c>
      <c r="AD223" s="10">
        <f>IF(AND(Q223&gt;0,Q223&lt;30,K223&lt;8),Markniveau!Z223*'Udvaskning nøgletal'!$I$12/100,IF(AND(Q223&gt;0,Q223&lt;30,K223=216),Markniveau!Z223*'Udvaskning nøgletal'!$I$34/100,Markniveau!Z223))</f>
        <v>10</v>
      </c>
      <c r="AE223" s="10">
        <f t="shared" si="43"/>
        <v>15.2</v>
      </c>
      <c r="AF223" s="10" t="str">
        <f t="shared" si="38"/>
        <v/>
      </c>
      <c r="AG223" s="10" t="str">
        <f t="shared" si="44"/>
        <v/>
      </c>
      <c r="AH223" s="10" t="str">
        <f>IF(AND(Q223&gt;0,Q223&lt;30,K223=216),'Udvaskning nøgletal'!$C$42,IF(AND(Q223&gt;0,Q223&lt;30,K223&gt;7,K223&lt;17),'Udvaskning nøgletal'!$C$61,IF(AND(Q223&gt;0,Q223&lt;30,K223&lt;7),'Udvaskning nøgletal'!$C$62,"")))</f>
        <v/>
      </c>
      <c r="AI223" s="10">
        <f t="shared" si="40"/>
        <v>902</v>
      </c>
      <c r="AJ223" s="10">
        <f>IF($X223=1,LOOKUP(AI223,'Udvaskning nøgletal'!$C$12:$C$62,'Udvaskning nøgletal'!$E$12:$E$62)+Markniveau!$Y223*Markniveau!$S223/100,IF($X223=2,LOOKUP(AI223,'Udvaskning nøgletal'!$C$12:$C$62,'Udvaskning nøgletal'!$F$12:$F$62)+Markniveau!$Y223*Markniveau!$S223/100,IF($X223=3,LOOKUP(AI223,'Udvaskning nøgletal'!$C$12:$C$62,'Udvaskning nøgletal'!Q233:Q283)+Markniveau!$Y223*Markniveau!$S223/100,"")))</f>
        <v>10</v>
      </c>
      <c r="AK223" s="10">
        <f t="shared" si="39"/>
        <v>15.2</v>
      </c>
      <c r="AL223" s="10" t="str">
        <f t="shared" si="41"/>
        <v/>
      </c>
      <c r="AM223" s="10" t="str">
        <f t="shared" si="42"/>
        <v/>
      </c>
    </row>
    <row r="224" spans="1:39" x14ac:dyDescent="0.25">
      <c r="A224" s="15">
        <v>14265473</v>
      </c>
      <c r="B224" s="15">
        <v>11.69</v>
      </c>
      <c r="C224" s="15">
        <v>580362</v>
      </c>
      <c r="D224" s="15">
        <v>150693</v>
      </c>
      <c r="E224" s="15" t="s">
        <v>247</v>
      </c>
      <c r="F224" s="15">
        <v>2011</v>
      </c>
      <c r="G224" s="15">
        <v>20110324</v>
      </c>
      <c r="H224" s="15">
        <v>18523</v>
      </c>
      <c r="I224" s="15">
        <v>1.85</v>
      </c>
      <c r="J224" s="6" t="s">
        <v>1450</v>
      </c>
      <c r="K224" s="15">
        <v>254</v>
      </c>
      <c r="L224" s="15" t="s">
        <v>27</v>
      </c>
      <c r="M224" s="15" t="s">
        <v>4</v>
      </c>
      <c r="N224" s="11" t="s">
        <v>1406</v>
      </c>
      <c r="O224" s="11" t="s">
        <v>46</v>
      </c>
      <c r="P224" s="11" t="s">
        <v>33</v>
      </c>
      <c r="Q224" s="15">
        <v>0</v>
      </c>
      <c r="R224" s="11" t="s">
        <v>1386</v>
      </c>
      <c r="S224" s="10">
        <v>0</v>
      </c>
      <c r="T224" s="15">
        <v>80</v>
      </c>
      <c r="U224" s="15">
        <v>0</v>
      </c>
      <c r="V224" s="15">
        <v>0</v>
      </c>
      <c r="W224" s="15">
        <v>0</v>
      </c>
      <c r="X224" s="15">
        <f>IF(O224='Udvaskning nøgletal'!$D$65,1,IF(O224='Udvaskning nøgletal'!$D$66,2,IF(O224='Udvaskning nøgletal'!$D$67,3,IF(O224='Udvaskning nøgletal'!$D$68,2,""))))</f>
        <v>2</v>
      </c>
      <c r="Y224" s="15">
        <f>LOOKUP(K224,'Udvaskning nøgletal'!$C$12:$C$60,'Udvaskning nøgletal'!$H$12:$H$60)</f>
        <v>0</v>
      </c>
      <c r="Z224" s="10">
        <f>IF(X224=1,LOOKUP(K224,'Udvaskning nøgletal'!$C$12:$C$60,'Udvaskning nøgletal'!$E$12:$E$60)+Markniveau!Y224*Markniveau!S224/100,IF(X224=2,LOOKUP(K224,'Udvaskning nøgletal'!$C$12:$C$60,'Udvaskning nøgletal'!$F$12:$F$60)+Markniveau!Y224*Markniveau!S224/100,IF(X224=3,LOOKUP(K224,'Udvaskning nøgletal'!$C$12:$C$60,'Udvaskning nøgletal'!G234:G282)+Markniveau!Y224*Markniveau!S224/100,"")))</f>
        <v>21.2</v>
      </c>
      <c r="AA224" s="10">
        <f t="shared" si="36"/>
        <v>39.22</v>
      </c>
      <c r="AB224" s="10" t="str">
        <f t="shared" si="35"/>
        <v/>
      </c>
      <c r="AC224" s="10" t="str">
        <f t="shared" si="37"/>
        <v/>
      </c>
      <c r="AD224" s="10">
        <f>IF(AND(Q224&gt;0,Q224&lt;30,K224&lt;8),Markniveau!Z224*'Udvaskning nøgletal'!$I$12/100,IF(AND(Q224&gt;0,Q224&lt;30,K224=216),Markniveau!Z224*'Udvaskning nøgletal'!$I$34/100,Markniveau!Z224))</f>
        <v>21.2</v>
      </c>
      <c r="AE224" s="10">
        <f t="shared" si="43"/>
        <v>39.22</v>
      </c>
      <c r="AF224" s="10" t="str">
        <f t="shared" si="38"/>
        <v/>
      </c>
      <c r="AG224" s="10" t="str">
        <f t="shared" si="44"/>
        <v/>
      </c>
      <c r="AH224" s="10" t="str">
        <f>IF(AND(Q224&gt;0,Q224&lt;30,K224=216),'Udvaskning nøgletal'!$C$42,IF(AND(Q224&gt;0,Q224&lt;30,K224&gt;7,K224&lt;17),'Udvaskning nøgletal'!$C$61,IF(AND(Q224&gt;0,Q224&lt;30,K224&lt;7),'Udvaskning nøgletal'!$C$62,"")))</f>
        <v/>
      </c>
      <c r="AI224" s="10">
        <f t="shared" si="40"/>
        <v>254</v>
      </c>
      <c r="AJ224" s="10">
        <f>IF($X224=1,LOOKUP(AI224,'Udvaskning nøgletal'!$C$12:$C$62,'Udvaskning nøgletal'!$E$12:$E$62)+Markniveau!$Y224*Markniveau!$S224/100,IF($X224=2,LOOKUP(AI224,'Udvaskning nøgletal'!$C$12:$C$62,'Udvaskning nøgletal'!$F$12:$F$62)+Markniveau!$Y224*Markniveau!$S224/100,IF($X224=3,LOOKUP(AI224,'Udvaskning nøgletal'!$C$12:$C$62,'Udvaskning nøgletal'!Q234:Q284)+Markniveau!$Y224*Markniveau!$S224/100,"")))</f>
        <v>21.2</v>
      </c>
      <c r="AK224" s="10">
        <f t="shared" si="39"/>
        <v>39.22</v>
      </c>
      <c r="AL224" s="10" t="str">
        <f t="shared" si="41"/>
        <v/>
      </c>
      <c r="AM224" s="10" t="str">
        <f t="shared" si="42"/>
        <v/>
      </c>
    </row>
    <row r="225" spans="1:39" x14ac:dyDescent="0.25">
      <c r="A225" s="15">
        <v>14265473</v>
      </c>
      <c r="B225" s="15">
        <v>11.69</v>
      </c>
      <c r="C225" s="15">
        <v>580902</v>
      </c>
      <c r="D225" s="15">
        <v>150693</v>
      </c>
      <c r="E225" s="15" t="s">
        <v>244</v>
      </c>
      <c r="F225" s="15">
        <v>2011</v>
      </c>
      <c r="G225" s="15">
        <v>20110324</v>
      </c>
      <c r="H225" s="15">
        <v>5923</v>
      </c>
      <c r="I225" s="15">
        <v>0.59</v>
      </c>
      <c r="J225" s="6" t="s">
        <v>1451</v>
      </c>
      <c r="K225" s="15">
        <v>254</v>
      </c>
      <c r="L225" s="15" t="s">
        <v>27</v>
      </c>
      <c r="M225" s="15" t="s">
        <v>4</v>
      </c>
      <c r="N225" s="11" t="s">
        <v>1384</v>
      </c>
      <c r="O225" s="11" t="s">
        <v>28</v>
      </c>
      <c r="P225" s="11" t="s">
        <v>33</v>
      </c>
      <c r="Q225" s="15">
        <v>0</v>
      </c>
      <c r="R225" s="11" t="s">
        <v>1386</v>
      </c>
      <c r="S225" s="10">
        <v>0</v>
      </c>
      <c r="T225" s="15">
        <v>80</v>
      </c>
      <c r="U225" s="15">
        <v>0</v>
      </c>
      <c r="V225" s="15">
        <v>0</v>
      </c>
      <c r="W225" s="15">
        <v>0</v>
      </c>
      <c r="X225" s="15">
        <f>IF(O225='Udvaskning nøgletal'!$D$65,1,IF(O225='Udvaskning nøgletal'!$D$66,2,IF(O225='Udvaskning nøgletal'!$D$67,3,IF(O225='Udvaskning nøgletal'!$D$68,2,""))))</f>
        <v>1</v>
      </c>
      <c r="Y225" s="15">
        <f>LOOKUP(K225,'Udvaskning nøgletal'!$C$12:$C$60,'Udvaskning nøgletal'!$H$12:$H$60)</f>
        <v>0</v>
      </c>
      <c r="Z225" s="10">
        <f>IF(X225=1,LOOKUP(K225,'Udvaskning nøgletal'!$C$12:$C$60,'Udvaskning nøgletal'!$E$12:$E$60)+Markniveau!Y225*Markniveau!S225/100,IF(X225=2,LOOKUP(K225,'Udvaskning nøgletal'!$C$12:$C$60,'Udvaskning nøgletal'!$F$12:$F$60)+Markniveau!Y225*Markniveau!S225/100,IF(X225=3,LOOKUP(K225,'Udvaskning nøgletal'!$C$12:$C$60,'Udvaskning nøgletal'!G235:G283)+Markniveau!Y225*Markniveau!S225/100,"")))</f>
        <v>21.2</v>
      </c>
      <c r="AA225" s="10">
        <f t="shared" si="36"/>
        <v>12.507999999999999</v>
      </c>
      <c r="AB225" s="10" t="str">
        <f t="shared" si="35"/>
        <v/>
      </c>
      <c r="AC225" s="10" t="str">
        <f t="shared" si="37"/>
        <v/>
      </c>
      <c r="AD225" s="10">
        <f>IF(AND(Q225&gt;0,Q225&lt;30,K225&lt;8),Markniveau!Z225*'Udvaskning nøgletal'!$I$12/100,IF(AND(Q225&gt;0,Q225&lt;30,K225=216),Markniveau!Z225*'Udvaskning nøgletal'!$I$34/100,Markniveau!Z225))</f>
        <v>21.2</v>
      </c>
      <c r="AE225" s="10">
        <f t="shared" si="43"/>
        <v>12.507999999999999</v>
      </c>
      <c r="AF225" s="10" t="str">
        <f t="shared" si="38"/>
        <v/>
      </c>
      <c r="AG225" s="10" t="str">
        <f t="shared" si="44"/>
        <v/>
      </c>
      <c r="AH225" s="10" t="str">
        <f>IF(AND(Q225&gt;0,Q225&lt;30,K225=216),'Udvaskning nøgletal'!$C$42,IF(AND(Q225&gt;0,Q225&lt;30,K225&gt;7,K225&lt;17),'Udvaskning nøgletal'!$C$61,IF(AND(Q225&gt;0,Q225&lt;30,K225&lt;7),'Udvaskning nøgletal'!$C$62,"")))</f>
        <v/>
      </c>
      <c r="AI225" s="10">
        <f t="shared" si="40"/>
        <v>254</v>
      </c>
      <c r="AJ225" s="10">
        <f>IF($X225=1,LOOKUP(AI225,'Udvaskning nøgletal'!$C$12:$C$62,'Udvaskning nøgletal'!$E$12:$E$62)+Markniveau!$Y225*Markniveau!$S225/100,IF($X225=2,LOOKUP(AI225,'Udvaskning nøgletal'!$C$12:$C$62,'Udvaskning nøgletal'!$F$12:$F$62)+Markniveau!$Y225*Markniveau!$S225/100,IF($X225=3,LOOKUP(AI225,'Udvaskning nøgletal'!$C$12:$C$62,'Udvaskning nøgletal'!Q235:Q285)+Markniveau!$Y225*Markniveau!$S225/100,"")))</f>
        <v>21.2</v>
      </c>
      <c r="AK225" s="10">
        <f t="shared" si="39"/>
        <v>12.507999999999999</v>
      </c>
      <c r="AL225" s="10" t="str">
        <f t="shared" si="41"/>
        <v/>
      </c>
      <c r="AM225" s="10" t="str">
        <f t="shared" si="42"/>
        <v/>
      </c>
    </row>
    <row r="226" spans="1:39" x14ac:dyDescent="0.25">
      <c r="A226" s="15">
        <v>14265473</v>
      </c>
      <c r="B226" s="15">
        <v>11.69</v>
      </c>
      <c r="C226" s="15">
        <v>580903</v>
      </c>
      <c r="D226" s="15">
        <v>150693</v>
      </c>
      <c r="E226" s="15" t="s">
        <v>248</v>
      </c>
      <c r="F226" s="15">
        <v>2011</v>
      </c>
      <c r="G226" s="15">
        <v>20110324</v>
      </c>
      <c r="H226" s="15">
        <v>13507</v>
      </c>
      <c r="I226" s="15">
        <v>1.35</v>
      </c>
      <c r="J226" s="6" t="s">
        <v>1452</v>
      </c>
      <c r="K226" s="15">
        <v>252</v>
      </c>
      <c r="L226" s="15" t="s">
        <v>41</v>
      </c>
      <c r="M226" s="15" t="s">
        <v>4</v>
      </c>
      <c r="N226" s="11" t="s">
        <v>1384</v>
      </c>
      <c r="O226" s="11" t="s">
        <v>28</v>
      </c>
      <c r="P226" s="11" t="s">
        <v>33</v>
      </c>
      <c r="Q226" s="15">
        <v>0</v>
      </c>
      <c r="R226" s="11" t="s">
        <v>1386</v>
      </c>
      <c r="S226" s="10">
        <v>0</v>
      </c>
      <c r="T226" s="15">
        <v>80</v>
      </c>
      <c r="U226" s="15">
        <v>0</v>
      </c>
      <c r="V226" s="15">
        <v>0</v>
      </c>
      <c r="W226" s="15">
        <v>0</v>
      </c>
      <c r="X226" s="15">
        <f>IF(O226='Udvaskning nøgletal'!$D$65,1,IF(O226='Udvaskning nøgletal'!$D$66,2,IF(O226='Udvaskning nøgletal'!$D$67,3,IF(O226='Udvaskning nøgletal'!$D$68,2,""))))</f>
        <v>1</v>
      </c>
      <c r="Y226" s="15">
        <f>LOOKUP(K226,'Udvaskning nøgletal'!$C$12:$C$60,'Udvaskning nøgletal'!$H$12:$H$60)</f>
        <v>0</v>
      </c>
      <c r="Z226" s="10">
        <f>IF(X226=1,LOOKUP(K226,'Udvaskning nøgletal'!$C$12:$C$60,'Udvaskning nøgletal'!$E$12:$E$60)+Markniveau!Y226*Markniveau!S226/100,IF(X226=2,LOOKUP(K226,'Udvaskning nøgletal'!$C$12:$C$60,'Udvaskning nøgletal'!$F$12:$F$60)+Markniveau!Y226*Markniveau!S226/100,IF(X226=3,LOOKUP(K226,'Udvaskning nøgletal'!$C$12:$C$60,'Udvaskning nøgletal'!G236:G284)+Markniveau!Y226*Markniveau!S226/100,"")))</f>
        <v>21.2</v>
      </c>
      <c r="AA226" s="10">
        <f t="shared" si="36"/>
        <v>28.62</v>
      </c>
      <c r="AB226" s="10" t="str">
        <f t="shared" si="35"/>
        <v/>
      </c>
      <c r="AC226" s="10" t="str">
        <f t="shared" si="37"/>
        <v/>
      </c>
      <c r="AD226" s="10">
        <f>IF(AND(Q226&gt;0,Q226&lt;30,K226&lt;8),Markniveau!Z226*'Udvaskning nøgletal'!$I$12/100,IF(AND(Q226&gt;0,Q226&lt;30,K226=216),Markniveau!Z226*'Udvaskning nøgletal'!$I$34/100,Markniveau!Z226))</f>
        <v>21.2</v>
      </c>
      <c r="AE226" s="10">
        <f t="shared" si="43"/>
        <v>28.62</v>
      </c>
      <c r="AF226" s="10" t="str">
        <f t="shared" si="38"/>
        <v/>
      </c>
      <c r="AG226" s="10" t="str">
        <f t="shared" si="44"/>
        <v/>
      </c>
      <c r="AH226" s="10" t="str">
        <f>IF(AND(Q226&gt;0,Q226&lt;30,K226=216),'Udvaskning nøgletal'!$C$42,IF(AND(Q226&gt;0,Q226&lt;30,K226&gt;7,K226&lt;17),'Udvaskning nøgletal'!$C$61,IF(AND(Q226&gt;0,Q226&lt;30,K226&lt;7),'Udvaskning nøgletal'!$C$62,"")))</f>
        <v/>
      </c>
      <c r="AI226" s="10">
        <f t="shared" si="40"/>
        <v>252</v>
      </c>
      <c r="AJ226" s="10">
        <f>IF($X226=1,LOOKUP(AI226,'Udvaskning nøgletal'!$C$12:$C$62,'Udvaskning nøgletal'!$E$12:$E$62)+Markniveau!$Y226*Markniveau!$S226/100,IF($X226=2,LOOKUP(AI226,'Udvaskning nøgletal'!$C$12:$C$62,'Udvaskning nøgletal'!$F$12:$F$62)+Markniveau!$Y226*Markniveau!$S226/100,IF($X226=3,LOOKUP(AI226,'Udvaskning nøgletal'!$C$12:$C$62,'Udvaskning nøgletal'!Q236:Q286)+Markniveau!$Y226*Markniveau!$S226/100,"")))</f>
        <v>21.2</v>
      </c>
      <c r="AK226" s="10">
        <f t="shared" si="39"/>
        <v>28.62</v>
      </c>
      <c r="AL226" s="10" t="str">
        <f t="shared" si="41"/>
        <v/>
      </c>
      <c r="AM226" s="10" t="str">
        <f t="shared" si="42"/>
        <v/>
      </c>
    </row>
    <row r="227" spans="1:39" x14ac:dyDescent="0.25">
      <c r="A227" s="15">
        <v>14265473</v>
      </c>
      <c r="B227" s="15">
        <v>11.69</v>
      </c>
      <c r="C227" s="15">
        <v>581429</v>
      </c>
      <c r="D227" s="15">
        <v>150693</v>
      </c>
      <c r="E227" s="15" t="s">
        <v>185</v>
      </c>
      <c r="F227" s="15">
        <v>2011</v>
      </c>
      <c r="G227" s="15">
        <v>20110324</v>
      </c>
      <c r="H227" s="15">
        <v>21944</v>
      </c>
      <c r="I227" s="15">
        <v>2.19</v>
      </c>
      <c r="J227" s="6" t="s">
        <v>1453</v>
      </c>
      <c r="K227" s="15">
        <v>902</v>
      </c>
      <c r="L227" s="15" t="s">
        <v>160</v>
      </c>
      <c r="M227" s="15" t="s">
        <v>81</v>
      </c>
      <c r="N227" s="11" t="s">
        <v>1406</v>
      </c>
      <c r="O227" s="11" t="s">
        <v>46</v>
      </c>
      <c r="P227" s="11" t="s">
        <v>33</v>
      </c>
      <c r="Q227" s="15">
        <v>0</v>
      </c>
      <c r="R227" s="11" t="s">
        <v>1386</v>
      </c>
      <c r="S227" s="10">
        <v>0</v>
      </c>
      <c r="T227" s="15">
        <v>80</v>
      </c>
      <c r="U227" s="15">
        <v>0</v>
      </c>
      <c r="V227" s="15">
        <v>0</v>
      </c>
      <c r="W227" s="15">
        <v>0</v>
      </c>
      <c r="X227" s="15">
        <f>IF(O227='Udvaskning nøgletal'!$D$65,1,IF(O227='Udvaskning nøgletal'!$D$66,2,IF(O227='Udvaskning nøgletal'!$D$67,3,IF(O227='Udvaskning nøgletal'!$D$68,2,""))))</f>
        <v>2</v>
      </c>
      <c r="Y227" s="15">
        <f>LOOKUP(K227,'Udvaskning nøgletal'!$C$12:$C$60,'Udvaskning nøgletal'!$H$12:$H$60)</f>
        <v>0</v>
      </c>
      <c r="Z227" s="10">
        <f>IF(X227=1,LOOKUP(K227,'Udvaskning nøgletal'!$C$12:$C$60,'Udvaskning nøgletal'!$E$12:$E$60)+Markniveau!Y227*Markniveau!S227/100,IF(X227=2,LOOKUP(K227,'Udvaskning nøgletal'!$C$12:$C$60,'Udvaskning nøgletal'!$F$12:$F$60)+Markniveau!Y227*Markniveau!S227/100,IF(X227=3,LOOKUP(K227,'Udvaskning nøgletal'!$C$12:$C$60,'Udvaskning nøgletal'!G237:G285)+Markniveau!Y227*Markniveau!S227/100,"")))</f>
        <v>10</v>
      </c>
      <c r="AA227" s="10">
        <f t="shared" si="36"/>
        <v>21.9</v>
      </c>
      <c r="AB227" s="10" t="str">
        <f t="shared" si="35"/>
        <v/>
      </c>
      <c r="AC227" s="10" t="str">
        <f t="shared" si="37"/>
        <v/>
      </c>
      <c r="AD227" s="10">
        <f>IF(AND(Q227&gt;0,Q227&lt;30,K227&lt;8),Markniveau!Z227*'Udvaskning nøgletal'!$I$12/100,IF(AND(Q227&gt;0,Q227&lt;30,K227=216),Markniveau!Z227*'Udvaskning nøgletal'!$I$34/100,Markniveau!Z227))</f>
        <v>10</v>
      </c>
      <c r="AE227" s="10">
        <f t="shared" si="43"/>
        <v>21.9</v>
      </c>
      <c r="AF227" s="10" t="str">
        <f t="shared" si="38"/>
        <v/>
      </c>
      <c r="AG227" s="10" t="str">
        <f t="shared" si="44"/>
        <v/>
      </c>
      <c r="AH227" s="10" t="str">
        <f>IF(AND(Q227&gt;0,Q227&lt;30,K227=216),'Udvaskning nøgletal'!$C$42,IF(AND(Q227&gt;0,Q227&lt;30,K227&gt;7,K227&lt;17),'Udvaskning nøgletal'!$C$61,IF(AND(Q227&gt;0,Q227&lt;30,K227&lt;7),'Udvaskning nøgletal'!$C$62,"")))</f>
        <v/>
      </c>
      <c r="AI227" s="10">
        <f t="shared" si="40"/>
        <v>902</v>
      </c>
      <c r="AJ227" s="10">
        <f>IF($X227=1,LOOKUP(AI227,'Udvaskning nøgletal'!$C$12:$C$62,'Udvaskning nøgletal'!$E$12:$E$62)+Markniveau!$Y227*Markniveau!$S227/100,IF($X227=2,LOOKUP(AI227,'Udvaskning nøgletal'!$C$12:$C$62,'Udvaskning nøgletal'!$F$12:$F$62)+Markniveau!$Y227*Markniveau!$S227/100,IF($X227=3,LOOKUP(AI227,'Udvaskning nøgletal'!$C$12:$C$62,'Udvaskning nøgletal'!Q237:Q287)+Markniveau!$Y227*Markniveau!$S227/100,"")))</f>
        <v>10</v>
      </c>
      <c r="AK227" s="10">
        <f t="shared" si="39"/>
        <v>21.9</v>
      </c>
      <c r="AL227" s="10" t="str">
        <f t="shared" si="41"/>
        <v/>
      </c>
      <c r="AM227" s="10" t="str">
        <f t="shared" si="42"/>
        <v/>
      </c>
    </row>
    <row r="228" spans="1:39" x14ac:dyDescent="0.25">
      <c r="A228" s="15">
        <v>14265473</v>
      </c>
      <c r="B228" s="15">
        <v>11.69</v>
      </c>
      <c r="C228" s="15">
        <v>581431</v>
      </c>
      <c r="D228" s="15">
        <v>150693</v>
      </c>
      <c r="E228" s="15" t="s">
        <v>249</v>
      </c>
      <c r="F228" s="15">
        <v>2011</v>
      </c>
      <c r="G228" s="15">
        <v>20110324</v>
      </c>
      <c r="H228" s="15">
        <v>8670</v>
      </c>
      <c r="I228" s="15">
        <v>0.87</v>
      </c>
      <c r="J228" s="6" t="s">
        <v>1454</v>
      </c>
      <c r="K228" s="15">
        <v>254</v>
      </c>
      <c r="L228" s="15" t="s">
        <v>27</v>
      </c>
      <c r="M228" s="15" t="s">
        <v>4</v>
      </c>
      <c r="N228" s="11" t="s">
        <v>1384</v>
      </c>
      <c r="O228" s="11" t="s">
        <v>28</v>
      </c>
      <c r="P228" s="11" t="s">
        <v>33</v>
      </c>
      <c r="Q228" s="15">
        <v>0</v>
      </c>
      <c r="R228" s="11" t="s">
        <v>1386</v>
      </c>
      <c r="S228" s="10">
        <v>0</v>
      </c>
      <c r="T228" s="15">
        <v>80</v>
      </c>
      <c r="U228" s="15">
        <v>0</v>
      </c>
      <c r="V228" s="15">
        <v>0</v>
      </c>
      <c r="W228" s="15">
        <v>0</v>
      </c>
      <c r="X228" s="15">
        <f>IF(O228='Udvaskning nøgletal'!$D$65,1,IF(O228='Udvaskning nøgletal'!$D$66,2,IF(O228='Udvaskning nøgletal'!$D$67,3,IF(O228='Udvaskning nøgletal'!$D$68,2,""))))</f>
        <v>1</v>
      </c>
      <c r="Y228" s="15">
        <f>LOOKUP(K228,'Udvaskning nøgletal'!$C$12:$C$60,'Udvaskning nøgletal'!$H$12:$H$60)</f>
        <v>0</v>
      </c>
      <c r="Z228" s="10">
        <f>IF(X228=1,LOOKUP(K228,'Udvaskning nøgletal'!$C$12:$C$60,'Udvaskning nøgletal'!$E$12:$E$60)+Markniveau!Y228*Markniveau!S228/100,IF(X228=2,LOOKUP(K228,'Udvaskning nøgletal'!$C$12:$C$60,'Udvaskning nøgletal'!$F$12:$F$60)+Markniveau!Y228*Markniveau!S228/100,IF(X228=3,LOOKUP(K228,'Udvaskning nøgletal'!$C$12:$C$60,'Udvaskning nøgletal'!G238:G286)+Markniveau!Y228*Markniveau!S228/100,"")))</f>
        <v>21.2</v>
      </c>
      <c r="AA228" s="10">
        <f t="shared" si="36"/>
        <v>18.443999999999999</v>
      </c>
      <c r="AB228" s="10" t="str">
        <f t="shared" si="35"/>
        <v/>
      </c>
      <c r="AC228" s="10" t="str">
        <f t="shared" si="37"/>
        <v/>
      </c>
      <c r="AD228" s="10">
        <f>IF(AND(Q228&gt;0,Q228&lt;30,K228&lt;8),Markniveau!Z228*'Udvaskning nøgletal'!$I$12/100,IF(AND(Q228&gt;0,Q228&lt;30,K228=216),Markniveau!Z228*'Udvaskning nøgletal'!$I$34/100,Markniveau!Z228))</f>
        <v>21.2</v>
      </c>
      <c r="AE228" s="10">
        <f t="shared" si="43"/>
        <v>18.443999999999999</v>
      </c>
      <c r="AF228" s="10" t="str">
        <f t="shared" si="38"/>
        <v/>
      </c>
      <c r="AG228" s="10" t="str">
        <f t="shared" si="44"/>
        <v/>
      </c>
      <c r="AH228" s="10" t="str">
        <f>IF(AND(Q228&gt;0,Q228&lt;30,K228=216),'Udvaskning nøgletal'!$C$42,IF(AND(Q228&gt;0,Q228&lt;30,K228&gt;7,K228&lt;17),'Udvaskning nøgletal'!$C$61,IF(AND(Q228&gt;0,Q228&lt;30,K228&lt;7),'Udvaskning nøgletal'!$C$62,"")))</f>
        <v/>
      </c>
      <c r="AI228" s="10">
        <f t="shared" si="40"/>
        <v>254</v>
      </c>
      <c r="AJ228" s="10">
        <f>IF($X228=1,LOOKUP(AI228,'Udvaskning nøgletal'!$C$12:$C$62,'Udvaskning nøgletal'!$E$12:$E$62)+Markniveau!$Y228*Markniveau!$S228/100,IF($X228=2,LOOKUP(AI228,'Udvaskning nøgletal'!$C$12:$C$62,'Udvaskning nøgletal'!$F$12:$F$62)+Markniveau!$Y228*Markniveau!$S228/100,IF($X228=3,LOOKUP(AI228,'Udvaskning nøgletal'!$C$12:$C$62,'Udvaskning nøgletal'!Q238:Q288)+Markniveau!$Y228*Markniveau!$S228/100,"")))</f>
        <v>21.2</v>
      </c>
      <c r="AK228" s="10">
        <f t="shared" si="39"/>
        <v>18.443999999999999</v>
      </c>
      <c r="AL228" s="10" t="str">
        <f t="shared" si="41"/>
        <v/>
      </c>
      <c r="AM228" s="10" t="str">
        <f t="shared" si="42"/>
        <v/>
      </c>
    </row>
    <row r="229" spans="1:39" x14ac:dyDescent="0.25">
      <c r="A229" s="15">
        <v>14265473</v>
      </c>
      <c r="B229" s="15">
        <v>11.69</v>
      </c>
      <c r="C229" s="15">
        <v>581432</v>
      </c>
      <c r="D229" s="15">
        <v>150693</v>
      </c>
      <c r="E229" s="15" t="s">
        <v>250</v>
      </c>
      <c r="F229" s="15">
        <v>2011</v>
      </c>
      <c r="G229" s="15">
        <v>20110324</v>
      </c>
      <c r="H229" s="15">
        <v>10655</v>
      </c>
      <c r="I229" s="15">
        <v>1.07</v>
      </c>
      <c r="J229" s="6" t="s">
        <v>1455</v>
      </c>
      <c r="K229" s="15">
        <v>254</v>
      </c>
      <c r="L229" s="15" t="s">
        <v>27</v>
      </c>
      <c r="M229" s="15" t="s">
        <v>4</v>
      </c>
      <c r="N229" s="11" t="s">
        <v>1384</v>
      </c>
      <c r="O229" s="11" t="s">
        <v>28</v>
      </c>
      <c r="P229" s="11" t="s">
        <v>33</v>
      </c>
      <c r="Q229" s="15">
        <v>0</v>
      </c>
      <c r="R229" s="11" t="s">
        <v>1386</v>
      </c>
      <c r="S229" s="10">
        <v>0</v>
      </c>
      <c r="T229" s="15">
        <v>80</v>
      </c>
      <c r="U229" s="15">
        <v>0</v>
      </c>
      <c r="V229" s="15">
        <v>0</v>
      </c>
      <c r="W229" s="15">
        <v>0</v>
      </c>
      <c r="X229" s="15">
        <f>IF(O229='Udvaskning nøgletal'!$D$65,1,IF(O229='Udvaskning nøgletal'!$D$66,2,IF(O229='Udvaskning nøgletal'!$D$67,3,IF(O229='Udvaskning nøgletal'!$D$68,2,""))))</f>
        <v>1</v>
      </c>
      <c r="Y229" s="15">
        <f>LOOKUP(K229,'Udvaskning nøgletal'!$C$12:$C$60,'Udvaskning nøgletal'!$H$12:$H$60)</f>
        <v>0</v>
      </c>
      <c r="Z229" s="10">
        <f>IF(X229=1,LOOKUP(K229,'Udvaskning nøgletal'!$C$12:$C$60,'Udvaskning nøgletal'!$E$12:$E$60)+Markniveau!Y229*Markniveau!S229/100,IF(X229=2,LOOKUP(K229,'Udvaskning nøgletal'!$C$12:$C$60,'Udvaskning nøgletal'!$F$12:$F$60)+Markniveau!Y229*Markniveau!S229/100,IF(X229=3,LOOKUP(K229,'Udvaskning nøgletal'!$C$12:$C$60,'Udvaskning nøgletal'!G239:G287)+Markniveau!Y229*Markniveau!S229/100,"")))</f>
        <v>21.2</v>
      </c>
      <c r="AA229" s="10">
        <f t="shared" si="36"/>
        <v>22.684000000000001</v>
      </c>
      <c r="AB229" s="10" t="str">
        <f t="shared" si="35"/>
        <v/>
      </c>
      <c r="AC229" s="10" t="str">
        <f t="shared" si="37"/>
        <v/>
      </c>
      <c r="AD229" s="10">
        <f>IF(AND(Q229&gt;0,Q229&lt;30,K229&lt;8),Markniveau!Z229*'Udvaskning nøgletal'!$I$12/100,IF(AND(Q229&gt;0,Q229&lt;30,K229=216),Markniveau!Z229*'Udvaskning nøgletal'!$I$34/100,Markniveau!Z229))</f>
        <v>21.2</v>
      </c>
      <c r="AE229" s="10">
        <f t="shared" si="43"/>
        <v>22.684000000000001</v>
      </c>
      <c r="AF229" s="10" t="str">
        <f t="shared" si="38"/>
        <v/>
      </c>
      <c r="AG229" s="10" t="str">
        <f t="shared" si="44"/>
        <v/>
      </c>
      <c r="AH229" s="10" t="str">
        <f>IF(AND(Q229&gt;0,Q229&lt;30,K229=216),'Udvaskning nøgletal'!$C$42,IF(AND(Q229&gt;0,Q229&lt;30,K229&gt;7,K229&lt;17),'Udvaskning nøgletal'!$C$61,IF(AND(Q229&gt;0,Q229&lt;30,K229&lt;7),'Udvaskning nøgletal'!$C$62,"")))</f>
        <v/>
      </c>
      <c r="AI229" s="10">
        <f t="shared" si="40"/>
        <v>254</v>
      </c>
      <c r="AJ229" s="10">
        <f>IF($X229=1,LOOKUP(AI229,'Udvaskning nøgletal'!$C$12:$C$62,'Udvaskning nøgletal'!$E$12:$E$62)+Markniveau!$Y229*Markniveau!$S229/100,IF($X229=2,LOOKUP(AI229,'Udvaskning nøgletal'!$C$12:$C$62,'Udvaskning nøgletal'!$F$12:$F$62)+Markniveau!$Y229*Markniveau!$S229/100,IF($X229=3,LOOKUP(AI229,'Udvaskning nøgletal'!$C$12:$C$62,'Udvaskning nøgletal'!Q239:Q289)+Markniveau!$Y229*Markniveau!$S229/100,"")))</f>
        <v>21.2</v>
      </c>
      <c r="AK229" s="10">
        <f t="shared" si="39"/>
        <v>22.684000000000001</v>
      </c>
      <c r="AL229" s="10" t="str">
        <f t="shared" si="41"/>
        <v/>
      </c>
      <c r="AM229" s="10" t="str">
        <f t="shared" si="42"/>
        <v/>
      </c>
    </row>
    <row r="230" spans="1:39" x14ac:dyDescent="0.25">
      <c r="A230" s="15">
        <v>14265473</v>
      </c>
      <c r="B230" s="15">
        <v>11.69</v>
      </c>
      <c r="C230" s="15">
        <v>581433</v>
      </c>
      <c r="D230" s="15">
        <v>150693</v>
      </c>
      <c r="E230" s="15" t="s">
        <v>237</v>
      </c>
      <c r="F230" s="15">
        <v>2011</v>
      </c>
      <c r="G230" s="15">
        <v>20110324</v>
      </c>
      <c r="H230" s="15">
        <v>246285</v>
      </c>
      <c r="I230" s="15">
        <v>24.63</v>
      </c>
      <c r="J230" s="6" t="s">
        <v>97</v>
      </c>
      <c r="K230" s="15">
        <v>318</v>
      </c>
      <c r="L230" s="15" t="s">
        <v>171</v>
      </c>
      <c r="M230" s="15" t="s">
        <v>13</v>
      </c>
      <c r="N230" s="11" t="s">
        <v>1384</v>
      </c>
      <c r="O230" s="11" t="s">
        <v>28</v>
      </c>
      <c r="P230" s="11" t="s">
        <v>33</v>
      </c>
      <c r="Q230" s="15">
        <v>0</v>
      </c>
      <c r="R230" s="11" t="s">
        <v>1386</v>
      </c>
      <c r="S230" s="10">
        <v>0</v>
      </c>
      <c r="T230" s="15">
        <v>80</v>
      </c>
      <c r="U230" s="15">
        <v>0</v>
      </c>
      <c r="V230" s="15">
        <v>0</v>
      </c>
      <c r="W230" s="15">
        <v>0</v>
      </c>
      <c r="X230" s="15">
        <f>IF(O230='Udvaskning nøgletal'!$D$65,1,IF(O230='Udvaskning nøgletal'!$D$66,2,IF(O230='Udvaskning nøgletal'!$D$67,3,IF(O230='Udvaskning nøgletal'!$D$68,2,""))))</f>
        <v>1</v>
      </c>
      <c r="Y230" s="15">
        <f>LOOKUP(K230,'Udvaskning nøgletal'!$C$12:$C$60,'Udvaskning nøgletal'!$H$12:$H$60)</f>
        <v>0</v>
      </c>
      <c r="Z230" s="10">
        <f>IF(X230=1,LOOKUP(K230,'Udvaskning nøgletal'!$C$12:$C$60,'Udvaskning nøgletal'!$E$12:$E$60)+Markniveau!Y230*Markniveau!S230/100,IF(X230=2,LOOKUP(K230,'Udvaskning nøgletal'!$C$12:$C$60,'Udvaskning nøgletal'!$F$12:$F$60)+Markniveau!Y230*Markniveau!S230/100,IF(X230=3,LOOKUP(K230,'Udvaskning nøgletal'!$C$12:$C$60,'Udvaskning nøgletal'!G240:G288)+Markniveau!Y230*Markniveau!S230/100,"")))</f>
        <v>10</v>
      </c>
      <c r="AA230" s="10">
        <f t="shared" si="36"/>
        <v>246.29999999999998</v>
      </c>
      <c r="AB230" s="10" t="str">
        <f t="shared" si="35"/>
        <v/>
      </c>
      <c r="AC230" s="10" t="str">
        <f t="shared" si="37"/>
        <v/>
      </c>
      <c r="AD230" s="10">
        <f>IF(AND(Q230&gt;0,Q230&lt;30,K230&lt;8),Markniveau!Z230*'Udvaskning nøgletal'!$I$12/100,IF(AND(Q230&gt;0,Q230&lt;30,K230=216),Markniveau!Z230*'Udvaskning nøgletal'!$I$34/100,Markniveau!Z230))</f>
        <v>10</v>
      </c>
      <c r="AE230" s="10">
        <f t="shared" si="43"/>
        <v>246.29999999999998</v>
      </c>
      <c r="AF230" s="10" t="str">
        <f t="shared" si="38"/>
        <v/>
      </c>
      <c r="AG230" s="10" t="str">
        <f t="shared" si="44"/>
        <v/>
      </c>
      <c r="AH230" s="10" t="str">
        <f>IF(AND(Q230&gt;0,Q230&lt;30,K230=216),'Udvaskning nøgletal'!$C$42,IF(AND(Q230&gt;0,Q230&lt;30,K230&gt;7,K230&lt;17),'Udvaskning nøgletal'!$C$61,IF(AND(Q230&gt;0,Q230&lt;30,K230&lt;7),'Udvaskning nøgletal'!$C$62,"")))</f>
        <v/>
      </c>
      <c r="AI230" s="10">
        <f t="shared" si="40"/>
        <v>318</v>
      </c>
      <c r="AJ230" s="10">
        <f>IF($X230=1,LOOKUP(AI230,'Udvaskning nøgletal'!$C$12:$C$62,'Udvaskning nøgletal'!$E$12:$E$62)+Markniveau!$Y230*Markniveau!$S230/100,IF($X230=2,LOOKUP(AI230,'Udvaskning nøgletal'!$C$12:$C$62,'Udvaskning nøgletal'!$F$12:$F$62)+Markniveau!$Y230*Markniveau!$S230/100,IF($X230=3,LOOKUP(AI230,'Udvaskning nøgletal'!$C$12:$C$62,'Udvaskning nøgletal'!Q240:Q290)+Markniveau!$Y230*Markniveau!$S230/100,"")))</f>
        <v>10</v>
      </c>
      <c r="AK230" s="10">
        <f t="shared" si="39"/>
        <v>246.29999999999998</v>
      </c>
      <c r="AL230" s="10" t="str">
        <f t="shared" si="41"/>
        <v/>
      </c>
      <c r="AM230" s="10" t="str">
        <f t="shared" si="42"/>
        <v/>
      </c>
    </row>
    <row r="231" spans="1:39" x14ac:dyDescent="0.25">
      <c r="A231" s="15">
        <v>14265473</v>
      </c>
      <c r="B231" s="15">
        <v>11.69</v>
      </c>
      <c r="C231" s="15">
        <v>588169</v>
      </c>
      <c r="D231" s="15">
        <v>150693</v>
      </c>
      <c r="E231" s="15" t="s">
        <v>251</v>
      </c>
      <c r="F231" s="15">
        <v>2011</v>
      </c>
      <c r="G231" s="15">
        <v>20110324</v>
      </c>
      <c r="H231" s="15">
        <v>59321</v>
      </c>
      <c r="I231" s="15">
        <v>5.93</v>
      </c>
      <c r="J231" s="6" t="s">
        <v>1400</v>
      </c>
      <c r="K231" s="15">
        <v>254</v>
      </c>
      <c r="L231" s="15" t="s">
        <v>27</v>
      </c>
      <c r="M231" s="15" t="s">
        <v>4</v>
      </c>
      <c r="N231" s="11" t="s">
        <v>1390</v>
      </c>
      <c r="O231" s="11" t="s">
        <v>42</v>
      </c>
      <c r="P231" s="11" t="s">
        <v>33</v>
      </c>
      <c r="Q231" s="15">
        <v>0</v>
      </c>
      <c r="R231" s="11" t="s">
        <v>1386</v>
      </c>
      <c r="S231" s="10">
        <v>0</v>
      </c>
      <c r="T231" s="15">
        <v>80</v>
      </c>
      <c r="U231" s="15">
        <v>0</v>
      </c>
      <c r="V231" s="15">
        <v>0</v>
      </c>
      <c r="W231" s="15">
        <v>0</v>
      </c>
      <c r="X231" s="15">
        <f>IF(O231='Udvaskning nøgletal'!$D$65,1,IF(O231='Udvaskning nøgletal'!$D$66,2,IF(O231='Udvaskning nøgletal'!$D$67,3,IF(O231='Udvaskning nøgletal'!$D$68,2,""))))</f>
        <v>2</v>
      </c>
      <c r="Y231" s="15">
        <f>LOOKUP(K231,'Udvaskning nøgletal'!$C$12:$C$60,'Udvaskning nøgletal'!$H$12:$H$60)</f>
        <v>0</v>
      </c>
      <c r="Z231" s="10">
        <f>IF(X231=1,LOOKUP(K231,'Udvaskning nøgletal'!$C$12:$C$60,'Udvaskning nøgletal'!$E$12:$E$60)+Markniveau!Y231*Markniveau!S231/100,IF(X231=2,LOOKUP(K231,'Udvaskning nøgletal'!$C$12:$C$60,'Udvaskning nøgletal'!$F$12:$F$60)+Markniveau!Y231*Markniveau!S231/100,IF(X231=3,LOOKUP(K231,'Udvaskning nøgletal'!$C$12:$C$60,'Udvaskning nøgletal'!G241:G289)+Markniveau!Y231*Markniveau!S231/100,"")))</f>
        <v>21.2</v>
      </c>
      <c r="AA231" s="10">
        <f t="shared" si="36"/>
        <v>125.71599999999999</v>
      </c>
      <c r="AB231" s="10" t="str">
        <f t="shared" si="35"/>
        <v/>
      </c>
      <c r="AC231" s="10" t="str">
        <f t="shared" si="37"/>
        <v/>
      </c>
      <c r="AD231" s="10">
        <f>IF(AND(Q231&gt;0,Q231&lt;30,K231&lt;8),Markniveau!Z231*'Udvaskning nøgletal'!$I$12/100,IF(AND(Q231&gt;0,Q231&lt;30,K231=216),Markniveau!Z231*'Udvaskning nøgletal'!$I$34/100,Markniveau!Z231))</f>
        <v>21.2</v>
      </c>
      <c r="AE231" s="10">
        <f t="shared" si="43"/>
        <v>125.71599999999999</v>
      </c>
      <c r="AF231" s="10" t="str">
        <f t="shared" si="38"/>
        <v/>
      </c>
      <c r="AG231" s="10" t="str">
        <f t="shared" si="44"/>
        <v/>
      </c>
      <c r="AH231" s="10" t="str">
        <f>IF(AND(Q231&gt;0,Q231&lt;30,K231=216),'Udvaskning nøgletal'!$C$42,IF(AND(Q231&gt;0,Q231&lt;30,K231&gt;7,K231&lt;17),'Udvaskning nøgletal'!$C$61,IF(AND(Q231&gt;0,Q231&lt;30,K231&lt;7),'Udvaskning nøgletal'!$C$62,"")))</f>
        <v/>
      </c>
      <c r="AI231" s="10">
        <f t="shared" si="40"/>
        <v>254</v>
      </c>
      <c r="AJ231" s="10">
        <f>IF($X231=1,LOOKUP(AI231,'Udvaskning nøgletal'!$C$12:$C$62,'Udvaskning nøgletal'!$E$12:$E$62)+Markniveau!$Y231*Markniveau!$S231/100,IF($X231=2,LOOKUP(AI231,'Udvaskning nøgletal'!$C$12:$C$62,'Udvaskning nøgletal'!$F$12:$F$62)+Markniveau!$Y231*Markniveau!$S231/100,IF($X231=3,LOOKUP(AI231,'Udvaskning nøgletal'!$C$12:$C$62,'Udvaskning nøgletal'!Q241:Q291)+Markniveau!$Y231*Markniveau!$S231/100,"")))</f>
        <v>21.2</v>
      </c>
      <c r="AK231" s="10">
        <f t="shared" si="39"/>
        <v>125.71599999999999</v>
      </c>
      <c r="AL231" s="10" t="str">
        <f t="shared" si="41"/>
        <v/>
      </c>
      <c r="AM231" s="10" t="str">
        <f t="shared" si="42"/>
        <v/>
      </c>
    </row>
    <row r="232" spans="1:39" x14ac:dyDescent="0.25">
      <c r="A232" s="15">
        <v>14265473</v>
      </c>
      <c r="B232" s="15">
        <v>11.69</v>
      </c>
      <c r="C232" s="15">
        <v>588684</v>
      </c>
      <c r="D232" s="15">
        <v>150693</v>
      </c>
      <c r="E232" s="15" t="s">
        <v>252</v>
      </c>
      <c r="F232" s="15">
        <v>2011</v>
      </c>
      <c r="G232" s="15">
        <v>20110324</v>
      </c>
      <c r="H232" s="15">
        <v>3578</v>
      </c>
      <c r="I232" s="15">
        <v>0.36</v>
      </c>
      <c r="J232" s="6" t="s">
        <v>1456</v>
      </c>
      <c r="K232" s="15">
        <v>276</v>
      </c>
      <c r="L232" s="15" t="s">
        <v>146</v>
      </c>
      <c r="M232" s="15" t="s">
        <v>4</v>
      </c>
      <c r="N232" s="11" t="s">
        <v>1406</v>
      </c>
      <c r="O232" s="11" t="s">
        <v>46</v>
      </c>
      <c r="P232" s="11" t="s">
        <v>33</v>
      </c>
      <c r="Q232" s="15">
        <v>0</v>
      </c>
      <c r="R232" s="11" t="s">
        <v>1386</v>
      </c>
      <c r="S232" s="10">
        <v>0</v>
      </c>
      <c r="T232" s="15">
        <v>80</v>
      </c>
      <c r="U232" s="15">
        <v>0</v>
      </c>
      <c r="V232" s="15">
        <v>0</v>
      </c>
      <c r="W232" s="15">
        <v>0</v>
      </c>
      <c r="X232" s="15">
        <f>IF(O232='Udvaskning nøgletal'!$D$65,1,IF(O232='Udvaskning nøgletal'!$D$66,2,IF(O232='Udvaskning nøgletal'!$D$67,3,IF(O232='Udvaskning nøgletal'!$D$68,2,""))))</f>
        <v>2</v>
      </c>
      <c r="Y232" s="15">
        <f>LOOKUP(K232,'Udvaskning nøgletal'!$C$12:$C$60,'Udvaskning nøgletal'!$H$12:$H$60)</f>
        <v>0</v>
      </c>
      <c r="Z232" s="10">
        <f>IF(X232=1,LOOKUP(K232,'Udvaskning nøgletal'!$C$12:$C$60,'Udvaskning nøgletal'!$E$12:$E$60)+Markniveau!Y232*Markniveau!S232/100,IF(X232=2,LOOKUP(K232,'Udvaskning nøgletal'!$C$12:$C$60,'Udvaskning nøgletal'!$F$12:$F$60)+Markniveau!Y232*Markniveau!S232/100,IF(X232=3,LOOKUP(K232,'Udvaskning nøgletal'!$C$12:$C$60,'Udvaskning nøgletal'!G242:G290)+Markniveau!Y232*Markniveau!S232/100,"")))</f>
        <v>10.6</v>
      </c>
      <c r="AA232" s="10">
        <f t="shared" si="36"/>
        <v>3.8159999999999998</v>
      </c>
      <c r="AB232" s="10" t="str">
        <f t="shared" si="35"/>
        <v/>
      </c>
      <c r="AC232" s="10" t="str">
        <f t="shared" si="37"/>
        <v/>
      </c>
      <c r="AD232" s="10">
        <f>IF(AND(Q232&gt;0,Q232&lt;30,K232&lt;8),Markniveau!Z232*'Udvaskning nøgletal'!$I$12/100,IF(AND(Q232&gt;0,Q232&lt;30,K232=216),Markniveau!Z232*'Udvaskning nøgletal'!$I$34/100,Markniveau!Z232))</f>
        <v>10.6</v>
      </c>
      <c r="AE232" s="10">
        <f t="shared" si="43"/>
        <v>3.8159999999999998</v>
      </c>
      <c r="AF232" s="10" t="str">
        <f t="shared" si="38"/>
        <v/>
      </c>
      <c r="AG232" s="10" t="str">
        <f t="shared" si="44"/>
        <v/>
      </c>
      <c r="AH232" s="10" t="str">
        <f>IF(AND(Q232&gt;0,Q232&lt;30,K232=216),'Udvaskning nøgletal'!$C$42,IF(AND(Q232&gt;0,Q232&lt;30,K232&gt;7,K232&lt;17),'Udvaskning nøgletal'!$C$61,IF(AND(Q232&gt;0,Q232&lt;30,K232&lt;7),'Udvaskning nøgletal'!$C$62,"")))</f>
        <v/>
      </c>
      <c r="AI232" s="10">
        <f t="shared" si="40"/>
        <v>276</v>
      </c>
      <c r="AJ232" s="10">
        <f>IF($X232=1,LOOKUP(AI232,'Udvaskning nøgletal'!$C$12:$C$62,'Udvaskning nøgletal'!$E$12:$E$62)+Markniveau!$Y232*Markniveau!$S232/100,IF($X232=2,LOOKUP(AI232,'Udvaskning nøgletal'!$C$12:$C$62,'Udvaskning nøgletal'!$F$12:$F$62)+Markniveau!$Y232*Markniveau!$S232/100,IF($X232=3,LOOKUP(AI232,'Udvaskning nøgletal'!$C$12:$C$62,'Udvaskning nøgletal'!Q242:Q292)+Markniveau!$Y232*Markniveau!$S232/100,"")))</f>
        <v>10.6</v>
      </c>
      <c r="AK232" s="10">
        <f t="shared" si="39"/>
        <v>3.8159999999999998</v>
      </c>
      <c r="AL232" s="10" t="str">
        <f t="shared" si="41"/>
        <v/>
      </c>
      <c r="AM232" s="10" t="str">
        <f t="shared" si="42"/>
        <v/>
      </c>
    </row>
    <row r="233" spans="1:39" x14ac:dyDescent="0.25">
      <c r="A233" s="15">
        <v>14265473</v>
      </c>
      <c r="B233" s="15">
        <v>11.69</v>
      </c>
      <c r="C233" s="15">
        <v>588685</v>
      </c>
      <c r="D233" s="15">
        <v>150693</v>
      </c>
      <c r="E233" s="15" t="s">
        <v>253</v>
      </c>
      <c r="F233" s="15">
        <v>2011</v>
      </c>
      <c r="G233" s="15">
        <v>20110324</v>
      </c>
      <c r="H233" s="15">
        <v>14134</v>
      </c>
      <c r="I233" s="15">
        <v>1.41</v>
      </c>
      <c r="J233" s="6" t="s">
        <v>38</v>
      </c>
      <c r="K233" s="15">
        <v>252</v>
      </c>
      <c r="L233" s="15" t="s">
        <v>41</v>
      </c>
      <c r="M233" s="15" t="s">
        <v>4</v>
      </c>
      <c r="N233" s="11" t="s">
        <v>1384</v>
      </c>
      <c r="O233" s="11" t="s">
        <v>28</v>
      </c>
      <c r="P233" s="11" t="s">
        <v>33</v>
      </c>
      <c r="Q233" s="15">
        <v>0</v>
      </c>
      <c r="R233" s="11" t="s">
        <v>1386</v>
      </c>
      <c r="S233" s="10">
        <v>0</v>
      </c>
      <c r="T233" s="15">
        <v>80</v>
      </c>
      <c r="U233" s="15">
        <v>0</v>
      </c>
      <c r="V233" s="15">
        <v>0</v>
      </c>
      <c r="W233" s="15">
        <v>0</v>
      </c>
      <c r="X233" s="15">
        <f>IF(O233='Udvaskning nøgletal'!$D$65,1,IF(O233='Udvaskning nøgletal'!$D$66,2,IF(O233='Udvaskning nøgletal'!$D$67,3,IF(O233='Udvaskning nøgletal'!$D$68,2,""))))</f>
        <v>1</v>
      </c>
      <c r="Y233" s="15">
        <f>LOOKUP(K233,'Udvaskning nøgletal'!$C$12:$C$60,'Udvaskning nøgletal'!$H$12:$H$60)</f>
        <v>0</v>
      </c>
      <c r="Z233" s="10">
        <f>IF(X233=1,LOOKUP(K233,'Udvaskning nøgletal'!$C$12:$C$60,'Udvaskning nøgletal'!$E$12:$E$60)+Markniveau!Y233*Markniveau!S233/100,IF(X233=2,LOOKUP(K233,'Udvaskning nøgletal'!$C$12:$C$60,'Udvaskning nøgletal'!$F$12:$F$60)+Markniveau!Y233*Markniveau!S233/100,IF(X233=3,LOOKUP(K233,'Udvaskning nøgletal'!$C$12:$C$60,'Udvaskning nøgletal'!G243:G291)+Markniveau!Y233*Markniveau!S233/100,"")))</f>
        <v>21.2</v>
      </c>
      <c r="AA233" s="10">
        <f t="shared" si="36"/>
        <v>29.891999999999996</v>
      </c>
      <c r="AB233" s="10" t="str">
        <f t="shared" si="35"/>
        <v/>
      </c>
      <c r="AC233" s="10" t="str">
        <f t="shared" si="37"/>
        <v/>
      </c>
      <c r="AD233" s="10">
        <f>IF(AND(Q233&gt;0,Q233&lt;30,K233&lt;8),Markniveau!Z233*'Udvaskning nøgletal'!$I$12/100,IF(AND(Q233&gt;0,Q233&lt;30,K233=216),Markniveau!Z233*'Udvaskning nøgletal'!$I$34/100,Markniveau!Z233))</f>
        <v>21.2</v>
      </c>
      <c r="AE233" s="10">
        <f t="shared" si="43"/>
        <v>29.891999999999996</v>
      </c>
      <c r="AF233" s="10" t="str">
        <f t="shared" si="38"/>
        <v/>
      </c>
      <c r="AG233" s="10" t="str">
        <f t="shared" si="44"/>
        <v/>
      </c>
      <c r="AH233" s="10" t="str">
        <f>IF(AND(Q233&gt;0,Q233&lt;30,K233=216),'Udvaskning nøgletal'!$C$42,IF(AND(Q233&gt;0,Q233&lt;30,K233&gt;7,K233&lt;17),'Udvaskning nøgletal'!$C$61,IF(AND(Q233&gt;0,Q233&lt;30,K233&lt;7),'Udvaskning nøgletal'!$C$62,"")))</f>
        <v/>
      </c>
      <c r="AI233" s="10">
        <f t="shared" si="40"/>
        <v>252</v>
      </c>
      <c r="AJ233" s="10">
        <f>IF($X233=1,LOOKUP(AI233,'Udvaskning nøgletal'!$C$12:$C$62,'Udvaskning nøgletal'!$E$12:$E$62)+Markniveau!$Y233*Markniveau!$S233/100,IF($X233=2,LOOKUP(AI233,'Udvaskning nøgletal'!$C$12:$C$62,'Udvaskning nøgletal'!$F$12:$F$62)+Markniveau!$Y233*Markniveau!$S233/100,IF($X233=3,LOOKUP(AI233,'Udvaskning nøgletal'!$C$12:$C$62,'Udvaskning nøgletal'!Q243:Q293)+Markniveau!$Y233*Markniveau!$S233/100,"")))</f>
        <v>21.2</v>
      </c>
      <c r="AK233" s="10">
        <f t="shared" si="39"/>
        <v>29.891999999999996</v>
      </c>
      <c r="AL233" s="10" t="str">
        <f t="shared" si="41"/>
        <v/>
      </c>
      <c r="AM233" s="10" t="str">
        <f t="shared" si="42"/>
        <v/>
      </c>
    </row>
    <row r="234" spans="1:39" x14ac:dyDescent="0.25">
      <c r="A234" s="15">
        <v>14265473</v>
      </c>
      <c r="B234" s="15">
        <v>11.69</v>
      </c>
      <c r="C234" s="15">
        <v>588686</v>
      </c>
      <c r="D234" s="15">
        <v>150693</v>
      </c>
      <c r="E234" s="15" t="s">
        <v>254</v>
      </c>
      <c r="F234" s="15">
        <v>2011</v>
      </c>
      <c r="G234" s="15">
        <v>20110324</v>
      </c>
      <c r="H234" s="15">
        <v>15557</v>
      </c>
      <c r="I234" s="15">
        <v>1.56</v>
      </c>
      <c r="J234" s="6" t="s">
        <v>1457</v>
      </c>
      <c r="K234" s="15">
        <v>252</v>
      </c>
      <c r="L234" s="15" t="s">
        <v>41</v>
      </c>
      <c r="M234" s="15" t="s">
        <v>4</v>
      </c>
      <c r="N234" s="11" t="s">
        <v>1384</v>
      </c>
      <c r="O234" s="11" t="s">
        <v>28</v>
      </c>
      <c r="P234" s="11" t="s">
        <v>33</v>
      </c>
      <c r="Q234" s="15">
        <v>0</v>
      </c>
      <c r="R234" s="11" t="s">
        <v>1386</v>
      </c>
      <c r="S234" s="10">
        <v>0</v>
      </c>
      <c r="T234" s="15">
        <v>80</v>
      </c>
      <c r="U234" s="15">
        <v>0</v>
      </c>
      <c r="V234" s="15">
        <v>0</v>
      </c>
      <c r="W234" s="15">
        <v>0</v>
      </c>
      <c r="X234" s="15">
        <f>IF(O234='Udvaskning nøgletal'!$D$65,1,IF(O234='Udvaskning nøgletal'!$D$66,2,IF(O234='Udvaskning nøgletal'!$D$67,3,IF(O234='Udvaskning nøgletal'!$D$68,2,""))))</f>
        <v>1</v>
      </c>
      <c r="Y234" s="15">
        <f>LOOKUP(K234,'Udvaskning nøgletal'!$C$12:$C$60,'Udvaskning nøgletal'!$H$12:$H$60)</f>
        <v>0</v>
      </c>
      <c r="Z234" s="10">
        <f>IF(X234=1,LOOKUP(K234,'Udvaskning nøgletal'!$C$12:$C$60,'Udvaskning nøgletal'!$E$12:$E$60)+Markniveau!Y234*Markniveau!S234/100,IF(X234=2,LOOKUP(K234,'Udvaskning nøgletal'!$C$12:$C$60,'Udvaskning nøgletal'!$F$12:$F$60)+Markniveau!Y234*Markniveau!S234/100,IF(X234=3,LOOKUP(K234,'Udvaskning nøgletal'!$C$12:$C$60,'Udvaskning nøgletal'!G244:G292)+Markniveau!Y234*Markniveau!S234/100,"")))</f>
        <v>21.2</v>
      </c>
      <c r="AA234" s="10">
        <f t="shared" si="36"/>
        <v>33.072000000000003</v>
      </c>
      <c r="AB234" s="10" t="str">
        <f t="shared" si="35"/>
        <v/>
      </c>
      <c r="AC234" s="10" t="str">
        <f t="shared" si="37"/>
        <v/>
      </c>
      <c r="AD234" s="10">
        <f>IF(AND(Q234&gt;0,Q234&lt;30,K234&lt;8),Markniveau!Z234*'Udvaskning nøgletal'!$I$12/100,IF(AND(Q234&gt;0,Q234&lt;30,K234=216),Markniveau!Z234*'Udvaskning nøgletal'!$I$34/100,Markniveau!Z234))</f>
        <v>21.2</v>
      </c>
      <c r="AE234" s="10">
        <f t="shared" si="43"/>
        <v>33.072000000000003</v>
      </c>
      <c r="AF234" s="10" t="str">
        <f t="shared" si="38"/>
        <v/>
      </c>
      <c r="AG234" s="10" t="str">
        <f t="shared" si="44"/>
        <v/>
      </c>
      <c r="AH234" s="10" t="str">
        <f>IF(AND(Q234&gt;0,Q234&lt;30,K234=216),'Udvaskning nøgletal'!$C$42,IF(AND(Q234&gt;0,Q234&lt;30,K234&gt;7,K234&lt;17),'Udvaskning nøgletal'!$C$61,IF(AND(Q234&gt;0,Q234&lt;30,K234&lt;7),'Udvaskning nøgletal'!$C$62,"")))</f>
        <v/>
      </c>
      <c r="AI234" s="10">
        <f t="shared" si="40"/>
        <v>252</v>
      </c>
      <c r="AJ234" s="10">
        <f>IF($X234=1,LOOKUP(AI234,'Udvaskning nøgletal'!$C$12:$C$62,'Udvaskning nøgletal'!$E$12:$E$62)+Markniveau!$Y234*Markniveau!$S234/100,IF($X234=2,LOOKUP(AI234,'Udvaskning nøgletal'!$C$12:$C$62,'Udvaskning nøgletal'!$F$12:$F$62)+Markniveau!$Y234*Markniveau!$S234/100,IF($X234=3,LOOKUP(AI234,'Udvaskning nøgletal'!$C$12:$C$62,'Udvaskning nøgletal'!Q244:Q294)+Markniveau!$Y234*Markniveau!$S234/100,"")))</f>
        <v>21.2</v>
      </c>
      <c r="AK234" s="10">
        <f t="shared" si="39"/>
        <v>33.072000000000003</v>
      </c>
      <c r="AL234" s="10" t="str">
        <f t="shared" si="41"/>
        <v/>
      </c>
      <c r="AM234" s="10" t="str">
        <f t="shared" si="42"/>
        <v/>
      </c>
    </row>
    <row r="235" spans="1:39" x14ac:dyDescent="0.25">
      <c r="A235" s="15">
        <v>14265473</v>
      </c>
      <c r="B235" s="15">
        <v>11.69</v>
      </c>
      <c r="C235" s="15">
        <v>595520</v>
      </c>
      <c r="D235" s="15">
        <v>150693</v>
      </c>
      <c r="E235" s="15" t="s">
        <v>185</v>
      </c>
      <c r="F235" s="15">
        <v>2011</v>
      </c>
      <c r="G235" s="15">
        <v>20110324</v>
      </c>
      <c r="H235" s="15">
        <v>53591</v>
      </c>
      <c r="I235" s="15">
        <v>5.36</v>
      </c>
      <c r="J235" s="6" t="s">
        <v>1389</v>
      </c>
      <c r="K235" s="15">
        <v>902</v>
      </c>
      <c r="L235" s="15" t="s">
        <v>160</v>
      </c>
      <c r="M235" s="15" t="s">
        <v>81</v>
      </c>
      <c r="N235" s="11" t="s">
        <v>1384</v>
      </c>
      <c r="O235" s="11" t="s">
        <v>28</v>
      </c>
      <c r="P235" s="11" t="s">
        <v>33</v>
      </c>
      <c r="Q235" s="15">
        <v>0</v>
      </c>
      <c r="R235" s="11" t="s">
        <v>1386</v>
      </c>
      <c r="S235" s="10">
        <v>0</v>
      </c>
      <c r="T235" s="15">
        <v>80</v>
      </c>
      <c r="U235" s="15">
        <v>0</v>
      </c>
      <c r="V235" s="15">
        <v>0</v>
      </c>
      <c r="W235" s="15">
        <v>0</v>
      </c>
      <c r="X235" s="15">
        <f>IF(O235='Udvaskning nøgletal'!$D$65,1,IF(O235='Udvaskning nøgletal'!$D$66,2,IF(O235='Udvaskning nøgletal'!$D$67,3,IF(O235='Udvaskning nøgletal'!$D$68,2,""))))</f>
        <v>1</v>
      </c>
      <c r="Y235" s="15">
        <f>LOOKUP(K235,'Udvaskning nøgletal'!$C$12:$C$60,'Udvaskning nøgletal'!$H$12:$H$60)</f>
        <v>0</v>
      </c>
      <c r="Z235" s="10">
        <f>IF(X235=1,LOOKUP(K235,'Udvaskning nøgletal'!$C$12:$C$60,'Udvaskning nøgletal'!$E$12:$E$60)+Markniveau!Y235*Markniveau!S235/100,IF(X235=2,LOOKUP(K235,'Udvaskning nøgletal'!$C$12:$C$60,'Udvaskning nøgletal'!$F$12:$F$60)+Markniveau!Y235*Markniveau!S235/100,IF(X235=3,LOOKUP(K235,'Udvaskning nøgletal'!$C$12:$C$60,'Udvaskning nøgletal'!G245:G293)+Markniveau!Y235*Markniveau!S235/100,"")))</f>
        <v>10</v>
      </c>
      <c r="AA235" s="10">
        <f t="shared" si="36"/>
        <v>53.6</v>
      </c>
      <c r="AB235" s="10" t="str">
        <f t="shared" si="35"/>
        <v/>
      </c>
      <c r="AC235" s="10" t="str">
        <f t="shared" si="37"/>
        <v/>
      </c>
      <c r="AD235" s="10">
        <f>IF(AND(Q235&gt;0,Q235&lt;30,K235&lt;8),Markniveau!Z235*'Udvaskning nøgletal'!$I$12/100,IF(AND(Q235&gt;0,Q235&lt;30,K235=216),Markniveau!Z235*'Udvaskning nøgletal'!$I$34/100,Markniveau!Z235))</f>
        <v>10</v>
      </c>
      <c r="AE235" s="10">
        <f t="shared" si="43"/>
        <v>53.6</v>
      </c>
      <c r="AF235" s="10" t="str">
        <f t="shared" si="38"/>
        <v/>
      </c>
      <c r="AG235" s="10" t="str">
        <f t="shared" si="44"/>
        <v/>
      </c>
      <c r="AH235" s="10" t="str">
        <f>IF(AND(Q235&gt;0,Q235&lt;30,K235=216),'Udvaskning nøgletal'!$C$42,IF(AND(Q235&gt;0,Q235&lt;30,K235&gt;7,K235&lt;17),'Udvaskning nøgletal'!$C$61,IF(AND(Q235&gt;0,Q235&lt;30,K235&lt;7),'Udvaskning nøgletal'!$C$62,"")))</f>
        <v/>
      </c>
      <c r="AI235" s="10">
        <f t="shared" si="40"/>
        <v>902</v>
      </c>
      <c r="AJ235" s="10">
        <f>IF($X235=1,LOOKUP(AI235,'Udvaskning nøgletal'!$C$12:$C$62,'Udvaskning nøgletal'!$E$12:$E$62)+Markniveau!$Y235*Markniveau!$S235/100,IF($X235=2,LOOKUP(AI235,'Udvaskning nøgletal'!$C$12:$C$62,'Udvaskning nøgletal'!$F$12:$F$62)+Markniveau!$Y235*Markniveau!$S235/100,IF($X235=3,LOOKUP(AI235,'Udvaskning nøgletal'!$C$12:$C$62,'Udvaskning nøgletal'!Q245:Q295)+Markniveau!$Y235*Markniveau!$S235/100,"")))</f>
        <v>10</v>
      </c>
      <c r="AK235" s="10">
        <f t="shared" si="39"/>
        <v>53.6</v>
      </c>
      <c r="AL235" s="10" t="str">
        <f t="shared" si="41"/>
        <v/>
      </c>
      <c r="AM235" s="10" t="str">
        <f t="shared" si="42"/>
        <v/>
      </c>
    </row>
    <row r="236" spans="1:39" x14ac:dyDescent="0.25">
      <c r="A236" s="15">
        <v>14265473</v>
      </c>
      <c r="B236" s="15">
        <v>11.69</v>
      </c>
      <c r="C236" s="15">
        <v>596048</v>
      </c>
      <c r="D236" s="15">
        <v>150693</v>
      </c>
      <c r="E236" s="15" t="s">
        <v>224</v>
      </c>
      <c r="F236" s="15">
        <v>2011</v>
      </c>
      <c r="G236" s="15">
        <v>20110324</v>
      </c>
      <c r="H236" s="15">
        <v>30543</v>
      </c>
      <c r="I236" s="15">
        <v>3.05</v>
      </c>
      <c r="J236" s="6" t="s">
        <v>1405</v>
      </c>
      <c r="K236" s="15">
        <v>318</v>
      </c>
      <c r="L236" s="15" t="s">
        <v>171</v>
      </c>
      <c r="M236" s="15" t="s">
        <v>13</v>
      </c>
      <c r="N236" s="11" t="s">
        <v>1384</v>
      </c>
      <c r="O236" s="11" t="s">
        <v>28</v>
      </c>
      <c r="P236" s="11" t="s">
        <v>33</v>
      </c>
      <c r="Q236" s="15">
        <v>0</v>
      </c>
      <c r="R236" s="11" t="s">
        <v>1386</v>
      </c>
      <c r="S236" s="10">
        <v>0</v>
      </c>
      <c r="T236" s="15">
        <v>80</v>
      </c>
      <c r="U236" s="15">
        <v>0</v>
      </c>
      <c r="V236" s="15">
        <v>0</v>
      </c>
      <c r="W236" s="15">
        <v>0</v>
      </c>
      <c r="X236" s="15">
        <f>IF(O236='Udvaskning nøgletal'!$D$65,1,IF(O236='Udvaskning nøgletal'!$D$66,2,IF(O236='Udvaskning nøgletal'!$D$67,3,IF(O236='Udvaskning nøgletal'!$D$68,2,""))))</f>
        <v>1</v>
      </c>
      <c r="Y236" s="15">
        <f>LOOKUP(K236,'Udvaskning nøgletal'!$C$12:$C$60,'Udvaskning nøgletal'!$H$12:$H$60)</f>
        <v>0</v>
      </c>
      <c r="Z236" s="10">
        <f>IF(X236=1,LOOKUP(K236,'Udvaskning nøgletal'!$C$12:$C$60,'Udvaskning nøgletal'!$E$12:$E$60)+Markniveau!Y236*Markniveau!S236/100,IF(X236=2,LOOKUP(K236,'Udvaskning nøgletal'!$C$12:$C$60,'Udvaskning nøgletal'!$F$12:$F$60)+Markniveau!Y236*Markniveau!S236/100,IF(X236=3,LOOKUP(K236,'Udvaskning nøgletal'!$C$12:$C$60,'Udvaskning nøgletal'!G246:G294)+Markniveau!Y236*Markniveau!S236/100,"")))</f>
        <v>10</v>
      </c>
      <c r="AA236" s="10">
        <f t="shared" si="36"/>
        <v>30.5</v>
      </c>
      <c r="AB236" s="10" t="str">
        <f t="shared" si="35"/>
        <v/>
      </c>
      <c r="AC236" s="10" t="str">
        <f t="shared" si="37"/>
        <v/>
      </c>
      <c r="AD236" s="10">
        <f>IF(AND(Q236&gt;0,Q236&lt;30,K236&lt;8),Markniveau!Z236*'Udvaskning nøgletal'!$I$12/100,IF(AND(Q236&gt;0,Q236&lt;30,K236=216),Markniveau!Z236*'Udvaskning nøgletal'!$I$34/100,Markniveau!Z236))</f>
        <v>10</v>
      </c>
      <c r="AE236" s="10">
        <f t="shared" si="43"/>
        <v>30.5</v>
      </c>
      <c r="AF236" s="10" t="str">
        <f t="shared" si="38"/>
        <v/>
      </c>
      <c r="AG236" s="10" t="str">
        <f t="shared" si="44"/>
        <v/>
      </c>
      <c r="AH236" s="10" t="str">
        <f>IF(AND(Q236&gt;0,Q236&lt;30,K236=216),'Udvaskning nøgletal'!$C$42,IF(AND(Q236&gt;0,Q236&lt;30,K236&gt;7,K236&lt;17),'Udvaskning nøgletal'!$C$61,IF(AND(Q236&gt;0,Q236&lt;30,K236&lt;7),'Udvaskning nøgletal'!$C$62,"")))</f>
        <v/>
      </c>
      <c r="AI236" s="10">
        <f t="shared" si="40"/>
        <v>318</v>
      </c>
      <c r="AJ236" s="10">
        <f>IF($X236=1,LOOKUP(AI236,'Udvaskning nøgletal'!$C$12:$C$62,'Udvaskning nøgletal'!$E$12:$E$62)+Markniveau!$Y236*Markniveau!$S236/100,IF($X236=2,LOOKUP(AI236,'Udvaskning nøgletal'!$C$12:$C$62,'Udvaskning nøgletal'!$F$12:$F$62)+Markniveau!$Y236*Markniveau!$S236/100,IF($X236=3,LOOKUP(AI236,'Udvaskning nøgletal'!$C$12:$C$62,'Udvaskning nøgletal'!Q246:Q296)+Markniveau!$Y236*Markniveau!$S236/100,"")))</f>
        <v>10</v>
      </c>
      <c r="AK236" s="10">
        <f t="shared" si="39"/>
        <v>30.5</v>
      </c>
      <c r="AL236" s="10" t="str">
        <f t="shared" si="41"/>
        <v/>
      </c>
      <c r="AM236" s="10" t="str">
        <f t="shared" si="42"/>
        <v/>
      </c>
    </row>
    <row r="237" spans="1:39" x14ac:dyDescent="0.25">
      <c r="A237" s="15">
        <v>14265473</v>
      </c>
      <c r="B237" s="15">
        <v>11.69</v>
      </c>
      <c r="C237" s="15">
        <v>596050</v>
      </c>
      <c r="D237" s="15">
        <v>150693</v>
      </c>
      <c r="E237" s="15" t="s">
        <v>255</v>
      </c>
      <c r="F237" s="15">
        <v>2011</v>
      </c>
      <c r="G237" s="15">
        <v>20110324</v>
      </c>
      <c r="H237" s="15">
        <v>38773</v>
      </c>
      <c r="I237" s="15">
        <v>3.88</v>
      </c>
      <c r="J237" s="6" t="s">
        <v>1458</v>
      </c>
      <c r="K237" s="15">
        <v>254</v>
      </c>
      <c r="L237" s="15" t="s">
        <v>27</v>
      </c>
      <c r="M237" s="15" t="s">
        <v>4</v>
      </c>
      <c r="N237" s="11" t="s">
        <v>1384</v>
      </c>
      <c r="O237" s="11" t="s">
        <v>28</v>
      </c>
      <c r="P237" s="11" t="s">
        <v>33</v>
      </c>
      <c r="Q237" s="15">
        <v>0</v>
      </c>
      <c r="R237" s="11" t="s">
        <v>1386</v>
      </c>
      <c r="S237" s="10">
        <v>0</v>
      </c>
      <c r="T237" s="15">
        <v>80</v>
      </c>
      <c r="U237" s="15">
        <v>0</v>
      </c>
      <c r="V237" s="15">
        <v>0</v>
      </c>
      <c r="W237" s="15">
        <v>0</v>
      </c>
      <c r="X237" s="15">
        <f>IF(O237='Udvaskning nøgletal'!$D$65,1,IF(O237='Udvaskning nøgletal'!$D$66,2,IF(O237='Udvaskning nøgletal'!$D$67,3,IF(O237='Udvaskning nøgletal'!$D$68,2,""))))</f>
        <v>1</v>
      </c>
      <c r="Y237" s="15">
        <f>LOOKUP(K237,'Udvaskning nøgletal'!$C$12:$C$60,'Udvaskning nøgletal'!$H$12:$H$60)</f>
        <v>0</v>
      </c>
      <c r="Z237" s="10">
        <f>IF(X237=1,LOOKUP(K237,'Udvaskning nøgletal'!$C$12:$C$60,'Udvaskning nøgletal'!$E$12:$E$60)+Markniveau!Y237*Markniveau!S237/100,IF(X237=2,LOOKUP(K237,'Udvaskning nøgletal'!$C$12:$C$60,'Udvaskning nøgletal'!$F$12:$F$60)+Markniveau!Y237*Markniveau!S237/100,IF(X237=3,LOOKUP(K237,'Udvaskning nøgletal'!$C$12:$C$60,'Udvaskning nøgletal'!G247:G295)+Markniveau!Y237*Markniveau!S237/100,"")))</f>
        <v>21.2</v>
      </c>
      <c r="AA237" s="10">
        <f t="shared" si="36"/>
        <v>82.256</v>
      </c>
      <c r="AB237" s="10" t="str">
        <f t="shared" si="35"/>
        <v/>
      </c>
      <c r="AC237" s="10" t="str">
        <f t="shared" si="37"/>
        <v/>
      </c>
      <c r="AD237" s="10">
        <f>IF(AND(Q237&gt;0,Q237&lt;30,K237&lt;8),Markniveau!Z237*'Udvaskning nøgletal'!$I$12/100,IF(AND(Q237&gt;0,Q237&lt;30,K237=216),Markniveau!Z237*'Udvaskning nøgletal'!$I$34/100,Markniveau!Z237))</f>
        <v>21.2</v>
      </c>
      <c r="AE237" s="10">
        <f t="shared" si="43"/>
        <v>82.256</v>
      </c>
      <c r="AF237" s="10" t="str">
        <f t="shared" si="38"/>
        <v/>
      </c>
      <c r="AG237" s="10" t="str">
        <f t="shared" si="44"/>
        <v/>
      </c>
      <c r="AH237" s="10" t="str">
        <f>IF(AND(Q237&gt;0,Q237&lt;30,K237=216),'Udvaskning nøgletal'!$C$42,IF(AND(Q237&gt;0,Q237&lt;30,K237&gt;7,K237&lt;17),'Udvaskning nøgletal'!$C$61,IF(AND(Q237&gt;0,Q237&lt;30,K237&lt;7),'Udvaskning nøgletal'!$C$62,"")))</f>
        <v/>
      </c>
      <c r="AI237" s="10">
        <f t="shared" si="40"/>
        <v>254</v>
      </c>
      <c r="AJ237" s="10">
        <f>IF($X237=1,LOOKUP(AI237,'Udvaskning nøgletal'!$C$12:$C$62,'Udvaskning nøgletal'!$E$12:$E$62)+Markniveau!$Y237*Markniveau!$S237/100,IF($X237=2,LOOKUP(AI237,'Udvaskning nøgletal'!$C$12:$C$62,'Udvaskning nøgletal'!$F$12:$F$62)+Markniveau!$Y237*Markniveau!$S237/100,IF($X237=3,LOOKUP(AI237,'Udvaskning nøgletal'!$C$12:$C$62,'Udvaskning nøgletal'!Q247:Q297)+Markniveau!$Y237*Markniveau!$S237/100,"")))</f>
        <v>21.2</v>
      </c>
      <c r="AK237" s="10">
        <f t="shared" si="39"/>
        <v>82.256</v>
      </c>
      <c r="AL237" s="10" t="str">
        <f t="shared" si="41"/>
        <v/>
      </c>
      <c r="AM237" s="10" t="str">
        <f t="shared" si="42"/>
        <v/>
      </c>
    </row>
    <row r="238" spans="1:39" x14ac:dyDescent="0.25">
      <c r="A238" s="15">
        <v>14265473</v>
      </c>
      <c r="B238" s="15">
        <v>11.69</v>
      </c>
      <c r="C238" s="15">
        <v>596051</v>
      </c>
      <c r="D238" s="15">
        <v>150693</v>
      </c>
      <c r="E238" s="15" t="s">
        <v>256</v>
      </c>
      <c r="F238" s="15">
        <v>2011</v>
      </c>
      <c r="G238" s="15">
        <v>20110324</v>
      </c>
      <c r="H238" s="15">
        <v>148962</v>
      </c>
      <c r="I238" s="15">
        <v>14.9</v>
      </c>
      <c r="J238" s="6" t="s">
        <v>1399</v>
      </c>
      <c r="K238" s="15">
        <v>254</v>
      </c>
      <c r="L238" s="15" t="s">
        <v>27</v>
      </c>
      <c r="M238" s="15" t="s">
        <v>4</v>
      </c>
      <c r="N238" s="11" t="s">
        <v>1390</v>
      </c>
      <c r="O238" s="11" t="s">
        <v>42</v>
      </c>
      <c r="P238" s="11" t="s">
        <v>33</v>
      </c>
      <c r="Q238" s="15">
        <v>0</v>
      </c>
      <c r="R238" s="11" t="s">
        <v>1386</v>
      </c>
      <c r="S238" s="10">
        <v>0</v>
      </c>
      <c r="T238" s="15">
        <v>80</v>
      </c>
      <c r="U238" s="15">
        <v>0</v>
      </c>
      <c r="V238" s="15">
        <v>0</v>
      </c>
      <c r="W238" s="15">
        <v>0</v>
      </c>
      <c r="X238" s="15">
        <f>IF(O238='Udvaskning nøgletal'!$D$65,1,IF(O238='Udvaskning nøgletal'!$D$66,2,IF(O238='Udvaskning nøgletal'!$D$67,3,IF(O238='Udvaskning nøgletal'!$D$68,2,""))))</f>
        <v>2</v>
      </c>
      <c r="Y238" s="15">
        <f>LOOKUP(K238,'Udvaskning nøgletal'!$C$12:$C$60,'Udvaskning nøgletal'!$H$12:$H$60)</f>
        <v>0</v>
      </c>
      <c r="Z238" s="10">
        <f>IF(X238=1,LOOKUP(K238,'Udvaskning nøgletal'!$C$12:$C$60,'Udvaskning nøgletal'!$E$12:$E$60)+Markniveau!Y238*Markniveau!S238/100,IF(X238=2,LOOKUP(K238,'Udvaskning nøgletal'!$C$12:$C$60,'Udvaskning nøgletal'!$F$12:$F$60)+Markniveau!Y238*Markniveau!S238/100,IF(X238=3,LOOKUP(K238,'Udvaskning nøgletal'!$C$12:$C$60,'Udvaskning nøgletal'!G248:G296)+Markniveau!Y238*Markniveau!S238/100,"")))</f>
        <v>21.2</v>
      </c>
      <c r="AA238" s="10">
        <f t="shared" si="36"/>
        <v>315.88</v>
      </c>
      <c r="AB238" s="10" t="str">
        <f t="shared" si="35"/>
        <v/>
      </c>
      <c r="AC238" s="10" t="str">
        <f t="shared" si="37"/>
        <v/>
      </c>
      <c r="AD238" s="10">
        <f>IF(AND(Q238&gt;0,Q238&lt;30,K238&lt;8),Markniveau!Z238*'Udvaskning nøgletal'!$I$12/100,IF(AND(Q238&gt;0,Q238&lt;30,K238=216),Markniveau!Z238*'Udvaskning nøgletal'!$I$34/100,Markniveau!Z238))</f>
        <v>21.2</v>
      </c>
      <c r="AE238" s="10">
        <f t="shared" si="43"/>
        <v>315.88</v>
      </c>
      <c r="AF238" s="10" t="str">
        <f t="shared" si="38"/>
        <v/>
      </c>
      <c r="AG238" s="10" t="str">
        <f t="shared" si="44"/>
        <v/>
      </c>
      <c r="AH238" s="10" t="str">
        <f>IF(AND(Q238&gt;0,Q238&lt;30,K238=216),'Udvaskning nøgletal'!$C$42,IF(AND(Q238&gt;0,Q238&lt;30,K238&gt;7,K238&lt;17),'Udvaskning nøgletal'!$C$61,IF(AND(Q238&gt;0,Q238&lt;30,K238&lt;7),'Udvaskning nøgletal'!$C$62,"")))</f>
        <v/>
      </c>
      <c r="AI238" s="10">
        <f t="shared" si="40"/>
        <v>254</v>
      </c>
      <c r="AJ238" s="10">
        <f>IF($X238=1,LOOKUP(AI238,'Udvaskning nøgletal'!$C$12:$C$62,'Udvaskning nøgletal'!$E$12:$E$62)+Markniveau!$Y238*Markniveau!$S238/100,IF($X238=2,LOOKUP(AI238,'Udvaskning nøgletal'!$C$12:$C$62,'Udvaskning nøgletal'!$F$12:$F$62)+Markniveau!$Y238*Markniveau!$S238/100,IF($X238=3,LOOKUP(AI238,'Udvaskning nøgletal'!$C$12:$C$62,'Udvaskning nøgletal'!Q248:Q298)+Markniveau!$Y238*Markniveau!$S238/100,"")))</f>
        <v>21.2</v>
      </c>
      <c r="AK238" s="10">
        <f t="shared" si="39"/>
        <v>315.88</v>
      </c>
      <c r="AL238" s="10" t="str">
        <f t="shared" si="41"/>
        <v/>
      </c>
      <c r="AM238" s="10" t="str">
        <f t="shared" si="42"/>
        <v/>
      </c>
    </row>
    <row r="239" spans="1:39" x14ac:dyDescent="0.25">
      <c r="A239" s="15">
        <v>14265473</v>
      </c>
      <c r="B239" s="15">
        <v>11.69</v>
      </c>
      <c r="C239" s="15">
        <v>596515</v>
      </c>
      <c r="D239" s="15">
        <v>150693</v>
      </c>
      <c r="E239" s="15" t="s">
        <v>185</v>
      </c>
      <c r="F239" s="15">
        <v>2011</v>
      </c>
      <c r="G239" s="15">
        <v>20110324</v>
      </c>
      <c r="H239" s="15">
        <v>16977</v>
      </c>
      <c r="I239" s="15">
        <v>1.7</v>
      </c>
      <c r="J239" s="6" t="s">
        <v>1459</v>
      </c>
      <c r="K239" s="15">
        <v>902</v>
      </c>
      <c r="L239" s="15" t="s">
        <v>160</v>
      </c>
      <c r="M239" s="15" t="s">
        <v>81</v>
      </c>
      <c r="N239" s="11" t="s">
        <v>1384</v>
      </c>
      <c r="O239" s="11" t="s">
        <v>28</v>
      </c>
      <c r="P239" s="11" t="s">
        <v>33</v>
      </c>
      <c r="Q239" s="15">
        <v>0</v>
      </c>
      <c r="R239" s="11" t="s">
        <v>1386</v>
      </c>
      <c r="S239" s="10">
        <v>0</v>
      </c>
      <c r="T239" s="15">
        <v>80</v>
      </c>
      <c r="U239" s="15">
        <v>0</v>
      </c>
      <c r="V239" s="15">
        <v>0</v>
      </c>
      <c r="W239" s="15">
        <v>0</v>
      </c>
      <c r="X239" s="15">
        <f>IF(O239='Udvaskning nøgletal'!$D$65,1,IF(O239='Udvaskning nøgletal'!$D$66,2,IF(O239='Udvaskning nøgletal'!$D$67,3,IF(O239='Udvaskning nøgletal'!$D$68,2,""))))</f>
        <v>1</v>
      </c>
      <c r="Y239" s="15">
        <f>LOOKUP(K239,'Udvaskning nøgletal'!$C$12:$C$60,'Udvaskning nøgletal'!$H$12:$H$60)</f>
        <v>0</v>
      </c>
      <c r="Z239" s="10">
        <f>IF(X239=1,LOOKUP(K239,'Udvaskning nøgletal'!$C$12:$C$60,'Udvaskning nøgletal'!$E$12:$E$60)+Markniveau!Y239*Markniveau!S239/100,IF(X239=2,LOOKUP(K239,'Udvaskning nøgletal'!$C$12:$C$60,'Udvaskning nøgletal'!$F$12:$F$60)+Markniveau!Y239*Markniveau!S239/100,IF(X239=3,LOOKUP(K239,'Udvaskning nøgletal'!$C$12:$C$60,'Udvaskning nøgletal'!G249:G297)+Markniveau!Y239*Markniveau!S239/100,"")))</f>
        <v>10</v>
      </c>
      <c r="AA239" s="10">
        <f t="shared" si="36"/>
        <v>17</v>
      </c>
      <c r="AB239" s="10" t="str">
        <f t="shared" si="35"/>
        <v/>
      </c>
      <c r="AC239" s="10" t="str">
        <f t="shared" si="37"/>
        <v/>
      </c>
      <c r="AD239" s="10">
        <f>IF(AND(Q239&gt;0,Q239&lt;30,K239&lt;8),Markniveau!Z239*'Udvaskning nøgletal'!$I$12/100,IF(AND(Q239&gt;0,Q239&lt;30,K239=216),Markniveau!Z239*'Udvaskning nøgletal'!$I$34/100,Markniveau!Z239))</f>
        <v>10</v>
      </c>
      <c r="AE239" s="10">
        <f t="shared" si="43"/>
        <v>17</v>
      </c>
      <c r="AF239" s="10" t="str">
        <f t="shared" si="38"/>
        <v/>
      </c>
      <c r="AG239" s="10" t="str">
        <f t="shared" si="44"/>
        <v/>
      </c>
      <c r="AH239" s="10" t="str">
        <f>IF(AND(Q239&gt;0,Q239&lt;30,K239=216),'Udvaskning nøgletal'!$C$42,IF(AND(Q239&gt;0,Q239&lt;30,K239&gt;7,K239&lt;17),'Udvaskning nøgletal'!$C$61,IF(AND(Q239&gt;0,Q239&lt;30,K239&lt;7),'Udvaskning nøgletal'!$C$62,"")))</f>
        <v/>
      </c>
      <c r="AI239" s="10">
        <f t="shared" si="40"/>
        <v>902</v>
      </c>
      <c r="AJ239" s="10">
        <f>IF($X239=1,LOOKUP(AI239,'Udvaskning nøgletal'!$C$12:$C$62,'Udvaskning nøgletal'!$E$12:$E$62)+Markniveau!$Y239*Markniveau!$S239/100,IF($X239=2,LOOKUP(AI239,'Udvaskning nøgletal'!$C$12:$C$62,'Udvaskning nøgletal'!$F$12:$F$62)+Markniveau!$Y239*Markniveau!$S239/100,IF($X239=3,LOOKUP(AI239,'Udvaskning nøgletal'!$C$12:$C$62,'Udvaskning nøgletal'!Q249:Q299)+Markniveau!$Y239*Markniveau!$S239/100,"")))</f>
        <v>10</v>
      </c>
      <c r="AK239" s="10">
        <f t="shared" si="39"/>
        <v>17</v>
      </c>
      <c r="AL239" s="10" t="str">
        <f t="shared" si="41"/>
        <v/>
      </c>
      <c r="AM239" s="10" t="str">
        <f t="shared" si="42"/>
        <v/>
      </c>
    </row>
    <row r="240" spans="1:39" x14ac:dyDescent="0.25">
      <c r="A240" s="15">
        <v>14265473</v>
      </c>
      <c r="B240" s="15">
        <v>11.69</v>
      </c>
      <c r="C240" s="15">
        <v>596516</v>
      </c>
      <c r="D240" s="15">
        <v>150693</v>
      </c>
      <c r="E240" s="15" t="s">
        <v>257</v>
      </c>
      <c r="F240" s="15">
        <v>2011</v>
      </c>
      <c r="G240" s="15">
        <v>20110324</v>
      </c>
      <c r="H240" s="15">
        <v>50565</v>
      </c>
      <c r="I240" s="15">
        <v>5.0599999999999996</v>
      </c>
      <c r="J240" s="6" t="s">
        <v>1460</v>
      </c>
      <c r="K240" s="15">
        <v>276</v>
      </c>
      <c r="L240" s="15" t="s">
        <v>146</v>
      </c>
      <c r="M240" s="15" t="s">
        <v>4</v>
      </c>
      <c r="N240" s="11" t="s">
        <v>1390</v>
      </c>
      <c r="O240" s="11" t="s">
        <v>42</v>
      </c>
      <c r="P240" s="11" t="s">
        <v>33</v>
      </c>
      <c r="Q240" s="15">
        <v>0</v>
      </c>
      <c r="R240" s="11" t="s">
        <v>1386</v>
      </c>
      <c r="S240" s="10">
        <v>0</v>
      </c>
      <c r="T240" s="15">
        <v>80</v>
      </c>
      <c r="U240" s="15">
        <v>0</v>
      </c>
      <c r="V240" s="15">
        <v>0</v>
      </c>
      <c r="W240" s="15">
        <v>0</v>
      </c>
      <c r="X240" s="15">
        <f>IF(O240='Udvaskning nøgletal'!$D$65,1,IF(O240='Udvaskning nøgletal'!$D$66,2,IF(O240='Udvaskning nøgletal'!$D$67,3,IF(O240='Udvaskning nøgletal'!$D$68,2,""))))</f>
        <v>2</v>
      </c>
      <c r="Y240" s="15">
        <f>LOOKUP(K240,'Udvaskning nøgletal'!$C$12:$C$60,'Udvaskning nøgletal'!$H$12:$H$60)</f>
        <v>0</v>
      </c>
      <c r="Z240" s="10">
        <f>IF(X240=1,LOOKUP(K240,'Udvaskning nøgletal'!$C$12:$C$60,'Udvaskning nøgletal'!$E$12:$E$60)+Markniveau!Y240*Markniveau!S240/100,IF(X240=2,LOOKUP(K240,'Udvaskning nøgletal'!$C$12:$C$60,'Udvaskning nøgletal'!$F$12:$F$60)+Markniveau!Y240*Markniveau!S240/100,IF(X240=3,LOOKUP(K240,'Udvaskning nøgletal'!$C$12:$C$60,'Udvaskning nøgletal'!G250:G298)+Markniveau!Y240*Markniveau!S240/100,"")))</f>
        <v>10.6</v>
      </c>
      <c r="AA240" s="10">
        <f t="shared" si="36"/>
        <v>53.635999999999996</v>
      </c>
      <c r="AB240" s="10" t="str">
        <f t="shared" si="35"/>
        <v/>
      </c>
      <c r="AC240" s="10" t="str">
        <f t="shared" si="37"/>
        <v/>
      </c>
      <c r="AD240" s="10">
        <f>IF(AND(Q240&gt;0,Q240&lt;30,K240&lt;8),Markniveau!Z240*'Udvaskning nøgletal'!$I$12/100,IF(AND(Q240&gt;0,Q240&lt;30,K240=216),Markniveau!Z240*'Udvaskning nøgletal'!$I$34/100,Markniveau!Z240))</f>
        <v>10.6</v>
      </c>
      <c r="AE240" s="10">
        <f t="shared" si="43"/>
        <v>53.635999999999996</v>
      </c>
      <c r="AF240" s="10" t="str">
        <f t="shared" si="38"/>
        <v/>
      </c>
      <c r="AG240" s="10" t="str">
        <f t="shared" si="44"/>
        <v/>
      </c>
      <c r="AH240" s="10" t="str">
        <f>IF(AND(Q240&gt;0,Q240&lt;30,K240=216),'Udvaskning nøgletal'!$C$42,IF(AND(Q240&gt;0,Q240&lt;30,K240&gt;7,K240&lt;17),'Udvaskning nøgletal'!$C$61,IF(AND(Q240&gt;0,Q240&lt;30,K240&lt;7),'Udvaskning nøgletal'!$C$62,"")))</f>
        <v/>
      </c>
      <c r="AI240" s="10">
        <f t="shared" si="40"/>
        <v>276</v>
      </c>
      <c r="AJ240" s="10">
        <f>IF($X240=1,LOOKUP(AI240,'Udvaskning nøgletal'!$C$12:$C$62,'Udvaskning nøgletal'!$E$12:$E$62)+Markniveau!$Y240*Markniveau!$S240/100,IF($X240=2,LOOKUP(AI240,'Udvaskning nøgletal'!$C$12:$C$62,'Udvaskning nøgletal'!$F$12:$F$62)+Markniveau!$Y240*Markniveau!$S240/100,IF($X240=3,LOOKUP(AI240,'Udvaskning nøgletal'!$C$12:$C$62,'Udvaskning nøgletal'!Q250:Q300)+Markniveau!$Y240*Markniveau!$S240/100,"")))</f>
        <v>10.6</v>
      </c>
      <c r="AK240" s="10">
        <f t="shared" si="39"/>
        <v>53.635999999999996</v>
      </c>
      <c r="AL240" s="10" t="str">
        <f t="shared" si="41"/>
        <v/>
      </c>
      <c r="AM240" s="10" t="str">
        <f t="shared" si="42"/>
        <v/>
      </c>
    </row>
    <row r="241" spans="1:39" x14ac:dyDescent="0.25">
      <c r="A241" s="15">
        <v>14265473</v>
      </c>
      <c r="B241" s="15">
        <v>11.69</v>
      </c>
      <c r="C241" s="15">
        <v>596517</v>
      </c>
      <c r="D241" s="15">
        <v>150693</v>
      </c>
      <c r="E241" s="15" t="s">
        <v>185</v>
      </c>
      <c r="F241" s="15">
        <v>2011</v>
      </c>
      <c r="G241" s="15">
        <v>20110324</v>
      </c>
      <c r="H241" s="15">
        <v>23186</v>
      </c>
      <c r="I241" s="15">
        <v>2.3199999999999998</v>
      </c>
      <c r="J241" s="6" t="s">
        <v>1461</v>
      </c>
      <c r="K241" s="15">
        <v>902</v>
      </c>
      <c r="L241" s="15" t="s">
        <v>160</v>
      </c>
      <c r="M241" s="15" t="s">
        <v>81</v>
      </c>
      <c r="N241" s="11" t="s">
        <v>1406</v>
      </c>
      <c r="O241" s="11" t="s">
        <v>46</v>
      </c>
      <c r="P241" s="11" t="s">
        <v>33</v>
      </c>
      <c r="Q241" s="15">
        <v>0</v>
      </c>
      <c r="R241" s="11" t="s">
        <v>1386</v>
      </c>
      <c r="S241" s="10">
        <v>0</v>
      </c>
      <c r="T241" s="15">
        <v>80</v>
      </c>
      <c r="U241" s="15">
        <v>0</v>
      </c>
      <c r="V241" s="15">
        <v>0</v>
      </c>
      <c r="W241" s="15">
        <v>0</v>
      </c>
      <c r="X241" s="15">
        <f>IF(O241='Udvaskning nøgletal'!$D$65,1,IF(O241='Udvaskning nøgletal'!$D$66,2,IF(O241='Udvaskning nøgletal'!$D$67,3,IF(O241='Udvaskning nøgletal'!$D$68,2,""))))</f>
        <v>2</v>
      </c>
      <c r="Y241" s="15">
        <f>LOOKUP(K241,'Udvaskning nøgletal'!$C$12:$C$60,'Udvaskning nøgletal'!$H$12:$H$60)</f>
        <v>0</v>
      </c>
      <c r="Z241" s="10">
        <f>IF(X241=1,LOOKUP(K241,'Udvaskning nøgletal'!$C$12:$C$60,'Udvaskning nøgletal'!$E$12:$E$60)+Markniveau!Y241*Markniveau!S241/100,IF(X241=2,LOOKUP(K241,'Udvaskning nøgletal'!$C$12:$C$60,'Udvaskning nøgletal'!$F$12:$F$60)+Markniveau!Y241*Markniveau!S241/100,IF(X241=3,LOOKUP(K241,'Udvaskning nøgletal'!$C$12:$C$60,'Udvaskning nøgletal'!G251:G299)+Markniveau!Y241*Markniveau!S241/100,"")))</f>
        <v>10</v>
      </c>
      <c r="AA241" s="10">
        <f t="shared" si="36"/>
        <v>23.2</v>
      </c>
      <c r="AB241" s="10" t="str">
        <f t="shared" si="35"/>
        <v/>
      </c>
      <c r="AC241" s="10" t="str">
        <f t="shared" si="37"/>
        <v/>
      </c>
      <c r="AD241" s="10">
        <f>IF(AND(Q241&gt;0,Q241&lt;30,K241&lt;8),Markniveau!Z241*'Udvaskning nøgletal'!$I$12/100,IF(AND(Q241&gt;0,Q241&lt;30,K241=216),Markniveau!Z241*'Udvaskning nøgletal'!$I$34/100,Markniveau!Z241))</f>
        <v>10</v>
      </c>
      <c r="AE241" s="10">
        <f t="shared" si="43"/>
        <v>23.2</v>
      </c>
      <c r="AF241" s="10" t="str">
        <f t="shared" si="38"/>
        <v/>
      </c>
      <c r="AG241" s="10" t="str">
        <f t="shared" si="44"/>
        <v/>
      </c>
      <c r="AH241" s="10" t="str">
        <f>IF(AND(Q241&gt;0,Q241&lt;30,K241=216),'Udvaskning nøgletal'!$C$42,IF(AND(Q241&gt;0,Q241&lt;30,K241&gt;7,K241&lt;17),'Udvaskning nøgletal'!$C$61,IF(AND(Q241&gt;0,Q241&lt;30,K241&lt;7),'Udvaskning nøgletal'!$C$62,"")))</f>
        <v/>
      </c>
      <c r="AI241" s="10">
        <f t="shared" si="40"/>
        <v>902</v>
      </c>
      <c r="AJ241" s="10">
        <f>IF($X241=1,LOOKUP(AI241,'Udvaskning nøgletal'!$C$12:$C$62,'Udvaskning nøgletal'!$E$12:$E$62)+Markniveau!$Y241*Markniveau!$S241/100,IF($X241=2,LOOKUP(AI241,'Udvaskning nøgletal'!$C$12:$C$62,'Udvaskning nøgletal'!$F$12:$F$62)+Markniveau!$Y241*Markniveau!$S241/100,IF($X241=3,LOOKUP(AI241,'Udvaskning nøgletal'!$C$12:$C$62,'Udvaskning nøgletal'!Q251:Q301)+Markniveau!$Y241*Markniveau!$S241/100,"")))</f>
        <v>10</v>
      </c>
      <c r="AK241" s="10">
        <f t="shared" si="39"/>
        <v>23.2</v>
      </c>
      <c r="AL241" s="10" t="str">
        <f t="shared" si="41"/>
        <v/>
      </c>
      <c r="AM241" s="10" t="str">
        <f t="shared" si="42"/>
        <v/>
      </c>
    </row>
    <row r="242" spans="1:39" x14ac:dyDescent="0.25">
      <c r="A242" s="15">
        <v>14265473</v>
      </c>
      <c r="B242" s="15">
        <v>11.69</v>
      </c>
      <c r="C242" s="15">
        <v>596518</v>
      </c>
      <c r="D242" s="15">
        <v>150693</v>
      </c>
      <c r="E242" s="15" t="s">
        <v>258</v>
      </c>
      <c r="F242" s="15">
        <v>2011</v>
      </c>
      <c r="G242" s="15">
        <v>20110324</v>
      </c>
      <c r="H242" s="15">
        <v>7779</v>
      </c>
      <c r="I242" s="15">
        <v>0.78</v>
      </c>
      <c r="J242" s="6" t="s">
        <v>1462</v>
      </c>
      <c r="K242" s="15">
        <v>318</v>
      </c>
      <c r="L242" s="15" t="s">
        <v>171</v>
      </c>
      <c r="M242" s="15" t="s">
        <v>13</v>
      </c>
      <c r="N242" s="11" t="s">
        <v>1384</v>
      </c>
      <c r="O242" s="11" t="s">
        <v>28</v>
      </c>
      <c r="P242" s="11" t="s">
        <v>33</v>
      </c>
      <c r="Q242" s="15">
        <v>0</v>
      </c>
      <c r="R242" s="11" t="s">
        <v>1386</v>
      </c>
      <c r="S242" s="10">
        <v>0</v>
      </c>
      <c r="T242" s="15">
        <v>80</v>
      </c>
      <c r="U242" s="15">
        <v>0</v>
      </c>
      <c r="V242" s="15">
        <v>0</v>
      </c>
      <c r="W242" s="15">
        <v>0</v>
      </c>
      <c r="X242" s="15">
        <f>IF(O242='Udvaskning nøgletal'!$D$65,1,IF(O242='Udvaskning nøgletal'!$D$66,2,IF(O242='Udvaskning nøgletal'!$D$67,3,IF(O242='Udvaskning nøgletal'!$D$68,2,""))))</f>
        <v>1</v>
      </c>
      <c r="Y242" s="15">
        <f>LOOKUP(K242,'Udvaskning nøgletal'!$C$12:$C$60,'Udvaskning nøgletal'!$H$12:$H$60)</f>
        <v>0</v>
      </c>
      <c r="Z242" s="10">
        <f>IF(X242=1,LOOKUP(K242,'Udvaskning nøgletal'!$C$12:$C$60,'Udvaskning nøgletal'!$E$12:$E$60)+Markniveau!Y242*Markniveau!S242/100,IF(X242=2,LOOKUP(K242,'Udvaskning nøgletal'!$C$12:$C$60,'Udvaskning nøgletal'!$F$12:$F$60)+Markniveau!Y242*Markniveau!S242/100,IF(X242=3,LOOKUP(K242,'Udvaskning nøgletal'!$C$12:$C$60,'Udvaskning nøgletal'!G252:G300)+Markniveau!Y242*Markniveau!S242/100,"")))</f>
        <v>10</v>
      </c>
      <c r="AA242" s="10">
        <f t="shared" si="36"/>
        <v>7.8000000000000007</v>
      </c>
      <c r="AB242" s="10" t="str">
        <f t="shared" si="35"/>
        <v/>
      </c>
      <c r="AC242" s="10" t="str">
        <f t="shared" si="37"/>
        <v/>
      </c>
      <c r="AD242" s="10">
        <f>IF(AND(Q242&gt;0,Q242&lt;30,K242&lt;8),Markniveau!Z242*'Udvaskning nøgletal'!$I$12/100,IF(AND(Q242&gt;0,Q242&lt;30,K242=216),Markniveau!Z242*'Udvaskning nøgletal'!$I$34/100,Markniveau!Z242))</f>
        <v>10</v>
      </c>
      <c r="AE242" s="10">
        <f t="shared" si="43"/>
        <v>7.8000000000000007</v>
      </c>
      <c r="AF242" s="10" t="str">
        <f t="shared" si="38"/>
        <v/>
      </c>
      <c r="AG242" s="10" t="str">
        <f t="shared" si="44"/>
        <v/>
      </c>
      <c r="AH242" s="10" t="str">
        <f>IF(AND(Q242&gt;0,Q242&lt;30,K242=216),'Udvaskning nøgletal'!$C$42,IF(AND(Q242&gt;0,Q242&lt;30,K242&gt;7,K242&lt;17),'Udvaskning nøgletal'!$C$61,IF(AND(Q242&gt;0,Q242&lt;30,K242&lt;7),'Udvaskning nøgletal'!$C$62,"")))</f>
        <v/>
      </c>
      <c r="AI242" s="10">
        <f t="shared" si="40"/>
        <v>318</v>
      </c>
      <c r="AJ242" s="10">
        <f>IF($X242=1,LOOKUP(AI242,'Udvaskning nøgletal'!$C$12:$C$62,'Udvaskning nøgletal'!$E$12:$E$62)+Markniveau!$Y242*Markniveau!$S242/100,IF($X242=2,LOOKUP(AI242,'Udvaskning nøgletal'!$C$12:$C$62,'Udvaskning nøgletal'!$F$12:$F$62)+Markniveau!$Y242*Markniveau!$S242/100,IF($X242=3,LOOKUP(AI242,'Udvaskning nøgletal'!$C$12:$C$62,'Udvaskning nøgletal'!Q252:Q302)+Markniveau!$Y242*Markniveau!$S242/100,"")))</f>
        <v>10</v>
      </c>
      <c r="AK242" s="10">
        <f t="shared" si="39"/>
        <v>7.8000000000000007</v>
      </c>
      <c r="AL242" s="10" t="str">
        <f t="shared" si="41"/>
        <v/>
      </c>
      <c r="AM242" s="10" t="str">
        <f t="shared" si="42"/>
        <v/>
      </c>
    </row>
    <row r="243" spans="1:39" x14ac:dyDescent="0.25">
      <c r="A243" s="15">
        <v>14265473</v>
      </c>
      <c r="B243" s="15">
        <v>11.69</v>
      </c>
      <c r="C243" s="15">
        <v>596519</v>
      </c>
      <c r="D243" s="15">
        <v>150693</v>
      </c>
      <c r="E243" s="15" t="s">
        <v>241</v>
      </c>
      <c r="F243" s="15">
        <v>2011</v>
      </c>
      <c r="G243" s="15">
        <v>20110324</v>
      </c>
      <c r="H243" s="15">
        <v>45115</v>
      </c>
      <c r="I243" s="15">
        <v>4.51</v>
      </c>
      <c r="J243" s="6" t="s">
        <v>1463</v>
      </c>
      <c r="K243" s="15">
        <v>254</v>
      </c>
      <c r="L243" s="15" t="s">
        <v>27</v>
      </c>
      <c r="M243" s="15" t="s">
        <v>4</v>
      </c>
      <c r="N243" s="11" t="s">
        <v>1390</v>
      </c>
      <c r="O243" s="11" t="s">
        <v>42</v>
      </c>
      <c r="P243" s="11" t="s">
        <v>33</v>
      </c>
      <c r="Q243" s="15">
        <v>0</v>
      </c>
      <c r="R243" s="11" t="s">
        <v>1386</v>
      </c>
      <c r="S243" s="10">
        <v>0</v>
      </c>
      <c r="T243" s="15">
        <v>80</v>
      </c>
      <c r="U243" s="15">
        <v>0</v>
      </c>
      <c r="V243" s="15">
        <v>0</v>
      </c>
      <c r="W243" s="15">
        <v>0</v>
      </c>
      <c r="X243" s="15">
        <f>IF(O243='Udvaskning nøgletal'!$D$65,1,IF(O243='Udvaskning nøgletal'!$D$66,2,IF(O243='Udvaskning nøgletal'!$D$67,3,IF(O243='Udvaskning nøgletal'!$D$68,2,""))))</f>
        <v>2</v>
      </c>
      <c r="Y243" s="15">
        <f>LOOKUP(K243,'Udvaskning nøgletal'!$C$12:$C$60,'Udvaskning nøgletal'!$H$12:$H$60)</f>
        <v>0</v>
      </c>
      <c r="Z243" s="10">
        <f>IF(X243=1,LOOKUP(K243,'Udvaskning nøgletal'!$C$12:$C$60,'Udvaskning nøgletal'!$E$12:$E$60)+Markniveau!Y243*Markniveau!S243/100,IF(X243=2,LOOKUP(K243,'Udvaskning nøgletal'!$C$12:$C$60,'Udvaskning nøgletal'!$F$12:$F$60)+Markniveau!Y243*Markniveau!S243/100,IF(X243=3,LOOKUP(K243,'Udvaskning nøgletal'!$C$12:$C$60,'Udvaskning nøgletal'!G253:G301)+Markniveau!Y243*Markniveau!S243/100,"")))</f>
        <v>21.2</v>
      </c>
      <c r="AA243" s="10">
        <f t="shared" si="36"/>
        <v>95.611999999999995</v>
      </c>
      <c r="AB243" s="10" t="str">
        <f t="shared" si="35"/>
        <v/>
      </c>
      <c r="AC243" s="10" t="str">
        <f t="shared" si="37"/>
        <v/>
      </c>
      <c r="AD243" s="10">
        <f>IF(AND(Q243&gt;0,Q243&lt;30,K243&lt;8),Markniveau!Z243*'Udvaskning nøgletal'!$I$12/100,IF(AND(Q243&gt;0,Q243&lt;30,K243=216),Markniveau!Z243*'Udvaskning nøgletal'!$I$34/100,Markniveau!Z243))</f>
        <v>21.2</v>
      </c>
      <c r="AE243" s="10">
        <f t="shared" si="43"/>
        <v>95.611999999999995</v>
      </c>
      <c r="AF243" s="10" t="str">
        <f t="shared" si="38"/>
        <v/>
      </c>
      <c r="AG243" s="10" t="str">
        <f t="shared" si="44"/>
        <v/>
      </c>
      <c r="AH243" s="10" t="str">
        <f>IF(AND(Q243&gt;0,Q243&lt;30,K243=216),'Udvaskning nøgletal'!$C$42,IF(AND(Q243&gt;0,Q243&lt;30,K243&gt;7,K243&lt;17),'Udvaskning nøgletal'!$C$61,IF(AND(Q243&gt;0,Q243&lt;30,K243&lt;7),'Udvaskning nøgletal'!$C$62,"")))</f>
        <v/>
      </c>
      <c r="AI243" s="10">
        <f t="shared" si="40"/>
        <v>254</v>
      </c>
      <c r="AJ243" s="10">
        <f>IF($X243=1,LOOKUP(AI243,'Udvaskning nøgletal'!$C$12:$C$62,'Udvaskning nøgletal'!$E$12:$E$62)+Markniveau!$Y243*Markniveau!$S243/100,IF($X243=2,LOOKUP(AI243,'Udvaskning nøgletal'!$C$12:$C$62,'Udvaskning nøgletal'!$F$12:$F$62)+Markniveau!$Y243*Markniveau!$S243/100,IF($X243=3,LOOKUP(AI243,'Udvaskning nøgletal'!$C$12:$C$62,'Udvaskning nøgletal'!Q253:Q303)+Markniveau!$Y243*Markniveau!$S243/100,"")))</f>
        <v>21.2</v>
      </c>
      <c r="AK243" s="10">
        <f t="shared" si="39"/>
        <v>95.611999999999995</v>
      </c>
      <c r="AL243" s="10" t="str">
        <f t="shared" si="41"/>
        <v/>
      </c>
      <c r="AM243" s="10" t="str">
        <f t="shared" si="42"/>
        <v/>
      </c>
    </row>
    <row r="244" spans="1:39" x14ac:dyDescent="0.25">
      <c r="A244" s="15">
        <v>14265473</v>
      </c>
      <c r="B244" s="15">
        <v>11.69</v>
      </c>
      <c r="C244" s="15">
        <v>54881</v>
      </c>
      <c r="D244" s="15">
        <v>150693</v>
      </c>
      <c r="E244" s="15" t="s">
        <v>259</v>
      </c>
      <c r="F244" s="15">
        <v>2011</v>
      </c>
      <c r="G244" s="15">
        <v>20110421</v>
      </c>
      <c r="H244" s="15">
        <v>21942</v>
      </c>
      <c r="I244" s="15">
        <v>2.19</v>
      </c>
      <c r="J244" s="6" t="s">
        <v>1464</v>
      </c>
      <c r="K244" s="15">
        <v>902</v>
      </c>
      <c r="L244" s="15" t="s">
        <v>160</v>
      </c>
      <c r="M244" s="15" t="s">
        <v>81</v>
      </c>
      <c r="N244" s="11" t="s">
        <v>1384</v>
      </c>
      <c r="O244" s="11" t="s">
        <v>28</v>
      </c>
      <c r="P244" s="11" t="s">
        <v>33</v>
      </c>
      <c r="Q244" s="15">
        <v>0</v>
      </c>
      <c r="R244" s="11" t="s">
        <v>1386</v>
      </c>
      <c r="S244" s="10">
        <v>0</v>
      </c>
      <c r="T244" s="15">
        <v>80</v>
      </c>
      <c r="U244" s="15">
        <v>0</v>
      </c>
      <c r="V244" s="15">
        <v>0</v>
      </c>
      <c r="W244" s="15">
        <v>0</v>
      </c>
      <c r="X244" s="15">
        <f>IF(O244='Udvaskning nøgletal'!$D$65,1,IF(O244='Udvaskning nøgletal'!$D$66,2,IF(O244='Udvaskning nøgletal'!$D$67,3,IF(O244='Udvaskning nøgletal'!$D$68,2,""))))</f>
        <v>1</v>
      </c>
      <c r="Y244" s="15">
        <f>LOOKUP(K244,'Udvaskning nøgletal'!$C$12:$C$60,'Udvaskning nøgletal'!$H$12:$H$60)</f>
        <v>0</v>
      </c>
      <c r="Z244" s="10">
        <f>IF(X244=1,LOOKUP(K244,'Udvaskning nøgletal'!$C$12:$C$60,'Udvaskning nøgletal'!$E$12:$E$60)+Markniveau!Y244*Markniveau!S244/100,IF(X244=2,LOOKUP(K244,'Udvaskning nøgletal'!$C$12:$C$60,'Udvaskning nøgletal'!$F$12:$F$60)+Markniveau!Y244*Markniveau!S244/100,IF(X244=3,LOOKUP(K244,'Udvaskning nøgletal'!$C$12:$C$60,'Udvaskning nøgletal'!G254:G302)+Markniveau!Y244*Markniveau!S244/100,"")))</f>
        <v>10</v>
      </c>
      <c r="AA244" s="10">
        <f t="shared" si="36"/>
        <v>21.9</v>
      </c>
      <c r="AB244" s="10" t="str">
        <f t="shared" si="35"/>
        <v/>
      </c>
      <c r="AC244" s="10" t="str">
        <f t="shared" si="37"/>
        <v/>
      </c>
      <c r="AD244" s="10">
        <f>IF(AND(Q244&gt;0,Q244&lt;30,K244&lt;8),Markniveau!Z244*'Udvaskning nøgletal'!$I$12/100,IF(AND(Q244&gt;0,Q244&lt;30,K244=216),Markniveau!Z244*'Udvaskning nøgletal'!$I$34/100,Markniveau!Z244))</f>
        <v>10</v>
      </c>
      <c r="AE244" s="10">
        <f t="shared" si="43"/>
        <v>21.9</v>
      </c>
      <c r="AF244" s="10" t="str">
        <f t="shared" si="38"/>
        <v/>
      </c>
      <c r="AG244" s="10" t="str">
        <f t="shared" si="44"/>
        <v/>
      </c>
      <c r="AH244" s="10" t="str">
        <f>IF(AND(Q244&gt;0,Q244&lt;30,K244=216),'Udvaskning nøgletal'!$C$42,IF(AND(Q244&gt;0,Q244&lt;30,K244&gt;7,K244&lt;17),'Udvaskning nøgletal'!$C$61,IF(AND(Q244&gt;0,Q244&lt;30,K244&lt;7),'Udvaskning nøgletal'!$C$62,"")))</f>
        <v/>
      </c>
      <c r="AI244" s="10">
        <f t="shared" si="40"/>
        <v>902</v>
      </c>
      <c r="AJ244" s="10">
        <f>IF($X244=1,LOOKUP(AI244,'Udvaskning nøgletal'!$C$12:$C$62,'Udvaskning nøgletal'!$E$12:$E$62)+Markniveau!$Y244*Markniveau!$S244/100,IF($X244=2,LOOKUP(AI244,'Udvaskning nøgletal'!$C$12:$C$62,'Udvaskning nøgletal'!$F$12:$F$62)+Markniveau!$Y244*Markniveau!$S244/100,IF($X244=3,LOOKUP(AI244,'Udvaskning nøgletal'!$C$12:$C$62,'Udvaskning nøgletal'!Q254:Q304)+Markniveau!$Y244*Markniveau!$S244/100,"")))</f>
        <v>10</v>
      </c>
      <c r="AK244" s="10">
        <f t="shared" si="39"/>
        <v>21.9</v>
      </c>
      <c r="AL244" s="10" t="str">
        <f t="shared" si="41"/>
        <v/>
      </c>
      <c r="AM244" s="10" t="str">
        <f t="shared" si="42"/>
        <v/>
      </c>
    </row>
    <row r="245" spans="1:39" x14ac:dyDescent="0.25">
      <c r="A245" s="15">
        <v>14265473</v>
      </c>
      <c r="B245" s="15">
        <v>11.69</v>
      </c>
      <c r="C245" s="15">
        <v>54882</v>
      </c>
      <c r="D245" s="15">
        <v>150693</v>
      </c>
      <c r="E245" s="15" t="s">
        <v>259</v>
      </c>
      <c r="F245" s="15">
        <v>2011</v>
      </c>
      <c r="G245" s="15">
        <v>20110421</v>
      </c>
      <c r="H245" s="15">
        <v>101055</v>
      </c>
      <c r="I245" s="15">
        <v>10.11</v>
      </c>
      <c r="J245" s="6" t="s">
        <v>1465</v>
      </c>
      <c r="K245" s="15">
        <v>318</v>
      </c>
      <c r="L245" s="15" t="s">
        <v>171</v>
      </c>
      <c r="M245" s="15" t="s">
        <v>13</v>
      </c>
      <c r="N245" s="11" t="s">
        <v>1384</v>
      </c>
      <c r="O245" s="11" t="s">
        <v>28</v>
      </c>
      <c r="P245" s="11" t="s">
        <v>33</v>
      </c>
      <c r="Q245" s="15">
        <v>0</v>
      </c>
      <c r="R245" s="11" t="s">
        <v>1386</v>
      </c>
      <c r="S245" s="10">
        <v>0</v>
      </c>
      <c r="T245" s="15">
        <v>80</v>
      </c>
      <c r="U245" s="15">
        <v>0</v>
      </c>
      <c r="V245" s="15">
        <v>0</v>
      </c>
      <c r="W245" s="15">
        <v>0</v>
      </c>
      <c r="X245" s="15">
        <f>IF(O245='Udvaskning nøgletal'!$D$65,1,IF(O245='Udvaskning nøgletal'!$D$66,2,IF(O245='Udvaskning nøgletal'!$D$67,3,IF(O245='Udvaskning nøgletal'!$D$68,2,""))))</f>
        <v>1</v>
      </c>
      <c r="Y245" s="15">
        <f>LOOKUP(K245,'Udvaskning nøgletal'!$C$12:$C$60,'Udvaskning nøgletal'!$H$12:$H$60)</f>
        <v>0</v>
      </c>
      <c r="Z245" s="10">
        <f>IF(X245=1,LOOKUP(K245,'Udvaskning nøgletal'!$C$12:$C$60,'Udvaskning nøgletal'!$E$12:$E$60)+Markniveau!Y245*Markniveau!S245/100,IF(X245=2,LOOKUP(K245,'Udvaskning nøgletal'!$C$12:$C$60,'Udvaskning nøgletal'!$F$12:$F$60)+Markniveau!Y245*Markniveau!S245/100,IF(X245=3,LOOKUP(K245,'Udvaskning nøgletal'!$C$12:$C$60,'Udvaskning nøgletal'!G255:G303)+Markniveau!Y245*Markniveau!S245/100,"")))</f>
        <v>10</v>
      </c>
      <c r="AA245" s="10">
        <f t="shared" si="36"/>
        <v>101.1</v>
      </c>
      <c r="AB245" s="10" t="str">
        <f t="shared" si="35"/>
        <v/>
      </c>
      <c r="AC245" s="10" t="str">
        <f t="shared" si="37"/>
        <v/>
      </c>
      <c r="AD245" s="10">
        <f>IF(AND(Q245&gt;0,Q245&lt;30,K245&lt;8),Markniveau!Z245*'Udvaskning nøgletal'!$I$12/100,IF(AND(Q245&gt;0,Q245&lt;30,K245=216),Markniveau!Z245*'Udvaskning nøgletal'!$I$34/100,Markniveau!Z245))</f>
        <v>10</v>
      </c>
      <c r="AE245" s="10">
        <f t="shared" si="43"/>
        <v>101.1</v>
      </c>
      <c r="AF245" s="10" t="str">
        <f t="shared" si="38"/>
        <v/>
      </c>
      <c r="AG245" s="10" t="str">
        <f t="shared" si="44"/>
        <v/>
      </c>
      <c r="AH245" s="10" t="str">
        <f>IF(AND(Q245&gt;0,Q245&lt;30,K245=216),'Udvaskning nøgletal'!$C$42,IF(AND(Q245&gt;0,Q245&lt;30,K245&gt;7,K245&lt;17),'Udvaskning nøgletal'!$C$61,IF(AND(Q245&gt;0,Q245&lt;30,K245&lt;7),'Udvaskning nøgletal'!$C$62,"")))</f>
        <v/>
      </c>
      <c r="AI245" s="10">
        <f t="shared" si="40"/>
        <v>318</v>
      </c>
      <c r="AJ245" s="10">
        <f>IF($X245=1,LOOKUP(AI245,'Udvaskning nøgletal'!$C$12:$C$62,'Udvaskning nøgletal'!$E$12:$E$62)+Markniveau!$Y245*Markniveau!$S245/100,IF($X245=2,LOOKUP(AI245,'Udvaskning nøgletal'!$C$12:$C$62,'Udvaskning nøgletal'!$F$12:$F$62)+Markniveau!$Y245*Markniveau!$S245/100,IF($X245=3,LOOKUP(AI245,'Udvaskning nøgletal'!$C$12:$C$62,'Udvaskning nøgletal'!Q255:Q305)+Markniveau!$Y245*Markniveau!$S245/100,"")))</f>
        <v>10</v>
      </c>
      <c r="AK245" s="10">
        <f t="shared" si="39"/>
        <v>101.1</v>
      </c>
      <c r="AL245" s="10" t="str">
        <f t="shared" si="41"/>
        <v/>
      </c>
      <c r="AM245" s="10" t="str">
        <f t="shared" si="42"/>
        <v/>
      </c>
    </row>
    <row r="246" spans="1:39" x14ac:dyDescent="0.25">
      <c r="A246" s="15">
        <v>14278885</v>
      </c>
      <c r="B246" s="15">
        <v>30.92</v>
      </c>
      <c r="C246" s="15">
        <v>201683</v>
      </c>
      <c r="D246" s="15">
        <v>19394</v>
      </c>
      <c r="E246" s="15" t="s">
        <v>260</v>
      </c>
      <c r="F246" s="15">
        <v>2011</v>
      </c>
      <c r="G246" s="15">
        <v>20110427</v>
      </c>
      <c r="H246" s="15">
        <v>131003</v>
      </c>
      <c r="I246" s="15">
        <v>13.1</v>
      </c>
      <c r="J246" s="6" t="s">
        <v>1466</v>
      </c>
      <c r="K246" s="15">
        <v>3</v>
      </c>
      <c r="L246" s="15" t="s">
        <v>114</v>
      </c>
      <c r="M246" s="15" t="s">
        <v>5</v>
      </c>
      <c r="N246" s="11" t="s">
        <v>1384</v>
      </c>
      <c r="O246" s="11" t="s">
        <v>28</v>
      </c>
      <c r="P246" s="11" t="s">
        <v>33</v>
      </c>
      <c r="Q246" s="15">
        <v>0</v>
      </c>
      <c r="R246" s="11" t="s">
        <v>1386</v>
      </c>
      <c r="S246" s="10">
        <v>135.00432472507001</v>
      </c>
      <c r="T246" s="15">
        <v>80</v>
      </c>
      <c r="U246" s="15">
        <v>0</v>
      </c>
      <c r="V246" s="15">
        <v>0</v>
      </c>
      <c r="W246" s="15">
        <v>0</v>
      </c>
      <c r="X246" s="15">
        <f>IF(O246='Udvaskning nøgletal'!$D$65,1,IF(O246='Udvaskning nøgletal'!$D$66,2,IF(O246='Udvaskning nøgletal'!$D$67,3,IF(O246='Udvaskning nøgletal'!$D$68,2,""))))</f>
        <v>1</v>
      </c>
      <c r="Y246" s="15">
        <f>LOOKUP(K246,'Udvaskning nøgletal'!$C$12:$C$60,'Udvaskning nøgletal'!$H$12:$H$60)</f>
        <v>5</v>
      </c>
      <c r="Z246" s="10">
        <f>IF(X246=1,LOOKUP(K246,'Udvaskning nøgletal'!$C$12:$C$60,'Udvaskning nøgletal'!$E$12:$E$60)+Markniveau!Y246*Markniveau!S246/100,IF(X246=2,LOOKUP(K246,'Udvaskning nøgletal'!$C$12:$C$60,'Udvaskning nøgletal'!$F$12:$F$60)+Markniveau!Y246*Markniveau!S246/100,IF(X246=3,LOOKUP(K246,'Udvaskning nøgletal'!$C$12:$C$60,'Udvaskning nøgletal'!G256:G304)+Markniveau!Y246*Markniveau!S246/100,"")))</f>
        <v>71.41021623625349</v>
      </c>
      <c r="AA246" s="10">
        <f t="shared" si="36"/>
        <v>935.4738326949207</v>
      </c>
      <c r="AB246" s="10" t="str">
        <f t="shared" si="35"/>
        <v/>
      </c>
      <c r="AC246" s="10" t="str">
        <f t="shared" si="37"/>
        <v/>
      </c>
      <c r="AD246" s="10">
        <f>IF(AND(Q246&gt;0,Q246&lt;30,K246&lt;8),Markniveau!Z246*'Udvaskning nøgletal'!$I$12/100,IF(AND(Q246&gt;0,Q246&lt;30,K246=216),Markniveau!Z246*'Udvaskning nøgletal'!$I$34/100,Markniveau!Z246))</f>
        <v>71.41021623625349</v>
      </c>
      <c r="AE246" s="10">
        <f t="shared" si="43"/>
        <v>935.4738326949207</v>
      </c>
      <c r="AF246" s="10" t="str">
        <f t="shared" si="38"/>
        <v/>
      </c>
      <c r="AG246" s="10" t="str">
        <f t="shared" si="44"/>
        <v/>
      </c>
      <c r="AH246" s="10" t="str">
        <f>IF(AND(Q246&gt;0,Q246&lt;30,K246=216),'Udvaskning nøgletal'!$C$42,IF(AND(Q246&gt;0,Q246&lt;30,K246&gt;7,K246&lt;17),'Udvaskning nøgletal'!$C$61,IF(AND(Q246&gt;0,Q246&lt;30,K246&lt;7),'Udvaskning nøgletal'!$C$62,"")))</f>
        <v/>
      </c>
      <c r="AI246" s="10">
        <f t="shared" si="40"/>
        <v>3</v>
      </c>
      <c r="AJ246" s="10">
        <f>IF($X246=1,LOOKUP(AI246,'Udvaskning nøgletal'!$C$12:$C$62,'Udvaskning nøgletal'!$E$12:$E$62)+Markniveau!$Y246*Markniveau!$S246/100,IF($X246=2,LOOKUP(AI246,'Udvaskning nøgletal'!$C$12:$C$62,'Udvaskning nøgletal'!$F$12:$F$62)+Markniveau!$Y246*Markniveau!$S246/100,IF($X246=3,LOOKUP(AI246,'Udvaskning nøgletal'!$C$12:$C$62,'Udvaskning nøgletal'!Q256:Q306)+Markniveau!$Y246*Markniveau!$S246/100,"")))</f>
        <v>71.41021623625349</v>
      </c>
      <c r="AK246" s="10">
        <f t="shared" si="39"/>
        <v>935.4738326949207</v>
      </c>
      <c r="AL246" s="10" t="str">
        <f t="shared" si="41"/>
        <v/>
      </c>
      <c r="AM246" s="10" t="str">
        <f t="shared" si="42"/>
        <v/>
      </c>
    </row>
    <row r="247" spans="1:39" x14ac:dyDescent="0.25">
      <c r="A247" s="15">
        <v>14278885</v>
      </c>
      <c r="B247" s="15">
        <v>30.92</v>
      </c>
      <c r="C247" s="15">
        <v>209136</v>
      </c>
      <c r="D247" s="15">
        <v>19394</v>
      </c>
      <c r="E247" s="15" t="s">
        <v>218</v>
      </c>
      <c r="F247" s="15">
        <v>2011</v>
      </c>
      <c r="G247" s="15">
        <v>20110427</v>
      </c>
      <c r="H247" s="15">
        <v>194023</v>
      </c>
      <c r="I247" s="15">
        <v>19.399999999999999</v>
      </c>
      <c r="J247" s="6" t="s">
        <v>1467</v>
      </c>
      <c r="K247" s="15">
        <v>11</v>
      </c>
      <c r="L247" s="15" t="s">
        <v>102</v>
      </c>
      <c r="M247" s="15" t="s">
        <v>5</v>
      </c>
      <c r="N247" s="11" t="s">
        <v>1384</v>
      </c>
      <c r="O247" s="11" t="s">
        <v>28</v>
      </c>
      <c r="P247" s="11" t="s">
        <v>33</v>
      </c>
      <c r="Q247" s="15">
        <v>0</v>
      </c>
      <c r="R247" s="11" t="s">
        <v>1386</v>
      </c>
      <c r="S247" s="10">
        <v>135.00432472507001</v>
      </c>
      <c r="T247" s="15">
        <v>80</v>
      </c>
      <c r="U247" s="15">
        <v>0</v>
      </c>
      <c r="V247" s="15">
        <v>0</v>
      </c>
      <c r="W247" s="15">
        <v>0</v>
      </c>
      <c r="X247" s="15">
        <f>IF(O247='Udvaskning nøgletal'!$D$65,1,IF(O247='Udvaskning nøgletal'!$D$66,2,IF(O247='Udvaskning nøgletal'!$D$67,3,IF(O247='Udvaskning nøgletal'!$D$68,2,""))))</f>
        <v>1</v>
      </c>
      <c r="Y247" s="15">
        <f>LOOKUP(K247,'Udvaskning nøgletal'!$C$12:$C$60,'Udvaskning nøgletal'!$H$12:$H$60)</f>
        <v>5</v>
      </c>
      <c r="Z247" s="10">
        <f>IF(X247=1,LOOKUP(K247,'Udvaskning nøgletal'!$C$12:$C$60,'Udvaskning nøgletal'!$E$12:$E$60)+Markniveau!Y247*Markniveau!S247/100,IF(X247=2,LOOKUP(K247,'Udvaskning nøgletal'!$C$12:$C$60,'Udvaskning nøgletal'!$F$12:$F$60)+Markniveau!Y247*Markniveau!S247/100,IF(X247=3,LOOKUP(K247,'Udvaskning nøgletal'!$C$12:$C$60,'Udvaskning nøgletal'!G257:G305)+Markniveau!Y247*Markniveau!S247/100,"")))</f>
        <v>71.41021623625349</v>
      </c>
      <c r="AA247" s="10">
        <f t="shared" si="36"/>
        <v>1385.3581949833176</v>
      </c>
      <c r="AB247" s="10" t="str">
        <f t="shared" si="35"/>
        <v/>
      </c>
      <c r="AC247" s="10" t="str">
        <f t="shared" si="37"/>
        <v/>
      </c>
      <c r="AD247" s="10">
        <f>IF(AND(Q247&gt;0,Q247&lt;30,K247&lt;8),Markniveau!Z247*'Udvaskning nøgletal'!$I$12/100,IF(AND(Q247&gt;0,Q247&lt;30,K247=216),Markniveau!Z247*'Udvaskning nøgletal'!$I$34/100,Markniveau!Z247))</f>
        <v>71.41021623625349</v>
      </c>
      <c r="AE247" s="10">
        <f t="shared" si="43"/>
        <v>1385.3581949833176</v>
      </c>
      <c r="AF247" s="10" t="str">
        <f t="shared" si="38"/>
        <v/>
      </c>
      <c r="AG247" s="10" t="str">
        <f t="shared" si="44"/>
        <v/>
      </c>
      <c r="AH247" s="10" t="str">
        <f>IF(AND(Q247&gt;0,Q247&lt;30,K247=216),'Udvaskning nøgletal'!$C$42,IF(AND(Q247&gt;0,Q247&lt;30,K247&gt;7,K247&lt;17),'Udvaskning nøgletal'!$C$61,IF(AND(Q247&gt;0,Q247&lt;30,K247&lt;7),'Udvaskning nøgletal'!$C$62,"")))</f>
        <v/>
      </c>
      <c r="AI247" s="10">
        <f t="shared" si="40"/>
        <v>11</v>
      </c>
      <c r="AJ247" s="10">
        <f>IF($X247=1,LOOKUP(AI247,'Udvaskning nøgletal'!$C$12:$C$62,'Udvaskning nøgletal'!$E$12:$E$62)+Markniveau!$Y247*Markniveau!$S247/100,IF($X247=2,LOOKUP(AI247,'Udvaskning nøgletal'!$C$12:$C$62,'Udvaskning nøgletal'!$F$12:$F$62)+Markniveau!$Y247*Markniveau!$S247/100,IF($X247=3,LOOKUP(AI247,'Udvaskning nøgletal'!$C$12:$C$62,'Udvaskning nøgletal'!Q257:Q307)+Markniveau!$Y247*Markniveau!$S247/100,"")))</f>
        <v>71.41021623625349</v>
      </c>
      <c r="AK247" s="10">
        <f t="shared" si="39"/>
        <v>1385.3581949833176</v>
      </c>
      <c r="AL247" s="10" t="str">
        <f t="shared" si="41"/>
        <v/>
      </c>
      <c r="AM247" s="10" t="str">
        <f t="shared" si="42"/>
        <v/>
      </c>
    </row>
    <row r="248" spans="1:39" x14ac:dyDescent="0.25">
      <c r="A248" s="15">
        <v>14278885</v>
      </c>
      <c r="B248" s="15">
        <v>30.92</v>
      </c>
      <c r="C248" s="15">
        <v>210613</v>
      </c>
      <c r="D248" s="15">
        <v>19394</v>
      </c>
      <c r="E248" s="15" t="s">
        <v>218</v>
      </c>
      <c r="F248" s="15">
        <v>2011</v>
      </c>
      <c r="G248" s="15">
        <v>20110427</v>
      </c>
      <c r="H248" s="15">
        <v>93012</v>
      </c>
      <c r="I248" s="15">
        <v>9.3000000000000007</v>
      </c>
      <c r="J248" s="6" t="s">
        <v>1468</v>
      </c>
      <c r="K248" s="15">
        <v>10</v>
      </c>
      <c r="L248" s="15" t="s">
        <v>107</v>
      </c>
      <c r="M248" s="15" t="s">
        <v>5</v>
      </c>
      <c r="N248" s="11" t="s">
        <v>1384</v>
      </c>
      <c r="O248" s="11" t="s">
        <v>28</v>
      </c>
      <c r="P248" s="11" t="s">
        <v>33</v>
      </c>
      <c r="Q248" s="15">
        <v>0</v>
      </c>
      <c r="R248" s="11" t="s">
        <v>1386</v>
      </c>
      <c r="S248" s="10">
        <v>135.00432472507001</v>
      </c>
      <c r="T248" s="15">
        <v>80</v>
      </c>
      <c r="U248" s="15">
        <v>0</v>
      </c>
      <c r="V248" s="15">
        <v>0</v>
      </c>
      <c r="W248" s="15">
        <v>0</v>
      </c>
      <c r="X248" s="15">
        <f>IF(O248='Udvaskning nøgletal'!$D$65,1,IF(O248='Udvaskning nøgletal'!$D$66,2,IF(O248='Udvaskning nøgletal'!$D$67,3,IF(O248='Udvaskning nøgletal'!$D$68,2,""))))</f>
        <v>1</v>
      </c>
      <c r="Y248" s="15">
        <f>LOOKUP(K248,'Udvaskning nøgletal'!$C$12:$C$60,'Udvaskning nøgletal'!$H$12:$H$60)</f>
        <v>5</v>
      </c>
      <c r="Z248" s="10">
        <f>IF(X248=1,LOOKUP(K248,'Udvaskning nøgletal'!$C$12:$C$60,'Udvaskning nøgletal'!$E$12:$E$60)+Markniveau!Y248*Markniveau!S248/100,IF(X248=2,LOOKUP(K248,'Udvaskning nøgletal'!$C$12:$C$60,'Udvaskning nøgletal'!$F$12:$F$60)+Markniveau!Y248*Markniveau!S248/100,IF(X248=3,LOOKUP(K248,'Udvaskning nøgletal'!$C$12:$C$60,'Udvaskning nøgletal'!G258:G306)+Markniveau!Y248*Markniveau!S248/100,"")))</f>
        <v>71.41021623625349</v>
      </c>
      <c r="AA248" s="10">
        <f t="shared" si="36"/>
        <v>664.11501099715747</v>
      </c>
      <c r="AB248" s="10" t="str">
        <f t="shared" si="35"/>
        <v/>
      </c>
      <c r="AC248" s="10" t="str">
        <f t="shared" si="37"/>
        <v/>
      </c>
      <c r="AD248" s="10">
        <f>IF(AND(Q248&gt;0,Q248&lt;30,K248&lt;8),Markniveau!Z248*'Udvaskning nøgletal'!$I$12/100,IF(AND(Q248&gt;0,Q248&lt;30,K248=216),Markniveau!Z248*'Udvaskning nøgletal'!$I$34/100,Markniveau!Z248))</f>
        <v>71.41021623625349</v>
      </c>
      <c r="AE248" s="10">
        <f t="shared" si="43"/>
        <v>664.11501099715747</v>
      </c>
      <c r="AF248" s="10" t="str">
        <f t="shared" si="38"/>
        <v/>
      </c>
      <c r="AG248" s="10" t="str">
        <f t="shared" si="44"/>
        <v/>
      </c>
      <c r="AH248" s="10" t="str">
        <f>IF(AND(Q248&gt;0,Q248&lt;30,K248=216),'Udvaskning nøgletal'!$C$42,IF(AND(Q248&gt;0,Q248&lt;30,K248&gt;7,K248&lt;17),'Udvaskning nøgletal'!$C$61,IF(AND(Q248&gt;0,Q248&lt;30,K248&lt;7),'Udvaskning nøgletal'!$C$62,"")))</f>
        <v/>
      </c>
      <c r="AI248" s="10">
        <f t="shared" si="40"/>
        <v>10</v>
      </c>
      <c r="AJ248" s="10">
        <f>IF($X248=1,LOOKUP(AI248,'Udvaskning nøgletal'!$C$12:$C$62,'Udvaskning nøgletal'!$E$12:$E$62)+Markniveau!$Y248*Markniveau!$S248/100,IF($X248=2,LOOKUP(AI248,'Udvaskning nøgletal'!$C$12:$C$62,'Udvaskning nøgletal'!$F$12:$F$62)+Markniveau!$Y248*Markniveau!$S248/100,IF($X248=3,LOOKUP(AI248,'Udvaskning nøgletal'!$C$12:$C$62,'Udvaskning nøgletal'!Q258:Q308)+Markniveau!$Y248*Markniveau!$S248/100,"")))</f>
        <v>71.41021623625349</v>
      </c>
      <c r="AK248" s="10">
        <f t="shared" si="39"/>
        <v>664.11501099715747</v>
      </c>
      <c r="AL248" s="10" t="str">
        <f t="shared" si="41"/>
        <v/>
      </c>
      <c r="AM248" s="10" t="str">
        <f t="shared" si="42"/>
        <v/>
      </c>
    </row>
    <row r="249" spans="1:39" x14ac:dyDescent="0.25">
      <c r="A249" s="15">
        <v>14278885</v>
      </c>
      <c r="B249" s="15">
        <v>30.92</v>
      </c>
      <c r="C249" s="15">
        <v>217105</v>
      </c>
      <c r="D249" s="15">
        <v>19394</v>
      </c>
      <c r="E249" s="15" t="s">
        <v>261</v>
      </c>
      <c r="F249" s="15">
        <v>2011</v>
      </c>
      <c r="G249" s="15">
        <v>20110427</v>
      </c>
      <c r="H249" s="15">
        <v>10384</v>
      </c>
      <c r="I249" s="15">
        <v>1.04</v>
      </c>
      <c r="J249" s="6" t="s">
        <v>1469</v>
      </c>
      <c r="K249" s="15">
        <v>210</v>
      </c>
      <c r="L249" s="15" t="s">
        <v>262</v>
      </c>
      <c r="M249" s="15" t="s">
        <v>5</v>
      </c>
      <c r="N249" s="11" t="s">
        <v>1384</v>
      </c>
      <c r="O249" s="11" t="s">
        <v>28</v>
      </c>
      <c r="P249" s="11" t="s">
        <v>33</v>
      </c>
      <c r="Q249" s="15">
        <v>0</v>
      </c>
      <c r="R249" s="11" t="s">
        <v>1386</v>
      </c>
      <c r="S249" s="10">
        <v>135.00432472507001</v>
      </c>
      <c r="T249" s="15">
        <v>80</v>
      </c>
      <c r="U249" s="15">
        <v>0</v>
      </c>
      <c r="V249" s="15">
        <v>0</v>
      </c>
      <c r="W249" s="15">
        <v>0</v>
      </c>
      <c r="X249" s="15">
        <f>IF(O249='Udvaskning nøgletal'!$D$65,1,IF(O249='Udvaskning nøgletal'!$D$66,2,IF(O249='Udvaskning nøgletal'!$D$67,3,IF(O249='Udvaskning nøgletal'!$D$68,2,""))))</f>
        <v>1</v>
      </c>
      <c r="Y249" s="15">
        <f>LOOKUP(K249,'Udvaskning nøgletal'!$C$12:$C$60,'Udvaskning nøgletal'!$H$12:$H$60)</f>
        <v>0</v>
      </c>
      <c r="Z249" s="10">
        <f>IF(X249=1,LOOKUP(K249,'Udvaskning nøgletal'!$C$12:$C$60,'Udvaskning nøgletal'!$E$12:$E$60)+Markniveau!Y249*Markniveau!S249/100,IF(X249=2,LOOKUP(K249,'Udvaskning nøgletal'!$C$12:$C$60,'Udvaskning nøgletal'!$F$12:$F$60)+Markniveau!Y249*Markniveau!S249/100,IF(X249=3,LOOKUP(K249,'Udvaskning nøgletal'!$C$12:$C$60,'Udvaskning nøgletal'!G259:G307)+Markniveau!Y249*Markniveau!S249/100,"")))</f>
        <v>38.620385460262987</v>
      </c>
      <c r="AA249" s="10">
        <f t="shared" si="36"/>
        <v>40.16520087867351</v>
      </c>
      <c r="AB249" s="10" t="str">
        <f t="shared" si="35"/>
        <v/>
      </c>
      <c r="AC249" s="10" t="str">
        <f t="shared" si="37"/>
        <v/>
      </c>
      <c r="AD249" s="10">
        <f>IF(AND(Q249&gt;0,Q249&lt;30,K249&lt;8),Markniveau!Z249*'Udvaskning nøgletal'!$I$12/100,IF(AND(Q249&gt;0,Q249&lt;30,K249=216),Markniveau!Z249*'Udvaskning nøgletal'!$I$34/100,Markniveau!Z249))</f>
        <v>38.620385460262987</v>
      </c>
      <c r="AE249" s="10">
        <f t="shared" si="43"/>
        <v>40.16520087867351</v>
      </c>
      <c r="AF249" s="10" t="str">
        <f t="shared" si="38"/>
        <v/>
      </c>
      <c r="AG249" s="10" t="str">
        <f t="shared" si="44"/>
        <v/>
      </c>
      <c r="AH249" s="10" t="str">
        <f>IF(AND(Q249&gt;0,Q249&lt;30,K249=216),'Udvaskning nøgletal'!$C$42,IF(AND(Q249&gt;0,Q249&lt;30,K249&gt;7,K249&lt;17),'Udvaskning nøgletal'!$C$61,IF(AND(Q249&gt;0,Q249&lt;30,K249&lt;7),'Udvaskning nøgletal'!$C$62,"")))</f>
        <v/>
      </c>
      <c r="AI249" s="10">
        <f t="shared" si="40"/>
        <v>210</v>
      </c>
      <c r="AJ249" s="10">
        <f>IF($X249=1,LOOKUP(AI249,'Udvaskning nøgletal'!$C$12:$C$62,'Udvaskning nøgletal'!$E$12:$E$62)+Markniveau!$Y249*Markniveau!$S249/100,IF($X249=2,LOOKUP(AI249,'Udvaskning nøgletal'!$C$12:$C$62,'Udvaskning nøgletal'!$F$12:$F$62)+Markniveau!$Y249*Markniveau!$S249/100,IF($X249=3,LOOKUP(AI249,'Udvaskning nøgletal'!$C$12:$C$62,'Udvaskning nøgletal'!Q259:Q309)+Markniveau!$Y249*Markniveau!$S249/100,"")))</f>
        <v>38.620385460262987</v>
      </c>
      <c r="AK249" s="10">
        <f t="shared" si="39"/>
        <v>40.16520087867351</v>
      </c>
      <c r="AL249" s="10" t="str">
        <f t="shared" si="41"/>
        <v/>
      </c>
      <c r="AM249" s="10" t="str">
        <f t="shared" si="42"/>
        <v/>
      </c>
    </row>
    <row r="250" spans="1:39" x14ac:dyDescent="0.25">
      <c r="A250" s="15">
        <v>14278885</v>
      </c>
      <c r="B250" s="15">
        <v>30.92</v>
      </c>
      <c r="C250" s="15">
        <v>225080</v>
      </c>
      <c r="D250" s="15">
        <v>19394</v>
      </c>
      <c r="E250" s="15" t="s">
        <v>261</v>
      </c>
      <c r="F250" s="15">
        <v>2011</v>
      </c>
      <c r="G250" s="15">
        <v>20110427</v>
      </c>
      <c r="H250" s="15">
        <v>131955</v>
      </c>
      <c r="I250" s="15">
        <v>13.2</v>
      </c>
      <c r="J250" s="6" t="s">
        <v>1470</v>
      </c>
      <c r="K250" s="15">
        <v>3</v>
      </c>
      <c r="L250" s="15" t="s">
        <v>114</v>
      </c>
      <c r="M250" s="15" t="s">
        <v>5</v>
      </c>
      <c r="N250" s="11" t="s">
        <v>1384</v>
      </c>
      <c r="O250" s="11" t="s">
        <v>28</v>
      </c>
      <c r="P250" s="11" t="s">
        <v>29</v>
      </c>
      <c r="Q250" s="15">
        <v>95</v>
      </c>
      <c r="R250" s="11" t="s">
        <v>3</v>
      </c>
      <c r="S250" s="10">
        <v>135.00432472507001</v>
      </c>
      <c r="T250" s="15">
        <v>80</v>
      </c>
      <c r="U250" s="15">
        <v>0</v>
      </c>
      <c r="V250" s="15">
        <v>0</v>
      </c>
      <c r="W250" s="15">
        <v>0</v>
      </c>
      <c r="X250" s="15">
        <f>IF(O250='Udvaskning nøgletal'!$D$65,1,IF(O250='Udvaskning nøgletal'!$D$66,2,IF(O250='Udvaskning nøgletal'!$D$67,3,IF(O250='Udvaskning nøgletal'!$D$68,2,""))))</f>
        <v>1</v>
      </c>
      <c r="Y250" s="15">
        <f>LOOKUP(K250,'Udvaskning nøgletal'!$C$12:$C$60,'Udvaskning nøgletal'!$H$12:$H$60)</f>
        <v>5</v>
      </c>
      <c r="Z250" s="10">
        <f>IF(X250=1,LOOKUP(K250,'Udvaskning nøgletal'!$C$12:$C$60,'Udvaskning nøgletal'!$E$12:$E$60)+Markniveau!Y250*Markniveau!S250/100,IF(X250=2,LOOKUP(K250,'Udvaskning nøgletal'!$C$12:$C$60,'Udvaskning nøgletal'!$F$12:$F$60)+Markniveau!Y250*Markniveau!S250/100,IF(X250=3,LOOKUP(K250,'Udvaskning nøgletal'!$C$12:$C$60,'Udvaskning nøgletal'!G260:G308)+Markniveau!Y250*Markniveau!S250/100,"")))</f>
        <v>71.41021623625349</v>
      </c>
      <c r="AA250" s="10">
        <f t="shared" si="36"/>
        <v>942.61485431854601</v>
      </c>
      <c r="AB250" s="10">
        <f t="shared" si="35"/>
        <v>3.5705108118126749</v>
      </c>
      <c r="AC250" s="10">
        <f t="shared" si="37"/>
        <v>47.130742715927305</v>
      </c>
      <c r="AD250" s="10">
        <f>IF(AND(Q250&gt;0,Q250&lt;30,K250&lt;8),Markniveau!Z250*'Udvaskning nøgletal'!$I$12/100,IF(AND(Q250&gt;0,Q250&lt;30,K250=216),Markniveau!Z250*'Udvaskning nøgletal'!$I$34/100,Markniveau!Z250))</f>
        <v>71.41021623625349</v>
      </c>
      <c r="AE250" s="10">
        <f t="shared" si="43"/>
        <v>942.61485431854601</v>
      </c>
      <c r="AF250" s="10">
        <f t="shared" si="38"/>
        <v>3.5705108118126749</v>
      </c>
      <c r="AG250" s="10">
        <f t="shared" si="44"/>
        <v>47.130742715927305</v>
      </c>
      <c r="AH250" s="10" t="str">
        <f>IF(AND(Q250&gt;0,Q250&lt;30,K250=216),'Udvaskning nøgletal'!$C$42,IF(AND(Q250&gt;0,Q250&lt;30,K250&gt;7,K250&lt;17),'Udvaskning nøgletal'!$C$61,IF(AND(Q250&gt;0,Q250&lt;30,K250&lt;7),'Udvaskning nøgletal'!$C$62,"")))</f>
        <v/>
      </c>
      <c r="AI250" s="10">
        <f t="shared" si="40"/>
        <v>3</v>
      </c>
      <c r="AJ250" s="10">
        <f>IF($X250=1,LOOKUP(AI250,'Udvaskning nøgletal'!$C$12:$C$62,'Udvaskning nøgletal'!$E$12:$E$62)+Markniveau!$Y250*Markniveau!$S250/100,IF($X250=2,LOOKUP(AI250,'Udvaskning nøgletal'!$C$12:$C$62,'Udvaskning nøgletal'!$F$12:$F$62)+Markniveau!$Y250*Markniveau!$S250/100,IF($X250=3,LOOKUP(AI250,'Udvaskning nøgletal'!$C$12:$C$62,'Udvaskning nøgletal'!Q260:Q310)+Markniveau!$Y250*Markniveau!$S250/100,"")))</f>
        <v>71.41021623625349</v>
      </c>
      <c r="AK250" s="10">
        <f t="shared" si="39"/>
        <v>942.61485431854601</v>
      </c>
      <c r="AL250" s="10">
        <f t="shared" si="41"/>
        <v>3.5705108118126749</v>
      </c>
      <c r="AM250" s="10">
        <f t="shared" si="42"/>
        <v>47.130742715927305</v>
      </c>
    </row>
    <row r="251" spans="1:39" x14ac:dyDescent="0.25">
      <c r="A251" s="15">
        <v>14278885</v>
      </c>
      <c r="B251" s="15">
        <v>30.92</v>
      </c>
      <c r="C251" s="15">
        <v>238507</v>
      </c>
      <c r="D251" s="15">
        <v>19394</v>
      </c>
      <c r="E251" s="15" t="s">
        <v>156</v>
      </c>
      <c r="F251" s="15">
        <v>2011</v>
      </c>
      <c r="G251" s="15">
        <v>20110427</v>
      </c>
      <c r="H251" s="15">
        <v>107804</v>
      </c>
      <c r="I251" s="15">
        <v>10.78</v>
      </c>
      <c r="J251" s="6" t="s">
        <v>1471</v>
      </c>
      <c r="K251" s="15">
        <v>1</v>
      </c>
      <c r="L251" s="15" t="s">
        <v>32</v>
      </c>
      <c r="M251" s="15" t="s">
        <v>5</v>
      </c>
      <c r="N251" s="11" t="s">
        <v>1384</v>
      </c>
      <c r="O251" s="11" t="s">
        <v>28</v>
      </c>
      <c r="P251" s="11" t="s">
        <v>29</v>
      </c>
      <c r="Q251" s="15">
        <v>95</v>
      </c>
      <c r="R251" s="11" t="s">
        <v>3</v>
      </c>
      <c r="S251" s="10">
        <v>135.00432472507001</v>
      </c>
      <c r="T251" s="15">
        <v>80</v>
      </c>
      <c r="U251" s="15">
        <v>0</v>
      </c>
      <c r="V251" s="15">
        <v>0</v>
      </c>
      <c r="W251" s="15">
        <v>0</v>
      </c>
      <c r="X251" s="15">
        <f>IF(O251='Udvaskning nøgletal'!$D$65,1,IF(O251='Udvaskning nøgletal'!$D$66,2,IF(O251='Udvaskning nøgletal'!$D$67,3,IF(O251='Udvaskning nøgletal'!$D$68,2,""))))</f>
        <v>1</v>
      </c>
      <c r="Y251" s="15">
        <f>LOOKUP(K251,'Udvaskning nøgletal'!$C$12:$C$60,'Udvaskning nøgletal'!$H$12:$H$60)</f>
        <v>5</v>
      </c>
      <c r="Z251" s="10">
        <f>IF(X251=1,LOOKUP(K251,'Udvaskning nøgletal'!$C$12:$C$60,'Udvaskning nøgletal'!$E$12:$E$60)+Markniveau!Y251*Markniveau!S251/100,IF(X251=2,LOOKUP(K251,'Udvaskning nøgletal'!$C$12:$C$60,'Udvaskning nøgletal'!$F$12:$F$60)+Markniveau!Y251*Markniveau!S251/100,IF(X251=3,LOOKUP(K251,'Udvaskning nøgletal'!$C$12:$C$60,'Udvaskning nøgletal'!G261:G309)+Markniveau!Y251*Markniveau!S251/100,"")))</f>
        <v>71.41021623625349</v>
      </c>
      <c r="AA251" s="10">
        <f t="shared" si="36"/>
        <v>769.80213102681262</v>
      </c>
      <c r="AB251" s="10">
        <f t="shared" si="35"/>
        <v>3.5705108118126749</v>
      </c>
      <c r="AC251" s="10">
        <f t="shared" si="37"/>
        <v>38.490106551340631</v>
      </c>
      <c r="AD251" s="10">
        <f>IF(AND(Q251&gt;0,Q251&lt;30,K251&lt;8),Markniveau!Z251*'Udvaskning nøgletal'!$I$12/100,IF(AND(Q251&gt;0,Q251&lt;30,K251=216),Markniveau!Z251*'Udvaskning nøgletal'!$I$34/100,Markniveau!Z251))</f>
        <v>71.41021623625349</v>
      </c>
      <c r="AE251" s="10">
        <f t="shared" si="43"/>
        <v>769.80213102681262</v>
      </c>
      <c r="AF251" s="10">
        <f t="shared" si="38"/>
        <v>3.5705108118126749</v>
      </c>
      <c r="AG251" s="10">
        <f t="shared" si="44"/>
        <v>38.490106551340631</v>
      </c>
      <c r="AH251" s="10" t="str">
        <f>IF(AND(Q251&gt;0,Q251&lt;30,K251=216),'Udvaskning nøgletal'!$C$42,IF(AND(Q251&gt;0,Q251&lt;30,K251&gt;7,K251&lt;17),'Udvaskning nøgletal'!$C$61,IF(AND(Q251&gt;0,Q251&lt;30,K251&lt;7),'Udvaskning nøgletal'!$C$62,"")))</f>
        <v/>
      </c>
      <c r="AI251" s="10">
        <f t="shared" si="40"/>
        <v>1</v>
      </c>
      <c r="AJ251" s="10">
        <f>IF($X251=1,LOOKUP(AI251,'Udvaskning nøgletal'!$C$12:$C$62,'Udvaskning nøgletal'!$E$12:$E$62)+Markniveau!$Y251*Markniveau!$S251/100,IF($X251=2,LOOKUP(AI251,'Udvaskning nøgletal'!$C$12:$C$62,'Udvaskning nøgletal'!$F$12:$F$62)+Markniveau!$Y251*Markniveau!$S251/100,IF($X251=3,LOOKUP(AI251,'Udvaskning nøgletal'!$C$12:$C$62,'Udvaskning nøgletal'!Q261:Q311)+Markniveau!$Y251*Markniveau!$S251/100,"")))</f>
        <v>71.41021623625349</v>
      </c>
      <c r="AK251" s="10">
        <f t="shared" si="39"/>
        <v>769.80213102681262</v>
      </c>
      <c r="AL251" s="10">
        <f t="shared" si="41"/>
        <v>3.5705108118126749</v>
      </c>
      <c r="AM251" s="10">
        <f t="shared" si="42"/>
        <v>38.490106551340631</v>
      </c>
    </row>
    <row r="252" spans="1:39" x14ac:dyDescent="0.25">
      <c r="A252" s="15">
        <v>14278885</v>
      </c>
      <c r="B252" s="15">
        <v>30.92</v>
      </c>
      <c r="C252" s="15">
        <v>238764</v>
      </c>
      <c r="D252" s="15">
        <v>19394</v>
      </c>
      <c r="E252" s="15" t="s">
        <v>218</v>
      </c>
      <c r="F252" s="15">
        <v>2011</v>
      </c>
      <c r="G252" s="15">
        <v>20110427</v>
      </c>
      <c r="H252" s="15">
        <v>69158</v>
      </c>
      <c r="I252" s="15">
        <v>6.92</v>
      </c>
      <c r="J252" s="6" t="s">
        <v>1384</v>
      </c>
      <c r="K252" s="15">
        <v>10</v>
      </c>
      <c r="L252" s="15" t="s">
        <v>107</v>
      </c>
      <c r="M252" s="15" t="s">
        <v>5</v>
      </c>
      <c r="N252" s="11" t="s">
        <v>1384</v>
      </c>
      <c r="O252" s="11" t="s">
        <v>28</v>
      </c>
      <c r="P252" s="11" t="s">
        <v>33</v>
      </c>
      <c r="Q252" s="15">
        <v>0</v>
      </c>
      <c r="R252" s="11" t="s">
        <v>1386</v>
      </c>
      <c r="S252" s="10">
        <v>135.00432472507001</v>
      </c>
      <c r="T252" s="15">
        <v>80</v>
      </c>
      <c r="U252" s="15">
        <v>0</v>
      </c>
      <c r="V252" s="15">
        <v>0</v>
      </c>
      <c r="W252" s="15">
        <v>0</v>
      </c>
      <c r="X252" s="15">
        <f>IF(O252='Udvaskning nøgletal'!$D$65,1,IF(O252='Udvaskning nøgletal'!$D$66,2,IF(O252='Udvaskning nøgletal'!$D$67,3,IF(O252='Udvaskning nøgletal'!$D$68,2,""))))</f>
        <v>1</v>
      </c>
      <c r="Y252" s="15">
        <f>LOOKUP(K252,'Udvaskning nøgletal'!$C$12:$C$60,'Udvaskning nøgletal'!$H$12:$H$60)</f>
        <v>5</v>
      </c>
      <c r="Z252" s="10">
        <f>IF(X252=1,LOOKUP(K252,'Udvaskning nøgletal'!$C$12:$C$60,'Udvaskning nøgletal'!$E$12:$E$60)+Markniveau!Y252*Markniveau!S252/100,IF(X252=2,LOOKUP(K252,'Udvaskning nøgletal'!$C$12:$C$60,'Udvaskning nøgletal'!$F$12:$F$60)+Markniveau!Y252*Markniveau!S252/100,IF(X252=3,LOOKUP(K252,'Udvaskning nøgletal'!$C$12:$C$60,'Udvaskning nøgletal'!G262:G310)+Markniveau!Y252*Markniveau!S252/100,"")))</f>
        <v>71.41021623625349</v>
      </c>
      <c r="AA252" s="10">
        <f t="shared" si="36"/>
        <v>494.15869635487417</v>
      </c>
      <c r="AB252" s="10" t="str">
        <f t="shared" si="35"/>
        <v/>
      </c>
      <c r="AC252" s="10" t="str">
        <f t="shared" si="37"/>
        <v/>
      </c>
      <c r="AD252" s="10">
        <f>IF(AND(Q252&gt;0,Q252&lt;30,K252&lt;8),Markniveau!Z252*'Udvaskning nøgletal'!$I$12/100,IF(AND(Q252&gt;0,Q252&lt;30,K252=216),Markniveau!Z252*'Udvaskning nøgletal'!$I$34/100,Markniveau!Z252))</f>
        <v>71.41021623625349</v>
      </c>
      <c r="AE252" s="10">
        <f t="shared" si="43"/>
        <v>494.15869635487417</v>
      </c>
      <c r="AF252" s="10" t="str">
        <f t="shared" si="38"/>
        <v/>
      </c>
      <c r="AG252" s="10" t="str">
        <f t="shared" si="44"/>
        <v/>
      </c>
      <c r="AH252" s="10" t="str">
        <f>IF(AND(Q252&gt;0,Q252&lt;30,K252=216),'Udvaskning nøgletal'!$C$42,IF(AND(Q252&gt;0,Q252&lt;30,K252&gt;7,K252&lt;17),'Udvaskning nøgletal'!$C$61,IF(AND(Q252&gt;0,Q252&lt;30,K252&lt;7),'Udvaskning nøgletal'!$C$62,"")))</f>
        <v/>
      </c>
      <c r="AI252" s="10">
        <f t="shared" si="40"/>
        <v>10</v>
      </c>
      <c r="AJ252" s="10">
        <f>IF($X252=1,LOOKUP(AI252,'Udvaskning nøgletal'!$C$12:$C$62,'Udvaskning nøgletal'!$E$12:$E$62)+Markniveau!$Y252*Markniveau!$S252/100,IF($X252=2,LOOKUP(AI252,'Udvaskning nøgletal'!$C$12:$C$62,'Udvaskning nøgletal'!$F$12:$F$62)+Markniveau!$Y252*Markniveau!$S252/100,IF($X252=3,LOOKUP(AI252,'Udvaskning nøgletal'!$C$12:$C$62,'Udvaskning nøgletal'!Q262:Q312)+Markniveau!$Y252*Markniveau!$S252/100,"")))</f>
        <v>71.41021623625349</v>
      </c>
      <c r="AK252" s="10">
        <f t="shared" si="39"/>
        <v>494.15869635487417</v>
      </c>
      <c r="AL252" s="10" t="str">
        <f t="shared" si="41"/>
        <v/>
      </c>
      <c r="AM252" s="10" t="str">
        <f t="shared" si="42"/>
        <v/>
      </c>
    </row>
    <row r="253" spans="1:39" x14ac:dyDescent="0.25">
      <c r="A253" s="15">
        <v>14278885</v>
      </c>
      <c r="B253" s="15">
        <v>30.92</v>
      </c>
      <c r="C253" s="15">
        <v>185447</v>
      </c>
      <c r="D253" s="15">
        <v>19394</v>
      </c>
      <c r="E253" s="15" t="s">
        <v>263</v>
      </c>
      <c r="F253" s="15">
        <v>2011</v>
      </c>
      <c r="G253" s="15">
        <v>20110427</v>
      </c>
      <c r="H253" s="15">
        <v>69383</v>
      </c>
      <c r="I253" s="15">
        <v>6.94</v>
      </c>
      <c r="J253" s="6" t="s">
        <v>1472</v>
      </c>
      <c r="K253" s="15">
        <v>1</v>
      </c>
      <c r="L253" s="15" t="s">
        <v>32</v>
      </c>
      <c r="M253" s="15" t="s">
        <v>5</v>
      </c>
      <c r="N253" s="11" t="s">
        <v>1384</v>
      </c>
      <c r="O253" s="11" t="s">
        <v>28</v>
      </c>
      <c r="P253" s="11" t="s">
        <v>29</v>
      </c>
      <c r="Q253" s="15">
        <v>95</v>
      </c>
      <c r="R253" s="11" t="s">
        <v>3</v>
      </c>
      <c r="S253" s="10">
        <v>135.00432472507001</v>
      </c>
      <c r="T253" s="15">
        <v>80</v>
      </c>
      <c r="U253" s="15">
        <v>0</v>
      </c>
      <c r="V253" s="15">
        <v>0</v>
      </c>
      <c r="W253" s="15">
        <v>0</v>
      </c>
      <c r="X253" s="15">
        <f>IF(O253='Udvaskning nøgletal'!$D$65,1,IF(O253='Udvaskning nøgletal'!$D$66,2,IF(O253='Udvaskning nøgletal'!$D$67,3,IF(O253='Udvaskning nøgletal'!$D$68,2,""))))</f>
        <v>1</v>
      </c>
      <c r="Y253" s="15">
        <f>LOOKUP(K253,'Udvaskning nøgletal'!$C$12:$C$60,'Udvaskning nøgletal'!$H$12:$H$60)</f>
        <v>5</v>
      </c>
      <c r="Z253" s="10">
        <f>IF(X253=1,LOOKUP(K253,'Udvaskning nøgletal'!$C$12:$C$60,'Udvaskning nøgletal'!$E$12:$E$60)+Markniveau!Y253*Markniveau!S253/100,IF(X253=2,LOOKUP(K253,'Udvaskning nøgletal'!$C$12:$C$60,'Udvaskning nøgletal'!$F$12:$F$60)+Markniveau!Y253*Markniveau!S253/100,IF(X253=3,LOOKUP(K253,'Udvaskning nøgletal'!$C$12:$C$60,'Udvaskning nøgletal'!G263:G311)+Markniveau!Y253*Markniveau!S253/100,"")))</f>
        <v>71.41021623625349</v>
      </c>
      <c r="AA253" s="10">
        <f t="shared" si="36"/>
        <v>495.58690067959924</v>
      </c>
      <c r="AB253" s="10">
        <f t="shared" si="35"/>
        <v>3.5705108118126749</v>
      </c>
      <c r="AC253" s="10">
        <f t="shared" si="37"/>
        <v>24.779345033979965</v>
      </c>
      <c r="AD253" s="10">
        <f>IF(AND(Q253&gt;0,Q253&lt;30,K253&lt;8),Markniveau!Z253*'Udvaskning nøgletal'!$I$12/100,IF(AND(Q253&gt;0,Q253&lt;30,K253=216),Markniveau!Z253*'Udvaskning nøgletal'!$I$34/100,Markniveau!Z253))</f>
        <v>71.41021623625349</v>
      </c>
      <c r="AE253" s="10">
        <f t="shared" si="43"/>
        <v>495.58690067959924</v>
      </c>
      <c r="AF253" s="10">
        <f t="shared" si="38"/>
        <v>3.5705108118126749</v>
      </c>
      <c r="AG253" s="10">
        <f t="shared" si="44"/>
        <v>24.779345033979965</v>
      </c>
      <c r="AH253" s="10" t="str">
        <f>IF(AND(Q253&gt;0,Q253&lt;30,K253=216),'Udvaskning nøgletal'!$C$42,IF(AND(Q253&gt;0,Q253&lt;30,K253&gt;7,K253&lt;17),'Udvaskning nøgletal'!$C$61,IF(AND(Q253&gt;0,Q253&lt;30,K253&lt;7),'Udvaskning nøgletal'!$C$62,"")))</f>
        <v/>
      </c>
      <c r="AI253" s="10">
        <f t="shared" si="40"/>
        <v>1</v>
      </c>
      <c r="AJ253" s="10">
        <f>IF($X253=1,LOOKUP(AI253,'Udvaskning nøgletal'!$C$12:$C$62,'Udvaskning nøgletal'!$E$12:$E$62)+Markniveau!$Y253*Markniveau!$S253/100,IF($X253=2,LOOKUP(AI253,'Udvaskning nøgletal'!$C$12:$C$62,'Udvaskning nøgletal'!$F$12:$F$62)+Markniveau!$Y253*Markniveau!$S253/100,IF($X253=3,LOOKUP(AI253,'Udvaskning nøgletal'!$C$12:$C$62,'Udvaskning nøgletal'!Q263:Q313)+Markniveau!$Y253*Markniveau!$S253/100,"")))</f>
        <v>71.41021623625349</v>
      </c>
      <c r="AK253" s="10">
        <f t="shared" si="39"/>
        <v>495.58690067959924</v>
      </c>
      <c r="AL253" s="10">
        <f t="shared" si="41"/>
        <v>3.5705108118126749</v>
      </c>
      <c r="AM253" s="10">
        <f t="shared" si="42"/>
        <v>24.779345033979965</v>
      </c>
    </row>
    <row r="254" spans="1:39" x14ac:dyDescent="0.25">
      <c r="A254" s="15">
        <v>14278885</v>
      </c>
      <c r="B254" s="15">
        <v>30.92</v>
      </c>
      <c r="C254" s="15">
        <v>189346</v>
      </c>
      <c r="D254" s="15">
        <v>19394</v>
      </c>
      <c r="E254" s="15" t="s">
        <v>218</v>
      </c>
      <c r="F254" s="15">
        <v>2011</v>
      </c>
      <c r="G254" s="15">
        <v>20110427</v>
      </c>
      <c r="H254" s="15">
        <v>2549</v>
      </c>
      <c r="I254" s="15">
        <v>0.25</v>
      </c>
      <c r="J254" s="6" t="s">
        <v>1406</v>
      </c>
      <c r="K254" s="15">
        <v>260</v>
      </c>
      <c r="L254" s="15" t="s">
        <v>45</v>
      </c>
      <c r="M254" s="15" t="s">
        <v>5</v>
      </c>
      <c r="N254" s="11" t="s">
        <v>1384</v>
      </c>
      <c r="O254" s="11" t="s">
        <v>28</v>
      </c>
      <c r="P254" s="11" t="s">
        <v>33</v>
      </c>
      <c r="Q254" s="15">
        <v>0</v>
      </c>
      <c r="R254" s="11" t="s">
        <v>1386</v>
      </c>
      <c r="S254" s="10">
        <v>135.00432472507001</v>
      </c>
      <c r="T254" s="15">
        <v>80</v>
      </c>
      <c r="U254" s="15">
        <v>0</v>
      </c>
      <c r="V254" s="15">
        <v>0</v>
      </c>
      <c r="W254" s="15">
        <v>0</v>
      </c>
      <c r="X254" s="15">
        <f>IF(O254='Udvaskning nøgletal'!$D$65,1,IF(O254='Udvaskning nøgletal'!$D$66,2,IF(O254='Udvaskning nøgletal'!$D$67,3,IF(O254='Udvaskning nøgletal'!$D$68,2,""))))</f>
        <v>1</v>
      </c>
      <c r="Y254" s="15">
        <f>LOOKUP(K254,'Udvaskning nøgletal'!$C$12:$C$60,'Udvaskning nøgletal'!$H$12:$H$60)</f>
        <v>0</v>
      </c>
      <c r="Z254" s="10">
        <f>IF(X254=1,LOOKUP(K254,'Udvaskning nøgletal'!$C$12:$C$60,'Udvaskning nøgletal'!$E$12:$E$60)+Markniveau!Y254*Markniveau!S254/100,IF(X254=2,LOOKUP(K254,'Udvaskning nøgletal'!$C$12:$C$60,'Udvaskning nøgletal'!$F$12:$F$60)+Markniveau!Y254*Markniveau!S254/100,IF(X254=3,LOOKUP(K254,'Udvaskning nøgletal'!$C$12:$C$60,'Udvaskning nøgletal'!G264:G312)+Markniveau!Y254*Markniveau!S254/100,"")))</f>
        <v>33.723295792149436</v>
      </c>
      <c r="AA254" s="10">
        <f t="shared" si="36"/>
        <v>8.430823948037359</v>
      </c>
      <c r="AB254" s="10" t="str">
        <f t="shared" si="35"/>
        <v/>
      </c>
      <c r="AC254" s="10" t="str">
        <f t="shared" si="37"/>
        <v/>
      </c>
      <c r="AD254" s="10">
        <f>IF(AND(Q254&gt;0,Q254&lt;30,K254&lt;8),Markniveau!Z254*'Udvaskning nøgletal'!$I$12/100,IF(AND(Q254&gt;0,Q254&lt;30,K254=216),Markniveau!Z254*'Udvaskning nøgletal'!$I$34/100,Markniveau!Z254))</f>
        <v>33.723295792149436</v>
      </c>
      <c r="AE254" s="10">
        <f t="shared" si="43"/>
        <v>8.430823948037359</v>
      </c>
      <c r="AF254" s="10" t="str">
        <f t="shared" si="38"/>
        <v/>
      </c>
      <c r="AG254" s="10" t="str">
        <f t="shared" si="44"/>
        <v/>
      </c>
      <c r="AH254" s="10" t="str">
        <f>IF(AND(Q254&gt;0,Q254&lt;30,K254=216),'Udvaskning nøgletal'!$C$42,IF(AND(Q254&gt;0,Q254&lt;30,K254&gt;7,K254&lt;17),'Udvaskning nøgletal'!$C$61,IF(AND(Q254&gt;0,Q254&lt;30,K254&lt;7),'Udvaskning nøgletal'!$C$62,"")))</f>
        <v/>
      </c>
      <c r="AI254" s="10">
        <f t="shared" si="40"/>
        <v>260</v>
      </c>
      <c r="AJ254" s="10">
        <f>IF($X254=1,LOOKUP(AI254,'Udvaskning nøgletal'!$C$12:$C$62,'Udvaskning nøgletal'!$E$12:$E$62)+Markniveau!$Y254*Markniveau!$S254/100,IF($X254=2,LOOKUP(AI254,'Udvaskning nøgletal'!$C$12:$C$62,'Udvaskning nøgletal'!$F$12:$F$62)+Markniveau!$Y254*Markniveau!$S254/100,IF($X254=3,LOOKUP(AI254,'Udvaskning nøgletal'!$C$12:$C$62,'Udvaskning nøgletal'!Q264:Q314)+Markniveau!$Y254*Markniveau!$S254/100,"")))</f>
        <v>33.723295792149436</v>
      </c>
      <c r="AK254" s="10">
        <f t="shared" si="39"/>
        <v>8.430823948037359</v>
      </c>
      <c r="AL254" s="10" t="str">
        <f t="shared" si="41"/>
        <v/>
      </c>
      <c r="AM254" s="10" t="str">
        <f t="shared" si="42"/>
        <v/>
      </c>
    </row>
    <row r="255" spans="1:39" x14ac:dyDescent="0.25">
      <c r="A255" s="15">
        <v>14551387</v>
      </c>
      <c r="B255" s="15">
        <v>18.850000000000001</v>
      </c>
      <c r="C255" s="15">
        <v>152122</v>
      </c>
      <c r="D255" s="15">
        <v>50210</v>
      </c>
      <c r="E255" s="15" t="s">
        <v>264</v>
      </c>
      <c r="F255" s="15">
        <v>2011</v>
      </c>
      <c r="G255" s="15">
        <v>20110425</v>
      </c>
      <c r="H255" s="15">
        <v>21425</v>
      </c>
      <c r="I255" s="15">
        <v>2.14</v>
      </c>
      <c r="J255" s="6" t="s">
        <v>93</v>
      </c>
      <c r="K255" s="15">
        <v>1</v>
      </c>
      <c r="L255" s="15" t="s">
        <v>32</v>
      </c>
      <c r="M255" s="15" t="s">
        <v>5</v>
      </c>
      <c r="N255" s="11" t="s">
        <v>1406</v>
      </c>
      <c r="O255" s="11" t="s">
        <v>46</v>
      </c>
      <c r="P255" s="11" t="s">
        <v>29</v>
      </c>
      <c r="Q255" s="15">
        <v>25</v>
      </c>
      <c r="R255" s="11" t="s">
        <v>7</v>
      </c>
      <c r="S255" s="10">
        <v>124.22226912929</v>
      </c>
      <c r="T255" s="15">
        <v>80</v>
      </c>
      <c r="U255" s="15">
        <v>0</v>
      </c>
      <c r="V255" s="15">
        <v>0</v>
      </c>
      <c r="W255" s="15">
        <v>0</v>
      </c>
      <c r="X255" s="15">
        <f>IF(O255='Udvaskning nøgletal'!$D$65,1,IF(O255='Udvaskning nøgletal'!$D$66,2,IF(O255='Udvaskning nøgletal'!$D$67,3,IF(O255='Udvaskning nøgletal'!$D$68,2,""))))</f>
        <v>2</v>
      </c>
      <c r="Y255" s="15">
        <f>LOOKUP(K255,'Udvaskning nøgletal'!$C$12:$C$60,'Udvaskning nøgletal'!$H$12:$H$60)</f>
        <v>5</v>
      </c>
      <c r="Z255" s="10">
        <f>IF(X255=1,LOOKUP(K255,'Udvaskning nøgletal'!$C$12:$C$60,'Udvaskning nøgletal'!$E$12:$E$60)+Markniveau!Y255*Markniveau!S255/100,IF(X255=2,LOOKUP(K255,'Udvaskning nøgletal'!$C$12:$C$60,'Udvaskning nøgletal'!$F$12:$F$60)+Markniveau!Y255*Markniveau!S255/100,IF(X255=3,LOOKUP(K255,'Udvaskning nøgletal'!$C$12:$C$60,'Udvaskning nøgletal'!G265:G313)+Markniveau!Y255*Markniveau!S255/100,"")))</f>
        <v>57.091113456464505</v>
      </c>
      <c r="AA255" s="10">
        <f t="shared" si="36"/>
        <v>122.17498279683404</v>
      </c>
      <c r="AB255" s="10">
        <f t="shared" si="35"/>
        <v>42.818335092348377</v>
      </c>
      <c r="AC255" s="10">
        <f t="shared" si="37"/>
        <v>91.631237097625529</v>
      </c>
      <c r="AD255" s="10">
        <f>IF(AND(Q255&gt;0,Q255&lt;30,K255&lt;8),Markniveau!Z255*'Udvaskning nøgletal'!$I$12/100,IF(AND(Q255&gt;0,Q255&lt;30,K255=216),Markniveau!Z255*'Udvaskning nøgletal'!$I$34/100,Markniveau!Z255))</f>
        <v>28.545556728232256</v>
      </c>
      <c r="AE255" s="10">
        <f t="shared" si="43"/>
        <v>61.087491398417029</v>
      </c>
      <c r="AF255" s="10">
        <f t="shared" si="38"/>
        <v>21.409167546174196</v>
      </c>
      <c r="AG255" s="10">
        <f t="shared" si="44"/>
        <v>45.815618548812779</v>
      </c>
      <c r="AH255" s="10">
        <f>IF(AND(Q255&gt;0,Q255&lt;30,K255=216),'Udvaskning nøgletal'!$C$42,IF(AND(Q255&gt;0,Q255&lt;30,K255&gt;7,K255&lt;17),'Udvaskning nøgletal'!$C$61,IF(AND(Q255&gt;0,Q255&lt;30,K255&lt;7),'Udvaskning nøgletal'!$C$62,"")))</f>
        <v>1002</v>
      </c>
      <c r="AI255" s="10">
        <f t="shared" si="40"/>
        <v>1002</v>
      </c>
      <c r="AJ255" s="10">
        <f>IF($X255=1,LOOKUP(AI255,'Udvaskning nøgletal'!$C$12:$C$62,'Udvaskning nøgletal'!$E$12:$E$62)+Markniveau!$Y255*Markniveau!$S255/100,IF($X255=2,LOOKUP(AI255,'Udvaskning nøgletal'!$C$12:$C$62,'Udvaskning nøgletal'!$F$12:$F$62)+Markniveau!$Y255*Markniveau!$S255/100,IF($X255=3,LOOKUP(AI255,'Udvaskning nøgletal'!$C$12:$C$62,'Udvaskning nøgletal'!Q265:Q315)+Markniveau!$Y255*Markniveau!$S255/100,"")))</f>
        <v>30.211113456464499</v>
      </c>
      <c r="AK255" s="10">
        <f t="shared" si="39"/>
        <v>64.651782796834027</v>
      </c>
      <c r="AL255" s="10">
        <f t="shared" si="41"/>
        <v>22.658335092348374</v>
      </c>
      <c r="AM255" s="10">
        <f t="shared" si="42"/>
        <v>48.48883709762552</v>
      </c>
    </row>
    <row r="256" spans="1:39" x14ac:dyDescent="0.25">
      <c r="A256" s="15">
        <v>14551387</v>
      </c>
      <c r="B256" s="15">
        <v>18.850000000000001</v>
      </c>
      <c r="C256" s="15">
        <v>152123</v>
      </c>
      <c r="D256" s="15">
        <v>50210</v>
      </c>
      <c r="E256" s="15" t="s">
        <v>264</v>
      </c>
      <c r="F256" s="15">
        <v>2011</v>
      </c>
      <c r="G256" s="15">
        <v>20110425</v>
      </c>
      <c r="H256" s="15">
        <v>6445</v>
      </c>
      <c r="I256" s="15">
        <v>0.64</v>
      </c>
      <c r="J256" s="6" t="s">
        <v>265</v>
      </c>
      <c r="K256" s="15">
        <v>252</v>
      </c>
      <c r="L256" s="15" t="s">
        <v>41</v>
      </c>
      <c r="M256" s="15" t="s">
        <v>4</v>
      </c>
      <c r="N256" s="11" t="s">
        <v>1406</v>
      </c>
      <c r="O256" s="11" t="s">
        <v>46</v>
      </c>
      <c r="P256" s="11" t="s">
        <v>29</v>
      </c>
      <c r="Q256" s="15">
        <v>25</v>
      </c>
      <c r="R256" s="11" t="s">
        <v>7</v>
      </c>
      <c r="S256" s="10">
        <v>124.22226912929</v>
      </c>
      <c r="T256" s="15">
        <v>80</v>
      </c>
      <c r="U256" s="15">
        <v>0</v>
      </c>
      <c r="V256" s="15">
        <v>0</v>
      </c>
      <c r="W256" s="15">
        <v>0</v>
      </c>
      <c r="X256" s="15">
        <f>IF(O256='Udvaskning nøgletal'!$D$65,1,IF(O256='Udvaskning nøgletal'!$D$66,2,IF(O256='Udvaskning nøgletal'!$D$67,3,IF(O256='Udvaskning nøgletal'!$D$68,2,""))))</f>
        <v>2</v>
      </c>
      <c r="Y256" s="15">
        <f>LOOKUP(K256,'Udvaskning nøgletal'!$C$12:$C$60,'Udvaskning nøgletal'!$H$12:$H$60)</f>
        <v>0</v>
      </c>
      <c r="Z256" s="10">
        <f>IF(X256=1,LOOKUP(K256,'Udvaskning nøgletal'!$C$12:$C$60,'Udvaskning nøgletal'!$E$12:$E$60)+Markniveau!Y256*Markniveau!S256/100,IF(X256=2,LOOKUP(K256,'Udvaskning nøgletal'!$C$12:$C$60,'Udvaskning nøgletal'!$F$12:$F$60)+Markniveau!Y256*Markniveau!S256/100,IF(X256=3,LOOKUP(K256,'Udvaskning nøgletal'!$C$12:$C$60,'Udvaskning nøgletal'!G266:G314)+Markniveau!Y256*Markniveau!S256/100,"")))</f>
        <v>21.2</v>
      </c>
      <c r="AA256" s="10">
        <f t="shared" si="36"/>
        <v>13.568</v>
      </c>
      <c r="AB256" s="10">
        <f t="shared" si="35"/>
        <v>15.9</v>
      </c>
      <c r="AC256" s="10">
        <f t="shared" si="37"/>
        <v>10.176</v>
      </c>
      <c r="AD256" s="10">
        <f>IF(AND(Q256&gt;0,Q256&lt;30,K256&lt;8),Markniveau!Z256*'Udvaskning nøgletal'!$I$12/100,IF(AND(Q256&gt;0,Q256&lt;30,K256=216),Markniveau!Z256*'Udvaskning nøgletal'!$I$34/100,Markniveau!Z256))</f>
        <v>21.2</v>
      </c>
      <c r="AE256" s="10">
        <f t="shared" si="43"/>
        <v>13.568</v>
      </c>
      <c r="AF256" s="10">
        <f t="shared" si="38"/>
        <v>15.9</v>
      </c>
      <c r="AG256" s="10">
        <f t="shared" si="44"/>
        <v>10.176</v>
      </c>
      <c r="AH256" s="10" t="str">
        <f>IF(AND(Q256&gt;0,Q256&lt;30,K256=216),'Udvaskning nøgletal'!$C$42,IF(AND(Q256&gt;0,Q256&lt;30,K256&gt;7,K256&lt;17),'Udvaskning nøgletal'!$C$61,IF(AND(Q256&gt;0,Q256&lt;30,K256&lt;7),'Udvaskning nøgletal'!$C$62,"")))</f>
        <v/>
      </c>
      <c r="AI256" s="10">
        <f t="shared" si="40"/>
        <v>252</v>
      </c>
      <c r="AJ256" s="10">
        <f>IF($X256=1,LOOKUP(AI256,'Udvaskning nøgletal'!$C$12:$C$62,'Udvaskning nøgletal'!$E$12:$E$62)+Markniveau!$Y256*Markniveau!$S256/100,IF($X256=2,LOOKUP(AI256,'Udvaskning nøgletal'!$C$12:$C$62,'Udvaskning nøgletal'!$F$12:$F$62)+Markniveau!$Y256*Markniveau!$S256/100,IF($X256=3,LOOKUP(AI256,'Udvaskning nøgletal'!$C$12:$C$62,'Udvaskning nøgletal'!Q266:Q316)+Markniveau!$Y256*Markniveau!$S256/100,"")))</f>
        <v>21.2</v>
      </c>
      <c r="AK256" s="10">
        <f t="shared" si="39"/>
        <v>13.568</v>
      </c>
      <c r="AL256" s="10">
        <f t="shared" si="41"/>
        <v>15.9</v>
      </c>
      <c r="AM256" s="10">
        <f t="shared" si="42"/>
        <v>10.176</v>
      </c>
    </row>
    <row r="257" spans="1:39" x14ac:dyDescent="0.25">
      <c r="A257" s="15">
        <v>14551387</v>
      </c>
      <c r="B257" s="15">
        <v>18.850000000000001</v>
      </c>
      <c r="C257" s="15">
        <v>152124</v>
      </c>
      <c r="D257" s="15">
        <v>50210</v>
      </c>
      <c r="E257" s="15" t="s">
        <v>266</v>
      </c>
      <c r="F257" s="15">
        <v>2011</v>
      </c>
      <c r="G257" s="15">
        <v>20110425</v>
      </c>
      <c r="H257" s="15">
        <v>14552</v>
      </c>
      <c r="I257" s="15">
        <v>1.46</v>
      </c>
      <c r="J257" s="6" t="s">
        <v>71</v>
      </c>
      <c r="K257" s="15">
        <v>260</v>
      </c>
      <c r="L257" s="15" t="s">
        <v>45</v>
      </c>
      <c r="M257" s="15" t="s">
        <v>5</v>
      </c>
      <c r="N257" s="11" t="s">
        <v>1406</v>
      </c>
      <c r="O257" s="11" t="s">
        <v>46</v>
      </c>
      <c r="P257" s="11" t="s">
        <v>33</v>
      </c>
      <c r="Q257" s="15">
        <v>1</v>
      </c>
      <c r="R257" s="11" t="s">
        <v>11</v>
      </c>
      <c r="S257" s="10">
        <v>124.22226912929</v>
      </c>
      <c r="T257" s="15">
        <v>80</v>
      </c>
      <c r="U257" s="15">
        <v>0</v>
      </c>
      <c r="V257" s="15">
        <v>0</v>
      </c>
      <c r="W257" s="15">
        <v>0</v>
      </c>
      <c r="X257" s="15">
        <f>IF(O257='Udvaskning nøgletal'!$D$65,1,IF(O257='Udvaskning nøgletal'!$D$66,2,IF(O257='Udvaskning nøgletal'!$D$67,3,IF(O257='Udvaskning nøgletal'!$D$68,2,""))))</f>
        <v>2</v>
      </c>
      <c r="Y257" s="15">
        <f>LOOKUP(K257,'Udvaskning nøgletal'!$C$12:$C$60,'Udvaskning nøgletal'!$H$12:$H$60)</f>
        <v>0</v>
      </c>
      <c r="Z257" s="10">
        <f>IF(X257=1,LOOKUP(K257,'Udvaskning nøgletal'!$C$12:$C$60,'Udvaskning nøgletal'!$E$12:$E$60)+Markniveau!Y257*Markniveau!S257/100,IF(X257=2,LOOKUP(K257,'Udvaskning nøgletal'!$C$12:$C$60,'Udvaskning nøgletal'!$F$12:$F$60)+Markniveau!Y257*Markniveau!S257/100,IF(X257=3,LOOKUP(K257,'Udvaskning nøgletal'!$C$12:$C$60,'Udvaskning nøgletal'!G267:G315)+Markniveau!Y257*Markniveau!S257/100,"")))</f>
        <v>27.331185321443094</v>
      </c>
      <c r="AA257" s="10">
        <f t="shared" si="36"/>
        <v>39.903530569306916</v>
      </c>
      <c r="AB257" s="10">
        <f t="shared" si="35"/>
        <v>27.057873468228664</v>
      </c>
      <c r="AC257" s="10">
        <f t="shared" si="37"/>
        <v>39.504495263613848</v>
      </c>
      <c r="AD257" s="10">
        <f>IF(AND(Q257&gt;0,Q257&lt;30,K257&lt;8),Markniveau!Z257*'Udvaskning nøgletal'!$I$12/100,IF(AND(Q257&gt;0,Q257&lt;30,K257=216),Markniveau!Z257*'Udvaskning nøgletal'!$I$34/100,Markniveau!Z257))</f>
        <v>27.331185321443094</v>
      </c>
      <c r="AE257" s="10">
        <f t="shared" si="43"/>
        <v>39.903530569306916</v>
      </c>
      <c r="AF257" s="10">
        <f t="shared" si="38"/>
        <v>27.057873468228664</v>
      </c>
      <c r="AG257" s="10">
        <f t="shared" si="44"/>
        <v>39.504495263613848</v>
      </c>
      <c r="AH257" s="10" t="str">
        <f>IF(AND(Q257&gt;0,Q257&lt;30,K257=216),'Udvaskning nøgletal'!$C$42,IF(AND(Q257&gt;0,Q257&lt;30,K257&gt;7,K257&lt;17),'Udvaskning nøgletal'!$C$61,IF(AND(Q257&gt;0,Q257&lt;30,K257&lt;7),'Udvaskning nøgletal'!$C$62,"")))</f>
        <v/>
      </c>
      <c r="AI257" s="10">
        <f t="shared" si="40"/>
        <v>260</v>
      </c>
      <c r="AJ257" s="10">
        <f>IF($X257=1,LOOKUP(AI257,'Udvaskning nøgletal'!$C$12:$C$62,'Udvaskning nøgletal'!$E$12:$E$62)+Markniveau!$Y257*Markniveau!$S257/100,IF($X257=2,LOOKUP(AI257,'Udvaskning nøgletal'!$C$12:$C$62,'Udvaskning nøgletal'!$F$12:$F$62)+Markniveau!$Y257*Markniveau!$S257/100,IF($X257=3,LOOKUP(AI257,'Udvaskning nøgletal'!$C$12:$C$62,'Udvaskning nøgletal'!Q267:Q317)+Markniveau!$Y257*Markniveau!$S257/100,"")))</f>
        <v>27.331185321443094</v>
      </c>
      <c r="AK257" s="10">
        <f t="shared" si="39"/>
        <v>39.903530569306916</v>
      </c>
      <c r="AL257" s="10">
        <f t="shared" si="41"/>
        <v>27.057873468228664</v>
      </c>
      <c r="AM257" s="10">
        <f t="shared" si="42"/>
        <v>39.504495263613848</v>
      </c>
    </row>
    <row r="258" spans="1:39" x14ac:dyDescent="0.25">
      <c r="A258" s="15">
        <v>14551387</v>
      </c>
      <c r="B258" s="15">
        <v>18.850000000000001</v>
      </c>
      <c r="C258" s="15">
        <v>152125</v>
      </c>
      <c r="D258" s="15">
        <v>50210</v>
      </c>
      <c r="E258" s="15" t="s">
        <v>267</v>
      </c>
      <c r="F258" s="15">
        <v>2011</v>
      </c>
      <c r="G258" s="15">
        <v>20110425</v>
      </c>
      <c r="H258" s="15">
        <v>46970</v>
      </c>
      <c r="I258" s="15">
        <v>4.7</v>
      </c>
      <c r="J258" s="6" t="s">
        <v>141</v>
      </c>
      <c r="K258" s="15">
        <v>1</v>
      </c>
      <c r="L258" s="15" t="s">
        <v>32</v>
      </c>
      <c r="M258" s="15" t="s">
        <v>5</v>
      </c>
      <c r="N258" s="11" t="s">
        <v>1406</v>
      </c>
      <c r="O258" s="11" t="s">
        <v>46</v>
      </c>
      <c r="P258" s="11" t="s">
        <v>33</v>
      </c>
      <c r="Q258" s="15">
        <v>1</v>
      </c>
      <c r="R258" s="11" t="s">
        <v>11</v>
      </c>
      <c r="S258" s="10">
        <v>124.22226912929</v>
      </c>
      <c r="T258" s="15">
        <v>80</v>
      </c>
      <c r="U258" s="15">
        <v>0</v>
      </c>
      <c r="V258" s="15">
        <v>0</v>
      </c>
      <c r="W258" s="15">
        <v>0</v>
      </c>
      <c r="X258" s="15">
        <f>IF(O258='Udvaskning nøgletal'!$D$65,1,IF(O258='Udvaskning nøgletal'!$D$66,2,IF(O258='Udvaskning nøgletal'!$D$67,3,IF(O258='Udvaskning nøgletal'!$D$68,2,""))))</f>
        <v>2</v>
      </c>
      <c r="Y258" s="15">
        <f>LOOKUP(K258,'Udvaskning nøgletal'!$C$12:$C$60,'Udvaskning nøgletal'!$H$12:$H$60)</f>
        <v>5</v>
      </c>
      <c r="Z258" s="10">
        <f>IF(X258=1,LOOKUP(K258,'Udvaskning nøgletal'!$C$12:$C$60,'Udvaskning nøgletal'!$E$12:$E$60)+Markniveau!Y258*Markniveau!S258/100,IF(X258=2,LOOKUP(K258,'Udvaskning nøgletal'!$C$12:$C$60,'Udvaskning nøgletal'!$F$12:$F$60)+Markniveau!Y258*Markniveau!S258/100,IF(X258=3,LOOKUP(K258,'Udvaskning nøgletal'!$C$12:$C$60,'Udvaskning nøgletal'!G268:G316)+Markniveau!Y258*Markniveau!S258/100,"")))</f>
        <v>57.091113456464505</v>
      </c>
      <c r="AA258" s="10">
        <f t="shared" si="36"/>
        <v>268.32823324538316</v>
      </c>
      <c r="AB258" s="10">
        <f t="shared" ref="AB258:AB321" si="45">IF(Q258&gt;0,(100-Q258)*Z258/100,"")</f>
        <v>56.520202321899859</v>
      </c>
      <c r="AC258" s="10">
        <f t="shared" si="37"/>
        <v>265.64495091292935</v>
      </c>
      <c r="AD258" s="10">
        <f>IF(AND(Q258&gt;0,Q258&lt;30,K258&lt;8),Markniveau!Z258*'Udvaskning nøgletal'!$I$12/100,IF(AND(Q258&gt;0,Q258&lt;30,K258=216),Markniveau!Z258*'Udvaskning nøgletal'!$I$34/100,Markniveau!Z258))</f>
        <v>28.545556728232256</v>
      </c>
      <c r="AE258" s="10">
        <f t="shared" si="43"/>
        <v>134.16411662269161</v>
      </c>
      <c r="AF258" s="10">
        <f t="shared" si="38"/>
        <v>28.260101160949933</v>
      </c>
      <c r="AG258" s="10">
        <f t="shared" si="44"/>
        <v>132.8224754564647</v>
      </c>
      <c r="AH258" s="10">
        <f>IF(AND(Q258&gt;0,Q258&lt;30,K258=216),'Udvaskning nøgletal'!$C$42,IF(AND(Q258&gt;0,Q258&lt;30,K258&gt;7,K258&lt;17),'Udvaskning nøgletal'!$C$61,IF(AND(Q258&gt;0,Q258&lt;30,K258&lt;7),'Udvaskning nøgletal'!$C$62,"")))</f>
        <v>1002</v>
      </c>
      <c r="AI258" s="10">
        <f t="shared" si="40"/>
        <v>1002</v>
      </c>
      <c r="AJ258" s="10">
        <f>IF($X258=1,LOOKUP(AI258,'Udvaskning nøgletal'!$C$12:$C$62,'Udvaskning nøgletal'!$E$12:$E$62)+Markniveau!$Y258*Markniveau!$S258/100,IF($X258=2,LOOKUP(AI258,'Udvaskning nøgletal'!$C$12:$C$62,'Udvaskning nøgletal'!$F$12:$F$62)+Markniveau!$Y258*Markniveau!$S258/100,IF($X258=3,LOOKUP(AI258,'Udvaskning nøgletal'!$C$12:$C$62,'Udvaskning nøgletal'!Q268:Q318)+Markniveau!$Y258*Markniveau!$S258/100,"")))</f>
        <v>30.211113456464499</v>
      </c>
      <c r="AK258" s="10">
        <f t="shared" si="39"/>
        <v>141.99223324538315</v>
      </c>
      <c r="AL258" s="10">
        <f t="shared" si="41"/>
        <v>29.909002321899852</v>
      </c>
      <c r="AM258" s="10">
        <f t="shared" si="42"/>
        <v>140.57231091292931</v>
      </c>
    </row>
    <row r="259" spans="1:39" x14ac:dyDescent="0.25">
      <c r="A259" s="15">
        <v>14551387</v>
      </c>
      <c r="B259" s="15">
        <v>18.850000000000001</v>
      </c>
      <c r="C259" s="15">
        <v>152126</v>
      </c>
      <c r="D259" s="15">
        <v>50210</v>
      </c>
      <c r="E259" s="15" t="s">
        <v>268</v>
      </c>
      <c r="F259" s="15">
        <v>2011</v>
      </c>
      <c r="G259" s="15">
        <v>20110425</v>
      </c>
      <c r="H259" s="15">
        <v>49563</v>
      </c>
      <c r="I259" s="15">
        <v>4.96</v>
      </c>
      <c r="J259" s="6" t="s">
        <v>34</v>
      </c>
      <c r="K259" s="15">
        <v>583</v>
      </c>
      <c r="L259" s="15" t="s">
        <v>154</v>
      </c>
      <c r="M259" s="15" t="s">
        <v>155</v>
      </c>
      <c r="N259" s="11" t="s">
        <v>1406</v>
      </c>
      <c r="O259" s="11" t="s">
        <v>46</v>
      </c>
      <c r="P259" s="11" t="s">
        <v>33</v>
      </c>
      <c r="Q259" s="15">
        <v>1</v>
      </c>
      <c r="R259" s="11" t="s">
        <v>11</v>
      </c>
      <c r="S259" s="10">
        <v>124.22226912929</v>
      </c>
      <c r="T259" s="15">
        <v>80</v>
      </c>
      <c r="U259" s="15">
        <v>0</v>
      </c>
      <c r="V259" s="15">
        <v>0</v>
      </c>
      <c r="W259" s="15">
        <v>0</v>
      </c>
      <c r="X259" s="15">
        <f>IF(O259='Udvaskning nøgletal'!$D$65,1,IF(O259='Udvaskning nøgletal'!$D$66,2,IF(O259='Udvaskning nøgletal'!$D$67,3,IF(O259='Udvaskning nøgletal'!$D$68,2,""))))</f>
        <v>2</v>
      </c>
      <c r="Y259" s="15">
        <f>LOOKUP(K259,'Udvaskning nøgletal'!$C$12:$C$60,'Udvaskning nøgletal'!$H$12:$H$60)</f>
        <v>0</v>
      </c>
      <c r="Z259" s="10">
        <f>IF(X259=1,LOOKUP(K259,'Udvaskning nøgletal'!$C$12:$C$60,'Udvaskning nøgletal'!$E$12:$E$60)+Markniveau!Y259*Markniveau!S259/100,IF(X259=2,LOOKUP(K259,'Udvaskning nøgletal'!$C$12:$C$60,'Udvaskning nøgletal'!$F$12:$F$60)+Markniveau!Y259*Markniveau!S259/100,IF(X259=3,LOOKUP(K259,'Udvaskning nøgletal'!$C$12:$C$60,'Udvaskning nøgletal'!G269:G317)+Markniveau!Y259*Markniveau!S259/100,"")))</f>
        <v>10</v>
      </c>
      <c r="AA259" s="10">
        <f t="shared" ref="AA259:AA322" si="46">Z259*I259</f>
        <v>49.6</v>
      </c>
      <c r="AB259" s="10">
        <f t="shared" si="45"/>
        <v>9.9</v>
      </c>
      <c r="AC259" s="10">
        <f t="shared" ref="AC259:AC322" si="47">IF(Q259&gt;0,AB259*I259,"")</f>
        <v>49.103999999999999</v>
      </c>
      <c r="AD259" s="10">
        <f>IF(AND(Q259&gt;0,Q259&lt;30,K259&lt;8),Markniveau!Z259*'Udvaskning nøgletal'!$I$12/100,IF(AND(Q259&gt;0,Q259&lt;30,K259=216),Markniveau!Z259*'Udvaskning nøgletal'!$I$34/100,Markniveau!Z259))</f>
        <v>10</v>
      </c>
      <c r="AE259" s="10">
        <f t="shared" si="43"/>
        <v>49.6</v>
      </c>
      <c r="AF259" s="10">
        <f t="shared" ref="AF259:AF322" si="48">IF($Q259&gt;0,(100-$Q259)*$AD259/100,"")</f>
        <v>9.9</v>
      </c>
      <c r="AG259" s="10">
        <f t="shared" si="44"/>
        <v>49.103999999999999</v>
      </c>
      <c r="AH259" s="10" t="str">
        <f>IF(AND(Q259&gt;0,Q259&lt;30,K259=216),'Udvaskning nøgletal'!$C$42,IF(AND(Q259&gt;0,Q259&lt;30,K259&gt;7,K259&lt;17),'Udvaskning nøgletal'!$C$61,IF(AND(Q259&gt;0,Q259&lt;30,K259&lt;7),'Udvaskning nøgletal'!$C$62,"")))</f>
        <v/>
      </c>
      <c r="AI259" s="10">
        <f t="shared" si="40"/>
        <v>583</v>
      </c>
      <c r="AJ259" s="10">
        <f>IF($X259=1,LOOKUP(AI259,'Udvaskning nøgletal'!$C$12:$C$62,'Udvaskning nøgletal'!$E$12:$E$62)+Markniveau!$Y259*Markniveau!$S259/100,IF($X259=2,LOOKUP(AI259,'Udvaskning nøgletal'!$C$12:$C$62,'Udvaskning nøgletal'!$F$12:$F$62)+Markniveau!$Y259*Markniveau!$S259/100,IF($X259=3,LOOKUP(AI259,'Udvaskning nøgletal'!$C$12:$C$62,'Udvaskning nøgletal'!Q269:Q319)+Markniveau!$Y259*Markniveau!$S259/100,"")))</f>
        <v>10</v>
      </c>
      <c r="AK259" s="10">
        <f t="shared" ref="AK259:AK322" si="49">AJ259*$I259</f>
        <v>49.6</v>
      </c>
      <c r="AL259" s="10">
        <f t="shared" si="41"/>
        <v>9.9</v>
      </c>
      <c r="AM259" s="10">
        <f t="shared" si="42"/>
        <v>49.103999999999999</v>
      </c>
    </row>
    <row r="260" spans="1:39" x14ac:dyDescent="0.25">
      <c r="A260" s="15">
        <v>14551387</v>
      </c>
      <c r="B260" s="15">
        <v>18.850000000000001</v>
      </c>
      <c r="C260" s="15">
        <v>152127</v>
      </c>
      <c r="D260" s="15">
        <v>50210</v>
      </c>
      <c r="E260" s="15" t="s">
        <v>269</v>
      </c>
      <c r="F260" s="15">
        <v>2011</v>
      </c>
      <c r="G260" s="15">
        <v>20110425</v>
      </c>
      <c r="H260" s="15">
        <v>4386</v>
      </c>
      <c r="I260" s="15">
        <v>0.44</v>
      </c>
      <c r="J260" s="6" t="s">
        <v>127</v>
      </c>
      <c r="K260" s="15">
        <v>260</v>
      </c>
      <c r="L260" s="15" t="s">
        <v>45</v>
      </c>
      <c r="M260" s="15" t="s">
        <v>5</v>
      </c>
      <c r="N260" s="11" t="s">
        <v>1391</v>
      </c>
      <c r="O260" s="11" t="s">
        <v>46</v>
      </c>
      <c r="P260" s="11" t="s">
        <v>33</v>
      </c>
      <c r="Q260" s="15">
        <v>1</v>
      </c>
      <c r="R260" s="11" t="s">
        <v>11</v>
      </c>
      <c r="S260" s="10">
        <v>124.22226912929</v>
      </c>
      <c r="T260" s="15">
        <v>80</v>
      </c>
      <c r="U260" s="15">
        <v>0</v>
      </c>
      <c r="V260" s="15">
        <v>0</v>
      </c>
      <c r="W260" s="15">
        <v>0</v>
      </c>
      <c r="X260" s="15">
        <f>IF(O260='Udvaskning nøgletal'!$D$65,1,IF(O260='Udvaskning nøgletal'!$D$66,2,IF(O260='Udvaskning nøgletal'!$D$67,3,IF(O260='Udvaskning nøgletal'!$D$68,2,""))))</f>
        <v>2</v>
      </c>
      <c r="Y260" s="15">
        <f>LOOKUP(K260,'Udvaskning nøgletal'!$C$12:$C$60,'Udvaskning nøgletal'!$H$12:$H$60)</f>
        <v>0</v>
      </c>
      <c r="Z260" s="10">
        <f>IF(X260=1,LOOKUP(K260,'Udvaskning nøgletal'!$C$12:$C$60,'Udvaskning nøgletal'!$E$12:$E$60)+Markniveau!Y260*Markniveau!S260/100,IF(X260=2,LOOKUP(K260,'Udvaskning nøgletal'!$C$12:$C$60,'Udvaskning nøgletal'!$F$12:$F$60)+Markniveau!Y260*Markniveau!S260/100,IF(X260=3,LOOKUP(K260,'Udvaskning nøgletal'!$C$12:$C$60,'Udvaskning nøgletal'!G270:G318)+Markniveau!Y260*Markniveau!S260/100,"")))</f>
        <v>27.331185321443094</v>
      </c>
      <c r="AA260" s="10">
        <f t="shared" si="46"/>
        <v>12.025721541434962</v>
      </c>
      <c r="AB260" s="10">
        <f t="shared" si="45"/>
        <v>27.057873468228664</v>
      </c>
      <c r="AC260" s="10">
        <f t="shared" si="47"/>
        <v>11.905464326020612</v>
      </c>
      <c r="AD260" s="10">
        <f>IF(AND(Q260&gt;0,Q260&lt;30,K260&lt;8),Markniveau!Z260*'Udvaskning nøgletal'!$I$12/100,IF(AND(Q260&gt;0,Q260&lt;30,K260=216),Markniveau!Z260*'Udvaskning nøgletal'!$I$34/100,Markniveau!Z260))</f>
        <v>27.331185321443094</v>
      </c>
      <c r="AE260" s="10">
        <f t="shared" si="43"/>
        <v>12.025721541434962</v>
      </c>
      <c r="AF260" s="10">
        <f t="shared" si="48"/>
        <v>27.057873468228664</v>
      </c>
      <c r="AG260" s="10">
        <f t="shared" si="44"/>
        <v>11.905464326020612</v>
      </c>
      <c r="AH260" s="10" t="str">
        <f>IF(AND(Q260&gt;0,Q260&lt;30,K260=216),'Udvaskning nøgletal'!$C$42,IF(AND(Q260&gt;0,Q260&lt;30,K260&gt;7,K260&lt;17),'Udvaskning nøgletal'!$C$61,IF(AND(Q260&gt;0,Q260&lt;30,K260&lt;7),'Udvaskning nøgletal'!$C$62,"")))</f>
        <v/>
      </c>
      <c r="AI260" s="10">
        <f t="shared" si="40"/>
        <v>260</v>
      </c>
      <c r="AJ260" s="10">
        <f>IF($X260=1,LOOKUP(AI260,'Udvaskning nøgletal'!$C$12:$C$62,'Udvaskning nøgletal'!$E$12:$E$62)+Markniveau!$Y260*Markniveau!$S260/100,IF($X260=2,LOOKUP(AI260,'Udvaskning nøgletal'!$C$12:$C$62,'Udvaskning nøgletal'!$F$12:$F$62)+Markniveau!$Y260*Markniveau!$S260/100,IF($X260=3,LOOKUP(AI260,'Udvaskning nøgletal'!$C$12:$C$62,'Udvaskning nøgletal'!Q270:Q320)+Markniveau!$Y260*Markniveau!$S260/100,"")))</f>
        <v>27.331185321443094</v>
      </c>
      <c r="AK260" s="10">
        <f t="shared" si="49"/>
        <v>12.025721541434962</v>
      </c>
      <c r="AL260" s="10">
        <f t="shared" si="41"/>
        <v>27.057873468228664</v>
      </c>
      <c r="AM260" s="10">
        <f t="shared" si="42"/>
        <v>11.905464326020612</v>
      </c>
    </row>
    <row r="261" spans="1:39" x14ac:dyDescent="0.25">
      <c r="A261" s="15">
        <v>14551387</v>
      </c>
      <c r="B261" s="15">
        <v>18.850000000000001</v>
      </c>
      <c r="C261" s="15">
        <v>152636</v>
      </c>
      <c r="D261" s="15">
        <v>50210</v>
      </c>
      <c r="E261" s="15" t="s">
        <v>270</v>
      </c>
      <c r="F261" s="15">
        <v>2011</v>
      </c>
      <c r="G261" s="15">
        <v>20110425</v>
      </c>
      <c r="H261" s="15">
        <v>34482</v>
      </c>
      <c r="I261" s="15">
        <v>3.45</v>
      </c>
      <c r="J261" s="6" t="s">
        <v>138</v>
      </c>
      <c r="K261" s="15">
        <v>216</v>
      </c>
      <c r="L261" s="15" t="s">
        <v>116</v>
      </c>
      <c r="M261" s="15" t="s">
        <v>5</v>
      </c>
      <c r="N261" s="11" t="s">
        <v>1406</v>
      </c>
      <c r="O261" s="11" t="s">
        <v>46</v>
      </c>
      <c r="P261" s="11" t="s">
        <v>33</v>
      </c>
      <c r="Q261" s="15">
        <v>1</v>
      </c>
      <c r="R261" s="11" t="s">
        <v>11</v>
      </c>
      <c r="S261" s="10">
        <v>124.22226912929</v>
      </c>
      <c r="T261" s="15">
        <v>80</v>
      </c>
      <c r="U261" s="15">
        <v>0</v>
      </c>
      <c r="V261" s="15">
        <v>0</v>
      </c>
      <c r="W261" s="15">
        <v>0</v>
      </c>
      <c r="X261" s="15">
        <f>IF(O261='Udvaskning nøgletal'!$D$65,1,IF(O261='Udvaskning nøgletal'!$D$66,2,IF(O261='Udvaskning nøgletal'!$D$67,3,IF(O261='Udvaskning nøgletal'!$D$68,2,""))))</f>
        <v>2</v>
      </c>
      <c r="Y261" s="15">
        <f>LOOKUP(K261,'Udvaskning nøgletal'!$C$12:$C$60,'Udvaskning nøgletal'!$H$12:$H$60)</f>
        <v>0</v>
      </c>
      <c r="Z261" s="10">
        <f>IF(X261=1,LOOKUP(K261,'Udvaskning nøgletal'!$C$12:$C$60,'Udvaskning nøgletal'!$E$12:$E$60)+Markniveau!Y261*Markniveau!S261/100,IF(X261=2,LOOKUP(K261,'Udvaskning nøgletal'!$C$12:$C$60,'Udvaskning nøgletal'!$F$12:$F$60)+Markniveau!Y261*Markniveau!S261/100,IF(X261=3,LOOKUP(K261,'Udvaskning nøgletal'!$C$12:$C$60,'Udvaskning nøgletal'!G271:G319)+Markniveau!Y261*Markniveau!S261/100,"")))</f>
        <v>101.66744640811392</v>
      </c>
      <c r="AA261" s="10">
        <f t="shared" si="46"/>
        <v>350.75269010799303</v>
      </c>
      <c r="AB261" s="10">
        <f t="shared" si="45"/>
        <v>100.65077194403278</v>
      </c>
      <c r="AC261" s="10">
        <f t="shared" si="47"/>
        <v>347.24516320691311</v>
      </c>
      <c r="AD261" s="10">
        <f>IF(AND(Q261&gt;0,Q261&lt;30,K261&lt;8),Markniveau!Z261*'Udvaskning nøgletal'!$I$12/100,IF(AND(Q261&gt;0,Q261&lt;30,K261=216),Markniveau!Z261*'Udvaskning nøgletal'!$I$34/100,Markniveau!Z261))</f>
        <v>71.167212485679741</v>
      </c>
      <c r="AE261" s="10">
        <f t="shared" si="43"/>
        <v>245.52688307559512</v>
      </c>
      <c r="AF261" s="10">
        <f t="shared" si="48"/>
        <v>70.455540360822937</v>
      </c>
      <c r="AG261" s="10">
        <f t="shared" si="44"/>
        <v>243.07161424483914</v>
      </c>
      <c r="AH261" s="10">
        <f>IF(AND(Q261&gt;0,Q261&lt;30,K261=216),'Udvaskning nøgletal'!$C$42,IF(AND(Q261&gt;0,Q261&lt;30,K261&gt;7,K261&lt;17),'Udvaskning nøgletal'!$C$61,IF(AND(Q261&gt;0,Q261&lt;30,K261&lt;7),'Udvaskning nøgletal'!$C$62,"")))</f>
        <v>260</v>
      </c>
      <c r="AI261" s="10">
        <f t="shared" si="40"/>
        <v>260</v>
      </c>
      <c r="AJ261" s="10">
        <f>IF($X261=1,LOOKUP(AI261,'Udvaskning nøgletal'!$C$12:$C$62,'Udvaskning nøgletal'!$E$12:$E$62)+Markniveau!$Y261*Markniveau!$S261/100,IF($X261=2,LOOKUP(AI261,'Udvaskning nøgletal'!$C$12:$C$62,'Udvaskning nøgletal'!$F$12:$F$62)+Markniveau!$Y261*Markniveau!$S261/100,IF($X261=3,LOOKUP(AI261,'Udvaskning nøgletal'!$C$12:$C$62,'Udvaskning nøgletal'!Q271:Q321)+Markniveau!$Y261*Markniveau!$S261/100,"")))</f>
        <v>27.331185321443094</v>
      </c>
      <c r="AK261" s="10">
        <f t="shared" si="49"/>
        <v>94.292589358978674</v>
      </c>
      <c r="AL261" s="10">
        <f t="shared" si="41"/>
        <v>27.057873468228664</v>
      </c>
      <c r="AM261" s="10">
        <f t="shared" si="42"/>
        <v>93.3496634653889</v>
      </c>
    </row>
    <row r="262" spans="1:39" x14ac:dyDescent="0.25">
      <c r="A262" s="15">
        <v>14551387</v>
      </c>
      <c r="B262" s="15">
        <v>18.850000000000001</v>
      </c>
      <c r="C262" s="15">
        <v>152637</v>
      </c>
      <c r="D262" s="15">
        <v>50210</v>
      </c>
      <c r="E262" s="15" t="s">
        <v>271</v>
      </c>
      <c r="F262" s="15">
        <v>2011</v>
      </c>
      <c r="G262" s="15">
        <v>20110425</v>
      </c>
      <c r="H262" s="15">
        <v>18645</v>
      </c>
      <c r="I262" s="15">
        <v>1.86</v>
      </c>
      <c r="J262" s="6" t="s">
        <v>53</v>
      </c>
      <c r="K262" s="15">
        <v>260</v>
      </c>
      <c r="L262" s="15" t="s">
        <v>45</v>
      </c>
      <c r="M262" s="15" t="s">
        <v>5</v>
      </c>
      <c r="N262" s="11" t="s">
        <v>1406</v>
      </c>
      <c r="O262" s="11" t="s">
        <v>46</v>
      </c>
      <c r="P262" s="11" t="s">
        <v>33</v>
      </c>
      <c r="Q262" s="15">
        <v>25</v>
      </c>
      <c r="R262" s="11" t="s">
        <v>7</v>
      </c>
      <c r="S262" s="10">
        <v>124.22226912929</v>
      </c>
      <c r="T262" s="15">
        <v>80</v>
      </c>
      <c r="U262" s="15">
        <v>0</v>
      </c>
      <c r="V262" s="15">
        <v>0</v>
      </c>
      <c r="W262" s="15">
        <v>0</v>
      </c>
      <c r="X262" s="15">
        <f>IF(O262='Udvaskning nøgletal'!$D$65,1,IF(O262='Udvaskning nøgletal'!$D$66,2,IF(O262='Udvaskning nøgletal'!$D$67,3,IF(O262='Udvaskning nøgletal'!$D$68,2,""))))</f>
        <v>2</v>
      </c>
      <c r="Y262" s="15">
        <f>LOOKUP(K262,'Udvaskning nøgletal'!$C$12:$C$60,'Udvaskning nøgletal'!$H$12:$H$60)</f>
        <v>0</v>
      </c>
      <c r="Z262" s="10">
        <f>IF(X262=1,LOOKUP(K262,'Udvaskning nøgletal'!$C$12:$C$60,'Udvaskning nøgletal'!$E$12:$E$60)+Markniveau!Y262*Markniveau!S262/100,IF(X262=2,LOOKUP(K262,'Udvaskning nøgletal'!$C$12:$C$60,'Udvaskning nøgletal'!$F$12:$F$60)+Markniveau!Y262*Markniveau!S262/100,IF(X262=3,LOOKUP(K262,'Udvaskning nøgletal'!$C$12:$C$60,'Udvaskning nøgletal'!G272:G320)+Markniveau!Y262*Markniveau!S262/100,"")))</f>
        <v>27.331185321443094</v>
      </c>
      <c r="AA262" s="10">
        <f t="shared" si="46"/>
        <v>50.836004697884157</v>
      </c>
      <c r="AB262" s="10">
        <f t="shared" si="45"/>
        <v>20.498388991082319</v>
      </c>
      <c r="AC262" s="10">
        <f t="shared" si="47"/>
        <v>38.127003523413116</v>
      </c>
      <c r="AD262" s="10">
        <f>IF(AND(Q262&gt;0,Q262&lt;30,K262&lt;8),Markniveau!Z262*'Udvaskning nøgletal'!$I$12/100,IF(AND(Q262&gt;0,Q262&lt;30,K262=216),Markniveau!Z262*'Udvaskning nøgletal'!$I$34/100,Markniveau!Z262))</f>
        <v>27.331185321443094</v>
      </c>
      <c r="AE262" s="10">
        <f t="shared" si="43"/>
        <v>50.836004697884157</v>
      </c>
      <c r="AF262" s="10">
        <f t="shared" si="48"/>
        <v>20.498388991082319</v>
      </c>
      <c r="AG262" s="10">
        <f t="shared" si="44"/>
        <v>38.127003523413116</v>
      </c>
      <c r="AH262" s="10" t="str">
        <f>IF(AND(Q262&gt;0,Q262&lt;30,K262=216),'Udvaskning nøgletal'!$C$42,IF(AND(Q262&gt;0,Q262&lt;30,K262&gt;7,K262&lt;17),'Udvaskning nøgletal'!$C$61,IF(AND(Q262&gt;0,Q262&lt;30,K262&lt;7),'Udvaskning nøgletal'!$C$62,"")))</f>
        <v/>
      </c>
      <c r="AI262" s="10">
        <f t="shared" si="40"/>
        <v>260</v>
      </c>
      <c r="AJ262" s="10">
        <f>IF($X262=1,LOOKUP(AI262,'Udvaskning nøgletal'!$C$12:$C$62,'Udvaskning nøgletal'!$E$12:$E$62)+Markniveau!$Y262*Markniveau!$S262/100,IF($X262=2,LOOKUP(AI262,'Udvaskning nøgletal'!$C$12:$C$62,'Udvaskning nøgletal'!$F$12:$F$62)+Markniveau!$Y262*Markniveau!$S262/100,IF($X262=3,LOOKUP(AI262,'Udvaskning nøgletal'!$C$12:$C$62,'Udvaskning nøgletal'!Q272:Q322)+Markniveau!$Y262*Markniveau!$S262/100,"")))</f>
        <v>27.331185321443094</v>
      </c>
      <c r="AK262" s="10">
        <f t="shared" si="49"/>
        <v>50.836004697884157</v>
      </c>
      <c r="AL262" s="10">
        <f t="shared" si="41"/>
        <v>20.498388991082319</v>
      </c>
      <c r="AM262" s="10">
        <f t="shared" si="42"/>
        <v>38.127003523413116</v>
      </c>
    </row>
    <row r="263" spans="1:39" x14ac:dyDescent="0.25">
      <c r="A263" s="15">
        <v>14551387</v>
      </c>
      <c r="B263" s="15">
        <v>18.850000000000001</v>
      </c>
      <c r="C263" s="15">
        <v>152638</v>
      </c>
      <c r="D263" s="15">
        <v>50210</v>
      </c>
      <c r="E263" s="15" t="s">
        <v>271</v>
      </c>
      <c r="F263" s="15">
        <v>2011</v>
      </c>
      <c r="G263" s="15">
        <v>20110425</v>
      </c>
      <c r="H263" s="15">
        <v>31940</v>
      </c>
      <c r="I263" s="15">
        <v>3.19</v>
      </c>
      <c r="J263" s="6" t="s">
        <v>1405</v>
      </c>
      <c r="K263" s="15">
        <v>260</v>
      </c>
      <c r="L263" s="15" t="s">
        <v>45</v>
      </c>
      <c r="M263" s="15" t="s">
        <v>5</v>
      </c>
      <c r="N263" s="11" t="s">
        <v>1391</v>
      </c>
      <c r="O263" s="11" t="s">
        <v>46</v>
      </c>
      <c r="P263" s="11" t="s">
        <v>33</v>
      </c>
      <c r="Q263" s="15">
        <v>25</v>
      </c>
      <c r="R263" s="11" t="s">
        <v>7</v>
      </c>
      <c r="S263" s="10">
        <v>124.22226912929</v>
      </c>
      <c r="T263" s="15">
        <v>80</v>
      </c>
      <c r="U263" s="15">
        <v>0</v>
      </c>
      <c r="V263" s="15">
        <v>0</v>
      </c>
      <c r="W263" s="15">
        <v>0</v>
      </c>
      <c r="X263" s="15">
        <f>IF(O263='Udvaskning nøgletal'!$D$65,1,IF(O263='Udvaskning nøgletal'!$D$66,2,IF(O263='Udvaskning nøgletal'!$D$67,3,IF(O263='Udvaskning nøgletal'!$D$68,2,""))))</f>
        <v>2</v>
      </c>
      <c r="Y263" s="15">
        <f>LOOKUP(K263,'Udvaskning nøgletal'!$C$12:$C$60,'Udvaskning nøgletal'!$H$12:$H$60)</f>
        <v>0</v>
      </c>
      <c r="Z263" s="10">
        <f>IF(X263=1,LOOKUP(K263,'Udvaskning nøgletal'!$C$12:$C$60,'Udvaskning nøgletal'!$E$12:$E$60)+Markniveau!Y263*Markniveau!S263/100,IF(X263=2,LOOKUP(K263,'Udvaskning nøgletal'!$C$12:$C$60,'Udvaskning nøgletal'!$F$12:$F$60)+Markniveau!Y263*Markniveau!S263/100,IF(X263=3,LOOKUP(K263,'Udvaskning nøgletal'!$C$12:$C$60,'Udvaskning nøgletal'!G273:G321)+Markniveau!Y263*Markniveau!S263/100,"")))</f>
        <v>27.331185321443094</v>
      </c>
      <c r="AA263" s="10">
        <f t="shared" si="46"/>
        <v>87.186481175403472</v>
      </c>
      <c r="AB263" s="10">
        <f t="shared" si="45"/>
        <v>20.498388991082319</v>
      </c>
      <c r="AC263" s="10">
        <f t="shared" si="47"/>
        <v>65.389860881552593</v>
      </c>
      <c r="AD263" s="10">
        <f>IF(AND(Q263&gt;0,Q263&lt;30,K263&lt;8),Markniveau!Z263*'Udvaskning nøgletal'!$I$12/100,IF(AND(Q263&gt;0,Q263&lt;30,K263=216),Markniveau!Z263*'Udvaskning nøgletal'!$I$34/100,Markniveau!Z263))</f>
        <v>27.331185321443094</v>
      </c>
      <c r="AE263" s="10">
        <f t="shared" si="43"/>
        <v>87.186481175403472</v>
      </c>
      <c r="AF263" s="10">
        <f t="shared" si="48"/>
        <v>20.498388991082319</v>
      </c>
      <c r="AG263" s="10">
        <f t="shared" si="44"/>
        <v>65.389860881552593</v>
      </c>
      <c r="AH263" s="10" t="str">
        <f>IF(AND(Q263&gt;0,Q263&lt;30,K263=216),'Udvaskning nøgletal'!$C$42,IF(AND(Q263&gt;0,Q263&lt;30,K263&gt;7,K263&lt;17),'Udvaskning nøgletal'!$C$61,IF(AND(Q263&gt;0,Q263&lt;30,K263&lt;7),'Udvaskning nøgletal'!$C$62,"")))</f>
        <v/>
      </c>
      <c r="AI263" s="10">
        <f t="shared" si="40"/>
        <v>260</v>
      </c>
      <c r="AJ263" s="10">
        <f>IF($X263=1,LOOKUP(AI263,'Udvaskning nøgletal'!$C$12:$C$62,'Udvaskning nøgletal'!$E$12:$E$62)+Markniveau!$Y263*Markniveau!$S263/100,IF($X263=2,LOOKUP(AI263,'Udvaskning nøgletal'!$C$12:$C$62,'Udvaskning nøgletal'!$F$12:$F$62)+Markniveau!$Y263*Markniveau!$S263/100,IF($X263=3,LOOKUP(AI263,'Udvaskning nøgletal'!$C$12:$C$62,'Udvaskning nøgletal'!Q273:Q323)+Markniveau!$Y263*Markniveau!$S263/100,"")))</f>
        <v>27.331185321443094</v>
      </c>
      <c r="AK263" s="10">
        <f t="shared" si="49"/>
        <v>87.186481175403472</v>
      </c>
      <c r="AL263" s="10">
        <f t="shared" si="41"/>
        <v>20.498388991082319</v>
      </c>
      <c r="AM263" s="10">
        <f t="shared" si="42"/>
        <v>65.389860881552593</v>
      </c>
    </row>
    <row r="264" spans="1:39" x14ac:dyDescent="0.25">
      <c r="A264" s="15">
        <v>14551387</v>
      </c>
      <c r="B264" s="15">
        <v>18.850000000000001</v>
      </c>
      <c r="C264" s="15">
        <v>152639</v>
      </c>
      <c r="D264" s="15">
        <v>50210</v>
      </c>
      <c r="E264" s="15" t="s">
        <v>272</v>
      </c>
      <c r="F264" s="15">
        <v>2011</v>
      </c>
      <c r="G264" s="15">
        <v>20110425</v>
      </c>
      <c r="H264" s="15">
        <v>27441</v>
      </c>
      <c r="I264" s="15">
        <v>2.74</v>
      </c>
      <c r="J264" s="6" t="s">
        <v>31</v>
      </c>
      <c r="K264" s="15">
        <v>583</v>
      </c>
      <c r="L264" s="15" t="s">
        <v>154</v>
      </c>
      <c r="M264" s="15" t="s">
        <v>155</v>
      </c>
      <c r="N264" s="11" t="s">
        <v>1384</v>
      </c>
      <c r="O264" s="11" t="s">
        <v>28</v>
      </c>
      <c r="P264" s="11" t="s">
        <v>33</v>
      </c>
      <c r="Q264" s="15">
        <v>25</v>
      </c>
      <c r="R264" s="11" t="s">
        <v>7</v>
      </c>
      <c r="S264" s="10">
        <v>124.22226912929</v>
      </c>
      <c r="T264" s="15">
        <v>80</v>
      </c>
      <c r="U264" s="15">
        <v>0</v>
      </c>
      <c r="V264" s="15">
        <v>0</v>
      </c>
      <c r="W264" s="15">
        <v>0</v>
      </c>
      <c r="X264" s="15">
        <f>IF(O264='Udvaskning nøgletal'!$D$65,1,IF(O264='Udvaskning nøgletal'!$D$66,2,IF(O264='Udvaskning nøgletal'!$D$67,3,IF(O264='Udvaskning nøgletal'!$D$68,2,""))))</f>
        <v>1</v>
      </c>
      <c r="Y264" s="15">
        <f>LOOKUP(K264,'Udvaskning nøgletal'!$C$12:$C$60,'Udvaskning nøgletal'!$H$12:$H$60)</f>
        <v>0</v>
      </c>
      <c r="Z264" s="10">
        <f>IF(X264=1,LOOKUP(K264,'Udvaskning nøgletal'!$C$12:$C$60,'Udvaskning nøgletal'!$E$12:$E$60)+Markniveau!Y264*Markniveau!S264/100,IF(X264=2,LOOKUP(K264,'Udvaskning nøgletal'!$C$12:$C$60,'Udvaskning nøgletal'!$F$12:$F$60)+Markniveau!Y264*Markniveau!S264/100,IF(X264=3,LOOKUP(K264,'Udvaskning nøgletal'!$C$12:$C$60,'Udvaskning nøgletal'!G274:G322)+Markniveau!Y264*Markniveau!S264/100,"")))</f>
        <v>10</v>
      </c>
      <c r="AA264" s="10">
        <f t="shared" si="46"/>
        <v>27.400000000000002</v>
      </c>
      <c r="AB264" s="10">
        <f t="shared" si="45"/>
        <v>7.5</v>
      </c>
      <c r="AC264" s="10">
        <f t="shared" si="47"/>
        <v>20.55</v>
      </c>
      <c r="AD264" s="10">
        <f>IF(AND(Q264&gt;0,Q264&lt;30,K264&lt;8),Markniveau!Z264*'Udvaskning nøgletal'!$I$12/100,IF(AND(Q264&gt;0,Q264&lt;30,K264=216),Markniveau!Z264*'Udvaskning nøgletal'!$I$34/100,Markniveau!Z264))</f>
        <v>10</v>
      </c>
      <c r="AE264" s="10">
        <f t="shared" si="43"/>
        <v>27.400000000000002</v>
      </c>
      <c r="AF264" s="10">
        <f t="shared" si="48"/>
        <v>7.5</v>
      </c>
      <c r="AG264" s="10">
        <f t="shared" si="44"/>
        <v>20.55</v>
      </c>
      <c r="AH264" s="10" t="str">
        <f>IF(AND(Q264&gt;0,Q264&lt;30,K264=216),'Udvaskning nøgletal'!$C$42,IF(AND(Q264&gt;0,Q264&lt;30,K264&gt;7,K264&lt;17),'Udvaskning nøgletal'!$C$61,IF(AND(Q264&gt;0,Q264&lt;30,K264&lt;7),'Udvaskning nøgletal'!$C$62,"")))</f>
        <v/>
      </c>
      <c r="AI264" s="10">
        <f t="shared" ref="AI264:AI327" si="50">IF(SUM(AH264)&gt;0,AH264,K264)</f>
        <v>583</v>
      </c>
      <c r="AJ264" s="10">
        <f>IF($X264=1,LOOKUP(AI264,'Udvaskning nøgletal'!$C$12:$C$62,'Udvaskning nøgletal'!$E$12:$E$62)+Markniveau!$Y264*Markniveau!$S264/100,IF($X264=2,LOOKUP(AI264,'Udvaskning nøgletal'!$C$12:$C$62,'Udvaskning nøgletal'!$F$12:$F$62)+Markniveau!$Y264*Markniveau!$S264/100,IF($X264=3,LOOKUP(AI264,'Udvaskning nøgletal'!$C$12:$C$62,'Udvaskning nøgletal'!Q274:Q324)+Markniveau!$Y264*Markniveau!$S264/100,"")))</f>
        <v>10</v>
      </c>
      <c r="AK264" s="10">
        <f t="shared" si="49"/>
        <v>27.400000000000002</v>
      </c>
      <c r="AL264" s="10">
        <f t="shared" si="41"/>
        <v>7.5</v>
      </c>
      <c r="AM264" s="10">
        <f t="shared" si="42"/>
        <v>20.55</v>
      </c>
    </row>
    <row r="265" spans="1:39" x14ac:dyDescent="0.25">
      <c r="A265" s="15">
        <v>14551387</v>
      </c>
      <c r="B265" s="15">
        <v>18.850000000000001</v>
      </c>
      <c r="C265" s="15">
        <v>152640</v>
      </c>
      <c r="D265" s="15">
        <v>50210</v>
      </c>
      <c r="E265" s="15" t="s">
        <v>271</v>
      </c>
      <c r="F265" s="15">
        <v>2011</v>
      </c>
      <c r="G265" s="15">
        <v>20110425</v>
      </c>
      <c r="H265" s="15">
        <v>25785</v>
      </c>
      <c r="I265" s="15">
        <v>2.58</v>
      </c>
      <c r="J265" s="6" t="s">
        <v>1422</v>
      </c>
      <c r="K265" s="15">
        <v>260</v>
      </c>
      <c r="L265" s="15" t="s">
        <v>45</v>
      </c>
      <c r="M265" s="15" t="s">
        <v>5</v>
      </c>
      <c r="N265" s="11" t="s">
        <v>1406</v>
      </c>
      <c r="O265" s="11" t="s">
        <v>46</v>
      </c>
      <c r="P265" s="11" t="s">
        <v>33</v>
      </c>
      <c r="Q265" s="15">
        <v>25</v>
      </c>
      <c r="R265" s="11" t="s">
        <v>7</v>
      </c>
      <c r="S265" s="10">
        <v>124.22226912929</v>
      </c>
      <c r="T265" s="15">
        <v>80</v>
      </c>
      <c r="U265" s="15">
        <v>0</v>
      </c>
      <c r="V265" s="15">
        <v>0</v>
      </c>
      <c r="W265" s="15">
        <v>0</v>
      </c>
      <c r="X265" s="15">
        <f>IF(O265='Udvaskning nøgletal'!$D$65,1,IF(O265='Udvaskning nøgletal'!$D$66,2,IF(O265='Udvaskning nøgletal'!$D$67,3,IF(O265='Udvaskning nøgletal'!$D$68,2,""))))</f>
        <v>2</v>
      </c>
      <c r="Y265" s="15">
        <f>LOOKUP(K265,'Udvaskning nøgletal'!$C$12:$C$60,'Udvaskning nøgletal'!$H$12:$H$60)</f>
        <v>0</v>
      </c>
      <c r="Z265" s="10">
        <f>IF(X265=1,LOOKUP(K265,'Udvaskning nøgletal'!$C$12:$C$60,'Udvaskning nøgletal'!$E$12:$E$60)+Markniveau!Y265*Markniveau!S265/100,IF(X265=2,LOOKUP(K265,'Udvaskning nøgletal'!$C$12:$C$60,'Udvaskning nøgletal'!$F$12:$F$60)+Markniveau!Y265*Markniveau!S265/100,IF(X265=3,LOOKUP(K265,'Udvaskning nøgletal'!$C$12:$C$60,'Udvaskning nøgletal'!G275:G323)+Markniveau!Y265*Markniveau!S265/100,"")))</f>
        <v>27.331185321443094</v>
      </c>
      <c r="AA265" s="10">
        <f t="shared" si="46"/>
        <v>70.514458129323188</v>
      </c>
      <c r="AB265" s="10">
        <f t="shared" si="45"/>
        <v>20.498388991082319</v>
      </c>
      <c r="AC265" s="10">
        <f t="shared" si="47"/>
        <v>52.88584359699238</v>
      </c>
      <c r="AD265" s="10">
        <f>IF(AND(Q265&gt;0,Q265&lt;30,K265&lt;8),Markniveau!Z265*'Udvaskning nøgletal'!$I$12/100,IF(AND(Q265&gt;0,Q265&lt;30,K265=216),Markniveau!Z265*'Udvaskning nøgletal'!$I$34/100,Markniveau!Z265))</f>
        <v>27.331185321443094</v>
      </c>
      <c r="AE265" s="10">
        <f t="shared" si="43"/>
        <v>70.514458129323188</v>
      </c>
      <c r="AF265" s="10">
        <f t="shared" si="48"/>
        <v>20.498388991082319</v>
      </c>
      <c r="AG265" s="10">
        <f t="shared" si="44"/>
        <v>52.88584359699238</v>
      </c>
      <c r="AH265" s="10" t="str">
        <f>IF(AND(Q265&gt;0,Q265&lt;30,K265=216),'Udvaskning nøgletal'!$C$42,IF(AND(Q265&gt;0,Q265&lt;30,K265&gt;7,K265&lt;17),'Udvaskning nøgletal'!$C$61,IF(AND(Q265&gt;0,Q265&lt;30,K265&lt;7),'Udvaskning nøgletal'!$C$62,"")))</f>
        <v/>
      </c>
      <c r="AI265" s="10">
        <f t="shared" si="50"/>
        <v>260</v>
      </c>
      <c r="AJ265" s="10">
        <f>IF($X265=1,LOOKUP(AI265,'Udvaskning nøgletal'!$C$12:$C$62,'Udvaskning nøgletal'!$E$12:$E$62)+Markniveau!$Y265*Markniveau!$S265/100,IF($X265=2,LOOKUP(AI265,'Udvaskning nøgletal'!$C$12:$C$62,'Udvaskning nøgletal'!$F$12:$F$62)+Markniveau!$Y265*Markniveau!$S265/100,IF($X265=3,LOOKUP(AI265,'Udvaskning nøgletal'!$C$12:$C$62,'Udvaskning nøgletal'!Q275:Q325)+Markniveau!$Y265*Markniveau!$S265/100,"")))</f>
        <v>27.331185321443094</v>
      </c>
      <c r="AK265" s="10">
        <f t="shared" si="49"/>
        <v>70.514458129323188</v>
      </c>
      <c r="AL265" s="10">
        <f t="shared" si="41"/>
        <v>20.498388991082319</v>
      </c>
      <c r="AM265" s="10">
        <f t="shared" si="42"/>
        <v>52.88584359699238</v>
      </c>
    </row>
    <row r="266" spans="1:39" x14ac:dyDescent="0.25">
      <c r="A266" s="15">
        <v>14551387</v>
      </c>
      <c r="B266" s="15">
        <v>18.850000000000001</v>
      </c>
      <c r="C266" s="15">
        <v>152641</v>
      </c>
      <c r="D266" s="15">
        <v>50210</v>
      </c>
      <c r="E266" s="15" t="s">
        <v>271</v>
      </c>
      <c r="F266" s="15">
        <v>2011</v>
      </c>
      <c r="G266" s="15">
        <v>20110425</v>
      </c>
      <c r="H266" s="15">
        <v>28571</v>
      </c>
      <c r="I266" s="15">
        <v>2.86</v>
      </c>
      <c r="J266" s="6" t="s">
        <v>1404</v>
      </c>
      <c r="K266" s="15">
        <v>1</v>
      </c>
      <c r="L266" s="15" t="s">
        <v>32</v>
      </c>
      <c r="M266" s="15" t="s">
        <v>5</v>
      </c>
      <c r="N266" s="11" t="s">
        <v>1406</v>
      </c>
      <c r="O266" s="11" t="s">
        <v>46</v>
      </c>
      <c r="P266" s="11" t="s">
        <v>33</v>
      </c>
      <c r="Q266" s="15">
        <v>25</v>
      </c>
      <c r="R266" s="11" t="s">
        <v>7</v>
      </c>
      <c r="S266" s="10">
        <v>124.22226912929</v>
      </c>
      <c r="T266" s="15">
        <v>80</v>
      </c>
      <c r="U266" s="15">
        <v>0</v>
      </c>
      <c r="V266" s="15">
        <v>0</v>
      </c>
      <c r="W266" s="15">
        <v>0</v>
      </c>
      <c r="X266" s="15">
        <f>IF(O266='Udvaskning nøgletal'!$D$65,1,IF(O266='Udvaskning nøgletal'!$D$66,2,IF(O266='Udvaskning nøgletal'!$D$67,3,IF(O266='Udvaskning nøgletal'!$D$68,2,""))))</f>
        <v>2</v>
      </c>
      <c r="Y266" s="15">
        <f>LOOKUP(K266,'Udvaskning nøgletal'!$C$12:$C$60,'Udvaskning nøgletal'!$H$12:$H$60)</f>
        <v>5</v>
      </c>
      <c r="Z266" s="10">
        <f>IF(X266=1,LOOKUP(K266,'Udvaskning nøgletal'!$C$12:$C$60,'Udvaskning nøgletal'!$E$12:$E$60)+Markniveau!Y266*Markniveau!S266/100,IF(X266=2,LOOKUP(K266,'Udvaskning nøgletal'!$C$12:$C$60,'Udvaskning nøgletal'!$F$12:$F$60)+Markniveau!Y266*Markniveau!S266/100,IF(X266=3,LOOKUP(K266,'Udvaskning nøgletal'!$C$12:$C$60,'Udvaskning nøgletal'!G276:G324)+Markniveau!Y266*Markniveau!S266/100,"")))</f>
        <v>57.091113456464505</v>
      </c>
      <c r="AA266" s="10">
        <f t="shared" si="46"/>
        <v>163.28058448548848</v>
      </c>
      <c r="AB266" s="10">
        <f t="shared" si="45"/>
        <v>42.818335092348377</v>
      </c>
      <c r="AC266" s="10">
        <f t="shared" si="47"/>
        <v>122.46043836411636</v>
      </c>
      <c r="AD266" s="10">
        <f>IF(AND(Q266&gt;0,Q266&lt;30,K266&lt;8),Markniveau!Z266*'Udvaskning nøgletal'!$I$12/100,IF(AND(Q266&gt;0,Q266&lt;30,K266=216),Markniveau!Z266*'Udvaskning nøgletal'!$I$34/100,Markniveau!Z266))</f>
        <v>28.545556728232256</v>
      </c>
      <c r="AE266" s="10">
        <f t="shared" si="43"/>
        <v>81.640292242744252</v>
      </c>
      <c r="AF266" s="10">
        <f t="shared" si="48"/>
        <v>21.409167546174196</v>
      </c>
      <c r="AG266" s="10">
        <f t="shared" si="44"/>
        <v>61.2302191820582</v>
      </c>
      <c r="AH266" s="10">
        <f>IF(AND(Q266&gt;0,Q266&lt;30,K266=216),'Udvaskning nøgletal'!$C$42,IF(AND(Q266&gt;0,Q266&lt;30,K266&gt;7,K266&lt;17),'Udvaskning nøgletal'!$C$61,IF(AND(Q266&gt;0,Q266&lt;30,K266&lt;7),'Udvaskning nøgletal'!$C$62,"")))</f>
        <v>1002</v>
      </c>
      <c r="AI266" s="10">
        <f t="shared" si="50"/>
        <v>1002</v>
      </c>
      <c r="AJ266" s="10">
        <f>IF($X266=1,LOOKUP(AI266,'Udvaskning nøgletal'!$C$12:$C$62,'Udvaskning nøgletal'!$E$12:$E$62)+Markniveau!$Y266*Markniveau!$S266/100,IF($X266=2,LOOKUP(AI266,'Udvaskning nøgletal'!$C$12:$C$62,'Udvaskning nøgletal'!$F$12:$F$62)+Markniveau!$Y266*Markniveau!$S266/100,IF($X266=3,LOOKUP(AI266,'Udvaskning nøgletal'!$C$12:$C$62,'Udvaskning nøgletal'!Q276:Q326)+Markniveau!$Y266*Markniveau!$S266/100,"")))</f>
        <v>30.211113456464499</v>
      </c>
      <c r="AK266" s="10">
        <f t="shared" si="49"/>
        <v>86.403784485488458</v>
      </c>
      <c r="AL266" s="10">
        <f t="shared" si="41"/>
        <v>22.658335092348374</v>
      </c>
      <c r="AM266" s="10">
        <f t="shared" si="42"/>
        <v>64.80283836411634</v>
      </c>
    </row>
    <row r="267" spans="1:39" x14ac:dyDescent="0.25">
      <c r="A267" s="15">
        <v>14551387</v>
      </c>
      <c r="B267" s="15">
        <v>18.850000000000001</v>
      </c>
      <c r="C267" s="15">
        <v>152642</v>
      </c>
      <c r="D267" s="15">
        <v>50210</v>
      </c>
      <c r="E267" s="15" t="s">
        <v>273</v>
      </c>
      <c r="F267" s="15">
        <v>2011</v>
      </c>
      <c r="G267" s="15">
        <v>20110425</v>
      </c>
      <c r="H267" s="15">
        <v>24210</v>
      </c>
      <c r="I267" s="15">
        <v>2.42</v>
      </c>
      <c r="J267" s="6" t="s">
        <v>137</v>
      </c>
      <c r="K267" s="15">
        <v>252</v>
      </c>
      <c r="L267" s="15" t="s">
        <v>41</v>
      </c>
      <c r="M267" s="15" t="s">
        <v>4</v>
      </c>
      <c r="N267" s="11" t="s">
        <v>1391</v>
      </c>
      <c r="O267" s="11" t="s">
        <v>46</v>
      </c>
      <c r="P267" s="11" t="s">
        <v>33</v>
      </c>
      <c r="Q267" s="15">
        <v>25</v>
      </c>
      <c r="R267" s="11" t="s">
        <v>7</v>
      </c>
      <c r="S267" s="10">
        <v>124.22226912929</v>
      </c>
      <c r="T267" s="15">
        <v>80</v>
      </c>
      <c r="U267" s="15">
        <v>0</v>
      </c>
      <c r="V267" s="15">
        <v>0</v>
      </c>
      <c r="W267" s="15">
        <v>0</v>
      </c>
      <c r="X267" s="15">
        <f>IF(O267='Udvaskning nøgletal'!$D$65,1,IF(O267='Udvaskning nøgletal'!$D$66,2,IF(O267='Udvaskning nøgletal'!$D$67,3,IF(O267='Udvaskning nøgletal'!$D$68,2,""))))</f>
        <v>2</v>
      </c>
      <c r="Y267" s="15">
        <f>LOOKUP(K267,'Udvaskning nøgletal'!$C$12:$C$60,'Udvaskning nøgletal'!$H$12:$H$60)</f>
        <v>0</v>
      </c>
      <c r="Z267" s="10">
        <f>IF(X267=1,LOOKUP(K267,'Udvaskning nøgletal'!$C$12:$C$60,'Udvaskning nøgletal'!$E$12:$E$60)+Markniveau!Y267*Markniveau!S267/100,IF(X267=2,LOOKUP(K267,'Udvaskning nøgletal'!$C$12:$C$60,'Udvaskning nøgletal'!$F$12:$F$60)+Markniveau!Y267*Markniveau!S267/100,IF(X267=3,LOOKUP(K267,'Udvaskning nøgletal'!$C$12:$C$60,'Udvaskning nøgletal'!G277:G325)+Markniveau!Y267*Markniveau!S267/100,"")))</f>
        <v>21.2</v>
      </c>
      <c r="AA267" s="10">
        <f t="shared" si="46"/>
        <v>51.303999999999995</v>
      </c>
      <c r="AB267" s="10">
        <f t="shared" si="45"/>
        <v>15.9</v>
      </c>
      <c r="AC267" s="10">
        <f t="shared" si="47"/>
        <v>38.478000000000002</v>
      </c>
      <c r="AD267" s="10">
        <f>IF(AND(Q267&gt;0,Q267&lt;30,K267&lt;8),Markniveau!Z267*'Udvaskning nøgletal'!$I$12/100,IF(AND(Q267&gt;0,Q267&lt;30,K267=216),Markniveau!Z267*'Udvaskning nøgletal'!$I$34/100,Markniveau!Z267))</f>
        <v>21.2</v>
      </c>
      <c r="AE267" s="10">
        <f t="shared" si="43"/>
        <v>51.303999999999995</v>
      </c>
      <c r="AF267" s="10">
        <f t="shared" si="48"/>
        <v>15.9</v>
      </c>
      <c r="AG267" s="10">
        <f t="shared" si="44"/>
        <v>38.478000000000002</v>
      </c>
      <c r="AH267" s="10" t="str">
        <f>IF(AND(Q267&gt;0,Q267&lt;30,K267=216),'Udvaskning nøgletal'!$C$42,IF(AND(Q267&gt;0,Q267&lt;30,K267&gt;7,K267&lt;17),'Udvaskning nøgletal'!$C$61,IF(AND(Q267&gt;0,Q267&lt;30,K267&lt;7),'Udvaskning nøgletal'!$C$62,"")))</f>
        <v/>
      </c>
      <c r="AI267" s="10">
        <f t="shared" si="50"/>
        <v>252</v>
      </c>
      <c r="AJ267" s="10">
        <f>IF($X267=1,LOOKUP(AI267,'Udvaskning nøgletal'!$C$12:$C$62,'Udvaskning nøgletal'!$E$12:$E$62)+Markniveau!$Y267*Markniveau!$S267/100,IF($X267=2,LOOKUP(AI267,'Udvaskning nøgletal'!$C$12:$C$62,'Udvaskning nøgletal'!$F$12:$F$62)+Markniveau!$Y267*Markniveau!$S267/100,IF($X267=3,LOOKUP(AI267,'Udvaskning nøgletal'!$C$12:$C$62,'Udvaskning nøgletal'!Q277:Q327)+Markniveau!$Y267*Markniveau!$S267/100,"")))</f>
        <v>21.2</v>
      </c>
      <c r="AK267" s="10">
        <f t="shared" si="49"/>
        <v>51.303999999999995</v>
      </c>
      <c r="AL267" s="10">
        <f t="shared" ref="AL267:AL330" si="51">IF($Q267&gt;0,(100-$Q267)*AJ267/100,"")</f>
        <v>15.9</v>
      </c>
      <c r="AM267" s="10">
        <f t="shared" ref="AM267:AM330" si="52">IF($Q267&gt;0,(100-$Q267)*AJ267/100*I267,"")</f>
        <v>38.478000000000002</v>
      </c>
    </row>
    <row r="268" spans="1:39" x14ac:dyDescent="0.25">
      <c r="A268" s="15">
        <v>14551387</v>
      </c>
      <c r="B268" s="15">
        <v>18.850000000000001</v>
      </c>
      <c r="C268" s="15">
        <v>152643</v>
      </c>
      <c r="D268" s="15">
        <v>50210</v>
      </c>
      <c r="E268" s="15" t="s">
        <v>274</v>
      </c>
      <c r="F268" s="15">
        <v>2011</v>
      </c>
      <c r="G268" s="15">
        <v>20110425</v>
      </c>
      <c r="H268" s="15">
        <v>11480</v>
      </c>
      <c r="I268" s="15">
        <v>1.1499999999999999</v>
      </c>
      <c r="J268" s="6" t="s">
        <v>1473</v>
      </c>
      <c r="K268" s="15">
        <v>263</v>
      </c>
      <c r="L268" s="15" t="s">
        <v>39</v>
      </c>
      <c r="M268" s="15" t="s">
        <v>5</v>
      </c>
      <c r="N268" s="11" t="s">
        <v>1391</v>
      </c>
      <c r="O268" s="11" t="s">
        <v>46</v>
      </c>
      <c r="P268" s="11" t="s">
        <v>33</v>
      </c>
      <c r="Q268" s="15">
        <v>25</v>
      </c>
      <c r="R268" s="11" t="s">
        <v>7</v>
      </c>
      <c r="S268" s="10">
        <v>124.22226912929</v>
      </c>
      <c r="T268" s="15">
        <v>80</v>
      </c>
      <c r="U268" s="15">
        <v>0</v>
      </c>
      <c r="V268" s="15">
        <v>0</v>
      </c>
      <c r="W268" s="15">
        <v>0</v>
      </c>
      <c r="X268" s="15">
        <f>IF(O268='Udvaskning nøgletal'!$D$65,1,IF(O268='Udvaskning nøgletal'!$D$66,2,IF(O268='Udvaskning nøgletal'!$D$67,3,IF(O268='Udvaskning nøgletal'!$D$68,2,""))))</f>
        <v>2</v>
      </c>
      <c r="Y268" s="15">
        <f>LOOKUP(K268,'Udvaskning nøgletal'!$C$12:$C$60,'Udvaskning nøgletal'!$H$12:$H$60)</f>
        <v>0</v>
      </c>
      <c r="Z268" s="10">
        <f>IF(X268=1,LOOKUP(K268,'Udvaskning nøgletal'!$C$12:$C$60,'Udvaskning nøgletal'!$E$12:$E$60)+Markniveau!Y268*Markniveau!S268/100,IF(X268=2,LOOKUP(K268,'Udvaskning nøgletal'!$C$12:$C$60,'Udvaskning nøgletal'!$F$12:$F$60)+Markniveau!Y268*Markniveau!S268/100,IF(X268=3,LOOKUP(K268,'Udvaskning nøgletal'!$C$12:$C$60,'Udvaskning nøgletal'!G278:G326)+Markniveau!Y268*Markniveau!S268/100,"")))</f>
        <v>27.331185321443094</v>
      </c>
      <c r="AA268" s="10">
        <f t="shared" si="46"/>
        <v>31.430863119659556</v>
      </c>
      <c r="AB268" s="10">
        <f t="shared" si="45"/>
        <v>20.498388991082319</v>
      </c>
      <c r="AC268" s="10">
        <f t="shared" si="47"/>
        <v>23.573147339744665</v>
      </c>
      <c r="AD268" s="10">
        <f>IF(AND(Q268&gt;0,Q268&lt;30,K268&lt;8),Markniveau!Z268*'Udvaskning nøgletal'!$I$12/100,IF(AND(Q268&gt;0,Q268&lt;30,K268=216),Markniveau!Z268*'Udvaskning nøgletal'!$I$34/100,Markniveau!Z268))</f>
        <v>27.331185321443094</v>
      </c>
      <c r="AE268" s="10">
        <f t="shared" si="43"/>
        <v>31.430863119659556</v>
      </c>
      <c r="AF268" s="10">
        <f t="shared" si="48"/>
        <v>20.498388991082319</v>
      </c>
      <c r="AG268" s="10">
        <f t="shared" si="44"/>
        <v>23.573147339744665</v>
      </c>
      <c r="AH268" s="10" t="str">
        <f>IF(AND(Q268&gt;0,Q268&lt;30,K268=216),'Udvaskning nøgletal'!$C$42,IF(AND(Q268&gt;0,Q268&lt;30,K268&gt;7,K268&lt;17),'Udvaskning nøgletal'!$C$61,IF(AND(Q268&gt;0,Q268&lt;30,K268&lt;7),'Udvaskning nøgletal'!$C$62,"")))</f>
        <v/>
      </c>
      <c r="AI268" s="10">
        <f t="shared" si="50"/>
        <v>263</v>
      </c>
      <c r="AJ268" s="10">
        <f>IF($X268=1,LOOKUP(AI268,'Udvaskning nøgletal'!$C$12:$C$62,'Udvaskning nøgletal'!$E$12:$E$62)+Markniveau!$Y268*Markniveau!$S268/100,IF($X268=2,LOOKUP(AI268,'Udvaskning nøgletal'!$C$12:$C$62,'Udvaskning nøgletal'!$F$12:$F$62)+Markniveau!$Y268*Markniveau!$S268/100,IF($X268=3,LOOKUP(AI268,'Udvaskning nøgletal'!$C$12:$C$62,'Udvaskning nøgletal'!Q278:Q328)+Markniveau!$Y268*Markniveau!$S268/100,"")))</f>
        <v>27.331185321443094</v>
      </c>
      <c r="AK268" s="10">
        <f t="shared" si="49"/>
        <v>31.430863119659556</v>
      </c>
      <c r="AL268" s="10">
        <f t="shared" si="51"/>
        <v>20.498388991082319</v>
      </c>
      <c r="AM268" s="10">
        <f t="shared" si="52"/>
        <v>23.573147339744665</v>
      </c>
    </row>
    <row r="269" spans="1:39" x14ac:dyDescent="0.25">
      <c r="A269" s="15">
        <v>14551387</v>
      </c>
      <c r="B269" s="15">
        <v>18.850000000000001</v>
      </c>
      <c r="C269" s="15">
        <v>152644</v>
      </c>
      <c r="D269" s="15">
        <v>50210</v>
      </c>
      <c r="E269" s="15" t="s">
        <v>275</v>
      </c>
      <c r="F269" s="15">
        <v>2011</v>
      </c>
      <c r="G269" s="15">
        <v>20110425</v>
      </c>
      <c r="H269" s="15">
        <v>81034</v>
      </c>
      <c r="I269" s="15">
        <v>8.1</v>
      </c>
      <c r="J269" s="6" t="s">
        <v>87</v>
      </c>
      <c r="K269" s="15">
        <v>22</v>
      </c>
      <c r="L269" s="15" t="s">
        <v>213</v>
      </c>
      <c r="M269" s="15" t="s">
        <v>5</v>
      </c>
      <c r="N269" s="11" t="s">
        <v>1384</v>
      </c>
      <c r="O269" s="11" t="s">
        <v>28</v>
      </c>
      <c r="P269" s="11" t="s">
        <v>33</v>
      </c>
      <c r="Q269" s="15">
        <v>25</v>
      </c>
      <c r="R269" s="11" t="s">
        <v>7</v>
      </c>
      <c r="S269" s="10">
        <v>124.22226912929</v>
      </c>
      <c r="T269" s="15">
        <v>80</v>
      </c>
      <c r="U269" s="15">
        <v>0</v>
      </c>
      <c r="V269" s="15">
        <v>0</v>
      </c>
      <c r="W269" s="15">
        <v>0</v>
      </c>
      <c r="X269" s="15">
        <f>IF(O269='Udvaskning nøgletal'!$D$65,1,IF(O269='Udvaskning nøgletal'!$D$66,2,IF(O269='Udvaskning nøgletal'!$D$67,3,IF(O269='Udvaskning nøgletal'!$D$68,2,""))))</f>
        <v>1</v>
      </c>
      <c r="Y269" s="15">
        <f>LOOKUP(K269,'Udvaskning nøgletal'!$C$12:$C$60,'Udvaskning nøgletal'!$H$12:$H$60)</f>
        <v>5</v>
      </c>
      <c r="Z269" s="10">
        <f>IF(X269=1,LOOKUP(K269,'Udvaskning nøgletal'!$C$12:$C$60,'Udvaskning nøgletal'!$E$12:$E$60)+Markniveau!Y269*Markniveau!S269/100,IF(X269=2,LOOKUP(K269,'Udvaskning nøgletal'!$C$12:$C$60,'Udvaskning nøgletal'!$F$12:$F$60)+Markniveau!Y269*Markniveau!S269/100,IF(X269=3,LOOKUP(K269,'Udvaskning nøgletal'!$C$12:$C$60,'Udvaskning nøgletal'!G279:G327)+Markniveau!Y269*Markniveau!S269/100,"")))</f>
        <v>70.871113456464499</v>
      </c>
      <c r="AA269" s="10">
        <f t="shared" si="46"/>
        <v>574.05601899736246</v>
      </c>
      <c r="AB269" s="10">
        <f t="shared" si="45"/>
        <v>53.153335092348371</v>
      </c>
      <c r="AC269" s="10">
        <f t="shared" si="47"/>
        <v>430.54201424802176</v>
      </c>
      <c r="AD269" s="10">
        <f>IF(AND(Q269&gt;0,Q269&lt;30,K269&lt;8),Markniveau!Z269*'Udvaskning nøgletal'!$I$12/100,IF(AND(Q269&gt;0,Q269&lt;30,K269=216),Markniveau!Z269*'Udvaskning nøgletal'!$I$34/100,Markniveau!Z269))</f>
        <v>70.871113456464499</v>
      </c>
      <c r="AE269" s="10">
        <f t="shared" si="43"/>
        <v>574.05601899736246</v>
      </c>
      <c r="AF269" s="10">
        <f t="shared" si="48"/>
        <v>53.153335092348371</v>
      </c>
      <c r="AG269" s="10">
        <f t="shared" si="44"/>
        <v>430.54201424802176</v>
      </c>
      <c r="AH269" s="10" t="str">
        <f>IF(AND(Q269&gt;0,Q269&lt;30,K269=216),'Udvaskning nøgletal'!$C$42,IF(AND(Q269&gt;0,Q269&lt;30,K269&gt;7,K269&lt;17),'Udvaskning nøgletal'!$C$61,IF(AND(Q269&gt;0,Q269&lt;30,K269&lt;7),'Udvaskning nøgletal'!$C$62,"")))</f>
        <v/>
      </c>
      <c r="AI269" s="10">
        <f t="shared" si="50"/>
        <v>22</v>
      </c>
      <c r="AJ269" s="10">
        <f>IF($X269=1,LOOKUP(AI269,'Udvaskning nøgletal'!$C$12:$C$62,'Udvaskning nøgletal'!$E$12:$E$62)+Markniveau!$Y269*Markniveau!$S269/100,IF($X269=2,LOOKUP(AI269,'Udvaskning nøgletal'!$C$12:$C$62,'Udvaskning nøgletal'!$F$12:$F$62)+Markniveau!$Y269*Markniveau!$S269/100,IF($X269=3,LOOKUP(AI269,'Udvaskning nøgletal'!$C$12:$C$62,'Udvaskning nøgletal'!Q279:Q329)+Markniveau!$Y269*Markniveau!$S269/100,"")))</f>
        <v>70.871113456464499</v>
      </c>
      <c r="AK269" s="10">
        <f t="shared" si="49"/>
        <v>574.05601899736246</v>
      </c>
      <c r="AL269" s="10">
        <f t="shared" si="51"/>
        <v>53.153335092348371</v>
      </c>
      <c r="AM269" s="10">
        <f t="shared" si="52"/>
        <v>430.54201424802176</v>
      </c>
    </row>
    <row r="270" spans="1:39" x14ac:dyDescent="0.25">
      <c r="A270" s="15">
        <v>14551387</v>
      </c>
      <c r="B270" s="15">
        <v>18.850000000000001</v>
      </c>
      <c r="C270" s="15">
        <v>153168</v>
      </c>
      <c r="D270" s="15">
        <v>50210</v>
      </c>
      <c r="E270" s="15" t="s">
        <v>275</v>
      </c>
      <c r="F270" s="15">
        <v>2011</v>
      </c>
      <c r="G270" s="15">
        <v>20110425</v>
      </c>
      <c r="H270" s="15">
        <v>10644</v>
      </c>
      <c r="I270" s="15">
        <v>1.06</v>
      </c>
      <c r="J270" s="6" t="s">
        <v>61</v>
      </c>
      <c r="K270" s="15">
        <v>260</v>
      </c>
      <c r="L270" s="15" t="s">
        <v>45</v>
      </c>
      <c r="M270" s="15" t="s">
        <v>5</v>
      </c>
      <c r="N270" s="11" t="s">
        <v>1384</v>
      </c>
      <c r="O270" s="11" t="s">
        <v>28</v>
      </c>
      <c r="P270" s="11" t="s">
        <v>33</v>
      </c>
      <c r="Q270" s="15">
        <v>25</v>
      </c>
      <c r="R270" s="11" t="s">
        <v>7</v>
      </c>
      <c r="S270" s="10">
        <v>124.22226912929</v>
      </c>
      <c r="T270" s="15">
        <v>80</v>
      </c>
      <c r="U270" s="15">
        <v>0</v>
      </c>
      <c r="V270" s="15">
        <v>0</v>
      </c>
      <c r="W270" s="15">
        <v>0</v>
      </c>
      <c r="X270" s="15">
        <f>IF(O270='Udvaskning nøgletal'!$D$65,1,IF(O270='Udvaskning nøgletal'!$D$66,2,IF(O270='Udvaskning nøgletal'!$D$67,3,IF(O270='Udvaskning nøgletal'!$D$68,2,""))))</f>
        <v>1</v>
      </c>
      <c r="Y270" s="15">
        <f>LOOKUP(K270,'Udvaskning nøgletal'!$C$12:$C$60,'Udvaskning nøgletal'!$H$12:$H$60)</f>
        <v>0</v>
      </c>
      <c r="Z270" s="10">
        <f>IF(X270=1,LOOKUP(K270,'Udvaskning nøgletal'!$C$12:$C$60,'Udvaskning nøgletal'!$E$12:$E$60)+Markniveau!Y270*Markniveau!S270/100,IF(X270=2,LOOKUP(K270,'Udvaskning nøgletal'!$C$12:$C$60,'Udvaskning nøgletal'!$F$12:$F$60)+Markniveau!Y270*Markniveau!S270/100,IF(X270=3,LOOKUP(K270,'Udvaskning nøgletal'!$C$12:$C$60,'Udvaskning nøgletal'!G280:G328)+Markniveau!Y270*Markniveau!S270/100,"")))</f>
        <v>33.723295792149436</v>
      </c>
      <c r="AA270" s="10">
        <f t="shared" si="46"/>
        <v>35.746693539678404</v>
      </c>
      <c r="AB270" s="10">
        <f t="shared" si="45"/>
        <v>25.292471844112079</v>
      </c>
      <c r="AC270" s="10">
        <f t="shared" si="47"/>
        <v>26.810020154758806</v>
      </c>
      <c r="AD270" s="10">
        <f>IF(AND(Q270&gt;0,Q270&lt;30,K270&lt;8),Markniveau!Z270*'Udvaskning nøgletal'!$I$12/100,IF(AND(Q270&gt;0,Q270&lt;30,K270=216),Markniveau!Z270*'Udvaskning nøgletal'!$I$34/100,Markniveau!Z270))</f>
        <v>33.723295792149436</v>
      </c>
      <c r="AE270" s="10">
        <f t="shared" si="43"/>
        <v>35.746693539678404</v>
      </c>
      <c r="AF270" s="10">
        <f t="shared" si="48"/>
        <v>25.292471844112079</v>
      </c>
      <c r="AG270" s="10">
        <f t="shared" si="44"/>
        <v>26.810020154758806</v>
      </c>
      <c r="AH270" s="10" t="str">
        <f>IF(AND(Q270&gt;0,Q270&lt;30,K270=216),'Udvaskning nøgletal'!$C$42,IF(AND(Q270&gt;0,Q270&lt;30,K270&gt;7,K270&lt;17),'Udvaskning nøgletal'!$C$61,IF(AND(Q270&gt;0,Q270&lt;30,K270&lt;7),'Udvaskning nøgletal'!$C$62,"")))</f>
        <v/>
      </c>
      <c r="AI270" s="10">
        <f t="shared" si="50"/>
        <v>260</v>
      </c>
      <c r="AJ270" s="10">
        <f>IF($X270=1,LOOKUP(AI270,'Udvaskning nøgletal'!$C$12:$C$62,'Udvaskning nøgletal'!$E$12:$E$62)+Markniveau!$Y270*Markniveau!$S270/100,IF($X270=2,LOOKUP(AI270,'Udvaskning nøgletal'!$C$12:$C$62,'Udvaskning nøgletal'!$F$12:$F$62)+Markniveau!$Y270*Markniveau!$S270/100,IF($X270=3,LOOKUP(AI270,'Udvaskning nøgletal'!$C$12:$C$62,'Udvaskning nøgletal'!Q280:Q330)+Markniveau!$Y270*Markniveau!$S270/100,"")))</f>
        <v>33.723295792149436</v>
      </c>
      <c r="AK270" s="10">
        <f t="shared" si="49"/>
        <v>35.746693539678404</v>
      </c>
      <c r="AL270" s="10">
        <f t="shared" si="51"/>
        <v>25.292471844112079</v>
      </c>
      <c r="AM270" s="10">
        <f t="shared" si="52"/>
        <v>26.810020154758806</v>
      </c>
    </row>
    <row r="271" spans="1:39" x14ac:dyDescent="0.25">
      <c r="A271" s="15">
        <v>14551387</v>
      </c>
      <c r="B271" s="15">
        <v>18.850000000000001</v>
      </c>
      <c r="C271" s="15">
        <v>153169</v>
      </c>
      <c r="D271" s="15">
        <v>50210</v>
      </c>
      <c r="E271" s="15" t="s">
        <v>275</v>
      </c>
      <c r="F271" s="15">
        <v>2011</v>
      </c>
      <c r="G271" s="15">
        <v>20110425</v>
      </c>
      <c r="H271" s="15">
        <v>43672</v>
      </c>
      <c r="I271" s="15">
        <v>4.37</v>
      </c>
      <c r="J271" s="6" t="s">
        <v>37</v>
      </c>
      <c r="K271" s="15">
        <v>260</v>
      </c>
      <c r="L271" s="15" t="s">
        <v>45</v>
      </c>
      <c r="M271" s="15" t="s">
        <v>5</v>
      </c>
      <c r="N271" s="11" t="s">
        <v>1384</v>
      </c>
      <c r="O271" s="11" t="s">
        <v>28</v>
      </c>
      <c r="P271" s="11" t="s">
        <v>33</v>
      </c>
      <c r="Q271" s="15">
        <v>25</v>
      </c>
      <c r="R271" s="11" t="s">
        <v>7</v>
      </c>
      <c r="S271" s="10">
        <v>124.22226912929</v>
      </c>
      <c r="T271" s="15">
        <v>80</v>
      </c>
      <c r="U271" s="15">
        <v>0</v>
      </c>
      <c r="V271" s="15">
        <v>0</v>
      </c>
      <c r="W271" s="15">
        <v>0</v>
      </c>
      <c r="X271" s="15">
        <f>IF(O271='Udvaskning nøgletal'!$D$65,1,IF(O271='Udvaskning nøgletal'!$D$66,2,IF(O271='Udvaskning nøgletal'!$D$67,3,IF(O271='Udvaskning nøgletal'!$D$68,2,""))))</f>
        <v>1</v>
      </c>
      <c r="Y271" s="15">
        <f>LOOKUP(K271,'Udvaskning nøgletal'!$C$12:$C$60,'Udvaskning nøgletal'!$H$12:$H$60)</f>
        <v>0</v>
      </c>
      <c r="Z271" s="10">
        <f>IF(X271=1,LOOKUP(K271,'Udvaskning nøgletal'!$C$12:$C$60,'Udvaskning nøgletal'!$E$12:$E$60)+Markniveau!Y271*Markniveau!S271/100,IF(X271=2,LOOKUP(K271,'Udvaskning nøgletal'!$C$12:$C$60,'Udvaskning nøgletal'!$F$12:$F$60)+Markniveau!Y271*Markniveau!S271/100,IF(X271=3,LOOKUP(K271,'Udvaskning nøgletal'!$C$12:$C$60,'Udvaskning nøgletal'!G281:G329)+Markniveau!Y271*Markniveau!S271/100,"")))</f>
        <v>33.723295792149436</v>
      </c>
      <c r="AA271" s="10">
        <f t="shared" si="46"/>
        <v>147.37080261169305</v>
      </c>
      <c r="AB271" s="10">
        <f t="shared" si="45"/>
        <v>25.292471844112079</v>
      </c>
      <c r="AC271" s="10">
        <f t="shared" si="47"/>
        <v>110.52810195876978</v>
      </c>
      <c r="AD271" s="10">
        <f>IF(AND(Q271&gt;0,Q271&lt;30,K271&lt;8),Markniveau!Z271*'Udvaskning nøgletal'!$I$12/100,IF(AND(Q271&gt;0,Q271&lt;30,K271=216),Markniveau!Z271*'Udvaskning nøgletal'!$I$34/100,Markniveau!Z271))</f>
        <v>33.723295792149436</v>
      </c>
      <c r="AE271" s="10">
        <f t="shared" si="43"/>
        <v>147.37080261169305</v>
      </c>
      <c r="AF271" s="10">
        <f t="shared" si="48"/>
        <v>25.292471844112079</v>
      </c>
      <c r="AG271" s="10">
        <f t="shared" si="44"/>
        <v>110.52810195876978</v>
      </c>
      <c r="AH271" s="10" t="str">
        <f>IF(AND(Q271&gt;0,Q271&lt;30,K271=216),'Udvaskning nøgletal'!$C$42,IF(AND(Q271&gt;0,Q271&lt;30,K271&gt;7,K271&lt;17),'Udvaskning nøgletal'!$C$61,IF(AND(Q271&gt;0,Q271&lt;30,K271&lt;7),'Udvaskning nøgletal'!$C$62,"")))</f>
        <v/>
      </c>
      <c r="AI271" s="10">
        <f t="shared" si="50"/>
        <v>260</v>
      </c>
      <c r="AJ271" s="10">
        <f>IF($X271=1,LOOKUP(AI271,'Udvaskning nøgletal'!$C$12:$C$62,'Udvaskning nøgletal'!$E$12:$E$62)+Markniveau!$Y271*Markniveau!$S271/100,IF($X271=2,LOOKUP(AI271,'Udvaskning nøgletal'!$C$12:$C$62,'Udvaskning nøgletal'!$F$12:$F$62)+Markniveau!$Y271*Markniveau!$S271/100,IF($X271=3,LOOKUP(AI271,'Udvaskning nøgletal'!$C$12:$C$62,'Udvaskning nøgletal'!Q281:Q331)+Markniveau!$Y271*Markniveau!$S271/100,"")))</f>
        <v>33.723295792149436</v>
      </c>
      <c r="AK271" s="10">
        <f t="shared" si="49"/>
        <v>147.37080261169305</v>
      </c>
      <c r="AL271" s="10">
        <f t="shared" si="51"/>
        <v>25.292471844112079</v>
      </c>
      <c r="AM271" s="10">
        <f t="shared" si="52"/>
        <v>110.52810195876978</v>
      </c>
    </row>
    <row r="272" spans="1:39" x14ac:dyDescent="0.25">
      <c r="A272" s="15">
        <v>14551387</v>
      </c>
      <c r="B272" s="15">
        <v>18.850000000000001</v>
      </c>
      <c r="C272" s="15">
        <v>153170</v>
      </c>
      <c r="D272" s="15">
        <v>50210</v>
      </c>
      <c r="E272" s="15" t="s">
        <v>275</v>
      </c>
      <c r="F272" s="15">
        <v>2011</v>
      </c>
      <c r="G272" s="15">
        <v>20110425</v>
      </c>
      <c r="H272" s="15">
        <v>5735</v>
      </c>
      <c r="I272" s="15">
        <v>0.56999999999999995</v>
      </c>
      <c r="J272" s="6" t="s">
        <v>1462</v>
      </c>
      <c r="K272" s="15">
        <v>216</v>
      </c>
      <c r="L272" s="15" t="s">
        <v>116</v>
      </c>
      <c r="M272" s="15" t="s">
        <v>5</v>
      </c>
      <c r="N272" s="11" t="s">
        <v>1384</v>
      </c>
      <c r="O272" s="11" t="s">
        <v>28</v>
      </c>
      <c r="P272" s="11" t="s">
        <v>33</v>
      </c>
      <c r="Q272" s="15">
        <v>25</v>
      </c>
      <c r="R272" s="11" t="s">
        <v>7</v>
      </c>
      <c r="S272" s="10">
        <v>124.22226912929</v>
      </c>
      <c r="T272" s="15">
        <v>80</v>
      </c>
      <c r="U272" s="15">
        <v>0</v>
      </c>
      <c r="V272" s="15">
        <v>0</v>
      </c>
      <c r="W272" s="15">
        <v>0</v>
      </c>
      <c r="X272" s="15">
        <f>IF(O272='Udvaskning nøgletal'!$D$65,1,IF(O272='Udvaskning nøgletal'!$D$66,2,IF(O272='Udvaskning nøgletal'!$D$67,3,IF(O272='Udvaskning nøgletal'!$D$68,2,""))))</f>
        <v>1</v>
      </c>
      <c r="Y272" s="15">
        <f>LOOKUP(K272,'Udvaskning nøgletal'!$C$12:$C$60,'Udvaskning nøgletal'!$H$12:$H$60)</f>
        <v>0</v>
      </c>
      <c r="Z272" s="10">
        <f>IF(X272=1,LOOKUP(K272,'Udvaskning nøgletal'!$C$12:$C$60,'Udvaskning nøgletal'!$E$12:$E$60)+Markniveau!Y272*Markniveau!S272/100,IF(X272=2,LOOKUP(K272,'Udvaskning nøgletal'!$C$12:$C$60,'Udvaskning nøgletal'!$F$12:$F$60)+Markniveau!Y272*Markniveau!S272/100,IF(X272=3,LOOKUP(K272,'Udvaskning nøgletal'!$C$12:$C$60,'Udvaskning nøgletal'!G282:G330)+Markniveau!Y272*Markniveau!S272/100,"")))</f>
        <v>125.85383557148924</v>
      </c>
      <c r="AA272" s="10">
        <f t="shared" si="46"/>
        <v>71.736686275748866</v>
      </c>
      <c r="AB272" s="10">
        <f t="shared" si="45"/>
        <v>94.390376678616946</v>
      </c>
      <c r="AC272" s="10">
        <f t="shared" si="47"/>
        <v>53.802514706811657</v>
      </c>
      <c r="AD272" s="10">
        <f>IF(AND(Q272&gt;0,Q272&lt;30,K272&lt;8),Markniveau!Z272*'Udvaskning nøgletal'!$I$12/100,IF(AND(Q272&gt;0,Q272&lt;30,K272=216),Markniveau!Z272*'Udvaskning nøgletal'!$I$34/100,Markniveau!Z272))</f>
        <v>88.097684900042481</v>
      </c>
      <c r="AE272" s="10">
        <f t="shared" si="43"/>
        <v>50.215680393024208</v>
      </c>
      <c r="AF272" s="10">
        <f t="shared" si="48"/>
        <v>66.073263675031853</v>
      </c>
      <c r="AG272" s="10">
        <f t="shared" si="44"/>
        <v>37.66176029476815</v>
      </c>
      <c r="AH272" s="10">
        <f>IF(AND(Q272&gt;0,Q272&lt;30,K272=216),'Udvaskning nøgletal'!$C$42,IF(AND(Q272&gt;0,Q272&lt;30,K272&gt;7,K272&lt;17),'Udvaskning nøgletal'!$C$61,IF(AND(Q272&gt;0,Q272&lt;30,K272&lt;7),'Udvaskning nøgletal'!$C$62,"")))</f>
        <v>260</v>
      </c>
      <c r="AI272" s="10">
        <f t="shared" si="50"/>
        <v>260</v>
      </c>
      <c r="AJ272" s="10">
        <f>IF($X272=1,LOOKUP(AI272,'Udvaskning nøgletal'!$C$12:$C$62,'Udvaskning nøgletal'!$E$12:$E$62)+Markniveau!$Y272*Markniveau!$S272/100,IF($X272=2,LOOKUP(AI272,'Udvaskning nøgletal'!$C$12:$C$62,'Udvaskning nøgletal'!$F$12:$F$62)+Markniveau!$Y272*Markniveau!$S272/100,IF($X272=3,LOOKUP(AI272,'Udvaskning nøgletal'!$C$12:$C$62,'Udvaskning nøgletal'!Q282:Q332)+Markniveau!$Y272*Markniveau!$S272/100,"")))</f>
        <v>33.723295792149436</v>
      </c>
      <c r="AK272" s="10">
        <f t="shared" si="49"/>
        <v>19.222278601525176</v>
      </c>
      <c r="AL272" s="10">
        <f t="shared" si="51"/>
        <v>25.292471844112079</v>
      </c>
      <c r="AM272" s="10">
        <f t="shared" si="52"/>
        <v>14.416708951143884</v>
      </c>
    </row>
    <row r="273" spans="1:39" x14ac:dyDescent="0.25">
      <c r="A273" s="15">
        <v>14551387</v>
      </c>
      <c r="B273" s="15">
        <v>18.850000000000001</v>
      </c>
      <c r="C273" s="15">
        <v>153171</v>
      </c>
      <c r="D273" s="15">
        <v>50210</v>
      </c>
      <c r="E273" s="15" t="s">
        <v>275</v>
      </c>
      <c r="F273" s="15">
        <v>2011</v>
      </c>
      <c r="G273" s="15">
        <v>20110425</v>
      </c>
      <c r="H273" s="15">
        <v>27653</v>
      </c>
      <c r="I273" s="15">
        <v>2.77</v>
      </c>
      <c r="J273" s="6" t="s">
        <v>97</v>
      </c>
      <c r="K273" s="15">
        <v>230</v>
      </c>
      <c r="L273" s="15" t="s">
        <v>120</v>
      </c>
      <c r="M273" s="15" t="s">
        <v>5</v>
      </c>
      <c r="N273" s="11" t="s">
        <v>1384</v>
      </c>
      <c r="O273" s="11" t="s">
        <v>28</v>
      </c>
      <c r="P273" s="11" t="s">
        <v>33</v>
      </c>
      <c r="Q273" s="15">
        <v>25</v>
      </c>
      <c r="R273" s="11" t="s">
        <v>7</v>
      </c>
      <c r="S273" s="10">
        <v>124.22226912929</v>
      </c>
      <c r="T273" s="15">
        <v>80</v>
      </c>
      <c r="U273" s="15">
        <v>0</v>
      </c>
      <c r="V273" s="15">
        <v>0</v>
      </c>
      <c r="W273" s="15">
        <v>0</v>
      </c>
      <c r="X273" s="15">
        <f>IF(O273='Udvaskning nøgletal'!$D$65,1,IF(O273='Udvaskning nøgletal'!$D$66,2,IF(O273='Udvaskning nøgletal'!$D$67,3,IF(O273='Udvaskning nøgletal'!$D$68,2,""))))</f>
        <v>1</v>
      </c>
      <c r="Y273" s="15">
        <f>LOOKUP(K273,'Udvaskning nøgletal'!$C$12:$C$60,'Udvaskning nøgletal'!$H$12:$H$60)</f>
        <v>0</v>
      </c>
      <c r="Z273" s="10">
        <f>IF(X273=1,LOOKUP(K273,'Udvaskning nøgletal'!$C$12:$C$60,'Udvaskning nøgletal'!$E$12:$E$60)+Markniveau!Y273*Markniveau!S273/100,IF(X273=2,LOOKUP(K273,'Udvaskning nøgletal'!$C$12:$C$60,'Udvaskning nøgletal'!$F$12:$F$60)+Markniveau!Y273*Markniveau!S273/100,IF(X273=3,LOOKUP(K273,'Udvaskning nøgletal'!$C$12:$C$60,'Udvaskning nøgletal'!G283:G331)+Markniveau!Y273*Markniveau!S273/100,"")))</f>
        <v>38.620385460262987</v>
      </c>
      <c r="AA273" s="10">
        <f t="shared" si="46"/>
        <v>106.97846772492848</v>
      </c>
      <c r="AB273" s="10">
        <f t="shared" si="45"/>
        <v>28.965289095197239</v>
      </c>
      <c r="AC273" s="10">
        <f t="shared" si="47"/>
        <v>80.233850793696348</v>
      </c>
      <c r="AD273" s="10">
        <f>IF(AND(Q273&gt;0,Q273&lt;30,K273&lt;8),Markniveau!Z273*'Udvaskning nøgletal'!$I$12/100,IF(AND(Q273&gt;0,Q273&lt;30,K273=216),Markniveau!Z273*'Udvaskning nøgletal'!$I$34/100,Markniveau!Z273))</f>
        <v>38.620385460262987</v>
      </c>
      <c r="AE273" s="10">
        <f t="shared" ref="AE273:AE336" si="53">AD273*I273</f>
        <v>106.97846772492848</v>
      </c>
      <c r="AF273" s="10">
        <f t="shared" si="48"/>
        <v>28.965289095197239</v>
      </c>
      <c r="AG273" s="10">
        <f t="shared" ref="AG273:AG336" si="54">IF($Q273&gt;0,(100-$Q273)*$AD273/100*I273,"")</f>
        <v>80.233850793696348</v>
      </c>
      <c r="AH273" s="10" t="str">
        <f>IF(AND(Q273&gt;0,Q273&lt;30,K273=216),'Udvaskning nøgletal'!$C$42,IF(AND(Q273&gt;0,Q273&lt;30,K273&gt;7,K273&lt;17),'Udvaskning nøgletal'!$C$61,IF(AND(Q273&gt;0,Q273&lt;30,K273&lt;7),'Udvaskning nøgletal'!$C$62,"")))</f>
        <v/>
      </c>
      <c r="AI273" s="10">
        <f t="shared" si="50"/>
        <v>230</v>
      </c>
      <c r="AJ273" s="10">
        <f>IF($X273=1,LOOKUP(AI273,'Udvaskning nøgletal'!$C$12:$C$62,'Udvaskning nøgletal'!$E$12:$E$62)+Markniveau!$Y273*Markniveau!$S273/100,IF($X273=2,LOOKUP(AI273,'Udvaskning nøgletal'!$C$12:$C$62,'Udvaskning nøgletal'!$F$12:$F$62)+Markniveau!$Y273*Markniveau!$S273/100,IF($X273=3,LOOKUP(AI273,'Udvaskning nøgletal'!$C$12:$C$62,'Udvaskning nøgletal'!Q283:Q333)+Markniveau!$Y273*Markniveau!$S273/100,"")))</f>
        <v>38.620385460262987</v>
      </c>
      <c r="AK273" s="10">
        <f t="shared" si="49"/>
        <v>106.97846772492848</v>
      </c>
      <c r="AL273" s="10">
        <f t="shared" si="51"/>
        <v>28.965289095197239</v>
      </c>
      <c r="AM273" s="10">
        <f t="shared" si="52"/>
        <v>80.233850793696348</v>
      </c>
    </row>
    <row r="274" spans="1:39" x14ac:dyDescent="0.25">
      <c r="A274" s="15">
        <v>14551387</v>
      </c>
      <c r="B274" s="15">
        <v>18.850000000000001</v>
      </c>
      <c r="C274" s="15">
        <v>153172</v>
      </c>
      <c r="D274" s="15">
        <v>50210</v>
      </c>
      <c r="E274" s="15" t="s">
        <v>275</v>
      </c>
      <c r="F274" s="15">
        <v>2011</v>
      </c>
      <c r="G274" s="15">
        <v>20110425</v>
      </c>
      <c r="H274" s="15">
        <v>77102</v>
      </c>
      <c r="I274" s="15">
        <v>7.71</v>
      </c>
      <c r="J274" s="6" t="s">
        <v>134</v>
      </c>
      <c r="K274" s="15">
        <v>1</v>
      </c>
      <c r="L274" s="15" t="s">
        <v>32</v>
      </c>
      <c r="M274" s="15" t="s">
        <v>5</v>
      </c>
      <c r="N274" s="11" t="s">
        <v>1384</v>
      </c>
      <c r="O274" s="11" t="s">
        <v>28</v>
      </c>
      <c r="P274" s="11" t="s">
        <v>33</v>
      </c>
      <c r="Q274" s="15">
        <v>25</v>
      </c>
      <c r="R274" s="11" t="s">
        <v>7</v>
      </c>
      <c r="S274" s="10">
        <v>124.22226912929</v>
      </c>
      <c r="T274" s="15">
        <v>80</v>
      </c>
      <c r="U274" s="15">
        <v>0</v>
      </c>
      <c r="V274" s="15">
        <v>0</v>
      </c>
      <c r="W274" s="15">
        <v>0</v>
      </c>
      <c r="X274" s="15">
        <f>IF(O274='Udvaskning nøgletal'!$D$65,1,IF(O274='Udvaskning nøgletal'!$D$66,2,IF(O274='Udvaskning nøgletal'!$D$67,3,IF(O274='Udvaskning nøgletal'!$D$68,2,""))))</f>
        <v>1</v>
      </c>
      <c r="Y274" s="15">
        <f>LOOKUP(K274,'Udvaskning nøgletal'!$C$12:$C$60,'Udvaskning nøgletal'!$H$12:$H$60)</f>
        <v>5</v>
      </c>
      <c r="Z274" s="10">
        <f>IF(X274=1,LOOKUP(K274,'Udvaskning nøgletal'!$C$12:$C$60,'Udvaskning nøgletal'!$E$12:$E$60)+Markniveau!Y274*Markniveau!S274/100,IF(X274=2,LOOKUP(K274,'Udvaskning nøgletal'!$C$12:$C$60,'Udvaskning nøgletal'!$F$12:$F$60)+Markniveau!Y274*Markniveau!S274/100,IF(X274=3,LOOKUP(K274,'Udvaskning nøgletal'!$C$12:$C$60,'Udvaskning nøgletal'!G284:G332)+Markniveau!Y274*Markniveau!S274/100,"")))</f>
        <v>70.871113456464499</v>
      </c>
      <c r="AA274" s="10">
        <f t="shared" si="46"/>
        <v>546.41628474934134</v>
      </c>
      <c r="AB274" s="10">
        <f t="shared" si="45"/>
        <v>53.153335092348371</v>
      </c>
      <c r="AC274" s="10">
        <f t="shared" si="47"/>
        <v>409.81221356200592</v>
      </c>
      <c r="AD274" s="10">
        <f>IF(AND(Q274&gt;0,Q274&lt;30,K274&lt;8),Markniveau!Z274*'Udvaskning nøgletal'!$I$12/100,IF(AND(Q274&gt;0,Q274&lt;30,K274=216),Markniveau!Z274*'Udvaskning nøgletal'!$I$34/100,Markniveau!Z274))</f>
        <v>35.43555672823225</v>
      </c>
      <c r="AE274" s="10">
        <f t="shared" si="53"/>
        <v>273.20814237467067</v>
      </c>
      <c r="AF274" s="10">
        <f t="shared" si="48"/>
        <v>26.576667546174185</v>
      </c>
      <c r="AG274" s="10">
        <f t="shared" si="54"/>
        <v>204.90610678100296</v>
      </c>
      <c r="AH274" s="10">
        <f>IF(AND(Q274&gt;0,Q274&lt;30,K274=216),'Udvaskning nøgletal'!$C$42,IF(AND(Q274&gt;0,Q274&lt;30,K274&gt;7,K274&lt;17),'Udvaskning nøgletal'!$C$61,IF(AND(Q274&gt;0,Q274&lt;30,K274&lt;7),'Udvaskning nøgletal'!$C$62,"")))</f>
        <v>1002</v>
      </c>
      <c r="AI274" s="10">
        <f t="shared" si="50"/>
        <v>1002</v>
      </c>
      <c r="AJ274" s="10">
        <f>IF($X274=1,LOOKUP(AI274,'Udvaskning nøgletal'!$C$12:$C$62,'Udvaskning nøgletal'!$E$12:$E$62)+Markniveau!$Y274*Markniveau!$S274/100,IF($X274=2,LOOKUP(AI274,'Udvaskning nøgletal'!$C$12:$C$62,'Udvaskning nøgletal'!$F$12:$F$62)+Markniveau!$Y274*Markniveau!$S274/100,IF($X274=3,LOOKUP(AI274,'Udvaskning nøgletal'!$C$12:$C$62,'Udvaskning nøgletal'!Q284:Q334)+Markniveau!$Y274*Markniveau!$S274/100,"")))</f>
        <v>36.711113456464503</v>
      </c>
      <c r="AK274" s="10">
        <f t="shared" si="49"/>
        <v>283.04268474934133</v>
      </c>
      <c r="AL274" s="10">
        <f t="shared" si="51"/>
        <v>27.533335092348374</v>
      </c>
      <c r="AM274" s="10">
        <f t="shared" si="52"/>
        <v>212.28201356200597</v>
      </c>
    </row>
    <row r="275" spans="1:39" x14ac:dyDescent="0.25">
      <c r="A275" s="15">
        <v>14551387</v>
      </c>
      <c r="B275" s="15">
        <v>18.850000000000001</v>
      </c>
      <c r="C275" s="15">
        <v>153173</v>
      </c>
      <c r="D275" s="15">
        <v>50210</v>
      </c>
      <c r="E275" s="15" t="s">
        <v>270</v>
      </c>
      <c r="F275" s="15">
        <v>2011</v>
      </c>
      <c r="G275" s="15">
        <v>20110425</v>
      </c>
      <c r="H275" s="15">
        <v>197863</v>
      </c>
      <c r="I275" s="15">
        <v>19.79</v>
      </c>
      <c r="J275" s="6" t="s">
        <v>136</v>
      </c>
      <c r="K275" s="15">
        <v>11</v>
      </c>
      <c r="L275" s="15" t="s">
        <v>102</v>
      </c>
      <c r="M275" s="15" t="s">
        <v>5</v>
      </c>
      <c r="N275" s="11" t="s">
        <v>1384</v>
      </c>
      <c r="O275" s="11" t="s">
        <v>28</v>
      </c>
      <c r="P275" s="11" t="s">
        <v>33</v>
      </c>
      <c r="Q275" s="15">
        <v>25</v>
      </c>
      <c r="R275" s="11" t="s">
        <v>7</v>
      </c>
      <c r="S275" s="10">
        <v>124.22226912929</v>
      </c>
      <c r="T275" s="15">
        <v>80</v>
      </c>
      <c r="U275" s="15">
        <v>0</v>
      </c>
      <c r="V275" s="15">
        <v>0</v>
      </c>
      <c r="W275" s="15">
        <v>0</v>
      </c>
      <c r="X275" s="15">
        <f>IF(O275='Udvaskning nøgletal'!$D$65,1,IF(O275='Udvaskning nøgletal'!$D$66,2,IF(O275='Udvaskning nøgletal'!$D$67,3,IF(O275='Udvaskning nøgletal'!$D$68,2,""))))</f>
        <v>1</v>
      </c>
      <c r="Y275" s="15">
        <f>LOOKUP(K275,'Udvaskning nøgletal'!$C$12:$C$60,'Udvaskning nøgletal'!$H$12:$H$60)</f>
        <v>5</v>
      </c>
      <c r="Z275" s="10">
        <f>IF(X275=1,LOOKUP(K275,'Udvaskning nøgletal'!$C$12:$C$60,'Udvaskning nøgletal'!$E$12:$E$60)+Markniveau!Y275*Markniveau!S275/100,IF(X275=2,LOOKUP(K275,'Udvaskning nøgletal'!$C$12:$C$60,'Udvaskning nøgletal'!$F$12:$F$60)+Markniveau!Y275*Markniveau!S275/100,IF(X275=3,LOOKUP(K275,'Udvaskning nøgletal'!$C$12:$C$60,'Udvaskning nøgletal'!G285:G333)+Markniveau!Y275*Markniveau!S275/100,"")))</f>
        <v>70.871113456464499</v>
      </c>
      <c r="AA275" s="10">
        <f t="shared" si="46"/>
        <v>1402.5393353034324</v>
      </c>
      <c r="AB275" s="10">
        <f t="shared" si="45"/>
        <v>53.153335092348371</v>
      </c>
      <c r="AC275" s="10">
        <f t="shared" si="47"/>
        <v>1051.9045014775743</v>
      </c>
      <c r="AD275" s="10">
        <f>IF(AND(Q275&gt;0,Q275&lt;30,K275&lt;8),Markniveau!Z275*'Udvaskning nøgletal'!$I$12/100,IF(AND(Q275&gt;0,Q275&lt;30,K275=216),Markniveau!Z275*'Udvaskning nøgletal'!$I$34/100,Markniveau!Z275))</f>
        <v>70.871113456464499</v>
      </c>
      <c r="AE275" s="10">
        <f t="shared" si="53"/>
        <v>1402.5393353034324</v>
      </c>
      <c r="AF275" s="10">
        <f t="shared" si="48"/>
        <v>53.153335092348371</v>
      </c>
      <c r="AG275" s="10">
        <f t="shared" si="54"/>
        <v>1051.9045014775743</v>
      </c>
      <c r="AH275" s="10">
        <f>IF(AND(Q275&gt;0,Q275&lt;30,K275=216),'Udvaskning nøgletal'!$C$42,IF(AND(Q275&gt;0,Q275&lt;30,K275&gt;7,K275&lt;17),'Udvaskning nøgletal'!$C$61,IF(AND(Q275&gt;0,Q275&lt;30,K275&lt;7),'Udvaskning nøgletal'!$C$62,"")))</f>
        <v>1001</v>
      </c>
      <c r="AI275" s="10">
        <f t="shared" si="50"/>
        <v>1001</v>
      </c>
      <c r="AJ275" s="10">
        <f>IF($X275=1,LOOKUP(AI275,'Udvaskning nøgletal'!$C$12:$C$62,'Udvaskning nøgletal'!$E$12:$E$62)+Markniveau!$Y275*Markniveau!$S275/100,IF($X275=2,LOOKUP(AI275,'Udvaskning nøgletal'!$C$12:$C$62,'Udvaskning nøgletal'!$F$12:$F$62)+Markniveau!$Y275*Markniveau!$S275/100,IF($X275=3,LOOKUP(AI275,'Udvaskning nøgletal'!$C$12:$C$62,'Udvaskning nøgletal'!Q285:Q335)+Markniveau!$Y275*Markniveau!$S275/100,"")))</f>
        <v>36.711113456464503</v>
      </c>
      <c r="AK275" s="10">
        <f t="shared" si="49"/>
        <v>726.51293530343253</v>
      </c>
      <c r="AL275" s="10">
        <f t="shared" si="51"/>
        <v>27.533335092348374</v>
      </c>
      <c r="AM275" s="10">
        <f t="shared" si="52"/>
        <v>544.88470147757425</v>
      </c>
    </row>
    <row r="276" spans="1:39" x14ac:dyDescent="0.25">
      <c r="A276" s="15">
        <v>14551387</v>
      </c>
      <c r="B276" s="15">
        <v>18.850000000000001</v>
      </c>
      <c r="C276" s="15">
        <v>153174</v>
      </c>
      <c r="D276" s="15">
        <v>50210</v>
      </c>
      <c r="E276" s="15" t="s">
        <v>276</v>
      </c>
      <c r="F276" s="15">
        <v>2011</v>
      </c>
      <c r="G276" s="15">
        <v>20110425</v>
      </c>
      <c r="H276" s="15">
        <v>26130</v>
      </c>
      <c r="I276" s="15">
        <v>2.61</v>
      </c>
      <c r="J276" s="6" t="s">
        <v>277</v>
      </c>
      <c r="K276" s="15">
        <v>252</v>
      </c>
      <c r="L276" s="15" t="s">
        <v>41</v>
      </c>
      <c r="M276" s="15" t="s">
        <v>4</v>
      </c>
      <c r="N276" s="11" t="s">
        <v>1390</v>
      </c>
      <c r="O276" s="11" t="s">
        <v>42</v>
      </c>
      <c r="P276" s="11" t="s">
        <v>33</v>
      </c>
      <c r="Q276" s="15">
        <v>25</v>
      </c>
      <c r="R276" s="11" t="s">
        <v>7</v>
      </c>
      <c r="S276" s="10">
        <v>124.22226912929</v>
      </c>
      <c r="T276" s="15">
        <v>80</v>
      </c>
      <c r="U276" s="15">
        <v>0</v>
      </c>
      <c r="V276" s="15">
        <v>0</v>
      </c>
      <c r="W276" s="15">
        <v>0</v>
      </c>
      <c r="X276" s="15">
        <f>IF(O276='Udvaskning nøgletal'!$D$65,1,IF(O276='Udvaskning nøgletal'!$D$66,2,IF(O276='Udvaskning nøgletal'!$D$67,3,IF(O276='Udvaskning nøgletal'!$D$68,2,""))))</f>
        <v>2</v>
      </c>
      <c r="Y276" s="15">
        <f>LOOKUP(K276,'Udvaskning nøgletal'!$C$12:$C$60,'Udvaskning nøgletal'!$H$12:$H$60)</f>
        <v>0</v>
      </c>
      <c r="Z276" s="10">
        <f>IF(X276=1,LOOKUP(K276,'Udvaskning nøgletal'!$C$12:$C$60,'Udvaskning nøgletal'!$E$12:$E$60)+Markniveau!Y276*Markniveau!S276/100,IF(X276=2,LOOKUP(K276,'Udvaskning nøgletal'!$C$12:$C$60,'Udvaskning nøgletal'!$F$12:$F$60)+Markniveau!Y276*Markniveau!S276/100,IF(X276=3,LOOKUP(K276,'Udvaskning nøgletal'!$C$12:$C$60,'Udvaskning nøgletal'!G286:G334)+Markniveau!Y276*Markniveau!S276/100,"")))</f>
        <v>21.2</v>
      </c>
      <c r="AA276" s="10">
        <f t="shared" si="46"/>
        <v>55.331999999999994</v>
      </c>
      <c r="AB276" s="10">
        <f t="shared" si="45"/>
        <v>15.9</v>
      </c>
      <c r="AC276" s="10">
        <f t="shared" si="47"/>
        <v>41.499000000000002</v>
      </c>
      <c r="AD276" s="10">
        <f>IF(AND(Q276&gt;0,Q276&lt;30,K276&lt;8),Markniveau!Z276*'Udvaskning nøgletal'!$I$12/100,IF(AND(Q276&gt;0,Q276&lt;30,K276=216),Markniveau!Z276*'Udvaskning nøgletal'!$I$34/100,Markniveau!Z276))</f>
        <v>21.2</v>
      </c>
      <c r="AE276" s="10">
        <f t="shared" si="53"/>
        <v>55.331999999999994</v>
      </c>
      <c r="AF276" s="10">
        <f t="shared" si="48"/>
        <v>15.9</v>
      </c>
      <c r="AG276" s="10">
        <f t="shared" si="54"/>
        <v>41.499000000000002</v>
      </c>
      <c r="AH276" s="10" t="str">
        <f>IF(AND(Q276&gt;0,Q276&lt;30,K276=216),'Udvaskning nøgletal'!$C$42,IF(AND(Q276&gt;0,Q276&lt;30,K276&gt;7,K276&lt;17),'Udvaskning nøgletal'!$C$61,IF(AND(Q276&gt;0,Q276&lt;30,K276&lt;7),'Udvaskning nøgletal'!$C$62,"")))</f>
        <v/>
      </c>
      <c r="AI276" s="10">
        <f t="shared" si="50"/>
        <v>252</v>
      </c>
      <c r="AJ276" s="10">
        <f>IF($X276=1,LOOKUP(AI276,'Udvaskning nøgletal'!$C$12:$C$62,'Udvaskning nøgletal'!$E$12:$E$62)+Markniveau!$Y276*Markniveau!$S276/100,IF($X276=2,LOOKUP(AI276,'Udvaskning nøgletal'!$C$12:$C$62,'Udvaskning nøgletal'!$F$12:$F$62)+Markniveau!$Y276*Markniveau!$S276/100,IF($X276=3,LOOKUP(AI276,'Udvaskning nøgletal'!$C$12:$C$62,'Udvaskning nøgletal'!Q286:Q336)+Markniveau!$Y276*Markniveau!$S276/100,"")))</f>
        <v>21.2</v>
      </c>
      <c r="AK276" s="10">
        <f t="shared" si="49"/>
        <v>55.331999999999994</v>
      </c>
      <c r="AL276" s="10">
        <f t="shared" si="51"/>
        <v>15.9</v>
      </c>
      <c r="AM276" s="10">
        <f t="shared" si="52"/>
        <v>41.499000000000002</v>
      </c>
    </row>
    <row r="277" spans="1:39" x14ac:dyDescent="0.25">
      <c r="A277" s="15">
        <v>14551387</v>
      </c>
      <c r="B277" s="15">
        <v>18.850000000000001</v>
      </c>
      <c r="C277" s="15">
        <v>153175</v>
      </c>
      <c r="D277" s="15">
        <v>50210</v>
      </c>
      <c r="E277" s="15" t="s">
        <v>278</v>
      </c>
      <c r="F277" s="15">
        <v>2011</v>
      </c>
      <c r="G277" s="15">
        <v>20110425</v>
      </c>
      <c r="H277" s="15">
        <v>24083</v>
      </c>
      <c r="I277" s="15">
        <v>2.41</v>
      </c>
      <c r="J277" s="6" t="s">
        <v>79</v>
      </c>
      <c r="K277" s="15">
        <v>252</v>
      </c>
      <c r="L277" s="15" t="s">
        <v>41</v>
      </c>
      <c r="M277" s="15" t="s">
        <v>4</v>
      </c>
      <c r="N277" s="11" t="s">
        <v>1390</v>
      </c>
      <c r="O277" s="11" t="s">
        <v>42</v>
      </c>
      <c r="P277" s="11" t="s">
        <v>33</v>
      </c>
      <c r="Q277" s="15">
        <v>1</v>
      </c>
      <c r="R277" s="11" t="s">
        <v>11</v>
      </c>
      <c r="S277" s="10">
        <v>124.22226912929</v>
      </c>
      <c r="T277" s="15">
        <v>80</v>
      </c>
      <c r="U277" s="15">
        <v>0</v>
      </c>
      <c r="V277" s="15">
        <v>0</v>
      </c>
      <c r="W277" s="15">
        <v>0</v>
      </c>
      <c r="X277" s="15">
        <f>IF(O277='Udvaskning nøgletal'!$D$65,1,IF(O277='Udvaskning nøgletal'!$D$66,2,IF(O277='Udvaskning nøgletal'!$D$67,3,IF(O277='Udvaskning nøgletal'!$D$68,2,""))))</f>
        <v>2</v>
      </c>
      <c r="Y277" s="15">
        <f>LOOKUP(K277,'Udvaskning nøgletal'!$C$12:$C$60,'Udvaskning nøgletal'!$H$12:$H$60)</f>
        <v>0</v>
      </c>
      <c r="Z277" s="10">
        <f>IF(X277=1,LOOKUP(K277,'Udvaskning nøgletal'!$C$12:$C$60,'Udvaskning nøgletal'!$E$12:$E$60)+Markniveau!Y277*Markniveau!S277/100,IF(X277=2,LOOKUP(K277,'Udvaskning nøgletal'!$C$12:$C$60,'Udvaskning nøgletal'!$F$12:$F$60)+Markniveau!Y277*Markniveau!S277/100,IF(X277=3,LOOKUP(K277,'Udvaskning nøgletal'!$C$12:$C$60,'Udvaskning nøgletal'!G287:G335)+Markniveau!Y277*Markniveau!S277/100,"")))</f>
        <v>21.2</v>
      </c>
      <c r="AA277" s="10">
        <f t="shared" si="46"/>
        <v>51.091999999999999</v>
      </c>
      <c r="AB277" s="10">
        <f t="shared" si="45"/>
        <v>20.987999999999996</v>
      </c>
      <c r="AC277" s="10">
        <f t="shared" si="47"/>
        <v>50.581079999999993</v>
      </c>
      <c r="AD277" s="10">
        <f>IF(AND(Q277&gt;0,Q277&lt;30,K277&lt;8),Markniveau!Z277*'Udvaskning nøgletal'!$I$12/100,IF(AND(Q277&gt;0,Q277&lt;30,K277=216),Markniveau!Z277*'Udvaskning nøgletal'!$I$34/100,Markniveau!Z277))</f>
        <v>21.2</v>
      </c>
      <c r="AE277" s="10">
        <f t="shared" si="53"/>
        <v>51.091999999999999</v>
      </c>
      <c r="AF277" s="10">
        <f t="shared" si="48"/>
        <v>20.987999999999996</v>
      </c>
      <c r="AG277" s="10">
        <f t="shared" si="54"/>
        <v>50.581079999999993</v>
      </c>
      <c r="AH277" s="10" t="str">
        <f>IF(AND(Q277&gt;0,Q277&lt;30,K277=216),'Udvaskning nøgletal'!$C$42,IF(AND(Q277&gt;0,Q277&lt;30,K277&gt;7,K277&lt;17),'Udvaskning nøgletal'!$C$61,IF(AND(Q277&gt;0,Q277&lt;30,K277&lt;7),'Udvaskning nøgletal'!$C$62,"")))</f>
        <v/>
      </c>
      <c r="AI277" s="10">
        <f t="shared" si="50"/>
        <v>252</v>
      </c>
      <c r="AJ277" s="10">
        <f>IF($X277=1,LOOKUP(AI277,'Udvaskning nøgletal'!$C$12:$C$62,'Udvaskning nøgletal'!$E$12:$E$62)+Markniveau!$Y277*Markniveau!$S277/100,IF($X277=2,LOOKUP(AI277,'Udvaskning nøgletal'!$C$12:$C$62,'Udvaskning nøgletal'!$F$12:$F$62)+Markniveau!$Y277*Markniveau!$S277/100,IF($X277=3,LOOKUP(AI277,'Udvaskning nøgletal'!$C$12:$C$62,'Udvaskning nøgletal'!Q287:Q337)+Markniveau!$Y277*Markniveau!$S277/100,"")))</f>
        <v>21.2</v>
      </c>
      <c r="AK277" s="10">
        <f t="shared" si="49"/>
        <v>51.091999999999999</v>
      </c>
      <c r="AL277" s="10">
        <f t="shared" si="51"/>
        <v>20.987999999999996</v>
      </c>
      <c r="AM277" s="10">
        <f t="shared" si="52"/>
        <v>50.581079999999993</v>
      </c>
    </row>
    <row r="278" spans="1:39" x14ac:dyDescent="0.25">
      <c r="A278" s="15">
        <v>14551387</v>
      </c>
      <c r="B278" s="15">
        <v>18.850000000000001</v>
      </c>
      <c r="C278" s="15">
        <v>153176</v>
      </c>
      <c r="D278" s="15">
        <v>50210</v>
      </c>
      <c r="E278" s="15" t="s">
        <v>279</v>
      </c>
      <c r="F278" s="15">
        <v>2011</v>
      </c>
      <c r="G278" s="15">
        <v>20110425</v>
      </c>
      <c r="H278" s="15">
        <v>2953</v>
      </c>
      <c r="I278" s="15">
        <v>0.3</v>
      </c>
      <c r="J278" s="6" t="s">
        <v>1399</v>
      </c>
      <c r="K278" s="15">
        <v>216</v>
      </c>
      <c r="L278" s="15" t="s">
        <v>116</v>
      </c>
      <c r="M278" s="15" t="s">
        <v>5</v>
      </c>
      <c r="N278" s="11" t="s">
        <v>1406</v>
      </c>
      <c r="O278" s="11" t="s">
        <v>46</v>
      </c>
      <c r="P278" s="11" t="s">
        <v>33</v>
      </c>
      <c r="Q278" s="15">
        <v>1</v>
      </c>
      <c r="R278" s="11" t="s">
        <v>11</v>
      </c>
      <c r="S278" s="10">
        <v>124.22226912929</v>
      </c>
      <c r="T278" s="15">
        <v>80</v>
      </c>
      <c r="U278" s="15">
        <v>0</v>
      </c>
      <c r="V278" s="15">
        <v>0</v>
      </c>
      <c r="W278" s="15">
        <v>0</v>
      </c>
      <c r="X278" s="15">
        <f>IF(O278='Udvaskning nøgletal'!$D$65,1,IF(O278='Udvaskning nøgletal'!$D$66,2,IF(O278='Udvaskning nøgletal'!$D$67,3,IF(O278='Udvaskning nøgletal'!$D$68,2,""))))</f>
        <v>2</v>
      </c>
      <c r="Y278" s="15">
        <f>LOOKUP(K278,'Udvaskning nøgletal'!$C$12:$C$60,'Udvaskning nøgletal'!$H$12:$H$60)</f>
        <v>0</v>
      </c>
      <c r="Z278" s="10">
        <f>IF(X278=1,LOOKUP(K278,'Udvaskning nøgletal'!$C$12:$C$60,'Udvaskning nøgletal'!$E$12:$E$60)+Markniveau!Y278*Markniveau!S278/100,IF(X278=2,LOOKUP(K278,'Udvaskning nøgletal'!$C$12:$C$60,'Udvaskning nøgletal'!$F$12:$F$60)+Markniveau!Y278*Markniveau!S278/100,IF(X278=3,LOOKUP(K278,'Udvaskning nøgletal'!$C$12:$C$60,'Udvaskning nøgletal'!G288:G336)+Markniveau!Y278*Markniveau!S278/100,"")))</f>
        <v>101.66744640811392</v>
      </c>
      <c r="AA278" s="10">
        <f t="shared" si="46"/>
        <v>30.500233922434173</v>
      </c>
      <c r="AB278" s="10">
        <f t="shared" si="45"/>
        <v>100.65077194403278</v>
      </c>
      <c r="AC278" s="10">
        <f t="shared" si="47"/>
        <v>30.195231583209832</v>
      </c>
      <c r="AD278" s="10">
        <f>IF(AND(Q278&gt;0,Q278&lt;30,K278&lt;8),Markniveau!Z278*'Udvaskning nøgletal'!$I$12/100,IF(AND(Q278&gt;0,Q278&lt;30,K278=216),Markniveau!Z278*'Udvaskning nøgletal'!$I$34/100,Markniveau!Z278))</f>
        <v>71.167212485679741</v>
      </c>
      <c r="AE278" s="10">
        <f t="shared" si="53"/>
        <v>21.35016374570392</v>
      </c>
      <c r="AF278" s="10">
        <f t="shared" si="48"/>
        <v>70.455540360822937</v>
      </c>
      <c r="AG278" s="10">
        <f t="shared" si="54"/>
        <v>21.136662108246881</v>
      </c>
      <c r="AH278" s="10">
        <f>IF(AND(Q278&gt;0,Q278&lt;30,K278=216),'Udvaskning nøgletal'!$C$42,IF(AND(Q278&gt;0,Q278&lt;30,K278&gt;7,K278&lt;17),'Udvaskning nøgletal'!$C$61,IF(AND(Q278&gt;0,Q278&lt;30,K278&lt;7),'Udvaskning nøgletal'!$C$62,"")))</f>
        <v>260</v>
      </c>
      <c r="AI278" s="10">
        <f t="shared" si="50"/>
        <v>260</v>
      </c>
      <c r="AJ278" s="10">
        <f>IF($X278=1,LOOKUP(AI278,'Udvaskning nøgletal'!$C$12:$C$62,'Udvaskning nøgletal'!$E$12:$E$62)+Markniveau!$Y278*Markniveau!$S278/100,IF($X278=2,LOOKUP(AI278,'Udvaskning nøgletal'!$C$12:$C$62,'Udvaskning nøgletal'!$F$12:$F$62)+Markniveau!$Y278*Markniveau!$S278/100,IF($X278=3,LOOKUP(AI278,'Udvaskning nøgletal'!$C$12:$C$62,'Udvaskning nøgletal'!Q288:Q338)+Markniveau!$Y278*Markniveau!$S278/100,"")))</f>
        <v>27.331185321443094</v>
      </c>
      <c r="AK278" s="10">
        <f t="shared" si="49"/>
        <v>8.1993555964329286</v>
      </c>
      <c r="AL278" s="10">
        <f t="shared" si="51"/>
        <v>27.057873468228664</v>
      </c>
      <c r="AM278" s="10">
        <f t="shared" si="52"/>
        <v>8.1173620404685991</v>
      </c>
    </row>
    <row r="279" spans="1:39" x14ac:dyDescent="0.25">
      <c r="A279" s="15">
        <v>14551387</v>
      </c>
      <c r="B279" s="15">
        <v>18.850000000000001</v>
      </c>
      <c r="C279" s="15">
        <v>211508</v>
      </c>
      <c r="D279" s="15">
        <v>50210</v>
      </c>
      <c r="E279" s="15" t="s">
        <v>280</v>
      </c>
      <c r="F279" s="15">
        <v>2011</v>
      </c>
      <c r="G279" s="15">
        <v>20110427</v>
      </c>
      <c r="H279" s="15">
        <v>71111</v>
      </c>
      <c r="I279" s="15">
        <v>7.11</v>
      </c>
      <c r="J279" s="6" t="s">
        <v>66</v>
      </c>
      <c r="K279" s="15">
        <v>1</v>
      </c>
      <c r="L279" s="15" t="s">
        <v>32</v>
      </c>
      <c r="M279" s="15" t="s">
        <v>5</v>
      </c>
      <c r="N279" s="11" t="s">
        <v>1384</v>
      </c>
      <c r="O279" s="11" t="s">
        <v>28</v>
      </c>
      <c r="P279" s="11" t="s">
        <v>33</v>
      </c>
      <c r="Q279" s="15">
        <v>25</v>
      </c>
      <c r="R279" s="11" t="s">
        <v>7</v>
      </c>
      <c r="S279" s="10">
        <v>124.22226912929</v>
      </c>
      <c r="T279" s="15">
        <v>80</v>
      </c>
      <c r="U279" s="15">
        <v>0</v>
      </c>
      <c r="V279" s="15">
        <v>0</v>
      </c>
      <c r="W279" s="15">
        <v>0</v>
      </c>
      <c r="X279" s="15">
        <f>IF(O279='Udvaskning nøgletal'!$D$65,1,IF(O279='Udvaskning nøgletal'!$D$66,2,IF(O279='Udvaskning nøgletal'!$D$67,3,IF(O279='Udvaskning nøgletal'!$D$68,2,""))))</f>
        <v>1</v>
      </c>
      <c r="Y279" s="15">
        <f>LOOKUP(K279,'Udvaskning nøgletal'!$C$12:$C$60,'Udvaskning nøgletal'!$H$12:$H$60)</f>
        <v>5</v>
      </c>
      <c r="Z279" s="10">
        <f>IF(X279=1,LOOKUP(K279,'Udvaskning nøgletal'!$C$12:$C$60,'Udvaskning nøgletal'!$E$12:$E$60)+Markniveau!Y279*Markniveau!S279/100,IF(X279=2,LOOKUP(K279,'Udvaskning nøgletal'!$C$12:$C$60,'Udvaskning nøgletal'!$F$12:$F$60)+Markniveau!Y279*Markniveau!S279/100,IF(X279=3,LOOKUP(K279,'Udvaskning nøgletal'!$C$12:$C$60,'Udvaskning nøgletal'!G289:G337)+Markniveau!Y279*Markniveau!S279/100,"")))</f>
        <v>70.871113456464499</v>
      </c>
      <c r="AA279" s="10">
        <f t="shared" si="46"/>
        <v>503.89361667546262</v>
      </c>
      <c r="AB279" s="10">
        <f t="shared" si="45"/>
        <v>53.153335092348371</v>
      </c>
      <c r="AC279" s="10">
        <f t="shared" si="47"/>
        <v>377.92021250659695</v>
      </c>
      <c r="AD279" s="10">
        <f>IF(AND(Q279&gt;0,Q279&lt;30,K279&lt;8),Markniveau!Z279*'Udvaskning nøgletal'!$I$12/100,IF(AND(Q279&gt;0,Q279&lt;30,K279=216),Markniveau!Z279*'Udvaskning nøgletal'!$I$34/100,Markniveau!Z279))</f>
        <v>35.43555672823225</v>
      </c>
      <c r="AE279" s="10">
        <f t="shared" si="53"/>
        <v>251.94680833773131</v>
      </c>
      <c r="AF279" s="10">
        <f t="shared" si="48"/>
        <v>26.576667546174185</v>
      </c>
      <c r="AG279" s="10">
        <f t="shared" si="54"/>
        <v>188.96010625329848</v>
      </c>
      <c r="AH279" s="10">
        <f>IF(AND(Q279&gt;0,Q279&lt;30,K279=216),'Udvaskning nøgletal'!$C$42,IF(AND(Q279&gt;0,Q279&lt;30,K279&gt;7,K279&lt;17),'Udvaskning nøgletal'!$C$61,IF(AND(Q279&gt;0,Q279&lt;30,K279&lt;7),'Udvaskning nøgletal'!$C$62,"")))</f>
        <v>1002</v>
      </c>
      <c r="AI279" s="10">
        <f t="shared" si="50"/>
        <v>1002</v>
      </c>
      <c r="AJ279" s="10">
        <f>IF($X279=1,LOOKUP(AI279,'Udvaskning nøgletal'!$C$12:$C$62,'Udvaskning nøgletal'!$E$12:$E$62)+Markniveau!$Y279*Markniveau!$S279/100,IF($X279=2,LOOKUP(AI279,'Udvaskning nøgletal'!$C$12:$C$62,'Udvaskning nøgletal'!$F$12:$F$62)+Markniveau!$Y279*Markniveau!$S279/100,IF($X279=3,LOOKUP(AI279,'Udvaskning nøgletal'!$C$12:$C$62,'Udvaskning nøgletal'!Q289:Q339)+Markniveau!$Y279*Markniveau!$S279/100,"")))</f>
        <v>36.711113456464503</v>
      </c>
      <c r="AK279" s="10">
        <f t="shared" si="49"/>
        <v>261.01601667546265</v>
      </c>
      <c r="AL279" s="10">
        <f t="shared" si="51"/>
        <v>27.533335092348374</v>
      </c>
      <c r="AM279" s="10">
        <f t="shared" si="52"/>
        <v>195.76201250659693</v>
      </c>
    </row>
    <row r="280" spans="1:39" x14ac:dyDescent="0.25">
      <c r="A280" s="15">
        <v>14551387</v>
      </c>
      <c r="B280" s="15">
        <v>18.850000000000001</v>
      </c>
      <c r="C280" s="15">
        <v>212279</v>
      </c>
      <c r="D280" s="15">
        <v>50210</v>
      </c>
      <c r="E280" s="15" t="s">
        <v>281</v>
      </c>
      <c r="F280" s="15">
        <v>2011</v>
      </c>
      <c r="G280" s="15">
        <v>20110425</v>
      </c>
      <c r="H280" s="15">
        <v>34517</v>
      </c>
      <c r="I280" s="15">
        <v>3.45</v>
      </c>
      <c r="J280" s="6" t="s">
        <v>282</v>
      </c>
      <c r="K280" s="15">
        <v>252</v>
      </c>
      <c r="L280" s="15" t="s">
        <v>41</v>
      </c>
      <c r="M280" s="15" t="s">
        <v>4</v>
      </c>
      <c r="N280" s="11" t="s">
        <v>1391</v>
      </c>
      <c r="O280" s="11" t="s">
        <v>46</v>
      </c>
      <c r="P280" s="11" t="s">
        <v>29</v>
      </c>
      <c r="Q280" s="15">
        <v>95</v>
      </c>
      <c r="R280" s="11" t="s">
        <v>3</v>
      </c>
      <c r="S280" s="10">
        <v>124.22226912929</v>
      </c>
      <c r="T280" s="15">
        <v>80</v>
      </c>
      <c r="U280" s="15">
        <v>0</v>
      </c>
      <c r="V280" s="15">
        <v>0</v>
      </c>
      <c r="W280" s="15">
        <v>0</v>
      </c>
      <c r="X280" s="15">
        <f>IF(O280='Udvaskning nøgletal'!$D$65,1,IF(O280='Udvaskning nøgletal'!$D$66,2,IF(O280='Udvaskning nøgletal'!$D$67,3,IF(O280='Udvaskning nøgletal'!$D$68,2,""))))</f>
        <v>2</v>
      </c>
      <c r="Y280" s="15">
        <f>LOOKUP(K280,'Udvaskning nøgletal'!$C$12:$C$60,'Udvaskning nøgletal'!$H$12:$H$60)</f>
        <v>0</v>
      </c>
      <c r="Z280" s="10">
        <f>IF(X280=1,LOOKUP(K280,'Udvaskning nøgletal'!$C$12:$C$60,'Udvaskning nøgletal'!$E$12:$E$60)+Markniveau!Y280*Markniveau!S280/100,IF(X280=2,LOOKUP(K280,'Udvaskning nøgletal'!$C$12:$C$60,'Udvaskning nøgletal'!$F$12:$F$60)+Markniveau!Y280*Markniveau!S280/100,IF(X280=3,LOOKUP(K280,'Udvaskning nøgletal'!$C$12:$C$60,'Udvaskning nøgletal'!G290:G338)+Markniveau!Y280*Markniveau!S280/100,"")))</f>
        <v>21.2</v>
      </c>
      <c r="AA280" s="10">
        <f t="shared" si="46"/>
        <v>73.14</v>
      </c>
      <c r="AB280" s="10">
        <f t="shared" si="45"/>
        <v>1.06</v>
      </c>
      <c r="AC280" s="10">
        <f t="shared" si="47"/>
        <v>3.6570000000000005</v>
      </c>
      <c r="AD280" s="10">
        <f>IF(AND(Q280&gt;0,Q280&lt;30,K280&lt;8),Markniveau!Z280*'Udvaskning nøgletal'!$I$12/100,IF(AND(Q280&gt;0,Q280&lt;30,K280=216),Markniveau!Z280*'Udvaskning nøgletal'!$I$34/100,Markniveau!Z280))</f>
        <v>21.2</v>
      </c>
      <c r="AE280" s="10">
        <f t="shared" si="53"/>
        <v>73.14</v>
      </c>
      <c r="AF280" s="10">
        <f t="shared" si="48"/>
        <v>1.06</v>
      </c>
      <c r="AG280" s="10">
        <f t="shared" si="54"/>
        <v>3.6570000000000005</v>
      </c>
      <c r="AH280" s="10" t="str">
        <f>IF(AND(Q280&gt;0,Q280&lt;30,K280=216),'Udvaskning nøgletal'!$C$42,IF(AND(Q280&gt;0,Q280&lt;30,K280&gt;7,K280&lt;17),'Udvaskning nøgletal'!$C$61,IF(AND(Q280&gt;0,Q280&lt;30,K280&lt;7),'Udvaskning nøgletal'!$C$62,"")))</f>
        <v/>
      </c>
      <c r="AI280" s="10">
        <f t="shared" si="50"/>
        <v>252</v>
      </c>
      <c r="AJ280" s="10">
        <f>IF($X280=1,LOOKUP(AI280,'Udvaskning nøgletal'!$C$12:$C$62,'Udvaskning nøgletal'!$E$12:$E$62)+Markniveau!$Y280*Markniveau!$S280/100,IF($X280=2,LOOKUP(AI280,'Udvaskning nøgletal'!$C$12:$C$62,'Udvaskning nøgletal'!$F$12:$F$62)+Markniveau!$Y280*Markniveau!$S280/100,IF($X280=3,LOOKUP(AI280,'Udvaskning nøgletal'!$C$12:$C$62,'Udvaskning nøgletal'!Q290:Q340)+Markniveau!$Y280*Markniveau!$S280/100,"")))</f>
        <v>21.2</v>
      </c>
      <c r="AK280" s="10">
        <f t="shared" si="49"/>
        <v>73.14</v>
      </c>
      <c r="AL280" s="10">
        <f t="shared" si="51"/>
        <v>1.06</v>
      </c>
      <c r="AM280" s="10">
        <f t="shared" si="52"/>
        <v>3.6570000000000005</v>
      </c>
    </row>
    <row r="281" spans="1:39" x14ac:dyDescent="0.25">
      <c r="A281" s="15">
        <v>14551387</v>
      </c>
      <c r="B281" s="15">
        <v>18.850000000000001</v>
      </c>
      <c r="C281" s="15">
        <v>214526</v>
      </c>
      <c r="D281" s="15">
        <v>50210</v>
      </c>
      <c r="E281" s="15" t="s">
        <v>283</v>
      </c>
      <c r="F281" s="15">
        <v>2011</v>
      </c>
      <c r="G281" s="15">
        <v>20110425</v>
      </c>
      <c r="H281" s="15">
        <v>10402</v>
      </c>
      <c r="I281" s="15">
        <v>1.04</v>
      </c>
      <c r="J281" s="6" t="s">
        <v>91</v>
      </c>
      <c r="K281" s="15">
        <v>254</v>
      </c>
      <c r="L281" s="15" t="s">
        <v>27</v>
      </c>
      <c r="M281" s="15" t="s">
        <v>4</v>
      </c>
      <c r="N281" s="11" t="s">
        <v>1406</v>
      </c>
      <c r="O281" s="11" t="s">
        <v>46</v>
      </c>
      <c r="P281" s="11" t="s">
        <v>33</v>
      </c>
      <c r="Q281" s="15">
        <v>0</v>
      </c>
      <c r="R281" s="11" t="s">
        <v>1386</v>
      </c>
      <c r="S281" s="10">
        <v>124.22226912929</v>
      </c>
      <c r="T281" s="15">
        <v>80</v>
      </c>
      <c r="U281" s="15">
        <v>0</v>
      </c>
      <c r="V281" s="15">
        <v>0</v>
      </c>
      <c r="W281" s="15">
        <v>0</v>
      </c>
      <c r="X281" s="15">
        <f>IF(O281='Udvaskning nøgletal'!$D$65,1,IF(O281='Udvaskning nøgletal'!$D$66,2,IF(O281='Udvaskning nøgletal'!$D$67,3,IF(O281='Udvaskning nøgletal'!$D$68,2,""))))</f>
        <v>2</v>
      </c>
      <c r="Y281" s="15">
        <f>LOOKUP(K281,'Udvaskning nøgletal'!$C$12:$C$60,'Udvaskning nøgletal'!$H$12:$H$60)</f>
        <v>0</v>
      </c>
      <c r="Z281" s="10">
        <f>IF(X281=1,LOOKUP(K281,'Udvaskning nøgletal'!$C$12:$C$60,'Udvaskning nøgletal'!$E$12:$E$60)+Markniveau!Y281*Markniveau!S281/100,IF(X281=2,LOOKUP(K281,'Udvaskning nøgletal'!$C$12:$C$60,'Udvaskning nøgletal'!$F$12:$F$60)+Markniveau!Y281*Markniveau!S281/100,IF(X281=3,LOOKUP(K281,'Udvaskning nøgletal'!$C$12:$C$60,'Udvaskning nøgletal'!G291:G339)+Markniveau!Y281*Markniveau!S281/100,"")))</f>
        <v>21.2</v>
      </c>
      <c r="AA281" s="10">
        <f t="shared" si="46"/>
        <v>22.047999999999998</v>
      </c>
      <c r="AB281" s="10" t="str">
        <f t="shared" si="45"/>
        <v/>
      </c>
      <c r="AC281" s="10" t="str">
        <f t="shared" si="47"/>
        <v/>
      </c>
      <c r="AD281" s="10">
        <f>IF(AND(Q281&gt;0,Q281&lt;30,K281&lt;8),Markniveau!Z281*'Udvaskning nøgletal'!$I$12/100,IF(AND(Q281&gt;0,Q281&lt;30,K281=216),Markniveau!Z281*'Udvaskning nøgletal'!$I$34/100,Markniveau!Z281))</f>
        <v>21.2</v>
      </c>
      <c r="AE281" s="10">
        <f t="shared" si="53"/>
        <v>22.047999999999998</v>
      </c>
      <c r="AF281" s="10" t="str">
        <f t="shared" si="48"/>
        <v/>
      </c>
      <c r="AG281" s="10" t="str">
        <f t="shared" si="54"/>
        <v/>
      </c>
      <c r="AH281" s="10" t="str">
        <f>IF(AND(Q281&gt;0,Q281&lt;30,K281=216),'Udvaskning nøgletal'!$C$42,IF(AND(Q281&gt;0,Q281&lt;30,K281&gt;7,K281&lt;17),'Udvaskning nøgletal'!$C$61,IF(AND(Q281&gt;0,Q281&lt;30,K281&lt;7),'Udvaskning nøgletal'!$C$62,"")))</f>
        <v/>
      </c>
      <c r="AI281" s="10">
        <f t="shared" si="50"/>
        <v>254</v>
      </c>
      <c r="AJ281" s="10">
        <f>IF($X281=1,LOOKUP(AI281,'Udvaskning nøgletal'!$C$12:$C$62,'Udvaskning nøgletal'!$E$12:$E$62)+Markniveau!$Y281*Markniveau!$S281/100,IF($X281=2,LOOKUP(AI281,'Udvaskning nøgletal'!$C$12:$C$62,'Udvaskning nøgletal'!$F$12:$F$62)+Markniveau!$Y281*Markniveau!$S281/100,IF($X281=3,LOOKUP(AI281,'Udvaskning nøgletal'!$C$12:$C$62,'Udvaskning nøgletal'!Q291:Q341)+Markniveau!$Y281*Markniveau!$S281/100,"")))</f>
        <v>21.2</v>
      </c>
      <c r="AK281" s="10">
        <f t="shared" si="49"/>
        <v>22.047999999999998</v>
      </c>
      <c r="AL281" s="10" t="str">
        <f t="shared" si="51"/>
        <v/>
      </c>
      <c r="AM281" s="10" t="str">
        <f t="shared" si="52"/>
        <v/>
      </c>
    </row>
    <row r="282" spans="1:39" x14ac:dyDescent="0.25">
      <c r="A282" s="15">
        <v>14551387</v>
      </c>
      <c r="B282" s="15">
        <v>18.850000000000001</v>
      </c>
      <c r="C282" s="15">
        <v>214527</v>
      </c>
      <c r="D282" s="15">
        <v>50210</v>
      </c>
      <c r="E282" s="15" t="s">
        <v>283</v>
      </c>
      <c r="F282" s="15">
        <v>2011</v>
      </c>
      <c r="G282" s="15">
        <v>20110425</v>
      </c>
      <c r="H282" s="15">
        <v>37852</v>
      </c>
      <c r="I282" s="15">
        <v>3.79</v>
      </c>
      <c r="J282" s="6" t="s">
        <v>55</v>
      </c>
      <c r="K282" s="15">
        <v>254</v>
      </c>
      <c r="L282" s="15" t="s">
        <v>27</v>
      </c>
      <c r="M282" s="15" t="s">
        <v>4</v>
      </c>
      <c r="N282" s="11" t="s">
        <v>1390</v>
      </c>
      <c r="O282" s="11" t="s">
        <v>42</v>
      </c>
      <c r="P282" s="11" t="s">
        <v>33</v>
      </c>
      <c r="Q282" s="15">
        <v>0</v>
      </c>
      <c r="R282" s="11" t="s">
        <v>1386</v>
      </c>
      <c r="S282" s="10">
        <v>124.22226912929</v>
      </c>
      <c r="T282" s="15">
        <v>80</v>
      </c>
      <c r="U282" s="15">
        <v>0</v>
      </c>
      <c r="V282" s="15">
        <v>0</v>
      </c>
      <c r="W282" s="15">
        <v>0</v>
      </c>
      <c r="X282" s="15">
        <f>IF(O282='Udvaskning nøgletal'!$D$65,1,IF(O282='Udvaskning nøgletal'!$D$66,2,IF(O282='Udvaskning nøgletal'!$D$67,3,IF(O282='Udvaskning nøgletal'!$D$68,2,""))))</f>
        <v>2</v>
      </c>
      <c r="Y282" s="15">
        <f>LOOKUP(K282,'Udvaskning nøgletal'!$C$12:$C$60,'Udvaskning nøgletal'!$H$12:$H$60)</f>
        <v>0</v>
      </c>
      <c r="Z282" s="10">
        <f>IF(X282=1,LOOKUP(K282,'Udvaskning nøgletal'!$C$12:$C$60,'Udvaskning nøgletal'!$E$12:$E$60)+Markniveau!Y282*Markniveau!S282/100,IF(X282=2,LOOKUP(K282,'Udvaskning nøgletal'!$C$12:$C$60,'Udvaskning nøgletal'!$F$12:$F$60)+Markniveau!Y282*Markniveau!S282/100,IF(X282=3,LOOKUP(K282,'Udvaskning nøgletal'!$C$12:$C$60,'Udvaskning nøgletal'!G292:G340)+Markniveau!Y282*Markniveau!S282/100,"")))</f>
        <v>21.2</v>
      </c>
      <c r="AA282" s="10">
        <f t="shared" si="46"/>
        <v>80.347999999999999</v>
      </c>
      <c r="AB282" s="10" t="str">
        <f t="shared" si="45"/>
        <v/>
      </c>
      <c r="AC282" s="10" t="str">
        <f t="shared" si="47"/>
        <v/>
      </c>
      <c r="AD282" s="10">
        <f>IF(AND(Q282&gt;0,Q282&lt;30,K282&lt;8),Markniveau!Z282*'Udvaskning nøgletal'!$I$12/100,IF(AND(Q282&gt;0,Q282&lt;30,K282=216),Markniveau!Z282*'Udvaskning nøgletal'!$I$34/100,Markniveau!Z282))</f>
        <v>21.2</v>
      </c>
      <c r="AE282" s="10">
        <f t="shared" si="53"/>
        <v>80.347999999999999</v>
      </c>
      <c r="AF282" s="10" t="str">
        <f t="shared" si="48"/>
        <v/>
      </c>
      <c r="AG282" s="10" t="str">
        <f t="shared" si="54"/>
        <v/>
      </c>
      <c r="AH282" s="10" t="str">
        <f>IF(AND(Q282&gt;0,Q282&lt;30,K282=216),'Udvaskning nøgletal'!$C$42,IF(AND(Q282&gt;0,Q282&lt;30,K282&gt;7,K282&lt;17),'Udvaskning nøgletal'!$C$61,IF(AND(Q282&gt;0,Q282&lt;30,K282&lt;7),'Udvaskning nøgletal'!$C$62,"")))</f>
        <v/>
      </c>
      <c r="AI282" s="10">
        <f t="shared" si="50"/>
        <v>254</v>
      </c>
      <c r="AJ282" s="10">
        <f>IF($X282=1,LOOKUP(AI282,'Udvaskning nøgletal'!$C$12:$C$62,'Udvaskning nøgletal'!$E$12:$E$62)+Markniveau!$Y282*Markniveau!$S282/100,IF($X282=2,LOOKUP(AI282,'Udvaskning nøgletal'!$C$12:$C$62,'Udvaskning nøgletal'!$F$12:$F$62)+Markniveau!$Y282*Markniveau!$S282/100,IF($X282=3,LOOKUP(AI282,'Udvaskning nøgletal'!$C$12:$C$62,'Udvaskning nøgletal'!Q292:Q342)+Markniveau!$Y282*Markniveau!$S282/100,"")))</f>
        <v>21.2</v>
      </c>
      <c r="AK282" s="10">
        <f t="shared" si="49"/>
        <v>80.347999999999999</v>
      </c>
      <c r="AL282" s="10" t="str">
        <f t="shared" si="51"/>
        <v/>
      </c>
      <c r="AM282" s="10" t="str">
        <f t="shared" si="52"/>
        <v/>
      </c>
    </row>
    <row r="283" spans="1:39" x14ac:dyDescent="0.25">
      <c r="A283" s="15">
        <v>14551387</v>
      </c>
      <c r="B283" s="15">
        <v>18.850000000000001</v>
      </c>
      <c r="C283" s="15">
        <v>214530</v>
      </c>
      <c r="D283" s="15">
        <v>50210</v>
      </c>
      <c r="E283" s="15" t="s">
        <v>284</v>
      </c>
      <c r="F283" s="15">
        <v>2011</v>
      </c>
      <c r="G283" s="15">
        <v>20110425</v>
      </c>
      <c r="H283" s="15">
        <v>9880</v>
      </c>
      <c r="I283" s="15">
        <v>0.99</v>
      </c>
      <c r="J283" s="6" t="s">
        <v>1474</v>
      </c>
      <c r="K283" s="15">
        <v>216</v>
      </c>
      <c r="L283" s="15" t="s">
        <v>116</v>
      </c>
      <c r="M283" s="15" t="s">
        <v>5</v>
      </c>
      <c r="N283" s="11" t="s">
        <v>1406</v>
      </c>
      <c r="O283" s="11" t="s">
        <v>46</v>
      </c>
      <c r="P283" s="11" t="s">
        <v>33</v>
      </c>
      <c r="Q283" s="15">
        <v>25</v>
      </c>
      <c r="R283" s="11" t="s">
        <v>7</v>
      </c>
      <c r="S283" s="10">
        <v>124.22226912929</v>
      </c>
      <c r="T283" s="15">
        <v>80</v>
      </c>
      <c r="U283" s="15">
        <v>0</v>
      </c>
      <c r="V283" s="15">
        <v>0</v>
      </c>
      <c r="W283" s="15">
        <v>0</v>
      </c>
      <c r="X283" s="15">
        <f>IF(O283='Udvaskning nøgletal'!$D$65,1,IF(O283='Udvaskning nøgletal'!$D$66,2,IF(O283='Udvaskning nøgletal'!$D$67,3,IF(O283='Udvaskning nøgletal'!$D$68,2,""))))</f>
        <v>2</v>
      </c>
      <c r="Y283" s="15">
        <f>LOOKUP(K283,'Udvaskning nøgletal'!$C$12:$C$60,'Udvaskning nøgletal'!$H$12:$H$60)</f>
        <v>0</v>
      </c>
      <c r="Z283" s="10">
        <f>IF(X283=1,LOOKUP(K283,'Udvaskning nøgletal'!$C$12:$C$60,'Udvaskning nøgletal'!$E$12:$E$60)+Markniveau!Y283*Markniveau!S283/100,IF(X283=2,LOOKUP(K283,'Udvaskning nøgletal'!$C$12:$C$60,'Udvaskning nøgletal'!$F$12:$F$60)+Markniveau!Y283*Markniveau!S283/100,IF(X283=3,LOOKUP(K283,'Udvaskning nøgletal'!$C$12:$C$60,'Udvaskning nøgletal'!G293:G341)+Markniveau!Y283*Markniveau!S283/100,"")))</f>
        <v>101.66744640811392</v>
      </c>
      <c r="AA283" s="10">
        <f t="shared" si="46"/>
        <v>100.65077194403278</v>
      </c>
      <c r="AB283" s="10">
        <f t="shared" si="45"/>
        <v>76.250584806085442</v>
      </c>
      <c r="AC283" s="10">
        <f t="shared" si="47"/>
        <v>75.488078958024587</v>
      </c>
      <c r="AD283" s="10">
        <f>IF(AND(Q283&gt;0,Q283&lt;30,K283&lt;8),Markniveau!Z283*'Udvaskning nøgletal'!$I$12/100,IF(AND(Q283&gt;0,Q283&lt;30,K283=216),Markniveau!Z283*'Udvaskning nøgletal'!$I$34/100,Markniveau!Z283))</f>
        <v>71.167212485679741</v>
      </c>
      <c r="AE283" s="10">
        <f t="shared" si="53"/>
        <v>70.455540360822937</v>
      </c>
      <c r="AF283" s="10">
        <f t="shared" si="48"/>
        <v>53.375409364259802</v>
      </c>
      <c r="AG283" s="10">
        <f t="shared" si="54"/>
        <v>52.841655270617203</v>
      </c>
      <c r="AH283" s="10">
        <f>IF(AND(Q283&gt;0,Q283&lt;30,K283=216),'Udvaskning nøgletal'!$C$42,IF(AND(Q283&gt;0,Q283&lt;30,K283&gt;7,K283&lt;17),'Udvaskning nøgletal'!$C$61,IF(AND(Q283&gt;0,Q283&lt;30,K283&lt;7),'Udvaskning nøgletal'!$C$62,"")))</f>
        <v>260</v>
      </c>
      <c r="AI283" s="10">
        <f t="shared" si="50"/>
        <v>260</v>
      </c>
      <c r="AJ283" s="10">
        <f>IF($X283=1,LOOKUP(AI283,'Udvaskning nøgletal'!$C$12:$C$62,'Udvaskning nøgletal'!$E$12:$E$62)+Markniveau!$Y283*Markniveau!$S283/100,IF($X283=2,LOOKUP(AI283,'Udvaskning nøgletal'!$C$12:$C$62,'Udvaskning nøgletal'!$F$12:$F$62)+Markniveau!$Y283*Markniveau!$S283/100,IF($X283=3,LOOKUP(AI283,'Udvaskning nøgletal'!$C$12:$C$62,'Udvaskning nøgletal'!Q293:Q343)+Markniveau!$Y283*Markniveau!$S283/100,"")))</f>
        <v>27.331185321443094</v>
      </c>
      <c r="AK283" s="10">
        <f t="shared" si="49"/>
        <v>27.057873468228664</v>
      </c>
      <c r="AL283" s="10">
        <f t="shared" si="51"/>
        <v>20.498388991082319</v>
      </c>
      <c r="AM283" s="10">
        <f t="shared" si="52"/>
        <v>20.293405101171494</v>
      </c>
    </row>
    <row r="284" spans="1:39" x14ac:dyDescent="0.25">
      <c r="A284" s="15">
        <v>14551387</v>
      </c>
      <c r="B284" s="15">
        <v>18.850000000000001</v>
      </c>
      <c r="C284" s="15">
        <v>219825</v>
      </c>
      <c r="D284" s="15">
        <v>50210</v>
      </c>
      <c r="E284" s="15" t="s">
        <v>285</v>
      </c>
      <c r="F284" s="15">
        <v>2011</v>
      </c>
      <c r="G284" s="15">
        <v>20110427</v>
      </c>
      <c r="H284" s="15">
        <v>7888</v>
      </c>
      <c r="I284" s="15">
        <v>0.79</v>
      </c>
      <c r="J284" s="6" t="s">
        <v>1475</v>
      </c>
      <c r="K284" s="15">
        <v>583</v>
      </c>
      <c r="L284" s="15" t="s">
        <v>154</v>
      </c>
      <c r="M284" s="15" t="s">
        <v>155</v>
      </c>
      <c r="N284" s="11" t="s">
        <v>1406</v>
      </c>
      <c r="O284" s="11" t="s">
        <v>46</v>
      </c>
      <c r="P284" s="11" t="s">
        <v>33</v>
      </c>
      <c r="Q284" s="15">
        <v>25</v>
      </c>
      <c r="R284" s="11" t="s">
        <v>7</v>
      </c>
      <c r="S284" s="10">
        <v>124.22226912929</v>
      </c>
      <c r="T284" s="15">
        <v>80</v>
      </c>
      <c r="U284" s="15">
        <v>0</v>
      </c>
      <c r="V284" s="15">
        <v>0</v>
      </c>
      <c r="W284" s="15">
        <v>0</v>
      </c>
      <c r="X284" s="15">
        <f>IF(O284='Udvaskning nøgletal'!$D$65,1,IF(O284='Udvaskning nøgletal'!$D$66,2,IF(O284='Udvaskning nøgletal'!$D$67,3,IF(O284='Udvaskning nøgletal'!$D$68,2,""))))</f>
        <v>2</v>
      </c>
      <c r="Y284" s="15">
        <f>LOOKUP(K284,'Udvaskning nøgletal'!$C$12:$C$60,'Udvaskning nøgletal'!$H$12:$H$60)</f>
        <v>0</v>
      </c>
      <c r="Z284" s="10">
        <f>IF(X284=1,LOOKUP(K284,'Udvaskning nøgletal'!$C$12:$C$60,'Udvaskning nøgletal'!$E$12:$E$60)+Markniveau!Y284*Markniveau!S284/100,IF(X284=2,LOOKUP(K284,'Udvaskning nøgletal'!$C$12:$C$60,'Udvaskning nøgletal'!$F$12:$F$60)+Markniveau!Y284*Markniveau!S284/100,IF(X284=3,LOOKUP(K284,'Udvaskning nøgletal'!$C$12:$C$60,'Udvaskning nøgletal'!G294:G342)+Markniveau!Y284*Markniveau!S284/100,"")))</f>
        <v>10</v>
      </c>
      <c r="AA284" s="10">
        <f t="shared" si="46"/>
        <v>7.9</v>
      </c>
      <c r="AB284" s="10">
        <f t="shared" si="45"/>
        <v>7.5</v>
      </c>
      <c r="AC284" s="10">
        <f t="shared" si="47"/>
        <v>5.9250000000000007</v>
      </c>
      <c r="AD284" s="10">
        <f>IF(AND(Q284&gt;0,Q284&lt;30,K284&lt;8),Markniveau!Z284*'Udvaskning nøgletal'!$I$12/100,IF(AND(Q284&gt;0,Q284&lt;30,K284=216),Markniveau!Z284*'Udvaskning nøgletal'!$I$34/100,Markniveau!Z284))</f>
        <v>10</v>
      </c>
      <c r="AE284" s="10">
        <f t="shared" si="53"/>
        <v>7.9</v>
      </c>
      <c r="AF284" s="10">
        <f t="shared" si="48"/>
        <v>7.5</v>
      </c>
      <c r="AG284" s="10">
        <f t="shared" si="54"/>
        <v>5.9250000000000007</v>
      </c>
      <c r="AH284" s="10" t="str">
        <f>IF(AND(Q284&gt;0,Q284&lt;30,K284=216),'Udvaskning nøgletal'!$C$42,IF(AND(Q284&gt;0,Q284&lt;30,K284&gt;7,K284&lt;17),'Udvaskning nøgletal'!$C$61,IF(AND(Q284&gt;0,Q284&lt;30,K284&lt;7),'Udvaskning nøgletal'!$C$62,"")))</f>
        <v/>
      </c>
      <c r="AI284" s="10">
        <f t="shared" si="50"/>
        <v>583</v>
      </c>
      <c r="AJ284" s="10">
        <f>IF($X284=1,LOOKUP(AI284,'Udvaskning nøgletal'!$C$12:$C$62,'Udvaskning nøgletal'!$E$12:$E$62)+Markniveau!$Y284*Markniveau!$S284/100,IF($X284=2,LOOKUP(AI284,'Udvaskning nøgletal'!$C$12:$C$62,'Udvaskning nøgletal'!$F$12:$F$62)+Markniveau!$Y284*Markniveau!$S284/100,IF($X284=3,LOOKUP(AI284,'Udvaskning nøgletal'!$C$12:$C$62,'Udvaskning nøgletal'!Q294:Q344)+Markniveau!$Y284*Markniveau!$S284/100,"")))</f>
        <v>10</v>
      </c>
      <c r="AK284" s="10">
        <f t="shared" si="49"/>
        <v>7.9</v>
      </c>
      <c r="AL284" s="10">
        <f t="shared" si="51"/>
        <v>7.5</v>
      </c>
      <c r="AM284" s="10">
        <f t="shared" si="52"/>
        <v>5.9250000000000007</v>
      </c>
    </row>
    <row r="285" spans="1:39" x14ac:dyDescent="0.25">
      <c r="A285" s="15">
        <v>14551387</v>
      </c>
      <c r="B285" s="15">
        <v>18.850000000000001</v>
      </c>
      <c r="C285" s="15">
        <v>219920</v>
      </c>
      <c r="D285" s="15">
        <v>50210</v>
      </c>
      <c r="E285" s="15" t="s">
        <v>281</v>
      </c>
      <c r="F285" s="15">
        <v>2011</v>
      </c>
      <c r="G285" s="15">
        <v>20110425</v>
      </c>
      <c r="H285" s="15">
        <v>20873</v>
      </c>
      <c r="I285" s="15">
        <v>2.09</v>
      </c>
      <c r="J285" s="6" t="s">
        <v>186</v>
      </c>
      <c r="K285" s="15">
        <v>254</v>
      </c>
      <c r="L285" s="15" t="s">
        <v>27</v>
      </c>
      <c r="M285" s="15" t="s">
        <v>4</v>
      </c>
      <c r="N285" s="11" t="s">
        <v>1391</v>
      </c>
      <c r="O285" s="11" t="s">
        <v>46</v>
      </c>
      <c r="P285" s="11" t="s">
        <v>29</v>
      </c>
      <c r="Q285" s="15">
        <v>95</v>
      </c>
      <c r="R285" s="11" t="s">
        <v>3</v>
      </c>
      <c r="S285" s="10">
        <v>124.22226912929</v>
      </c>
      <c r="T285" s="15">
        <v>80</v>
      </c>
      <c r="U285" s="15">
        <v>0</v>
      </c>
      <c r="V285" s="15">
        <v>0</v>
      </c>
      <c r="W285" s="15">
        <v>0</v>
      </c>
      <c r="X285" s="15">
        <f>IF(O285='Udvaskning nøgletal'!$D$65,1,IF(O285='Udvaskning nøgletal'!$D$66,2,IF(O285='Udvaskning nøgletal'!$D$67,3,IF(O285='Udvaskning nøgletal'!$D$68,2,""))))</f>
        <v>2</v>
      </c>
      <c r="Y285" s="15">
        <f>LOOKUP(K285,'Udvaskning nøgletal'!$C$12:$C$60,'Udvaskning nøgletal'!$H$12:$H$60)</f>
        <v>0</v>
      </c>
      <c r="Z285" s="10">
        <f>IF(X285=1,LOOKUP(K285,'Udvaskning nøgletal'!$C$12:$C$60,'Udvaskning nøgletal'!$E$12:$E$60)+Markniveau!Y285*Markniveau!S285/100,IF(X285=2,LOOKUP(K285,'Udvaskning nøgletal'!$C$12:$C$60,'Udvaskning nøgletal'!$F$12:$F$60)+Markniveau!Y285*Markniveau!S285/100,IF(X285=3,LOOKUP(K285,'Udvaskning nøgletal'!$C$12:$C$60,'Udvaskning nøgletal'!G295:G343)+Markniveau!Y285*Markniveau!S285/100,"")))</f>
        <v>21.2</v>
      </c>
      <c r="AA285" s="10">
        <f t="shared" si="46"/>
        <v>44.307999999999993</v>
      </c>
      <c r="AB285" s="10">
        <f t="shared" si="45"/>
        <v>1.06</v>
      </c>
      <c r="AC285" s="10">
        <f t="shared" si="47"/>
        <v>2.2153999999999998</v>
      </c>
      <c r="AD285" s="10">
        <f>IF(AND(Q285&gt;0,Q285&lt;30,K285&lt;8),Markniveau!Z285*'Udvaskning nøgletal'!$I$12/100,IF(AND(Q285&gt;0,Q285&lt;30,K285=216),Markniveau!Z285*'Udvaskning nøgletal'!$I$34/100,Markniveau!Z285))</f>
        <v>21.2</v>
      </c>
      <c r="AE285" s="10">
        <f t="shared" si="53"/>
        <v>44.307999999999993</v>
      </c>
      <c r="AF285" s="10">
        <f t="shared" si="48"/>
        <v>1.06</v>
      </c>
      <c r="AG285" s="10">
        <f t="shared" si="54"/>
        <v>2.2153999999999998</v>
      </c>
      <c r="AH285" s="10" t="str">
        <f>IF(AND(Q285&gt;0,Q285&lt;30,K285=216),'Udvaskning nøgletal'!$C$42,IF(AND(Q285&gt;0,Q285&lt;30,K285&gt;7,K285&lt;17),'Udvaskning nøgletal'!$C$61,IF(AND(Q285&gt;0,Q285&lt;30,K285&lt;7),'Udvaskning nøgletal'!$C$62,"")))</f>
        <v/>
      </c>
      <c r="AI285" s="10">
        <f t="shared" si="50"/>
        <v>254</v>
      </c>
      <c r="AJ285" s="10">
        <f>IF($X285=1,LOOKUP(AI285,'Udvaskning nøgletal'!$C$12:$C$62,'Udvaskning nøgletal'!$E$12:$E$62)+Markniveau!$Y285*Markniveau!$S285/100,IF($X285=2,LOOKUP(AI285,'Udvaskning nøgletal'!$C$12:$C$62,'Udvaskning nøgletal'!$F$12:$F$62)+Markniveau!$Y285*Markniveau!$S285/100,IF($X285=3,LOOKUP(AI285,'Udvaskning nøgletal'!$C$12:$C$62,'Udvaskning nøgletal'!Q295:Q345)+Markniveau!$Y285*Markniveau!$S285/100,"")))</f>
        <v>21.2</v>
      </c>
      <c r="AK285" s="10">
        <f t="shared" si="49"/>
        <v>44.307999999999993</v>
      </c>
      <c r="AL285" s="10">
        <f t="shared" si="51"/>
        <v>1.06</v>
      </c>
      <c r="AM285" s="10">
        <f t="shared" si="52"/>
        <v>2.2153999999999998</v>
      </c>
    </row>
    <row r="286" spans="1:39" x14ac:dyDescent="0.25">
      <c r="A286" s="15">
        <v>14551387</v>
      </c>
      <c r="B286" s="15">
        <v>18.850000000000001</v>
      </c>
      <c r="C286" s="15">
        <v>227947</v>
      </c>
      <c r="D286" s="15">
        <v>50210</v>
      </c>
      <c r="E286" s="15" t="s">
        <v>285</v>
      </c>
      <c r="F286" s="15">
        <v>2011</v>
      </c>
      <c r="G286" s="15">
        <v>20110427</v>
      </c>
      <c r="H286" s="15">
        <v>37493</v>
      </c>
      <c r="I286" s="15">
        <v>3.75</v>
      </c>
      <c r="J286" s="6" t="s">
        <v>1476</v>
      </c>
      <c r="K286" s="15">
        <v>260</v>
      </c>
      <c r="L286" s="15" t="s">
        <v>45</v>
      </c>
      <c r="M286" s="15" t="s">
        <v>5</v>
      </c>
      <c r="N286" s="11" t="s">
        <v>1406</v>
      </c>
      <c r="O286" s="11" t="s">
        <v>46</v>
      </c>
      <c r="P286" s="11" t="s">
        <v>29</v>
      </c>
      <c r="Q286" s="15">
        <v>25</v>
      </c>
      <c r="R286" s="11" t="s">
        <v>7</v>
      </c>
      <c r="S286" s="10">
        <v>124.22226912929</v>
      </c>
      <c r="T286" s="15">
        <v>80</v>
      </c>
      <c r="U286" s="15">
        <v>0</v>
      </c>
      <c r="V286" s="15">
        <v>0</v>
      </c>
      <c r="W286" s="15">
        <v>0</v>
      </c>
      <c r="X286" s="15">
        <f>IF(O286='Udvaskning nøgletal'!$D$65,1,IF(O286='Udvaskning nøgletal'!$D$66,2,IF(O286='Udvaskning nøgletal'!$D$67,3,IF(O286='Udvaskning nøgletal'!$D$68,2,""))))</f>
        <v>2</v>
      </c>
      <c r="Y286" s="15">
        <f>LOOKUP(K286,'Udvaskning nøgletal'!$C$12:$C$60,'Udvaskning nøgletal'!$H$12:$H$60)</f>
        <v>0</v>
      </c>
      <c r="Z286" s="10">
        <f>IF(X286=1,LOOKUP(K286,'Udvaskning nøgletal'!$C$12:$C$60,'Udvaskning nøgletal'!$E$12:$E$60)+Markniveau!Y286*Markniveau!S286/100,IF(X286=2,LOOKUP(K286,'Udvaskning nøgletal'!$C$12:$C$60,'Udvaskning nøgletal'!$F$12:$F$60)+Markniveau!Y286*Markniveau!S286/100,IF(X286=3,LOOKUP(K286,'Udvaskning nøgletal'!$C$12:$C$60,'Udvaskning nøgletal'!G296:G344)+Markniveau!Y286*Markniveau!S286/100,"")))</f>
        <v>27.331185321443094</v>
      </c>
      <c r="AA286" s="10">
        <f t="shared" si="46"/>
        <v>102.4919449554116</v>
      </c>
      <c r="AB286" s="10">
        <f t="shared" si="45"/>
        <v>20.498388991082319</v>
      </c>
      <c r="AC286" s="10">
        <f t="shared" si="47"/>
        <v>76.868958716558694</v>
      </c>
      <c r="AD286" s="10">
        <f>IF(AND(Q286&gt;0,Q286&lt;30,K286&lt;8),Markniveau!Z286*'Udvaskning nøgletal'!$I$12/100,IF(AND(Q286&gt;0,Q286&lt;30,K286=216),Markniveau!Z286*'Udvaskning nøgletal'!$I$34/100,Markniveau!Z286))</f>
        <v>27.331185321443094</v>
      </c>
      <c r="AE286" s="10">
        <f t="shared" si="53"/>
        <v>102.4919449554116</v>
      </c>
      <c r="AF286" s="10">
        <f t="shared" si="48"/>
        <v>20.498388991082319</v>
      </c>
      <c r="AG286" s="10">
        <f t="shared" si="54"/>
        <v>76.868958716558694</v>
      </c>
      <c r="AH286" s="10" t="str">
        <f>IF(AND(Q286&gt;0,Q286&lt;30,K286=216),'Udvaskning nøgletal'!$C$42,IF(AND(Q286&gt;0,Q286&lt;30,K286&gt;7,K286&lt;17),'Udvaskning nøgletal'!$C$61,IF(AND(Q286&gt;0,Q286&lt;30,K286&lt;7),'Udvaskning nøgletal'!$C$62,"")))</f>
        <v/>
      </c>
      <c r="AI286" s="10">
        <f t="shared" si="50"/>
        <v>260</v>
      </c>
      <c r="AJ286" s="10">
        <f>IF($X286=1,LOOKUP(AI286,'Udvaskning nøgletal'!$C$12:$C$62,'Udvaskning nøgletal'!$E$12:$E$62)+Markniveau!$Y286*Markniveau!$S286/100,IF($X286=2,LOOKUP(AI286,'Udvaskning nøgletal'!$C$12:$C$62,'Udvaskning nøgletal'!$F$12:$F$62)+Markniveau!$Y286*Markniveau!$S286/100,IF($X286=3,LOOKUP(AI286,'Udvaskning nøgletal'!$C$12:$C$62,'Udvaskning nøgletal'!Q296:Q346)+Markniveau!$Y286*Markniveau!$S286/100,"")))</f>
        <v>27.331185321443094</v>
      </c>
      <c r="AK286" s="10">
        <f t="shared" si="49"/>
        <v>102.4919449554116</v>
      </c>
      <c r="AL286" s="10">
        <f t="shared" si="51"/>
        <v>20.498388991082319</v>
      </c>
      <c r="AM286" s="10">
        <f t="shared" si="52"/>
        <v>76.868958716558694</v>
      </c>
    </row>
    <row r="287" spans="1:39" x14ac:dyDescent="0.25">
      <c r="A287" s="15">
        <v>14551387</v>
      </c>
      <c r="B287" s="15">
        <v>18.850000000000001</v>
      </c>
      <c r="C287" s="15">
        <v>228829</v>
      </c>
      <c r="D287" s="15">
        <v>50210</v>
      </c>
      <c r="E287" s="15" t="s">
        <v>285</v>
      </c>
      <c r="F287" s="15">
        <v>2011</v>
      </c>
      <c r="G287" s="15">
        <v>20110427</v>
      </c>
      <c r="H287" s="15">
        <v>60194</v>
      </c>
      <c r="I287" s="15">
        <v>6.02</v>
      </c>
      <c r="J287" s="6" t="s">
        <v>75</v>
      </c>
      <c r="K287" s="15">
        <v>1</v>
      </c>
      <c r="L287" s="15" t="s">
        <v>32</v>
      </c>
      <c r="M287" s="15" t="s">
        <v>5</v>
      </c>
      <c r="N287" s="11" t="s">
        <v>1406</v>
      </c>
      <c r="O287" s="11" t="s">
        <v>46</v>
      </c>
      <c r="P287" s="11" t="s">
        <v>29</v>
      </c>
      <c r="Q287" s="15">
        <v>25</v>
      </c>
      <c r="R287" s="11" t="s">
        <v>7</v>
      </c>
      <c r="S287" s="10">
        <v>124.22226912929</v>
      </c>
      <c r="T287" s="15">
        <v>80</v>
      </c>
      <c r="U287" s="15">
        <v>0</v>
      </c>
      <c r="V287" s="15">
        <v>0</v>
      </c>
      <c r="W287" s="15">
        <v>0</v>
      </c>
      <c r="X287" s="15">
        <f>IF(O287='Udvaskning nøgletal'!$D$65,1,IF(O287='Udvaskning nøgletal'!$D$66,2,IF(O287='Udvaskning nøgletal'!$D$67,3,IF(O287='Udvaskning nøgletal'!$D$68,2,""))))</f>
        <v>2</v>
      </c>
      <c r="Y287" s="15">
        <f>LOOKUP(K287,'Udvaskning nøgletal'!$C$12:$C$60,'Udvaskning nøgletal'!$H$12:$H$60)</f>
        <v>5</v>
      </c>
      <c r="Z287" s="10">
        <f>IF(X287=1,LOOKUP(K287,'Udvaskning nøgletal'!$C$12:$C$60,'Udvaskning nøgletal'!$E$12:$E$60)+Markniveau!Y287*Markniveau!S287/100,IF(X287=2,LOOKUP(K287,'Udvaskning nøgletal'!$C$12:$C$60,'Udvaskning nøgletal'!$F$12:$F$60)+Markniveau!Y287*Markniveau!S287/100,IF(X287=3,LOOKUP(K287,'Udvaskning nøgletal'!$C$12:$C$60,'Udvaskning nøgletal'!G297:G345)+Markniveau!Y287*Markniveau!S287/100,"")))</f>
        <v>57.091113456464505</v>
      </c>
      <c r="AA287" s="10">
        <f t="shared" si="46"/>
        <v>343.68850300791632</v>
      </c>
      <c r="AB287" s="10">
        <f t="shared" si="45"/>
        <v>42.818335092348377</v>
      </c>
      <c r="AC287" s="10">
        <f t="shared" si="47"/>
        <v>257.76637725593719</v>
      </c>
      <c r="AD287" s="10">
        <f>IF(AND(Q287&gt;0,Q287&lt;30,K287&lt;8),Markniveau!Z287*'Udvaskning nøgletal'!$I$12/100,IF(AND(Q287&gt;0,Q287&lt;30,K287=216),Markniveau!Z287*'Udvaskning nøgletal'!$I$34/100,Markniveau!Z287))</f>
        <v>28.545556728232256</v>
      </c>
      <c r="AE287" s="10">
        <f t="shared" si="53"/>
        <v>171.84425150395816</v>
      </c>
      <c r="AF287" s="10">
        <f t="shared" si="48"/>
        <v>21.409167546174196</v>
      </c>
      <c r="AG287" s="10">
        <f t="shared" si="54"/>
        <v>128.88318862796865</v>
      </c>
      <c r="AH287" s="10">
        <f>IF(AND(Q287&gt;0,Q287&lt;30,K287=216),'Udvaskning nøgletal'!$C$42,IF(AND(Q287&gt;0,Q287&lt;30,K287&gt;7,K287&lt;17),'Udvaskning nøgletal'!$C$61,IF(AND(Q287&gt;0,Q287&lt;30,K287&lt;7),'Udvaskning nøgletal'!$C$62,"")))</f>
        <v>1002</v>
      </c>
      <c r="AI287" s="10">
        <f t="shared" si="50"/>
        <v>1002</v>
      </c>
      <c r="AJ287" s="10">
        <f>IF($X287=1,LOOKUP(AI287,'Udvaskning nøgletal'!$C$12:$C$62,'Udvaskning nøgletal'!$E$12:$E$62)+Markniveau!$Y287*Markniveau!$S287/100,IF($X287=2,LOOKUP(AI287,'Udvaskning nøgletal'!$C$12:$C$62,'Udvaskning nøgletal'!$F$12:$F$62)+Markniveau!$Y287*Markniveau!$S287/100,IF($X287=3,LOOKUP(AI287,'Udvaskning nøgletal'!$C$12:$C$62,'Udvaskning nøgletal'!Q297:Q347)+Markniveau!$Y287*Markniveau!$S287/100,"")))</f>
        <v>30.211113456464499</v>
      </c>
      <c r="AK287" s="10">
        <f t="shared" si="49"/>
        <v>181.87090300791627</v>
      </c>
      <c r="AL287" s="10">
        <f t="shared" si="51"/>
        <v>22.658335092348374</v>
      </c>
      <c r="AM287" s="10">
        <f t="shared" si="52"/>
        <v>136.40317725593721</v>
      </c>
    </row>
    <row r="288" spans="1:39" x14ac:dyDescent="0.25">
      <c r="A288" s="15">
        <v>14551387</v>
      </c>
      <c r="B288" s="15">
        <v>18.850000000000001</v>
      </c>
      <c r="C288" s="15">
        <v>379446</v>
      </c>
      <c r="D288" s="15">
        <v>50210</v>
      </c>
      <c r="E288" s="15" t="s">
        <v>285</v>
      </c>
      <c r="F288" s="15">
        <v>2011</v>
      </c>
      <c r="G288" s="15">
        <v>20110427</v>
      </c>
      <c r="H288" s="15">
        <v>5575</v>
      </c>
      <c r="I288" s="15">
        <v>0.56000000000000005</v>
      </c>
      <c r="J288" s="6" t="s">
        <v>1477</v>
      </c>
      <c r="K288" s="15">
        <v>583</v>
      </c>
      <c r="L288" s="15" t="s">
        <v>154</v>
      </c>
      <c r="M288" s="15" t="s">
        <v>155</v>
      </c>
      <c r="N288" s="11" t="s">
        <v>1406</v>
      </c>
      <c r="O288" s="11" t="s">
        <v>46</v>
      </c>
      <c r="P288" s="11" t="s">
        <v>33</v>
      </c>
      <c r="Q288" s="15">
        <v>25</v>
      </c>
      <c r="R288" s="11" t="s">
        <v>7</v>
      </c>
      <c r="S288" s="10">
        <v>124.22226912929</v>
      </c>
      <c r="T288" s="15">
        <v>80</v>
      </c>
      <c r="U288" s="15">
        <v>0</v>
      </c>
      <c r="V288" s="15">
        <v>0</v>
      </c>
      <c r="W288" s="15">
        <v>0</v>
      </c>
      <c r="X288" s="15">
        <f>IF(O288='Udvaskning nøgletal'!$D$65,1,IF(O288='Udvaskning nøgletal'!$D$66,2,IF(O288='Udvaskning nøgletal'!$D$67,3,IF(O288='Udvaskning nøgletal'!$D$68,2,""))))</f>
        <v>2</v>
      </c>
      <c r="Y288" s="15">
        <f>LOOKUP(K288,'Udvaskning nøgletal'!$C$12:$C$60,'Udvaskning nøgletal'!$H$12:$H$60)</f>
        <v>0</v>
      </c>
      <c r="Z288" s="10">
        <f>IF(X288=1,LOOKUP(K288,'Udvaskning nøgletal'!$C$12:$C$60,'Udvaskning nøgletal'!$E$12:$E$60)+Markniveau!Y288*Markniveau!S288/100,IF(X288=2,LOOKUP(K288,'Udvaskning nøgletal'!$C$12:$C$60,'Udvaskning nøgletal'!$F$12:$F$60)+Markniveau!Y288*Markniveau!S288/100,IF(X288=3,LOOKUP(K288,'Udvaskning nøgletal'!$C$12:$C$60,'Udvaskning nøgletal'!G298:G346)+Markniveau!Y288*Markniveau!S288/100,"")))</f>
        <v>10</v>
      </c>
      <c r="AA288" s="10">
        <f t="shared" si="46"/>
        <v>5.6000000000000005</v>
      </c>
      <c r="AB288" s="10">
        <f t="shared" si="45"/>
        <v>7.5</v>
      </c>
      <c r="AC288" s="10">
        <f t="shared" si="47"/>
        <v>4.2</v>
      </c>
      <c r="AD288" s="10">
        <f>IF(AND(Q288&gt;0,Q288&lt;30,K288&lt;8),Markniveau!Z288*'Udvaskning nøgletal'!$I$12/100,IF(AND(Q288&gt;0,Q288&lt;30,K288=216),Markniveau!Z288*'Udvaskning nøgletal'!$I$34/100,Markniveau!Z288))</f>
        <v>10</v>
      </c>
      <c r="AE288" s="10">
        <f t="shared" si="53"/>
        <v>5.6000000000000005</v>
      </c>
      <c r="AF288" s="10">
        <f t="shared" si="48"/>
        <v>7.5</v>
      </c>
      <c r="AG288" s="10">
        <f t="shared" si="54"/>
        <v>4.2</v>
      </c>
      <c r="AH288" s="10" t="str">
        <f>IF(AND(Q288&gt;0,Q288&lt;30,K288=216),'Udvaskning nøgletal'!$C$42,IF(AND(Q288&gt;0,Q288&lt;30,K288&gt;7,K288&lt;17),'Udvaskning nøgletal'!$C$61,IF(AND(Q288&gt;0,Q288&lt;30,K288&lt;7),'Udvaskning nøgletal'!$C$62,"")))</f>
        <v/>
      </c>
      <c r="AI288" s="10">
        <f t="shared" si="50"/>
        <v>583</v>
      </c>
      <c r="AJ288" s="10">
        <f>IF($X288=1,LOOKUP(AI288,'Udvaskning nøgletal'!$C$12:$C$62,'Udvaskning nøgletal'!$E$12:$E$62)+Markniveau!$Y288*Markniveau!$S288/100,IF($X288=2,LOOKUP(AI288,'Udvaskning nøgletal'!$C$12:$C$62,'Udvaskning nøgletal'!$F$12:$F$62)+Markniveau!$Y288*Markniveau!$S288/100,IF($X288=3,LOOKUP(AI288,'Udvaskning nøgletal'!$C$12:$C$62,'Udvaskning nøgletal'!Q298:Q348)+Markniveau!$Y288*Markniveau!$S288/100,"")))</f>
        <v>10</v>
      </c>
      <c r="AK288" s="10">
        <f t="shared" si="49"/>
        <v>5.6000000000000005</v>
      </c>
      <c r="AL288" s="10">
        <f t="shared" si="51"/>
        <v>7.5</v>
      </c>
      <c r="AM288" s="10">
        <f t="shared" si="52"/>
        <v>4.2</v>
      </c>
    </row>
    <row r="289" spans="1:39" x14ac:dyDescent="0.25">
      <c r="A289" s="15">
        <v>14551387</v>
      </c>
      <c r="B289" s="15">
        <v>18.850000000000001</v>
      </c>
      <c r="C289" s="15">
        <v>583830</v>
      </c>
      <c r="D289" s="15">
        <v>50210</v>
      </c>
      <c r="E289" s="15" t="s">
        <v>285</v>
      </c>
      <c r="F289" s="15">
        <v>2011</v>
      </c>
      <c r="G289" s="15">
        <v>20110427</v>
      </c>
      <c r="H289" s="15">
        <v>33707</v>
      </c>
      <c r="I289" s="15">
        <v>3.37</v>
      </c>
      <c r="J289" s="6" t="s">
        <v>286</v>
      </c>
      <c r="K289" s="15">
        <v>1</v>
      </c>
      <c r="L289" s="15" t="s">
        <v>32</v>
      </c>
      <c r="M289" s="15" t="s">
        <v>5</v>
      </c>
      <c r="N289" s="11" t="s">
        <v>1406</v>
      </c>
      <c r="O289" s="11" t="s">
        <v>46</v>
      </c>
      <c r="P289" s="11" t="s">
        <v>33</v>
      </c>
      <c r="Q289" s="15">
        <v>25</v>
      </c>
      <c r="R289" s="11" t="s">
        <v>7</v>
      </c>
      <c r="S289" s="10">
        <v>124.22226912929</v>
      </c>
      <c r="T289" s="15">
        <v>80</v>
      </c>
      <c r="U289" s="15">
        <v>0</v>
      </c>
      <c r="V289" s="15">
        <v>0</v>
      </c>
      <c r="W289" s="15">
        <v>0</v>
      </c>
      <c r="X289" s="15">
        <f>IF(O289='Udvaskning nøgletal'!$D$65,1,IF(O289='Udvaskning nøgletal'!$D$66,2,IF(O289='Udvaskning nøgletal'!$D$67,3,IF(O289='Udvaskning nøgletal'!$D$68,2,""))))</f>
        <v>2</v>
      </c>
      <c r="Y289" s="15">
        <f>LOOKUP(K289,'Udvaskning nøgletal'!$C$12:$C$60,'Udvaskning nøgletal'!$H$12:$H$60)</f>
        <v>5</v>
      </c>
      <c r="Z289" s="10">
        <f>IF(X289=1,LOOKUP(K289,'Udvaskning nøgletal'!$C$12:$C$60,'Udvaskning nøgletal'!$E$12:$E$60)+Markniveau!Y289*Markniveau!S289/100,IF(X289=2,LOOKUP(K289,'Udvaskning nøgletal'!$C$12:$C$60,'Udvaskning nøgletal'!$F$12:$F$60)+Markniveau!Y289*Markniveau!S289/100,IF(X289=3,LOOKUP(K289,'Udvaskning nøgletal'!$C$12:$C$60,'Udvaskning nøgletal'!G299:G347)+Markniveau!Y289*Markniveau!S289/100,"")))</f>
        <v>57.091113456464505</v>
      </c>
      <c r="AA289" s="10">
        <f t="shared" si="46"/>
        <v>192.3970523482854</v>
      </c>
      <c r="AB289" s="10">
        <f t="shared" si="45"/>
        <v>42.818335092348377</v>
      </c>
      <c r="AC289" s="10">
        <f t="shared" si="47"/>
        <v>144.29778926121404</v>
      </c>
      <c r="AD289" s="10">
        <f>IF(AND(Q289&gt;0,Q289&lt;30,K289&lt;8),Markniveau!Z289*'Udvaskning nøgletal'!$I$12/100,IF(AND(Q289&gt;0,Q289&lt;30,K289=216),Markniveau!Z289*'Udvaskning nøgletal'!$I$34/100,Markniveau!Z289))</f>
        <v>28.545556728232256</v>
      </c>
      <c r="AE289" s="10">
        <f t="shared" si="53"/>
        <v>96.1985261741427</v>
      </c>
      <c r="AF289" s="10">
        <f t="shared" si="48"/>
        <v>21.409167546174196</v>
      </c>
      <c r="AG289" s="10">
        <f t="shared" si="54"/>
        <v>72.148894630607046</v>
      </c>
      <c r="AH289" s="10">
        <f>IF(AND(Q289&gt;0,Q289&lt;30,K289=216),'Udvaskning nøgletal'!$C$42,IF(AND(Q289&gt;0,Q289&lt;30,K289&gt;7,K289&lt;17),'Udvaskning nøgletal'!$C$61,IF(AND(Q289&gt;0,Q289&lt;30,K289&lt;7),'Udvaskning nøgletal'!$C$62,"")))</f>
        <v>1002</v>
      </c>
      <c r="AI289" s="10">
        <f t="shared" si="50"/>
        <v>1002</v>
      </c>
      <c r="AJ289" s="10">
        <f>IF($X289=1,LOOKUP(AI289,'Udvaskning nøgletal'!$C$12:$C$62,'Udvaskning nøgletal'!$E$12:$E$62)+Markniveau!$Y289*Markniveau!$S289/100,IF($X289=2,LOOKUP(AI289,'Udvaskning nøgletal'!$C$12:$C$62,'Udvaskning nøgletal'!$F$12:$F$62)+Markniveau!$Y289*Markniveau!$S289/100,IF($X289=3,LOOKUP(AI289,'Udvaskning nøgletal'!$C$12:$C$62,'Udvaskning nøgletal'!Q299:Q349)+Markniveau!$Y289*Markniveau!$S289/100,"")))</f>
        <v>30.211113456464499</v>
      </c>
      <c r="AK289" s="10">
        <f t="shared" si="49"/>
        <v>101.81145234828537</v>
      </c>
      <c r="AL289" s="10">
        <f t="shared" si="51"/>
        <v>22.658335092348374</v>
      </c>
      <c r="AM289" s="10">
        <f t="shared" si="52"/>
        <v>76.358589261214021</v>
      </c>
    </row>
    <row r="290" spans="1:39" x14ac:dyDescent="0.25">
      <c r="A290" s="15">
        <v>14551387</v>
      </c>
      <c r="B290" s="15">
        <v>18.850000000000001</v>
      </c>
      <c r="C290" s="15">
        <v>151609</v>
      </c>
      <c r="D290" s="15">
        <v>50210</v>
      </c>
      <c r="E290" s="15" t="s">
        <v>287</v>
      </c>
      <c r="F290" s="15">
        <v>2011</v>
      </c>
      <c r="G290" s="15">
        <v>20110425</v>
      </c>
      <c r="H290" s="15">
        <v>42486</v>
      </c>
      <c r="I290" s="15">
        <v>4.25</v>
      </c>
      <c r="J290" s="6" t="s">
        <v>63</v>
      </c>
      <c r="K290" s="15">
        <v>11</v>
      </c>
      <c r="L290" s="15" t="s">
        <v>102</v>
      </c>
      <c r="M290" s="15" t="s">
        <v>5</v>
      </c>
      <c r="N290" s="11" t="s">
        <v>1384</v>
      </c>
      <c r="O290" s="11" t="s">
        <v>28</v>
      </c>
      <c r="P290" s="11" t="s">
        <v>33</v>
      </c>
      <c r="Q290" s="15">
        <v>1</v>
      </c>
      <c r="R290" s="11" t="s">
        <v>11</v>
      </c>
      <c r="S290" s="10">
        <v>124.22226912929</v>
      </c>
      <c r="T290" s="15">
        <v>80</v>
      </c>
      <c r="U290" s="15">
        <v>0</v>
      </c>
      <c r="V290" s="15">
        <v>0</v>
      </c>
      <c r="W290" s="15">
        <v>0</v>
      </c>
      <c r="X290" s="15">
        <f>IF(O290='Udvaskning nøgletal'!$D$65,1,IF(O290='Udvaskning nøgletal'!$D$66,2,IF(O290='Udvaskning nøgletal'!$D$67,3,IF(O290='Udvaskning nøgletal'!$D$68,2,""))))</f>
        <v>1</v>
      </c>
      <c r="Y290" s="15">
        <f>LOOKUP(K290,'Udvaskning nøgletal'!$C$12:$C$60,'Udvaskning nøgletal'!$H$12:$H$60)</f>
        <v>5</v>
      </c>
      <c r="Z290" s="10">
        <f>IF(X290=1,LOOKUP(K290,'Udvaskning nøgletal'!$C$12:$C$60,'Udvaskning nøgletal'!$E$12:$E$60)+Markniveau!Y290*Markniveau!S290/100,IF(X290=2,LOOKUP(K290,'Udvaskning nøgletal'!$C$12:$C$60,'Udvaskning nøgletal'!$F$12:$F$60)+Markniveau!Y290*Markniveau!S290/100,IF(X290=3,LOOKUP(K290,'Udvaskning nøgletal'!$C$12:$C$60,'Udvaskning nøgletal'!G300:G348)+Markniveau!Y290*Markniveau!S290/100,"")))</f>
        <v>70.871113456464499</v>
      </c>
      <c r="AA290" s="10">
        <f t="shared" si="46"/>
        <v>301.2022321899741</v>
      </c>
      <c r="AB290" s="10">
        <f t="shared" si="45"/>
        <v>70.162402321899847</v>
      </c>
      <c r="AC290" s="10">
        <f t="shared" si="47"/>
        <v>298.19020986807436</v>
      </c>
      <c r="AD290" s="10">
        <f>IF(AND(Q290&gt;0,Q290&lt;30,K290&lt;8),Markniveau!Z290*'Udvaskning nøgletal'!$I$12/100,IF(AND(Q290&gt;0,Q290&lt;30,K290=216),Markniveau!Z290*'Udvaskning nøgletal'!$I$34/100,Markniveau!Z290))</f>
        <v>70.871113456464499</v>
      </c>
      <c r="AE290" s="10">
        <f t="shared" si="53"/>
        <v>301.2022321899741</v>
      </c>
      <c r="AF290" s="10">
        <f t="shared" si="48"/>
        <v>70.162402321899847</v>
      </c>
      <c r="AG290" s="10">
        <f t="shared" si="54"/>
        <v>298.19020986807436</v>
      </c>
      <c r="AH290" s="10">
        <f>IF(AND(Q290&gt;0,Q290&lt;30,K290=216),'Udvaskning nøgletal'!$C$42,IF(AND(Q290&gt;0,Q290&lt;30,K290&gt;7,K290&lt;17),'Udvaskning nøgletal'!$C$61,IF(AND(Q290&gt;0,Q290&lt;30,K290&lt;7),'Udvaskning nøgletal'!$C$62,"")))</f>
        <v>1001</v>
      </c>
      <c r="AI290" s="10">
        <f t="shared" si="50"/>
        <v>1001</v>
      </c>
      <c r="AJ290" s="10">
        <f>IF($X290=1,LOOKUP(AI290,'Udvaskning nøgletal'!$C$12:$C$62,'Udvaskning nøgletal'!$E$12:$E$62)+Markniveau!$Y290*Markniveau!$S290/100,IF($X290=2,LOOKUP(AI290,'Udvaskning nøgletal'!$C$12:$C$62,'Udvaskning nøgletal'!$F$12:$F$62)+Markniveau!$Y290*Markniveau!$S290/100,IF($X290=3,LOOKUP(AI290,'Udvaskning nøgletal'!$C$12:$C$62,'Udvaskning nøgletal'!Q300:Q350)+Markniveau!$Y290*Markniveau!$S290/100,"")))</f>
        <v>36.711113456464503</v>
      </c>
      <c r="AK290" s="10">
        <f t="shared" si="49"/>
        <v>156.02223218997415</v>
      </c>
      <c r="AL290" s="10">
        <f t="shared" si="51"/>
        <v>36.344002321899858</v>
      </c>
      <c r="AM290" s="10">
        <f t="shared" si="52"/>
        <v>154.4620098680744</v>
      </c>
    </row>
    <row r="291" spans="1:39" x14ac:dyDescent="0.25">
      <c r="A291" s="15">
        <v>14551387</v>
      </c>
      <c r="B291" s="15">
        <v>18.850000000000001</v>
      </c>
      <c r="C291" s="15">
        <v>152121</v>
      </c>
      <c r="D291" s="15">
        <v>50210</v>
      </c>
      <c r="E291" s="15" t="s">
        <v>264</v>
      </c>
      <c r="F291" s="15">
        <v>2011</v>
      </c>
      <c r="G291" s="15">
        <v>20110425</v>
      </c>
      <c r="H291" s="15">
        <v>7555</v>
      </c>
      <c r="I291" s="15">
        <v>0.76</v>
      </c>
      <c r="J291" s="6" t="s">
        <v>288</v>
      </c>
      <c r="K291" s="15">
        <v>260</v>
      </c>
      <c r="L291" s="15" t="s">
        <v>45</v>
      </c>
      <c r="M291" s="15" t="s">
        <v>5</v>
      </c>
      <c r="N291" s="11" t="s">
        <v>1406</v>
      </c>
      <c r="O291" s="11" t="s">
        <v>46</v>
      </c>
      <c r="P291" s="11" t="s">
        <v>29</v>
      </c>
      <c r="Q291" s="15">
        <v>25</v>
      </c>
      <c r="R291" s="11" t="s">
        <v>7</v>
      </c>
      <c r="S291" s="10">
        <v>124.22226912929</v>
      </c>
      <c r="T291" s="15">
        <v>80</v>
      </c>
      <c r="U291" s="15">
        <v>0</v>
      </c>
      <c r="V291" s="15">
        <v>0</v>
      </c>
      <c r="W291" s="15">
        <v>0</v>
      </c>
      <c r="X291" s="15">
        <f>IF(O291='Udvaskning nøgletal'!$D$65,1,IF(O291='Udvaskning nøgletal'!$D$66,2,IF(O291='Udvaskning nøgletal'!$D$67,3,IF(O291='Udvaskning nøgletal'!$D$68,2,""))))</f>
        <v>2</v>
      </c>
      <c r="Y291" s="15">
        <f>LOOKUP(K291,'Udvaskning nøgletal'!$C$12:$C$60,'Udvaskning nøgletal'!$H$12:$H$60)</f>
        <v>0</v>
      </c>
      <c r="Z291" s="10">
        <f>IF(X291=1,LOOKUP(K291,'Udvaskning nøgletal'!$C$12:$C$60,'Udvaskning nøgletal'!$E$12:$E$60)+Markniveau!Y291*Markniveau!S291/100,IF(X291=2,LOOKUP(K291,'Udvaskning nøgletal'!$C$12:$C$60,'Udvaskning nøgletal'!$F$12:$F$60)+Markniveau!Y291*Markniveau!S291/100,IF(X291=3,LOOKUP(K291,'Udvaskning nøgletal'!$C$12:$C$60,'Udvaskning nøgletal'!G301:G349)+Markniveau!Y291*Markniveau!S291/100,"")))</f>
        <v>27.331185321443094</v>
      </c>
      <c r="AA291" s="10">
        <f t="shared" si="46"/>
        <v>20.771700844296753</v>
      </c>
      <c r="AB291" s="10">
        <f t="shared" si="45"/>
        <v>20.498388991082319</v>
      </c>
      <c r="AC291" s="10">
        <f t="shared" si="47"/>
        <v>15.578775633222563</v>
      </c>
      <c r="AD291" s="10">
        <f>IF(AND(Q291&gt;0,Q291&lt;30,K291&lt;8),Markniveau!Z291*'Udvaskning nøgletal'!$I$12/100,IF(AND(Q291&gt;0,Q291&lt;30,K291=216),Markniveau!Z291*'Udvaskning nøgletal'!$I$34/100,Markniveau!Z291))</f>
        <v>27.331185321443094</v>
      </c>
      <c r="AE291" s="10">
        <f t="shared" si="53"/>
        <v>20.771700844296753</v>
      </c>
      <c r="AF291" s="10">
        <f t="shared" si="48"/>
        <v>20.498388991082319</v>
      </c>
      <c r="AG291" s="10">
        <f t="shared" si="54"/>
        <v>15.578775633222563</v>
      </c>
      <c r="AH291" s="10" t="str">
        <f>IF(AND(Q291&gt;0,Q291&lt;30,K291=216),'Udvaskning nøgletal'!$C$42,IF(AND(Q291&gt;0,Q291&lt;30,K291&gt;7,K291&lt;17),'Udvaskning nøgletal'!$C$61,IF(AND(Q291&gt;0,Q291&lt;30,K291&lt;7),'Udvaskning nøgletal'!$C$62,"")))</f>
        <v/>
      </c>
      <c r="AI291" s="10">
        <f t="shared" si="50"/>
        <v>260</v>
      </c>
      <c r="AJ291" s="10">
        <f>IF($X291=1,LOOKUP(AI291,'Udvaskning nøgletal'!$C$12:$C$62,'Udvaskning nøgletal'!$E$12:$E$62)+Markniveau!$Y291*Markniveau!$S291/100,IF($X291=2,LOOKUP(AI291,'Udvaskning nøgletal'!$C$12:$C$62,'Udvaskning nøgletal'!$F$12:$F$62)+Markniveau!$Y291*Markniveau!$S291/100,IF($X291=3,LOOKUP(AI291,'Udvaskning nøgletal'!$C$12:$C$62,'Udvaskning nøgletal'!Q301:Q351)+Markniveau!$Y291*Markniveau!$S291/100,"")))</f>
        <v>27.331185321443094</v>
      </c>
      <c r="AK291" s="10">
        <f t="shared" si="49"/>
        <v>20.771700844296753</v>
      </c>
      <c r="AL291" s="10">
        <f t="shared" si="51"/>
        <v>20.498388991082319</v>
      </c>
      <c r="AM291" s="10">
        <f t="shared" si="52"/>
        <v>15.578775633222563</v>
      </c>
    </row>
    <row r="292" spans="1:39" x14ac:dyDescent="0.25">
      <c r="A292" s="15">
        <v>14571094</v>
      </c>
      <c r="B292" s="15">
        <v>115.72</v>
      </c>
      <c r="C292" s="15">
        <v>26738</v>
      </c>
      <c r="D292" s="15">
        <v>66068</v>
      </c>
      <c r="E292" s="15" t="s">
        <v>289</v>
      </c>
      <c r="F292" s="15">
        <v>2011</v>
      </c>
      <c r="G292" s="15">
        <v>20110410</v>
      </c>
      <c r="H292" s="15">
        <v>82498</v>
      </c>
      <c r="I292" s="15">
        <v>8.25</v>
      </c>
      <c r="J292" s="6" t="s">
        <v>194</v>
      </c>
      <c r="K292" s="15">
        <v>2</v>
      </c>
      <c r="L292" s="15" t="s">
        <v>49</v>
      </c>
      <c r="M292" s="15" t="s">
        <v>5</v>
      </c>
      <c r="N292" s="11" t="s">
        <v>1384</v>
      </c>
      <c r="O292" s="11" t="s">
        <v>28</v>
      </c>
      <c r="P292" s="11" t="s">
        <v>29</v>
      </c>
      <c r="Q292" s="15">
        <v>95</v>
      </c>
      <c r="R292" s="11" t="s">
        <v>3</v>
      </c>
      <c r="S292" s="10">
        <v>140.11972159742001</v>
      </c>
      <c r="T292" s="15">
        <v>80</v>
      </c>
      <c r="U292" s="15">
        <v>0</v>
      </c>
      <c r="V292" s="15">
        <v>1</v>
      </c>
      <c r="W292" s="15">
        <v>1</v>
      </c>
      <c r="X292" s="15">
        <f>IF(O292='Udvaskning nøgletal'!$D$65,1,IF(O292='Udvaskning nøgletal'!$D$66,2,IF(O292='Udvaskning nøgletal'!$D$67,3,IF(O292='Udvaskning nøgletal'!$D$68,2,""))))</f>
        <v>1</v>
      </c>
      <c r="Y292" s="15">
        <f>LOOKUP(K292,'Udvaskning nøgletal'!$C$12:$C$60,'Udvaskning nøgletal'!$H$12:$H$60)</f>
        <v>5</v>
      </c>
      <c r="Z292" s="10">
        <f>IF(X292=1,LOOKUP(K292,'Udvaskning nøgletal'!$C$12:$C$60,'Udvaskning nøgletal'!$E$12:$E$60)+Markniveau!Y292*Markniveau!S292/100,IF(X292=2,LOOKUP(K292,'Udvaskning nøgletal'!$C$12:$C$60,'Udvaskning nøgletal'!$F$12:$F$60)+Markniveau!Y292*Markniveau!S292/100,IF(X292=3,LOOKUP(K292,'Udvaskning nøgletal'!$C$12:$C$60,'Udvaskning nøgletal'!G302:G350)+Markniveau!Y292*Markniveau!S292/100,"")))</f>
        <v>71.665986079871004</v>
      </c>
      <c r="AA292" s="10">
        <f t="shared" si="46"/>
        <v>591.24438515893576</v>
      </c>
      <c r="AB292" s="10">
        <f t="shared" si="45"/>
        <v>3.5832993039935501</v>
      </c>
      <c r="AC292" s="10">
        <f t="shared" si="47"/>
        <v>29.56221925794679</v>
      </c>
      <c r="AD292" s="10">
        <f>IF(AND(Q292&gt;0,Q292&lt;30,K292&lt;8),Markniveau!Z292*'Udvaskning nøgletal'!$I$12/100,IF(AND(Q292&gt;0,Q292&lt;30,K292=216),Markniveau!Z292*'Udvaskning nøgletal'!$I$34/100,Markniveau!Z292))</f>
        <v>71.665986079871004</v>
      </c>
      <c r="AE292" s="10">
        <f t="shared" si="53"/>
        <v>591.24438515893576</v>
      </c>
      <c r="AF292" s="10">
        <f t="shared" si="48"/>
        <v>3.5832993039935501</v>
      </c>
      <c r="AG292" s="10">
        <f t="shared" si="54"/>
        <v>29.56221925794679</v>
      </c>
      <c r="AH292" s="10" t="str">
        <f>IF(AND(Q292&gt;0,Q292&lt;30,K292=216),'Udvaskning nøgletal'!$C$42,IF(AND(Q292&gt;0,Q292&lt;30,K292&gt;7,K292&lt;17),'Udvaskning nøgletal'!$C$61,IF(AND(Q292&gt;0,Q292&lt;30,K292&lt;7),'Udvaskning nøgletal'!$C$62,"")))</f>
        <v/>
      </c>
      <c r="AI292" s="10">
        <f t="shared" si="50"/>
        <v>2</v>
      </c>
      <c r="AJ292" s="10">
        <f>IF($X292=1,LOOKUP(AI292,'Udvaskning nøgletal'!$C$12:$C$62,'Udvaskning nøgletal'!$E$12:$E$62)+Markniveau!$Y292*Markniveau!$S292/100,IF($X292=2,LOOKUP(AI292,'Udvaskning nøgletal'!$C$12:$C$62,'Udvaskning nøgletal'!$F$12:$F$62)+Markniveau!$Y292*Markniveau!$S292/100,IF($X292=3,LOOKUP(AI292,'Udvaskning nøgletal'!$C$12:$C$62,'Udvaskning nøgletal'!Q302:Q352)+Markniveau!$Y292*Markniveau!$S292/100,"")))</f>
        <v>71.665986079871004</v>
      </c>
      <c r="AK292" s="10">
        <f t="shared" si="49"/>
        <v>591.24438515893576</v>
      </c>
      <c r="AL292" s="10">
        <f t="shared" si="51"/>
        <v>3.5832993039935501</v>
      </c>
      <c r="AM292" s="10">
        <f t="shared" si="52"/>
        <v>29.56221925794679</v>
      </c>
    </row>
    <row r="293" spans="1:39" x14ac:dyDescent="0.25">
      <c r="A293" s="15">
        <v>14571094</v>
      </c>
      <c r="B293" s="15">
        <v>115.72</v>
      </c>
      <c r="C293" s="15">
        <v>26739</v>
      </c>
      <c r="D293" s="15">
        <v>66068</v>
      </c>
      <c r="E293" s="15" t="s">
        <v>290</v>
      </c>
      <c r="F293" s="15">
        <v>2011</v>
      </c>
      <c r="G293" s="15">
        <v>20110410</v>
      </c>
      <c r="H293" s="15">
        <v>44639</v>
      </c>
      <c r="I293" s="15">
        <v>4.46</v>
      </c>
      <c r="J293" s="6" t="s">
        <v>65</v>
      </c>
      <c r="K293" s="15">
        <v>2</v>
      </c>
      <c r="L293" s="15" t="s">
        <v>49</v>
      </c>
      <c r="M293" s="15" t="s">
        <v>5</v>
      </c>
      <c r="N293" s="11" t="s">
        <v>1384</v>
      </c>
      <c r="O293" s="11" t="s">
        <v>28</v>
      </c>
      <c r="P293" s="11" t="s">
        <v>29</v>
      </c>
      <c r="Q293" s="15">
        <v>95</v>
      </c>
      <c r="R293" s="11" t="s">
        <v>3</v>
      </c>
      <c r="S293" s="10">
        <v>140.11972159742001</v>
      </c>
      <c r="T293" s="15">
        <v>80</v>
      </c>
      <c r="U293" s="15">
        <v>0</v>
      </c>
      <c r="V293" s="15">
        <v>1</v>
      </c>
      <c r="W293" s="15">
        <v>1</v>
      </c>
      <c r="X293" s="15">
        <f>IF(O293='Udvaskning nøgletal'!$D$65,1,IF(O293='Udvaskning nøgletal'!$D$66,2,IF(O293='Udvaskning nøgletal'!$D$67,3,IF(O293='Udvaskning nøgletal'!$D$68,2,""))))</f>
        <v>1</v>
      </c>
      <c r="Y293" s="15">
        <f>LOOKUP(K293,'Udvaskning nøgletal'!$C$12:$C$60,'Udvaskning nøgletal'!$H$12:$H$60)</f>
        <v>5</v>
      </c>
      <c r="Z293" s="10">
        <f>IF(X293=1,LOOKUP(K293,'Udvaskning nøgletal'!$C$12:$C$60,'Udvaskning nøgletal'!$E$12:$E$60)+Markniveau!Y293*Markniveau!S293/100,IF(X293=2,LOOKUP(K293,'Udvaskning nøgletal'!$C$12:$C$60,'Udvaskning nøgletal'!$F$12:$F$60)+Markniveau!Y293*Markniveau!S293/100,IF(X293=3,LOOKUP(K293,'Udvaskning nøgletal'!$C$12:$C$60,'Udvaskning nøgletal'!G303:G351)+Markniveau!Y293*Markniveau!S293/100,"")))</f>
        <v>71.665986079871004</v>
      </c>
      <c r="AA293" s="10">
        <f t="shared" si="46"/>
        <v>319.63029791622466</v>
      </c>
      <c r="AB293" s="10">
        <f t="shared" si="45"/>
        <v>3.5832993039935501</v>
      </c>
      <c r="AC293" s="10">
        <f t="shared" si="47"/>
        <v>15.981514895811234</v>
      </c>
      <c r="AD293" s="10">
        <f>IF(AND(Q293&gt;0,Q293&lt;30,K293&lt;8),Markniveau!Z293*'Udvaskning nøgletal'!$I$12/100,IF(AND(Q293&gt;0,Q293&lt;30,K293=216),Markniveau!Z293*'Udvaskning nøgletal'!$I$34/100,Markniveau!Z293))</f>
        <v>71.665986079871004</v>
      </c>
      <c r="AE293" s="10">
        <f t="shared" si="53"/>
        <v>319.63029791622466</v>
      </c>
      <c r="AF293" s="10">
        <f t="shared" si="48"/>
        <v>3.5832993039935501</v>
      </c>
      <c r="AG293" s="10">
        <f t="shared" si="54"/>
        <v>15.981514895811234</v>
      </c>
      <c r="AH293" s="10" t="str">
        <f>IF(AND(Q293&gt;0,Q293&lt;30,K293=216),'Udvaskning nøgletal'!$C$42,IF(AND(Q293&gt;0,Q293&lt;30,K293&gt;7,K293&lt;17),'Udvaskning nøgletal'!$C$61,IF(AND(Q293&gt;0,Q293&lt;30,K293&lt;7),'Udvaskning nøgletal'!$C$62,"")))</f>
        <v/>
      </c>
      <c r="AI293" s="10">
        <f t="shared" si="50"/>
        <v>2</v>
      </c>
      <c r="AJ293" s="10">
        <f>IF($X293=1,LOOKUP(AI293,'Udvaskning nøgletal'!$C$12:$C$62,'Udvaskning nøgletal'!$E$12:$E$62)+Markniveau!$Y293*Markniveau!$S293/100,IF($X293=2,LOOKUP(AI293,'Udvaskning nøgletal'!$C$12:$C$62,'Udvaskning nøgletal'!$F$12:$F$62)+Markniveau!$Y293*Markniveau!$S293/100,IF($X293=3,LOOKUP(AI293,'Udvaskning nøgletal'!$C$12:$C$62,'Udvaskning nøgletal'!Q303:Q353)+Markniveau!$Y293*Markniveau!$S293/100,"")))</f>
        <v>71.665986079871004</v>
      </c>
      <c r="AK293" s="10">
        <f t="shared" si="49"/>
        <v>319.63029791622466</v>
      </c>
      <c r="AL293" s="10">
        <f t="shared" si="51"/>
        <v>3.5832993039935501</v>
      </c>
      <c r="AM293" s="10">
        <f t="shared" si="52"/>
        <v>15.981514895811234</v>
      </c>
    </row>
    <row r="294" spans="1:39" x14ac:dyDescent="0.25">
      <c r="A294" s="15">
        <v>14571094</v>
      </c>
      <c r="B294" s="15">
        <v>115.72</v>
      </c>
      <c r="C294" s="15">
        <v>33337</v>
      </c>
      <c r="D294" s="15">
        <v>66068</v>
      </c>
      <c r="E294" s="15" t="s">
        <v>291</v>
      </c>
      <c r="F294" s="15">
        <v>2011</v>
      </c>
      <c r="G294" s="15">
        <v>20110410</v>
      </c>
      <c r="H294" s="15">
        <v>11649</v>
      </c>
      <c r="I294" s="15">
        <v>1.1599999999999999</v>
      </c>
      <c r="J294" s="6" t="s">
        <v>44</v>
      </c>
      <c r="K294" s="15">
        <v>260</v>
      </c>
      <c r="L294" s="15" t="s">
        <v>45</v>
      </c>
      <c r="M294" s="15" t="s">
        <v>5</v>
      </c>
      <c r="N294" s="11" t="s">
        <v>1390</v>
      </c>
      <c r="O294" s="11" t="s">
        <v>42</v>
      </c>
      <c r="P294" s="11" t="s">
        <v>33</v>
      </c>
      <c r="Q294" s="15">
        <v>0</v>
      </c>
      <c r="R294" s="11" t="s">
        <v>1386</v>
      </c>
      <c r="S294" s="10">
        <v>140.11972159742001</v>
      </c>
      <c r="T294" s="15">
        <v>80</v>
      </c>
      <c r="U294" s="15">
        <v>0</v>
      </c>
      <c r="V294" s="15">
        <v>1</v>
      </c>
      <c r="W294" s="15">
        <v>1</v>
      </c>
      <c r="X294" s="15">
        <f>IF(O294='Udvaskning nøgletal'!$D$65,1,IF(O294='Udvaskning nøgletal'!$D$66,2,IF(O294='Udvaskning nøgletal'!$D$67,3,IF(O294='Udvaskning nøgletal'!$D$68,2,""))))</f>
        <v>2</v>
      </c>
      <c r="Y294" s="15">
        <f>LOOKUP(K294,'Udvaskning nøgletal'!$C$12:$C$60,'Udvaskning nøgletal'!$H$12:$H$60)</f>
        <v>0</v>
      </c>
      <c r="Z294" s="10">
        <f>IF(X294=1,LOOKUP(K294,'Udvaskning nøgletal'!$C$12:$C$60,'Udvaskning nøgletal'!$E$12:$E$60)+Markniveau!Y294*Markniveau!S294/100,IF(X294=2,LOOKUP(K294,'Udvaskning nøgletal'!$C$12:$C$60,'Udvaskning nøgletal'!$F$12:$F$60)+Markniveau!Y294*Markniveau!S294/100,IF(X294=3,LOOKUP(K294,'Udvaskning nøgletal'!$C$12:$C$60,'Udvaskning nøgletal'!G304:G352)+Markniveau!Y294*Markniveau!S294/100,"")))</f>
        <v>27.331185321443094</v>
      </c>
      <c r="AA294" s="10">
        <f t="shared" si="46"/>
        <v>31.704174972873986</v>
      </c>
      <c r="AB294" s="10" t="str">
        <f t="shared" si="45"/>
        <v/>
      </c>
      <c r="AC294" s="10" t="str">
        <f t="shared" si="47"/>
        <v/>
      </c>
      <c r="AD294" s="10">
        <f>IF(AND(Q294&gt;0,Q294&lt;30,K294&lt;8),Markniveau!Z294*'Udvaskning nøgletal'!$I$12/100,IF(AND(Q294&gt;0,Q294&lt;30,K294=216),Markniveau!Z294*'Udvaskning nøgletal'!$I$34/100,Markniveau!Z294))</f>
        <v>27.331185321443094</v>
      </c>
      <c r="AE294" s="10">
        <f t="shared" si="53"/>
        <v>31.704174972873986</v>
      </c>
      <c r="AF294" s="10" t="str">
        <f t="shared" si="48"/>
        <v/>
      </c>
      <c r="AG294" s="10" t="str">
        <f t="shared" si="54"/>
        <v/>
      </c>
      <c r="AH294" s="10" t="str">
        <f>IF(AND(Q294&gt;0,Q294&lt;30,K294=216),'Udvaskning nøgletal'!$C$42,IF(AND(Q294&gt;0,Q294&lt;30,K294&gt;7,K294&lt;17),'Udvaskning nøgletal'!$C$61,IF(AND(Q294&gt;0,Q294&lt;30,K294&lt;7),'Udvaskning nøgletal'!$C$62,"")))</f>
        <v/>
      </c>
      <c r="AI294" s="10">
        <f t="shared" si="50"/>
        <v>260</v>
      </c>
      <c r="AJ294" s="10">
        <f>IF($X294=1,LOOKUP(AI294,'Udvaskning nøgletal'!$C$12:$C$62,'Udvaskning nøgletal'!$E$12:$E$62)+Markniveau!$Y294*Markniveau!$S294/100,IF($X294=2,LOOKUP(AI294,'Udvaskning nøgletal'!$C$12:$C$62,'Udvaskning nøgletal'!$F$12:$F$62)+Markniveau!$Y294*Markniveau!$S294/100,IF($X294=3,LOOKUP(AI294,'Udvaskning nøgletal'!$C$12:$C$62,'Udvaskning nøgletal'!Q304:Q354)+Markniveau!$Y294*Markniveau!$S294/100,"")))</f>
        <v>27.331185321443094</v>
      </c>
      <c r="AK294" s="10">
        <f t="shared" si="49"/>
        <v>31.704174972873986</v>
      </c>
      <c r="AL294" s="10" t="str">
        <f t="shared" si="51"/>
        <v/>
      </c>
      <c r="AM294" s="10" t="str">
        <f t="shared" si="52"/>
        <v/>
      </c>
    </row>
    <row r="295" spans="1:39" x14ac:dyDescent="0.25">
      <c r="A295" s="15">
        <v>14571094</v>
      </c>
      <c r="B295" s="15">
        <v>115.72</v>
      </c>
      <c r="C295" s="15">
        <v>39856</v>
      </c>
      <c r="D295" s="15">
        <v>66068</v>
      </c>
      <c r="E295" s="15" t="s">
        <v>292</v>
      </c>
      <c r="F295" s="15">
        <v>2011</v>
      </c>
      <c r="G295" s="15">
        <v>20110410</v>
      </c>
      <c r="H295" s="15">
        <v>93657</v>
      </c>
      <c r="I295" s="15">
        <v>9.3699999999999992</v>
      </c>
      <c r="J295" s="6" t="s">
        <v>143</v>
      </c>
      <c r="K295" s="15">
        <v>260</v>
      </c>
      <c r="L295" s="15" t="s">
        <v>45</v>
      </c>
      <c r="M295" s="15" t="s">
        <v>5</v>
      </c>
      <c r="N295" s="11" t="s">
        <v>1384</v>
      </c>
      <c r="O295" s="11" t="s">
        <v>28</v>
      </c>
      <c r="P295" s="11" t="s">
        <v>29</v>
      </c>
      <c r="Q295" s="15">
        <v>95</v>
      </c>
      <c r="R295" s="11" t="s">
        <v>3</v>
      </c>
      <c r="S295" s="10">
        <v>140.11972159742001</v>
      </c>
      <c r="T295" s="15">
        <v>80</v>
      </c>
      <c r="U295" s="15">
        <v>0</v>
      </c>
      <c r="V295" s="15">
        <v>1</v>
      </c>
      <c r="W295" s="15">
        <v>1</v>
      </c>
      <c r="X295" s="15">
        <f>IF(O295='Udvaskning nøgletal'!$D$65,1,IF(O295='Udvaskning nøgletal'!$D$66,2,IF(O295='Udvaskning nøgletal'!$D$67,3,IF(O295='Udvaskning nøgletal'!$D$68,2,""))))</f>
        <v>1</v>
      </c>
      <c r="Y295" s="15">
        <f>LOOKUP(K295,'Udvaskning nøgletal'!$C$12:$C$60,'Udvaskning nøgletal'!$H$12:$H$60)</f>
        <v>0</v>
      </c>
      <c r="Z295" s="10">
        <f>IF(X295=1,LOOKUP(K295,'Udvaskning nøgletal'!$C$12:$C$60,'Udvaskning nøgletal'!$E$12:$E$60)+Markniveau!Y295*Markniveau!S295/100,IF(X295=2,LOOKUP(K295,'Udvaskning nøgletal'!$C$12:$C$60,'Udvaskning nøgletal'!$F$12:$F$60)+Markniveau!Y295*Markniveau!S295/100,IF(X295=3,LOOKUP(K295,'Udvaskning nøgletal'!$C$12:$C$60,'Udvaskning nøgletal'!G305:G353)+Markniveau!Y295*Markniveau!S295/100,"")))</f>
        <v>33.723295792149436</v>
      </c>
      <c r="AA295" s="10">
        <f t="shared" si="46"/>
        <v>315.98728157244017</v>
      </c>
      <c r="AB295" s="10">
        <f t="shared" si="45"/>
        <v>1.6861647896074716</v>
      </c>
      <c r="AC295" s="10">
        <f t="shared" si="47"/>
        <v>15.799364078622007</v>
      </c>
      <c r="AD295" s="10">
        <f>IF(AND(Q295&gt;0,Q295&lt;30,K295&lt;8),Markniveau!Z295*'Udvaskning nøgletal'!$I$12/100,IF(AND(Q295&gt;0,Q295&lt;30,K295=216),Markniveau!Z295*'Udvaskning nøgletal'!$I$34/100,Markniveau!Z295))</f>
        <v>33.723295792149436</v>
      </c>
      <c r="AE295" s="10">
        <f t="shared" si="53"/>
        <v>315.98728157244017</v>
      </c>
      <c r="AF295" s="10">
        <f t="shared" si="48"/>
        <v>1.6861647896074716</v>
      </c>
      <c r="AG295" s="10">
        <f t="shared" si="54"/>
        <v>15.799364078622007</v>
      </c>
      <c r="AH295" s="10" t="str">
        <f>IF(AND(Q295&gt;0,Q295&lt;30,K295=216),'Udvaskning nøgletal'!$C$42,IF(AND(Q295&gt;0,Q295&lt;30,K295&gt;7,K295&lt;17),'Udvaskning nøgletal'!$C$61,IF(AND(Q295&gt;0,Q295&lt;30,K295&lt;7),'Udvaskning nøgletal'!$C$62,"")))</f>
        <v/>
      </c>
      <c r="AI295" s="10">
        <f t="shared" si="50"/>
        <v>260</v>
      </c>
      <c r="AJ295" s="10">
        <f>IF($X295=1,LOOKUP(AI295,'Udvaskning nøgletal'!$C$12:$C$62,'Udvaskning nøgletal'!$E$12:$E$62)+Markniveau!$Y295*Markniveau!$S295/100,IF($X295=2,LOOKUP(AI295,'Udvaskning nøgletal'!$C$12:$C$62,'Udvaskning nøgletal'!$F$12:$F$62)+Markniveau!$Y295*Markniveau!$S295/100,IF($X295=3,LOOKUP(AI295,'Udvaskning nøgletal'!$C$12:$C$62,'Udvaskning nøgletal'!Q305:Q355)+Markniveau!$Y295*Markniveau!$S295/100,"")))</f>
        <v>33.723295792149436</v>
      </c>
      <c r="AK295" s="10">
        <f t="shared" si="49"/>
        <v>315.98728157244017</v>
      </c>
      <c r="AL295" s="10">
        <f t="shared" si="51"/>
        <v>1.6861647896074716</v>
      </c>
      <c r="AM295" s="10">
        <f t="shared" si="52"/>
        <v>15.799364078622007</v>
      </c>
    </row>
    <row r="296" spans="1:39" x14ac:dyDescent="0.25">
      <c r="A296" s="15">
        <v>14571094</v>
      </c>
      <c r="B296" s="15">
        <v>115.72</v>
      </c>
      <c r="C296" s="15">
        <v>39857</v>
      </c>
      <c r="D296" s="15">
        <v>66068</v>
      </c>
      <c r="E296" s="15" t="s">
        <v>293</v>
      </c>
      <c r="F296" s="15">
        <v>2011</v>
      </c>
      <c r="G296" s="15">
        <v>20110410</v>
      </c>
      <c r="H296" s="15">
        <v>22375</v>
      </c>
      <c r="I296" s="15">
        <v>2.2400000000000002</v>
      </c>
      <c r="J296" s="6" t="s">
        <v>1478</v>
      </c>
      <c r="K296" s="15">
        <v>260</v>
      </c>
      <c r="L296" s="15" t="s">
        <v>45</v>
      </c>
      <c r="M296" s="15" t="s">
        <v>5</v>
      </c>
      <c r="N296" s="11" t="s">
        <v>1384</v>
      </c>
      <c r="O296" s="11" t="s">
        <v>28</v>
      </c>
      <c r="P296" s="11" t="s">
        <v>29</v>
      </c>
      <c r="Q296" s="15">
        <v>95</v>
      </c>
      <c r="R296" s="11" t="s">
        <v>3</v>
      </c>
      <c r="S296" s="10">
        <v>140.11972159742001</v>
      </c>
      <c r="T296" s="15">
        <v>80</v>
      </c>
      <c r="U296" s="15">
        <v>0</v>
      </c>
      <c r="V296" s="15">
        <v>1</v>
      </c>
      <c r="W296" s="15">
        <v>1</v>
      </c>
      <c r="X296" s="15">
        <f>IF(O296='Udvaskning nøgletal'!$D$65,1,IF(O296='Udvaskning nøgletal'!$D$66,2,IF(O296='Udvaskning nøgletal'!$D$67,3,IF(O296='Udvaskning nøgletal'!$D$68,2,""))))</f>
        <v>1</v>
      </c>
      <c r="Y296" s="15">
        <f>LOOKUP(K296,'Udvaskning nøgletal'!$C$12:$C$60,'Udvaskning nøgletal'!$H$12:$H$60)</f>
        <v>0</v>
      </c>
      <c r="Z296" s="10">
        <f>IF(X296=1,LOOKUP(K296,'Udvaskning nøgletal'!$C$12:$C$60,'Udvaskning nøgletal'!$E$12:$E$60)+Markniveau!Y296*Markniveau!S296/100,IF(X296=2,LOOKUP(K296,'Udvaskning nøgletal'!$C$12:$C$60,'Udvaskning nøgletal'!$F$12:$F$60)+Markniveau!Y296*Markniveau!S296/100,IF(X296=3,LOOKUP(K296,'Udvaskning nøgletal'!$C$12:$C$60,'Udvaskning nøgletal'!G306:G354)+Markniveau!Y296*Markniveau!S296/100,"")))</f>
        <v>33.723295792149436</v>
      </c>
      <c r="AA296" s="10">
        <f t="shared" si="46"/>
        <v>75.540182574414743</v>
      </c>
      <c r="AB296" s="10">
        <f t="shared" si="45"/>
        <v>1.6861647896074716</v>
      </c>
      <c r="AC296" s="10">
        <f t="shared" si="47"/>
        <v>3.7770091287207368</v>
      </c>
      <c r="AD296" s="10">
        <f>IF(AND(Q296&gt;0,Q296&lt;30,K296&lt;8),Markniveau!Z296*'Udvaskning nøgletal'!$I$12/100,IF(AND(Q296&gt;0,Q296&lt;30,K296=216),Markniveau!Z296*'Udvaskning nøgletal'!$I$34/100,Markniveau!Z296))</f>
        <v>33.723295792149436</v>
      </c>
      <c r="AE296" s="10">
        <f t="shared" si="53"/>
        <v>75.540182574414743</v>
      </c>
      <c r="AF296" s="10">
        <f t="shared" si="48"/>
        <v>1.6861647896074716</v>
      </c>
      <c r="AG296" s="10">
        <f t="shared" si="54"/>
        <v>3.7770091287207368</v>
      </c>
      <c r="AH296" s="10" t="str">
        <f>IF(AND(Q296&gt;0,Q296&lt;30,K296=216),'Udvaskning nøgletal'!$C$42,IF(AND(Q296&gt;0,Q296&lt;30,K296&gt;7,K296&lt;17),'Udvaskning nøgletal'!$C$61,IF(AND(Q296&gt;0,Q296&lt;30,K296&lt;7),'Udvaskning nøgletal'!$C$62,"")))</f>
        <v/>
      </c>
      <c r="AI296" s="10">
        <f t="shared" si="50"/>
        <v>260</v>
      </c>
      <c r="AJ296" s="10">
        <f>IF($X296=1,LOOKUP(AI296,'Udvaskning nøgletal'!$C$12:$C$62,'Udvaskning nøgletal'!$E$12:$E$62)+Markniveau!$Y296*Markniveau!$S296/100,IF($X296=2,LOOKUP(AI296,'Udvaskning nøgletal'!$C$12:$C$62,'Udvaskning nøgletal'!$F$12:$F$62)+Markniveau!$Y296*Markniveau!$S296/100,IF($X296=3,LOOKUP(AI296,'Udvaskning nøgletal'!$C$12:$C$62,'Udvaskning nøgletal'!Q306:Q356)+Markniveau!$Y296*Markniveau!$S296/100,"")))</f>
        <v>33.723295792149436</v>
      </c>
      <c r="AK296" s="10">
        <f t="shared" si="49"/>
        <v>75.540182574414743</v>
      </c>
      <c r="AL296" s="10">
        <f t="shared" si="51"/>
        <v>1.6861647896074716</v>
      </c>
      <c r="AM296" s="10">
        <f t="shared" si="52"/>
        <v>3.7770091287207368</v>
      </c>
    </row>
    <row r="297" spans="1:39" x14ac:dyDescent="0.25">
      <c r="A297" s="15">
        <v>14571094</v>
      </c>
      <c r="B297" s="15">
        <v>115.72</v>
      </c>
      <c r="C297" s="15">
        <v>44461</v>
      </c>
      <c r="D297" s="15">
        <v>66068</v>
      </c>
      <c r="E297" s="15" t="s">
        <v>294</v>
      </c>
      <c r="F297" s="15">
        <v>2011</v>
      </c>
      <c r="G297" s="15">
        <v>20110410</v>
      </c>
      <c r="H297" s="15">
        <v>50174</v>
      </c>
      <c r="I297" s="15">
        <v>5.0199999999999996</v>
      </c>
      <c r="J297" s="6" t="s">
        <v>34</v>
      </c>
      <c r="K297" s="15">
        <v>260</v>
      </c>
      <c r="L297" s="15" t="s">
        <v>45</v>
      </c>
      <c r="M297" s="15" t="s">
        <v>5</v>
      </c>
      <c r="N297" s="11" t="s">
        <v>1406</v>
      </c>
      <c r="O297" s="11" t="s">
        <v>46</v>
      </c>
      <c r="P297" s="11" t="s">
        <v>29</v>
      </c>
      <c r="Q297" s="15">
        <v>95</v>
      </c>
      <c r="R297" s="11" t="s">
        <v>3</v>
      </c>
      <c r="S297" s="10">
        <v>140.11972159742001</v>
      </c>
      <c r="T297" s="15">
        <v>80</v>
      </c>
      <c r="U297" s="15">
        <v>0</v>
      </c>
      <c r="V297" s="15">
        <v>1</v>
      </c>
      <c r="W297" s="15">
        <v>1</v>
      </c>
      <c r="X297" s="15">
        <f>IF(O297='Udvaskning nøgletal'!$D$65,1,IF(O297='Udvaskning nøgletal'!$D$66,2,IF(O297='Udvaskning nøgletal'!$D$67,3,IF(O297='Udvaskning nøgletal'!$D$68,2,""))))</f>
        <v>2</v>
      </c>
      <c r="Y297" s="15">
        <f>LOOKUP(K297,'Udvaskning nøgletal'!$C$12:$C$60,'Udvaskning nøgletal'!$H$12:$H$60)</f>
        <v>0</v>
      </c>
      <c r="Z297" s="10">
        <f>IF(X297=1,LOOKUP(K297,'Udvaskning nøgletal'!$C$12:$C$60,'Udvaskning nøgletal'!$E$12:$E$60)+Markniveau!Y297*Markniveau!S297/100,IF(X297=2,LOOKUP(K297,'Udvaskning nøgletal'!$C$12:$C$60,'Udvaskning nøgletal'!$F$12:$F$60)+Markniveau!Y297*Markniveau!S297/100,IF(X297=3,LOOKUP(K297,'Udvaskning nøgletal'!$C$12:$C$60,'Udvaskning nøgletal'!G307:G355)+Markniveau!Y297*Markniveau!S297/100,"")))</f>
        <v>27.331185321443094</v>
      </c>
      <c r="AA297" s="10">
        <f t="shared" si="46"/>
        <v>137.20255031364431</v>
      </c>
      <c r="AB297" s="10">
        <f t="shared" si="45"/>
        <v>1.3665592660721546</v>
      </c>
      <c r="AC297" s="10">
        <f t="shared" si="47"/>
        <v>6.8601275156822155</v>
      </c>
      <c r="AD297" s="10">
        <f>IF(AND(Q297&gt;0,Q297&lt;30,K297&lt;8),Markniveau!Z297*'Udvaskning nøgletal'!$I$12/100,IF(AND(Q297&gt;0,Q297&lt;30,K297=216),Markniveau!Z297*'Udvaskning nøgletal'!$I$34/100,Markniveau!Z297))</f>
        <v>27.331185321443094</v>
      </c>
      <c r="AE297" s="10">
        <f t="shared" si="53"/>
        <v>137.20255031364431</v>
      </c>
      <c r="AF297" s="10">
        <f t="shared" si="48"/>
        <v>1.3665592660721546</v>
      </c>
      <c r="AG297" s="10">
        <f t="shared" si="54"/>
        <v>6.8601275156822155</v>
      </c>
      <c r="AH297" s="10" t="str">
        <f>IF(AND(Q297&gt;0,Q297&lt;30,K297=216),'Udvaskning nøgletal'!$C$42,IF(AND(Q297&gt;0,Q297&lt;30,K297&gt;7,K297&lt;17),'Udvaskning nøgletal'!$C$61,IF(AND(Q297&gt;0,Q297&lt;30,K297&lt;7),'Udvaskning nøgletal'!$C$62,"")))</f>
        <v/>
      </c>
      <c r="AI297" s="10">
        <f t="shared" si="50"/>
        <v>260</v>
      </c>
      <c r="AJ297" s="10">
        <f>IF($X297=1,LOOKUP(AI297,'Udvaskning nøgletal'!$C$12:$C$62,'Udvaskning nøgletal'!$E$12:$E$62)+Markniveau!$Y297*Markniveau!$S297/100,IF($X297=2,LOOKUP(AI297,'Udvaskning nøgletal'!$C$12:$C$62,'Udvaskning nøgletal'!$F$12:$F$62)+Markniveau!$Y297*Markniveau!$S297/100,IF($X297=3,LOOKUP(AI297,'Udvaskning nøgletal'!$C$12:$C$62,'Udvaskning nøgletal'!Q307:Q357)+Markniveau!$Y297*Markniveau!$S297/100,"")))</f>
        <v>27.331185321443094</v>
      </c>
      <c r="AK297" s="10">
        <f t="shared" si="49"/>
        <v>137.20255031364431</v>
      </c>
      <c r="AL297" s="10">
        <f t="shared" si="51"/>
        <v>1.3665592660721546</v>
      </c>
      <c r="AM297" s="10">
        <f t="shared" si="52"/>
        <v>6.8601275156822155</v>
      </c>
    </row>
    <row r="298" spans="1:39" x14ac:dyDescent="0.25">
      <c r="A298" s="15">
        <v>14571094</v>
      </c>
      <c r="B298" s="15">
        <v>115.72</v>
      </c>
      <c r="C298" s="15">
        <v>44462</v>
      </c>
      <c r="D298" s="15">
        <v>66068</v>
      </c>
      <c r="E298" s="15" t="s">
        <v>295</v>
      </c>
      <c r="F298" s="15">
        <v>2011</v>
      </c>
      <c r="G298" s="15">
        <v>20110410</v>
      </c>
      <c r="H298" s="15">
        <v>73551</v>
      </c>
      <c r="I298" s="15">
        <v>7.36</v>
      </c>
      <c r="J298" s="6" t="s">
        <v>1400</v>
      </c>
      <c r="K298" s="15">
        <v>260</v>
      </c>
      <c r="L298" s="15" t="s">
        <v>45</v>
      </c>
      <c r="M298" s="15" t="s">
        <v>5</v>
      </c>
      <c r="N298" s="11" t="s">
        <v>1406</v>
      </c>
      <c r="O298" s="11" t="s">
        <v>46</v>
      </c>
      <c r="P298" s="11" t="s">
        <v>29</v>
      </c>
      <c r="Q298" s="15">
        <v>95</v>
      </c>
      <c r="R298" s="11" t="s">
        <v>3</v>
      </c>
      <c r="S298" s="10">
        <v>140.11972159742001</v>
      </c>
      <c r="T298" s="15">
        <v>80</v>
      </c>
      <c r="U298" s="15">
        <v>0</v>
      </c>
      <c r="V298" s="15">
        <v>1</v>
      </c>
      <c r="W298" s="15">
        <v>1</v>
      </c>
      <c r="X298" s="15">
        <f>IF(O298='Udvaskning nøgletal'!$D$65,1,IF(O298='Udvaskning nøgletal'!$D$66,2,IF(O298='Udvaskning nøgletal'!$D$67,3,IF(O298='Udvaskning nøgletal'!$D$68,2,""))))</f>
        <v>2</v>
      </c>
      <c r="Y298" s="15">
        <f>LOOKUP(K298,'Udvaskning nøgletal'!$C$12:$C$60,'Udvaskning nøgletal'!$H$12:$H$60)</f>
        <v>0</v>
      </c>
      <c r="Z298" s="10">
        <f>IF(X298=1,LOOKUP(K298,'Udvaskning nøgletal'!$C$12:$C$60,'Udvaskning nøgletal'!$E$12:$E$60)+Markniveau!Y298*Markniveau!S298/100,IF(X298=2,LOOKUP(K298,'Udvaskning nøgletal'!$C$12:$C$60,'Udvaskning nøgletal'!$F$12:$F$60)+Markniveau!Y298*Markniveau!S298/100,IF(X298=3,LOOKUP(K298,'Udvaskning nøgletal'!$C$12:$C$60,'Udvaskning nøgletal'!G308:G356)+Markniveau!Y298*Markniveau!S298/100,"")))</f>
        <v>27.331185321443094</v>
      </c>
      <c r="AA298" s="10">
        <f t="shared" si="46"/>
        <v>201.15752396582118</v>
      </c>
      <c r="AB298" s="10">
        <f t="shared" si="45"/>
        <v>1.3665592660721546</v>
      </c>
      <c r="AC298" s="10">
        <f t="shared" si="47"/>
        <v>10.057876198291059</v>
      </c>
      <c r="AD298" s="10">
        <f>IF(AND(Q298&gt;0,Q298&lt;30,K298&lt;8),Markniveau!Z298*'Udvaskning nøgletal'!$I$12/100,IF(AND(Q298&gt;0,Q298&lt;30,K298=216),Markniveau!Z298*'Udvaskning nøgletal'!$I$34/100,Markniveau!Z298))</f>
        <v>27.331185321443094</v>
      </c>
      <c r="AE298" s="10">
        <f t="shared" si="53"/>
        <v>201.15752396582118</v>
      </c>
      <c r="AF298" s="10">
        <f t="shared" si="48"/>
        <v>1.3665592660721546</v>
      </c>
      <c r="AG298" s="10">
        <f t="shared" si="54"/>
        <v>10.057876198291059</v>
      </c>
      <c r="AH298" s="10" t="str">
        <f>IF(AND(Q298&gt;0,Q298&lt;30,K298=216),'Udvaskning nøgletal'!$C$42,IF(AND(Q298&gt;0,Q298&lt;30,K298&gt;7,K298&lt;17),'Udvaskning nøgletal'!$C$61,IF(AND(Q298&gt;0,Q298&lt;30,K298&lt;7),'Udvaskning nøgletal'!$C$62,"")))</f>
        <v/>
      </c>
      <c r="AI298" s="10">
        <f t="shared" si="50"/>
        <v>260</v>
      </c>
      <c r="AJ298" s="10">
        <f>IF($X298=1,LOOKUP(AI298,'Udvaskning nøgletal'!$C$12:$C$62,'Udvaskning nøgletal'!$E$12:$E$62)+Markniveau!$Y298*Markniveau!$S298/100,IF($X298=2,LOOKUP(AI298,'Udvaskning nøgletal'!$C$12:$C$62,'Udvaskning nøgletal'!$F$12:$F$62)+Markniveau!$Y298*Markniveau!$S298/100,IF($X298=3,LOOKUP(AI298,'Udvaskning nøgletal'!$C$12:$C$62,'Udvaskning nøgletal'!Q308:Q358)+Markniveau!$Y298*Markniveau!$S298/100,"")))</f>
        <v>27.331185321443094</v>
      </c>
      <c r="AK298" s="10">
        <f t="shared" si="49"/>
        <v>201.15752396582118</v>
      </c>
      <c r="AL298" s="10">
        <f t="shared" si="51"/>
        <v>1.3665592660721546</v>
      </c>
      <c r="AM298" s="10">
        <f t="shared" si="52"/>
        <v>10.057876198291059</v>
      </c>
    </row>
    <row r="299" spans="1:39" x14ac:dyDescent="0.25">
      <c r="A299" s="15">
        <v>14571094</v>
      </c>
      <c r="B299" s="15">
        <v>115.72</v>
      </c>
      <c r="C299" s="15">
        <v>52043</v>
      </c>
      <c r="D299" s="15">
        <v>66068</v>
      </c>
      <c r="E299" s="15" t="s">
        <v>296</v>
      </c>
      <c r="F299" s="15">
        <v>2011</v>
      </c>
      <c r="G299" s="15">
        <v>20110410</v>
      </c>
      <c r="H299" s="15">
        <v>128301</v>
      </c>
      <c r="I299" s="15">
        <v>12.83</v>
      </c>
      <c r="J299" s="6" t="s">
        <v>134</v>
      </c>
      <c r="K299" s="15">
        <v>260</v>
      </c>
      <c r="L299" s="15" t="s">
        <v>45</v>
      </c>
      <c r="M299" s="15" t="s">
        <v>5</v>
      </c>
      <c r="N299" s="11" t="s">
        <v>1406</v>
      </c>
      <c r="O299" s="11" t="s">
        <v>46</v>
      </c>
      <c r="P299" s="11" t="s">
        <v>33</v>
      </c>
      <c r="Q299" s="15">
        <v>0</v>
      </c>
      <c r="R299" s="11" t="s">
        <v>1386</v>
      </c>
      <c r="S299" s="10">
        <v>140.11972159742001</v>
      </c>
      <c r="T299" s="15">
        <v>80</v>
      </c>
      <c r="U299" s="15">
        <v>0</v>
      </c>
      <c r="V299" s="15">
        <v>1</v>
      </c>
      <c r="W299" s="15">
        <v>1</v>
      </c>
      <c r="X299" s="15">
        <f>IF(O299='Udvaskning nøgletal'!$D$65,1,IF(O299='Udvaskning nøgletal'!$D$66,2,IF(O299='Udvaskning nøgletal'!$D$67,3,IF(O299='Udvaskning nøgletal'!$D$68,2,""))))</f>
        <v>2</v>
      </c>
      <c r="Y299" s="15">
        <f>LOOKUP(K299,'Udvaskning nøgletal'!$C$12:$C$60,'Udvaskning nøgletal'!$H$12:$H$60)</f>
        <v>0</v>
      </c>
      <c r="Z299" s="10">
        <f>IF(X299=1,LOOKUP(K299,'Udvaskning nøgletal'!$C$12:$C$60,'Udvaskning nøgletal'!$E$12:$E$60)+Markniveau!Y299*Markniveau!S299/100,IF(X299=2,LOOKUP(K299,'Udvaskning nøgletal'!$C$12:$C$60,'Udvaskning nøgletal'!$F$12:$F$60)+Markniveau!Y299*Markniveau!S299/100,IF(X299=3,LOOKUP(K299,'Udvaskning nøgletal'!$C$12:$C$60,'Udvaskning nøgletal'!G309:G357)+Markniveau!Y299*Markniveau!S299/100,"")))</f>
        <v>27.331185321443094</v>
      </c>
      <c r="AA299" s="10">
        <f t="shared" si="46"/>
        <v>350.65910767411492</v>
      </c>
      <c r="AB299" s="10" t="str">
        <f t="shared" si="45"/>
        <v/>
      </c>
      <c r="AC299" s="10" t="str">
        <f t="shared" si="47"/>
        <v/>
      </c>
      <c r="AD299" s="10">
        <f>IF(AND(Q299&gt;0,Q299&lt;30,K299&lt;8),Markniveau!Z299*'Udvaskning nøgletal'!$I$12/100,IF(AND(Q299&gt;0,Q299&lt;30,K299=216),Markniveau!Z299*'Udvaskning nøgletal'!$I$34/100,Markniveau!Z299))</f>
        <v>27.331185321443094</v>
      </c>
      <c r="AE299" s="10">
        <f t="shared" si="53"/>
        <v>350.65910767411492</v>
      </c>
      <c r="AF299" s="10" t="str">
        <f t="shared" si="48"/>
        <v/>
      </c>
      <c r="AG299" s="10" t="str">
        <f t="shared" si="54"/>
        <v/>
      </c>
      <c r="AH299" s="10" t="str">
        <f>IF(AND(Q299&gt;0,Q299&lt;30,K299=216),'Udvaskning nøgletal'!$C$42,IF(AND(Q299&gt;0,Q299&lt;30,K299&gt;7,K299&lt;17),'Udvaskning nøgletal'!$C$61,IF(AND(Q299&gt;0,Q299&lt;30,K299&lt;7),'Udvaskning nøgletal'!$C$62,"")))</f>
        <v/>
      </c>
      <c r="AI299" s="10">
        <f t="shared" si="50"/>
        <v>260</v>
      </c>
      <c r="AJ299" s="10">
        <f>IF($X299=1,LOOKUP(AI299,'Udvaskning nøgletal'!$C$12:$C$62,'Udvaskning nøgletal'!$E$12:$E$62)+Markniveau!$Y299*Markniveau!$S299/100,IF($X299=2,LOOKUP(AI299,'Udvaskning nøgletal'!$C$12:$C$62,'Udvaskning nøgletal'!$F$12:$F$62)+Markniveau!$Y299*Markniveau!$S299/100,IF($X299=3,LOOKUP(AI299,'Udvaskning nøgletal'!$C$12:$C$62,'Udvaskning nøgletal'!Q309:Q359)+Markniveau!$Y299*Markniveau!$S299/100,"")))</f>
        <v>27.331185321443094</v>
      </c>
      <c r="AK299" s="10">
        <f t="shared" si="49"/>
        <v>350.65910767411492</v>
      </c>
      <c r="AL299" s="10" t="str">
        <f t="shared" si="51"/>
        <v/>
      </c>
      <c r="AM299" s="10" t="str">
        <f t="shared" si="52"/>
        <v/>
      </c>
    </row>
    <row r="300" spans="1:39" x14ac:dyDescent="0.25">
      <c r="A300" s="15">
        <v>14571094</v>
      </c>
      <c r="B300" s="15">
        <v>115.72</v>
      </c>
      <c r="C300" s="15">
        <v>52044</v>
      </c>
      <c r="D300" s="15">
        <v>66068</v>
      </c>
      <c r="E300" s="15" t="s">
        <v>296</v>
      </c>
      <c r="F300" s="15">
        <v>2011</v>
      </c>
      <c r="G300" s="15">
        <v>20110410</v>
      </c>
      <c r="H300" s="15">
        <v>87288</v>
      </c>
      <c r="I300" s="15">
        <v>8.73</v>
      </c>
      <c r="J300" s="6" t="s">
        <v>297</v>
      </c>
      <c r="K300" s="15">
        <v>260</v>
      </c>
      <c r="L300" s="15" t="s">
        <v>45</v>
      </c>
      <c r="M300" s="15" t="s">
        <v>5</v>
      </c>
      <c r="N300" s="11" t="s">
        <v>1406</v>
      </c>
      <c r="O300" s="11" t="s">
        <v>46</v>
      </c>
      <c r="P300" s="11" t="s">
        <v>33</v>
      </c>
      <c r="Q300" s="15">
        <v>0</v>
      </c>
      <c r="R300" s="11" t="s">
        <v>1386</v>
      </c>
      <c r="S300" s="10">
        <v>140.11972159742001</v>
      </c>
      <c r="T300" s="15">
        <v>80</v>
      </c>
      <c r="U300" s="15">
        <v>0</v>
      </c>
      <c r="V300" s="15">
        <v>1</v>
      </c>
      <c r="W300" s="15">
        <v>1</v>
      </c>
      <c r="X300" s="15">
        <f>IF(O300='Udvaskning nøgletal'!$D$65,1,IF(O300='Udvaskning nøgletal'!$D$66,2,IF(O300='Udvaskning nøgletal'!$D$67,3,IF(O300='Udvaskning nøgletal'!$D$68,2,""))))</f>
        <v>2</v>
      </c>
      <c r="Y300" s="15">
        <f>LOOKUP(K300,'Udvaskning nøgletal'!$C$12:$C$60,'Udvaskning nøgletal'!$H$12:$H$60)</f>
        <v>0</v>
      </c>
      <c r="Z300" s="10">
        <f>IF(X300=1,LOOKUP(K300,'Udvaskning nøgletal'!$C$12:$C$60,'Udvaskning nøgletal'!$E$12:$E$60)+Markniveau!Y300*Markniveau!S300/100,IF(X300=2,LOOKUP(K300,'Udvaskning nøgletal'!$C$12:$C$60,'Udvaskning nøgletal'!$F$12:$F$60)+Markniveau!Y300*Markniveau!S300/100,IF(X300=3,LOOKUP(K300,'Udvaskning nøgletal'!$C$12:$C$60,'Udvaskning nøgletal'!G310:G358)+Markniveau!Y300*Markniveau!S300/100,"")))</f>
        <v>27.331185321443094</v>
      </c>
      <c r="AA300" s="10">
        <f t="shared" si="46"/>
        <v>238.60124785619823</v>
      </c>
      <c r="AB300" s="10" t="str">
        <f t="shared" si="45"/>
        <v/>
      </c>
      <c r="AC300" s="10" t="str">
        <f t="shared" si="47"/>
        <v/>
      </c>
      <c r="AD300" s="10">
        <f>IF(AND(Q300&gt;0,Q300&lt;30,K300&lt;8),Markniveau!Z300*'Udvaskning nøgletal'!$I$12/100,IF(AND(Q300&gt;0,Q300&lt;30,K300=216),Markniveau!Z300*'Udvaskning nøgletal'!$I$34/100,Markniveau!Z300))</f>
        <v>27.331185321443094</v>
      </c>
      <c r="AE300" s="10">
        <f t="shared" si="53"/>
        <v>238.60124785619823</v>
      </c>
      <c r="AF300" s="10" t="str">
        <f t="shared" si="48"/>
        <v/>
      </c>
      <c r="AG300" s="10" t="str">
        <f t="shared" si="54"/>
        <v/>
      </c>
      <c r="AH300" s="10" t="str">
        <f>IF(AND(Q300&gt;0,Q300&lt;30,K300=216),'Udvaskning nøgletal'!$C$42,IF(AND(Q300&gt;0,Q300&lt;30,K300&gt;7,K300&lt;17),'Udvaskning nøgletal'!$C$61,IF(AND(Q300&gt;0,Q300&lt;30,K300&lt;7),'Udvaskning nøgletal'!$C$62,"")))</f>
        <v/>
      </c>
      <c r="AI300" s="10">
        <f t="shared" si="50"/>
        <v>260</v>
      </c>
      <c r="AJ300" s="10">
        <f>IF($X300=1,LOOKUP(AI300,'Udvaskning nøgletal'!$C$12:$C$62,'Udvaskning nøgletal'!$E$12:$E$62)+Markniveau!$Y300*Markniveau!$S300/100,IF($X300=2,LOOKUP(AI300,'Udvaskning nøgletal'!$C$12:$C$62,'Udvaskning nøgletal'!$F$12:$F$62)+Markniveau!$Y300*Markniveau!$S300/100,IF($X300=3,LOOKUP(AI300,'Udvaskning nøgletal'!$C$12:$C$62,'Udvaskning nøgletal'!Q310:Q360)+Markniveau!$Y300*Markniveau!$S300/100,"")))</f>
        <v>27.331185321443094</v>
      </c>
      <c r="AK300" s="10">
        <f t="shared" si="49"/>
        <v>238.60124785619823</v>
      </c>
      <c r="AL300" s="10" t="str">
        <f t="shared" si="51"/>
        <v/>
      </c>
      <c r="AM300" s="10" t="str">
        <f t="shared" si="52"/>
        <v/>
      </c>
    </row>
    <row r="301" spans="1:39" x14ac:dyDescent="0.25">
      <c r="A301" s="15">
        <v>14571094</v>
      </c>
      <c r="B301" s="15">
        <v>115.72</v>
      </c>
      <c r="C301" s="15">
        <v>54197</v>
      </c>
      <c r="D301" s="15">
        <v>66068</v>
      </c>
      <c r="E301" s="15" t="s">
        <v>295</v>
      </c>
      <c r="F301" s="15">
        <v>2011</v>
      </c>
      <c r="G301" s="15">
        <v>20110410</v>
      </c>
      <c r="H301" s="15">
        <v>96831</v>
      </c>
      <c r="I301" s="15">
        <v>9.68</v>
      </c>
      <c r="J301" s="6" t="s">
        <v>36</v>
      </c>
      <c r="K301" s="15">
        <v>260</v>
      </c>
      <c r="L301" s="15" t="s">
        <v>45</v>
      </c>
      <c r="M301" s="15" t="s">
        <v>5</v>
      </c>
      <c r="N301" s="11" t="s">
        <v>1406</v>
      </c>
      <c r="O301" s="11" t="s">
        <v>46</v>
      </c>
      <c r="P301" s="11" t="s">
        <v>29</v>
      </c>
      <c r="Q301" s="15">
        <v>95</v>
      </c>
      <c r="R301" s="11" t="s">
        <v>3</v>
      </c>
      <c r="S301" s="10">
        <v>140.11972159742001</v>
      </c>
      <c r="T301" s="15">
        <v>80</v>
      </c>
      <c r="U301" s="15">
        <v>0</v>
      </c>
      <c r="V301" s="15">
        <v>1</v>
      </c>
      <c r="W301" s="15">
        <v>1</v>
      </c>
      <c r="X301" s="15">
        <f>IF(O301='Udvaskning nøgletal'!$D$65,1,IF(O301='Udvaskning nøgletal'!$D$66,2,IF(O301='Udvaskning nøgletal'!$D$67,3,IF(O301='Udvaskning nøgletal'!$D$68,2,""))))</f>
        <v>2</v>
      </c>
      <c r="Y301" s="15">
        <f>LOOKUP(K301,'Udvaskning nøgletal'!$C$12:$C$60,'Udvaskning nøgletal'!$H$12:$H$60)</f>
        <v>0</v>
      </c>
      <c r="Z301" s="10">
        <f>IF(X301=1,LOOKUP(K301,'Udvaskning nøgletal'!$C$12:$C$60,'Udvaskning nøgletal'!$E$12:$E$60)+Markniveau!Y301*Markniveau!S301/100,IF(X301=2,LOOKUP(K301,'Udvaskning nøgletal'!$C$12:$C$60,'Udvaskning nøgletal'!$F$12:$F$60)+Markniveau!Y301*Markniveau!S301/100,IF(X301=3,LOOKUP(K301,'Udvaskning nøgletal'!$C$12:$C$60,'Udvaskning nøgletal'!G311:G359)+Markniveau!Y301*Markniveau!S301/100,"")))</f>
        <v>27.331185321443094</v>
      </c>
      <c r="AA301" s="10">
        <f t="shared" si="46"/>
        <v>264.56587391156916</v>
      </c>
      <c r="AB301" s="10">
        <f t="shared" si="45"/>
        <v>1.3665592660721546</v>
      </c>
      <c r="AC301" s="10">
        <f t="shared" si="47"/>
        <v>13.228293695578456</v>
      </c>
      <c r="AD301" s="10">
        <f>IF(AND(Q301&gt;0,Q301&lt;30,K301&lt;8),Markniveau!Z301*'Udvaskning nøgletal'!$I$12/100,IF(AND(Q301&gt;0,Q301&lt;30,K301=216),Markniveau!Z301*'Udvaskning nøgletal'!$I$34/100,Markniveau!Z301))</f>
        <v>27.331185321443094</v>
      </c>
      <c r="AE301" s="10">
        <f t="shared" si="53"/>
        <v>264.56587391156916</v>
      </c>
      <c r="AF301" s="10">
        <f t="shared" si="48"/>
        <v>1.3665592660721546</v>
      </c>
      <c r="AG301" s="10">
        <f t="shared" si="54"/>
        <v>13.228293695578456</v>
      </c>
      <c r="AH301" s="10" t="str">
        <f>IF(AND(Q301&gt;0,Q301&lt;30,K301=216),'Udvaskning nøgletal'!$C$42,IF(AND(Q301&gt;0,Q301&lt;30,K301&gt;7,K301&lt;17),'Udvaskning nøgletal'!$C$61,IF(AND(Q301&gt;0,Q301&lt;30,K301&lt;7),'Udvaskning nøgletal'!$C$62,"")))</f>
        <v/>
      </c>
      <c r="AI301" s="10">
        <f t="shared" si="50"/>
        <v>260</v>
      </c>
      <c r="AJ301" s="10">
        <f>IF($X301=1,LOOKUP(AI301,'Udvaskning nøgletal'!$C$12:$C$62,'Udvaskning nøgletal'!$E$12:$E$62)+Markniveau!$Y301*Markniveau!$S301/100,IF($X301=2,LOOKUP(AI301,'Udvaskning nøgletal'!$C$12:$C$62,'Udvaskning nøgletal'!$F$12:$F$62)+Markniveau!$Y301*Markniveau!$S301/100,IF($X301=3,LOOKUP(AI301,'Udvaskning nøgletal'!$C$12:$C$62,'Udvaskning nøgletal'!Q311:Q361)+Markniveau!$Y301*Markniveau!$S301/100,"")))</f>
        <v>27.331185321443094</v>
      </c>
      <c r="AK301" s="10">
        <f t="shared" si="49"/>
        <v>264.56587391156916</v>
      </c>
      <c r="AL301" s="10">
        <f t="shared" si="51"/>
        <v>1.3665592660721546</v>
      </c>
      <c r="AM301" s="10">
        <f t="shared" si="52"/>
        <v>13.228293695578456</v>
      </c>
    </row>
    <row r="302" spans="1:39" x14ac:dyDescent="0.25">
      <c r="A302" s="15">
        <v>14571094</v>
      </c>
      <c r="B302" s="15">
        <v>115.72</v>
      </c>
      <c r="C302" s="15">
        <v>59869</v>
      </c>
      <c r="D302" s="15">
        <v>66068</v>
      </c>
      <c r="E302" s="15" t="s">
        <v>298</v>
      </c>
      <c r="F302" s="15">
        <v>2011</v>
      </c>
      <c r="G302" s="15">
        <v>20110410</v>
      </c>
      <c r="H302" s="15">
        <v>43791</v>
      </c>
      <c r="I302" s="15">
        <v>4.38</v>
      </c>
      <c r="J302" s="6" t="s">
        <v>122</v>
      </c>
      <c r="K302" s="15">
        <v>2</v>
      </c>
      <c r="L302" s="15" t="s">
        <v>49</v>
      </c>
      <c r="M302" s="15" t="s">
        <v>5</v>
      </c>
      <c r="N302" s="11" t="s">
        <v>1384</v>
      </c>
      <c r="O302" s="11" t="s">
        <v>28</v>
      </c>
      <c r="P302" s="11" t="s">
        <v>29</v>
      </c>
      <c r="Q302" s="15">
        <v>40</v>
      </c>
      <c r="R302" s="11" t="s">
        <v>6</v>
      </c>
      <c r="S302" s="10">
        <v>140.11972159742001</v>
      </c>
      <c r="T302" s="15">
        <v>80</v>
      </c>
      <c r="U302" s="15">
        <v>0</v>
      </c>
      <c r="V302" s="15">
        <v>1</v>
      </c>
      <c r="W302" s="15">
        <v>1</v>
      </c>
      <c r="X302" s="15">
        <f>IF(O302='Udvaskning nøgletal'!$D$65,1,IF(O302='Udvaskning nøgletal'!$D$66,2,IF(O302='Udvaskning nøgletal'!$D$67,3,IF(O302='Udvaskning nøgletal'!$D$68,2,""))))</f>
        <v>1</v>
      </c>
      <c r="Y302" s="15">
        <f>LOOKUP(K302,'Udvaskning nøgletal'!$C$12:$C$60,'Udvaskning nøgletal'!$H$12:$H$60)</f>
        <v>5</v>
      </c>
      <c r="Z302" s="10">
        <f>IF(X302=1,LOOKUP(K302,'Udvaskning nøgletal'!$C$12:$C$60,'Udvaskning nøgletal'!$E$12:$E$60)+Markniveau!Y302*Markniveau!S302/100,IF(X302=2,LOOKUP(K302,'Udvaskning nøgletal'!$C$12:$C$60,'Udvaskning nøgletal'!$F$12:$F$60)+Markniveau!Y302*Markniveau!S302/100,IF(X302=3,LOOKUP(K302,'Udvaskning nøgletal'!$C$12:$C$60,'Udvaskning nøgletal'!G312:G360)+Markniveau!Y302*Markniveau!S302/100,"")))</f>
        <v>71.665986079871004</v>
      </c>
      <c r="AA302" s="10">
        <f t="shared" si="46"/>
        <v>313.89701902983501</v>
      </c>
      <c r="AB302" s="10">
        <f t="shared" si="45"/>
        <v>42.999591647922607</v>
      </c>
      <c r="AC302" s="10">
        <f t="shared" si="47"/>
        <v>188.33821141790102</v>
      </c>
      <c r="AD302" s="10">
        <f>IF(AND(Q302&gt;0,Q302&lt;30,K302&lt;8),Markniveau!Z302*'Udvaskning nøgletal'!$I$12/100,IF(AND(Q302&gt;0,Q302&lt;30,K302=216),Markniveau!Z302*'Udvaskning nøgletal'!$I$34/100,Markniveau!Z302))</f>
        <v>71.665986079871004</v>
      </c>
      <c r="AE302" s="10">
        <f t="shared" si="53"/>
        <v>313.89701902983501</v>
      </c>
      <c r="AF302" s="10">
        <f t="shared" si="48"/>
        <v>42.999591647922607</v>
      </c>
      <c r="AG302" s="10">
        <f t="shared" si="54"/>
        <v>188.33821141790102</v>
      </c>
      <c r="AH302" s="10" t="str">
        <f>IF(AND(Q302&gt;0,Q302&lt;30,K302=216),'Udvaskning nøgletal'!$C$42,IF(AND(Q302&gt;0,Q302&lt;30,K302&gt;7,K302&lt;17),'Udvaskning nøgletal'!$C$61,IF(AND(Q302&gt;0,Q302&lt;30,K302&lt;7),'Udvaskning nøgletal'!$C$62,"")))</f>
        <v/>
      </c>
      <c r="AI302" s="10">
        <f t="shared" si="50"/>
        <v>2</v>
      </c>
      <c r="AJ302" s="10">
        <f>IF($X302=1,LOOKUP(AI302,'Udvaskning nøgletal'!$C$12:$C$62,'Udvaskning nøgletal'!$E$12:$E$62)+Markniveau!$Y302*Markniveau!$S302/100,IF($X302=2,LOOKUP(AI302,'Udvaskning nøgletal'!$C$12:$C$62,'Udvaskning nøgletal'!$F$12:$F$62)+Markniveau!$Y302*Markniveau!$S302/100,IF($X302=3,LOOKUP(AI302,'Udvaskning nøgletal'!$C$12:$C$62,'Udvaskning nøgletal'!Q312:Q362)+Markniveau!$Y302*Markniveau!$S302/100,"")))</f>
        <v>71.665986079871004</v>
      </c>
      <c r="AK302" s="10">
        <f t="shared" si="49"/>
        <v>313.89701902983501</v>
      </c>
      <c r="AL302" s="10">
        <f t="shared" si="51"/>
        <v>42.999591647922607</v>
      </c>
      <c r="AM302" s="10">
        <f t="shared" si="52"/>
        <v>188.33821141790102</v>
      </c>
    </row>
    <row r="303" spans="1:39" x14ac:dyDescent="0.25">
      <c r="A303" s="15">
        <v>14571094</v>
      </c>
      <c r="B303" s="15">
        <v>115.72</v>
      </c>
      <c r="C303" s="15">
        <v>69999</v>
      </c>
      <c r="D303" s="15">
        <v>66068</v>
      </c>
      <c r="E303" s="15" t="s">
        <v>299</v>
      </c>
      <c r="F303" s="15">
        <v>2011</v>
      </c>
      <c r="G303" s="15">
        <v>20110410</v>
      </c>
      <c r="H303" s="15">
        <v>73615</v>
      </c>
      <c r="I303" s="15">
        <v>7.36</v>
      </c>
      <c r="J303" s="6" t="s">
        <v>58</v>
      </c>
      <c r="K303" s="15">
        <v>260</v>
      </c>
      <c r="L303" s="15" t="s">
        <v>45</v>
      </c>
      <c r="M303" s="15" t="s">
        <v>5</v>
      </c>
      <c r="N303" s="11" t="s">
        <v>1384</v>
      </c>
      <c r="O303" s="11" t="s">
        <v>28</v>
      </c>
      <c r="P303" s="11" t="s">
        <v>33</v>
      </c>
      <c r="Q303" s="15">
        <v>0</v>
      </c>
      <c r="R303" s="11" t="s">
        <v>1386</v>
      </c>
      <c r="S303" s="10">
        <v>140.11972159742001</v>
      </c>
      <c r="T303" s="15">
        <v>80</v>
      </c>
      <c r="U303" s="15">
        <v>0</v>
      </c>
      <c r="V303" s="15">
        <v>1</v>
      </c>
      <c r="W303" s="15">
        <v>1</v>
      </c>
      <c r="X303" s="15">
        <f>IF(O303='Udvaskning nøgletal'!$D$65,1,IF(O303='Udvaskning nøgletal'!$D$66,2,IF(O303='Udvaskning nøgletal'!$D$67,3,IF(O303='Udvaskning nøgletal'!$D$68,2,""))))</f>
        <v>1</v>
      </c>
      <c r="Y303" s="15">
        <f>LOOKUP(K303,'Udvaskning nøgletal'!$C$12:$C$60,'Udvaskning nøgletal'!$H$12:$H$60)</f>
        <v>0</v>
      </c>
      <c r="Z303" s="10">
        <f>IF(X303=1,LOOKUP(K303,'Udvaskning nøgletal'!$C$12:$C$60,'Udvaskning nøgletal'!$E$12:$E$60)+Markniveau!Y303*Markniveau!S303/100,IF(X303=2,LOOKUP(K303,'Udvaskning nøgletal'!$C$12:$C$60,'Udvaskning nøgletal'!$F$12:$F$60)+Markniveau!Y303*Markniveau!S303/100,IF(X303=3,LOOKUP(K303,'Udvaskning nøgletal'!$C$12:$C$60,'Udvaskning nøgletal'!G313:G361)+Markniveau!Y303*Markniveau!S303/100,"")))</f>
        <v>33.723295792149436</v>
      </c>
      <c r="AA303" s="10">
        <f t="shared" si="46"/>
        <v>248.20345703021985</v>
      </c>
      <c r="AB303" s="10" t="str">
        <f t="shared" si="45"/>
        <v/>
      </c>
      <c r="AC303" s="10" t="str">
        <f t="shared" si="47"/>
        <v/>
      </c>
      <c r="AD303" s="10">
        <f>IF(AND(Q303&gt;0,Q303&lt;30,K303&lt;8),Markniveau!Z303*'Udvaskning nøgletal'!$I$12/100,IF(AND(Q303&gt;0,Q303&lt;30,K303=216),Markniveau!Z303*'Udvaskning nøgletal'!$I$34/100,Markniveau!Z303))</f>
        <v>33.723295792149436</v>
      </c>
      <c r="AE303" s="10">
        <f t="shared" si="53"/>
        <v>248.20345703021985</v>
      </c>
      <c r="AF303" s="10" t="str">
        <f t="shared" si="48"/>
        <v/>
      </c>
      <c r="AG303" s="10" t="str">
        <f t="shared" si="54"/>
        <v/>
      </c>
      <c r="AH303" s="10" t="str">
        <f>IF(AND(Q303&gt;0,Q303&lt;30,K303=216),'Udvaskning nøgletal'!$C$42,IF(AND(Q303&gt;0,Q303&lt;30,K303&gt;7,K303&lt;17),'Udvaskning nøgletal'!$C$61,IF(AND(Q303&gt;0,Q303&lt;30,K303&lt;7),'Udvaskning nøgletal'!$C$62,"")))</f>
        <v/>
      </c>
      <c r="AI303" s="10">
        <f t="shared" si="50"/>
        <v>260</v>
      </c>
      <c r="AJ303" s="10">
        <f>IF($X303=1,LOOKUP(AI303,'Udvaskning nøgletal'!$C$12:$C$62,'Udvaskning nøgletal'!$E$12:$E$62)+Markniveau!$Y303*Markniveau!$S303/100,IF($X303=2,LOOKUP(AI303,'Udvaskning nøgletal'!$C$12:$C$62,'Udvaskning nøgletal'!$F$12:$F$62)+Markniveau!$Y303*Markniveau!$S303/100,IF($X303=3,LOOKUP(AI303,'Udvaskning nøgletal'!$C$12:$C$62,'Udvaskning nøgletal'!Q313:Q363)+Markniveau!$Y303*Markniveau!$S303/100,"")))</f>
        <v>33.723295792149436</v>
      </c>
      <c r="AK303" s="10">
        <f t="shared" si="49"/>
        <v>248.20345703021985</v>
      </c>
      <c r="AL303" s="10" t="str">
        <f t="shared" si="51"/>
        <v/>
      </c>
      <c r="AM303" s="10" t="str">
        <f t="shared" si="52"/>
        <v/>
      </c>
    </row>
    <row r="304" spans="1:39" x14ac:dyDescent="0.25">
      <c r="A304" s="15">
        <v>14571094</v>
      </c>
      <c r="B304" s="15">
        <v>115.72</v>
      </c>
      <c r="C304" s="15">
        <v>82121</v>
      </c>
      <c r="D304" s="15">
        <v>66068</v>
      </c>
      <c r="E304" s="15" t="s">
        <v>300</v>
      </c>
      <c r="F304" s="15">
        <v>2011</v>
      </c>
      <c r="G304" s="15">
        <v>20110410</v>
      </c>
      <c r="H304" s="15">
        <v>13493</v>
      </c>
      <c r="I304" s="15">
        <v>1.35</v>
      </c>
      <c r="J304" s="6" t="s">
        <v>301</v>
      </c>
      <c r="K304" s="15">
        <v>260</v>
      </c>
      <c r="L304" s="15" t="s">
        <v>45</v>
      </c>
      <c r="M304" s="15" t="s">
        <v>5</v>
      </c>
      <c r="N304" s="11" t="s">
        <v>1384</v>
      </c>
      <c r="O304" s="11" t="s">
        <v>28</v>
      </c>
      <c r="P304" s="11" t="s">
        <v>29</v>
      </c>
      <c r="Q304" s="15">
        <v>90</v>
      </c>
      <c r="R304" s="11" t="s">
        <v>8</v>
      </c>
      <c r="S304" s="10">
        <v>140.11972159742001</v>
      </c>
      <c r="T304" s="15">
        <v>80</v>
      </c>
      <c r="U304" s="15">
        <v>0</v>
      </c>
      <c r="V304" s="15">
        <v>1</v>
      </c>
      <c r="W304" s="15">
        <v>1</v>
      </c>
      <c r="X304" s="15">
        <f>IF(O304='Udvaskning nøgletal'!$D$65,1,IF(O304='Udvaskning nøgletal'!$D$66,2,IF(O304='Udvaskning nøgletal'!$D$67,3,IF(O304='Udvaskning nøgletal'!$D$68,2,""))))</f>
        <v>1</v>
      </c>
      <c r="Y304" s="15">
        <f>LOOKUP(K304,'Udvaskning nøgletal'!$C$12:$C$60,'Udvaskning nøgletal'!$H$12:$H$60)</f>
        <v>0</v>
      </c>
      <c r="Z304" s="10">
        <f>IF(X304=1,LOOKUP(K304,'Udvaskning nøgletal'!$C$12:$C$60,'Udvaskning nøgletal'!$E$12:$E$60)+Markniveau!Y304*Markniveau!S304/100,IF(X304=2,LOOKUP(K304,'Udvaskning nøgletal'!$C$12:$C$60,'Udvaskning nøgletal'!$F$12:$F$60)+Markniveau!Y304*Markniveau!S304/100,IF(X304=3,LOOKUP(K304,'Udvaskning nøgletal'!$C$12:$C$60,'Udvaskning nøgletal'!G314:G362)+Markniveau!Y304*Markniveau!S304/100,"")))</f>
        <v>33.723295792149436</v>
      </c>
      <c r="AA304" s="10">
        <f t="shared" si="46"/>
        <v>45.526449319401742</v>
      </c>
      <c r="AB304" s="10">
        <f t="shared" si="45"/>
        <v>3.3723295792149433</v>
      </c>
      <c r="AC304" s="10">
        <f t="shared" si="47"/>
        <v>4.5526449319401738</v>
      </c>
      <c r="AD304" s="10">
        <f>IF(AND(Q304&gt;0,Q304&lt;30,K304&lt;8),Markniveau!Z304*'Udvaskning nøgletal'!$I$12/100,IF(AND(Q304&gt;0,Q304&lt;30,K304=216),Markniveau!Z304*'Udvaskning nøgletal'!$I$34/100,Markniveau!Z304))</f>
        <v>33.723295792149436</v>
      </c>
      <c r="AE304" s="10">
        <f t="shared" si="53"/>
        <v>45.526449319401742</v>
      </c>
      <c r="AF304" s="10">
        <f t="shared" si="48"/>
        <v>3.3723295792149433</v>
      </c>
      <c r="AG304" s="10">
        <f t="shared" si="54"/>
        <v>4.5526449319401738</v>
      </c>
      <c r="AH304" s="10" t="str">
        <f>IF(AND(Q304&gt;0,Q304&lt;30,K304=216),'Udvaskning nøgletal'!$C$42,IF(AND(Q304&gt;0,Q304&lt;30,K304&gt;7,K304&lt;17),'Udvaskning nøgletal'!$C$61,IF(AND(Q304&gt;0,Q304&lt;30,K304&lt;7),'Udvaskning nøgletal'!$C$62,"")))</f>
        <v/>
      </c>
      <c r="AI304" s="10">
        <f t="shared" si="50"/>
        <v>260</v>
      </c>
      <c r="AJ304" s="10">
        <f>IF($X304=1,LOOKUP(AI304,'Udvaskning nøgletal'!$C$12:$C$62,'Udvaskning nøgletal'!$E$12:$E$62)+Markniveau!$Y304*Markniveau!$S304/100,IF($X304=2,LOOKUP(AI304,'Udvaskning nøgletal'!$C$12:$C$62,'Udvaskning nøgletal'!$F$12:$F$62)+Markniveau!$Y304*Markniveau!$S304/100,IF($X304=3,LOOKUP(AI304,'Udvaskning nøgletal'!$C$12:$C$62,'Udvaskning nøgletal'!Q314:Q364)+Markniveau!$Y304*Markniveau!$S304/100,"")))</f>
        <v>33.723295792149436</v>
      </c>
      <c r="AK304" s="10">
        <f t="shared" si="49"/>
        <v>45.526449319401742</v>
      </c>
      <c r="AL304" s="10">
        <f t="shared" si="51"/>
        <v>3.3723295792149433</v>
      </c>
      <c r="AM304" s="10">
        <f t="shared" si="52"/>
        <v>4.5526449319401738</v>
      </c>
    </row>
    <row r="305" spans="1:39" x14ac:dyDescent="0.25">
      <c r="A305" s="15">
        <v>14571094</v>
      </c>
      <c r="B305" s="15">
        <v>115.72</v>
      </c>
      <c r="C305" s="15">
        <v>89320</v>
      </c>
      <c r="D305" s="15">
        <v>66068</v>
      </c>
      <c r="E305" s="15" t="s">
        <v>296</v>
      </c>
      <c r="F305" s="15">
        <v>2011</v>
      </c>
      <c r="G305" s="15">
        <v>20110410</v>
      </c>
      <c r="H305" s="15">
        <v>98108</v>
      </c>
      <c r="I305" s="15">
        <v>9.81</v>
      </c>
      <c r="J305" s="6" t="s">
        <v>66</v>
      </c>
      <c r="K305" s="15">
        <v>252</v>
      </c>
      <c r="L305" s="15" t="s">
        <v>41</v>
      </c>
      <c r="M305" s="15" t="s">
        <v>4</v>
      </c>
      <c r="N305" s="11" t="s">
        <v>1406</v>
      </c>
      <c r="O305" s="11" t="s">
        <v>46</v>
      </c>
      <c r="P305" s="11" t="s">
        <v>33</v>
      </c>
      <c r="Q305" s="15">
        <v>0</v>
      </c>
      <c r="R305" s="11" t="s">
        <v>1386</v>
      </c>
      <c r="S305" s="10">
        <v>140.11972159742001</v>
      </c>
      <c r="T305" s="15">
        <v>80</v>
      </c>
      <c r="U305" s="15">
        <v>0</v>
      </c>
      <c r="V305" s="15">
        <v>1</v>
      </c>
      <c r="W305" s="15">
        <v>1</v>
      </c>
      <c r="X305" s="15">
        <f>IF(O305='Udvaskning nøgletal'!$D$65,1,IF(O305='Udvaskning nøgletal'!$D$66,2,IF(O305='Udvaskning nøgletal'!$D$67,3,IF(O305='Udvaskning nøgletal'!$D$68,2,""))))</f>
        <v>2</v>
      </c>
      <c r="Y305" s="15">
        <f>LOOKUP(K305,'Udvaskning nøgletal'!$C$12:$C$60,'Udvaskning nøgletal'!$H$12:$H$60)</f>
        <v>0</v>
      </c>
      <c r="Z305" s="10">
        <f>IF(X305=1,LOOKUP(K305,'Udvaskning nøgletal'!$C$12:$C$60,'Udvaskning nøgletal'!$E$12:$E$60)+Markniveau!Y305*Markniveau!S305/100,IF(X305=2,LOOKUP(K305,'Udvaskning nøgletal'!$C$12:$C$60,'Udvaskning nøgletal'!$F$12:$F$60)+Markniveau!Y305*Markniveau!S305/100,IF(X305=3,LOOKUP(K305,'Udvaskning nøgletal'!$C$12:$C$60,'Udvaskning nøgletal'!G315:G363)+Markniveau!Y305*Markniveau!S305/100,"")))</f>
        <v>21.2</v>
      </c>
      <c r="AA305" s="10">
        <f t="shared" si="46"/>
        <v>207.97200000000001</v>
      </c>
      <c r="AB305" s="10" t="str">
        <f t="shared" si="45"/>
        <v/>
      </c>
      <c r="AC305" s="10" t="str">
        <f t="shared" si="47"/>
        <v/>
      </c>
      <c r="AD305" s="10">
        <f>IF(AND(Q305&gt;0,Q305&lt;30,K305&lt;8),Markniveau!Z305*'Udvaskning nøgletal'!$I$12/100,IF(AND(Q305&gt;0,Q305&lt;30,K305=216),Markniveau!Z305*'Udvaskning nøgletal'!$I$34/100,Markniveau!Z305))</f>
        <v>21.2</v>
      </c>
      <c r="AE305" s="10">
        <f t="shared" si="53"/>
        <v>207.97200000000001</v>
      </c>
      <c r="AF305" s="10" t="str">
        <f t="shared" si="48"/>
        <v/>
      </c>
      <c r="AG305" s="10" t="str">
        <f t="shared" si="54"/>
        <v/>
      </c>
      <c r="AH305" s="10" t="str">
        <f>IF(AND(Q305&gt;0,Q305&lt;30,K305=216),'Udvaskning nøgletal'!$C$42,IF(AND(Q305&gt;0,Q305&lt;30,K305&gt;7,K305&lt;17),'Udvaskning nøgletal'!$C$61,IF(AND(Q305&gt;0,Q305&lt;30,K305&lt;7),'Udvaskning nøgletal'!$C$62,"")))</f>
        <v/>
      </c>
      <c r="AI305" s="10">
        <f t="shared" si="50"/>
        <v>252</v>
      </c>
      <c r="AJ305" s="10">
        <f>IF($X305=1,LOOKUP(AI305,'Udvaskning nøgletal'!$C$12:$C$62,'Udvaskning nøgletal'!$E$12:$E$62)+Markniveau!$Y305*Markniveau!$S305/100,IF($X305=2,LOOKUP(AI305,'Udvaskning nøgletal'!$C$12:$C$62,'Udvaskning nøgletal'!$F$12:$F$62)+Markniveau!$Y305*Markniveau!$S305/100,IF($X305=3,LOOKUP(AI305,'Udvaskning nøgletal'!$C$12:$C$62,'Udvaskning nøgletal'!Q315:Q365)+Markniveau!$Y305*Markniveau!$S305/100,"")))</f>
        <v>21.2</v>
      </c>
      <c r="AK305" s="10">
        <f t="shared" si="49"/>
        <v>207.97200000000001</v>
      </c>
      <c r="AL305" s="10" t="str">
        <f t="shared" si="51"/>
        <v/>
      </c>
      <c r="AM305" s="10" t="str">
        <f t="shared" si="52"/>
        <v/>
      </c>
    </row>
    <row r="306" spans="1:39" x14ac:dyDescent="0.25">
      <c r="A306" s="15">
        <v>14571094</v>
      </c>
      <c r="B306" s="15">
        <v>115.72</v>
      </c>
      <c r="C306" s="15">
        <v>89321</v>
      </c>
      <c r="D306" s="15">
        <v>66068</v>
      </c>
      <c r="E306" s="15" t="s">
        <v>302</v>
      </c>
      <c r="F306" s="15">
        <v>2011</v>
      </c>
      <c r="G306" s="15">
        <v>20110410</v>
      </c>
      <c r="H306" s="15">
        <v>41854</v>
      </c>
      <c r="I306" s="15">
        <v>4.1900000000000004</v>
      </c>
      <c r="J306" s="6" t="s">
        <v>51</v>
      </c>
      <c r="K306" s="15">
        <v>260</v>
      </c>
      <c r="L306" s="15" t="s">
        <v>45</v>
      </c>
      <c r="M306" s="15" t="s">
        <v>5</v>
      </c>
      <c r="N306" s="11" t="s">
        <v>1384</v>
      </c>
      <c r="O306" s="11" t="s">
        <v>28</v>
      </c>
      <c r="P306" s="11" t="s">
        <v>29</v>
      </c>
      <c r="Q306" s="15">
        <v>95</v>
      </c>
      <c r="R306" s="11" t="s">
        <v>3</v>
      </c>
      <c r="S306" s="10">
        <v>140.11972159742001</v>
      </c>
      <c r="T306" s="15">
        <v>80</v>
      </c>
      <c r="U306" s="15">
        <v>0</v>
      </c>
      <c r="V306" s="15">
        <v>1</v>
      </c>
      <c r="W306" s="15">
        <v>1</v>
      </c>
      <c r="X306" s="15">
        <f>IF(O306='Udvaskning nøgletal'!$D$65,1,IF(O306='Udvaskning nøgletal'!$D$66,2,IF(O306='Udvaskning nøgletal'!$D$67,3,IF(O306='Udvaskning nøgletal'!$D$68,2,""))))</f>
        <v>1</v>
      </c>
      <c r="Y306" s="15">
        <f>LOOKUP(K306,'Udvaskning nøgletal'!$C$12:$C$60,'Udvaskning nøgletal'!$H$12:$H$60)</f>
        <v>0</v>
      </c>
      <c r="Z306" s="10">
        <f>IF(X306=1,LOOKUP(K306,'Udvaskning nøgletal'!$C$12:$C$60,'Udvaskning nøgletal'!$E$12:$E$60)+Markniveau!Y306*Markniveau!S306/100,IF(X306=2,LOOKUP(K306,'Udvaskning nøgletal'!$C$12:$C$60,'Udvaskning nøgletal'!$F$12:$F$60)+Markniveau!Y306*Markniveau!S306/100,IF(X306=3,LOOKUP(K306,'Udvaskning nøgletal'!$C$12:$C$60,'Udvaskning nøgletal'!G316:G364)+Markniveau!Y306*Markniveau!S306/100,"")))</f>
        <v>33.723295792149436</v>
      </c>
      <c r="AA306" s="10">
        <f t="shared" si="46"/>
        <v>141.30060936910616</v>
      </c>
      <c r="AB306" s="10">
        <f t="shared" si="45"/>
        <v>1.6861647896074716</v>
      </c>
      <c r="AC306" s="10">
        <f t="shared" si="47"/>
        <v>7.0650304684553067</v>
      </c>
      <c r="AD306" s="10">
        <f>IF(AND(Q306&gt;0,Q306&lt;30,K306&lt;8),Markniveau!Z306*'Udvaskning nøgletal'!$I$12/100,IF(AND(Q306&gt;0,Q306&lt;30,K306=216),Markniveau!Z306*'Udvaskning nøgletal'!$I$34/100,Markniveau!Z306))</f>
        <v>33.723295792149436</v>
      </c>
      <c r="AE306" s="10">
        <f t="shared" si="53"/>
        <v>141.30060936910616</v>
      </c>
      <c r="AF306" s="10">
        <f t="shared" si="48"/>
        <v>1.6861647896074716</v>
      </c>
      <c r="AG306" s="10">
        <f t="shared" si="54"/>
        <v>7.0650304684553067</v>
      </c>
      <c r="AH306" s="10" t="str">
        <f>IF(AND(Q306&gt;0,Q306&lt;30,K306=216),'Udvaskning nøgletal'!$C$42,IF(AND(Q306&gt;0,Q306&lt;30,K306&gt;7,K306&lt;17),'Udvaskning nøgletal'!$C$61,IF(AND(Q306&gt;0,Q306&lt;30,K306&lt;7),'Udvaskning nøgletal'!$C$62,"")))</f>
        <v/>
      </c>
      <c r="AI306" s="10">
        <f t="shared" si="50"/>
        <v>260</v>
      </c>
      <c r="AJ306" s="10">
        <f>IF($X306=1,LOOKUP(AI306,'Udvaskning nøgletal'!$C$12:$C$62,'Udvaskning nøgletal'!$E$12:$E$62)+Markniveau!$Y306*Markniveau!$S306/100,IF($X306=2,LOOKUP(AI306,'Udvaskning nøgletal'!$C$12:$C$62,'Udvaskning nøgletal'!$F$12:$F$62)+Markniveau!$Y306*Markniveau!$S306/100,IF($X306=3,LOOKUP(AI306,'Udvaskning nøgletal'!$C$12:$C$62,'Udvaskning nøgletal'!Q316:Q366)+Markniveau!$Y306*Markniveau!$S306/100,"")))</f>
        <v>33.723295792149436</v>
      </c>
      <c r="AK306" s="10">
        <f t="shared" si="49"/>
        <v>141.30060936910616</v>
      </c>
      <c r="AL306" s="10">
        <f t="shared" si="51"/>
        <v>1.6861647896074716</v>
      </c>
      <c r="AM306" s="10">
        <f t="shared" si="52"/>
        <v>7.0650304684553067</v>
      </c>
    </row>
    <row r="307" spans="1:39" x14ac:dyDescent="0.25">
      <c r="A307" s="15">
        <v>14571094</v>
      </c>
      <c r="B307" s="15">
        <v>115.72</v>
      </c>
      <c r="C307" s="15">
        <v>127718</v>
      </c>
      <c r="D307" s="15">
        <v>66068</v>
      </c>
      <c r="E307" s="15" t="s">
        <v>291</v>
      </c>
      <c r="F307" s="15">
        <v>2011</v>
      </c>
      <c r="G307" s="15">
        <v>20110410</v>
      </c>
      <c r="H307" s="15">
        <v>11266</v>
      </c>
      <c r="I307" s="15">
        <v>1.1299999999999999</v>
      </c>
      <c r="J307" s="6" t="s">
        <v>303</v>
      </c>
      <c r="K307" s="15">
        <v>901</v>
      </c>
      <c r="L307" s="15" t="s">
        <v>80</v>
      </c>
      <c r="M307" s="15" t="s">
        <v>81</v>
      </c>
      <c r="N307" s="11" t="s">
        <v>1390</v>
      </c>
      <c r="O307" s="11" t="s">
        <v>42</v>
      </c>
      <c r="P307" s="11" t="s">
        <v>33</v>
      </c>
      <c r="Q307" s="15">
        <v>0</v>
      </c>
      <c r="R307" s="11" t="s">
        <v>1386</v>
      </c>
      <c r="S307" s="10">
        <v>140.11972159742001</v>
      </c>
      <c r="T307" s="15">
        <v>80</v>
      </c>
      <c r="U307" s="15">
        <v>0</v>
      </c>
      <c r="V307" s="15">
        <v>1</v>
      </c>
      <c r="W307" s="15">
        <v>1</v>
      </c>
      <c r="X307" s="15">
        <f>IF(O307='Udvaskning nøgletal'!$D$65,1,IF(O307='Udvaskning nøgletal'!$D$66,2,IF(O307='Udvaskning nøgletal'!$D$67,3,IF(O307='Udvaskning nøgletal'!$D$68,2,""))))</f>
        <v>2</v>
      </c>
      <c r="Y307" s="15">
        <f>LOOKUP(K307,'Udvaskning nøgletal'!$C$12:$C$60,'Udvaskning nøgletal'!$H$12:$H$60)</f>
        <v>0</v>
      </c>
      <c r="Z307" s="10">
        <f>IF(X307=1,LOOKUP(K307,'Udvaskning nøgletal'!$C$12:$C$60,'Udvaskning nøgletal'!$E$12:$E$60)+Markniveau!Y307*Markniveau!S307/100,IF(X307=2,LOOKUP(K307,'Udvaskning nøgletal'!$C$12:$C$60,'Udvaskning nøgletal'!$F$12:$F$60)+Markniveau!Y307*Markniveau!S307/100,IF(X307=3,LOOKUP(K307,'Udvaskning nøgletal'!$C$12:$C$60,'Udvaskning nøgletal'!G317:G365)+Markniveau!Y307*Markniveau!S307/100,"")))</f>
        <v>10</v>
      </c>
      <c r="AA307" s="10">
        <f t="shared" si="46"/>
        <v>11.299999999999999</v>
      </c>
      <c r="AB307" s="10" t="str">
        <f t="shared" si="45"/>
        <v/>
      </c>
      <c r="AC307" s="10" t="str">
        <f t="shared" si="47"/>
        <v/>
      </c>
      <c r="AD307" s="10">
        <f>IF(AND(Q307&gt;0,Q307&lt;30,K307&lt;8),Markniveau!Z307*'Udvaskning nøgletal'!$I$12/100,IF(AND(Q307&gt;0,Q307&lt;30,K307=216),Markniveau!Z307*'Udvaskning nøgletal'!$I$34/100,Markniveau!Z307))</f>
        <v>10</v>
      </c>
      <c r="AE307" s="10">
        <f t="shared" si="53"/>
        <v>11.299999999999999</v>
      </c>
      <c r="AF307" s="10" t="str">
        <f t="shared" si="48"/>
        <v/>
      </c>
      <c r="AG307" s="10" t="str">
        <f t="shared" si="54"/>
        <v/>
      </c>
      <c r="AH307" s="10" t="str">
        <f>IF(AND(Q307&gt;0,Q307&lt;30,K307=216),'Udvaskning nøgletal'!$C$42,IF(AND(Q307&gt;0,Q307&lt;30,K307&gt;7,K307&lt;17),'Udvaskning nøgletal'!$C$61,IF(AND(Q307&gt;0,Q307&lt;30,K307&lt;7),'Udvaskning nøgletal'!$C$62,"")))</f>
        <v/>
      </c>
      <c r="AI307" s="10">
        <f t="shared" si="50"/>
        <v>901</v>
      </c>
      <c r="AJ307" s="10">
        <f>IF($X307=1,LOOKUP(AI307,'Udvaskning nøgletal'!$C$12:$C$62,'Udvaskning nøgletal'!$E$12:$E$62)+Markniveau!$Y307*Markniveau!$S307/100,IF($X307=2,LOOKUP(AI307,'Udvaskning nøgletal'!$C$12:$C$62,'Udvaskning nøgletal'!$F$12:$F$62)+Markniveau!$Y307*Markniveau!$S307/100,IF($X307=3,LOOKUP(AI307,'Udvaskning nøgletal'!$C$12:$C$62,'Udvaskning nøgletal'!Q317:Q367)+Markniveau!$Y307*Markniveau!$S307/100,"")))</f>
        <v>10</v>
      </c>
      <c r="AK307" s="10">
        <f t="shared" si="49"/>
        <v>11.299999999999999</v>
      </c>
      <c r="AL307" s="10" t="str">
        <f t="shared" si="51"/>
        <v/>
      </c>
      <c r="AM307" s="10" t="str">
        <f t="shared" si="52"/>
        <v/>
      </c>
    </row>
    <row r="308" spans="1:39" x14ac:dyDescent="0.25">
      <c r="A308" s="15">
        <v>14571094</v>
      </c>
      <c r="B308" s="15">
        <v>115.72</v>
      </c>
      <c r="C308" s="15">
        <v>128102</v>
      </c>
      <c r="D308" s="15">
        <v>66068</v>
      </c>
      <c r="E308" s="15" t="s">
        <v>291</v>
      </c>
      <c r="F308" s="15">
        <v>2011</v>
      </c>
      <c r="G308" s="15">
        <v>20110410</v>
      </c>
      <c r="H308" s="15">
        <v>25998</v>
      </c>
      <c r="I308" s="15">
        <v>2.6</v>
      </c>
      <c r="J308" s="6" t="s">
        <v>304</v>
      </c>
      <c r="K308" s="15">
        <v>901</v>
      </c>
      <c r="L308" s="15" t="s">
        <v>80</v>
      </c>
      <c r="M308" s="15" t="s">
        <v>81</v>
      </c>
      <c r="N308" s="11" t="s">
        <v>1390</v>
      </c>
      <c r="O308" s="11" t="s">
        <v>42</v>
      </c>
      <c r="P308" s="11" t="s">
        <v>33</v>
      </c>
      <c r="Q308" s="15">
        <v>0</v>
      </c>
      <c r="R308" s="11" t="s">
        <v>1386</v>
      </c>
      <c r="S308" s="10">
        <v>140.11972159742001</v>
      </c>
      <c r="T308" s="15">
        <v>80</v>
      </c>
      <c r="U308" s="15">
        <v>0</v>
      </c>
      <c r="V308" s="15">
        <v>1</v>
      </c>
      <c r="W308" s="15">
        <v>1</v>
      </c>
      <c r="X308" s="15">
        <f>IF(O308='Udvaskning nøgletal'!$D$65,1,IF(O308='Udvaskning nøgletal'!$D$66,2,IF(O308='Udvaskning nøgletal'!$D$67,3,IF(O308='Udvaskning nøgletal'!$D$68,2,""))))</f>
        <v>2</v>
      </c>
      <c r="Y308" s="15">
        <f>LOOKUP(K308,'Udvaskning nøgletal'!$C$12:$C$60,'Udvaskning nøgletal'!$H$12:$H$60)</f>
        <v>0</v>
      </c>
      <c r="Z308" s="10">
        <f>IF(X308=1,LOOKUP(K308,'Udvaskning nøgletal'!$C$12:$C$60,'Udvaskning nøgletal'!$E$12:$E$60)+Markniveau!Y308*Markniveau!S308/100,IF(X308=2,LOOKUP(K308,'Udvaskning nøgletal'!$C$12:$C$60,'Udvaskning nøgletal'!$F$12:$F$60)+Markniveau!Y308*Markniveau!S308/100,IF(X308=3,LOOKUP(K308,'Udvaskning nøgletal'!$C$12:$C$60,'Udvaskning nøgletal'!G318:G366)+Markniveau!Y308*Markniveau!S308/100,"")))</f>
        <v>10</v>
      </c>
      <c r="AA308" s="10">
        <f t="shared" si="46"/>
        <v>26</v>
      </c>
      <c r="AB308" s="10" t="str">
        <f t="shared" si="45"/>
        <v/>
      </c>
      <c r="AC308" s="10" t="str">
        <f t="shared" si="47"/>
        <v/>
      </c>
      <c r="AD308" s="10">
        <f>IF(AND(Q308&gt;0,Q308&lt;30,K308&lt;8),Markniveau!Z308*'Udvaskning nøgletal'!$I$12/100,IF(AND(Q308&gt;0,Q308&lt;30,K308=216),Markniveau!Z308*'Udvaskning nøgletal'!$I$34/100,Markniveau!Z308))</f>
        <v>10</v>
      </c>
      <c r="AE308" s="10">
        <f t="shared" si="53"/>
        <v>26</v>
      </c>
      <c r="AF308" s="10" t="str">
        <f t="shared" si="48"/>
        <v/>
      </c>
      <c r="AG308" s="10" t="str">
        <f t="shared" si="54"/>
        <v/>
      </c>
      <c r="AH308" s="10" t="str">
        <f>IF(AND(Q308&gt;0,Q308&lt;30,K308=216),'Udvaskning nøgletal'!$C$42,IF(AND(Q308&gt;0,Q308&lt;30,K308&gt;7,K308&lt;17),'Udvaskning nøgletal'!$C$61,IF(AND(Q308&gt;0,Q308&lt;30,K308&lt;7),'Udvaskning nøgletal'!$C$62,"")))</f>
        <v/>
      </c>
      <c r="AI308" s="10">
        <f t="shared" si="50"/>
        <v>901</v>
      </c>
      <c r="AJ308" s="10">
        <f>IF($X308=1,LOOKUP(AI308,'Udvaskning nøgletal'!$C$12:$C$62,'Udvaskning nøgletal'!$E$12:$E$62)+Markniveau!$Y308*Markniveau!$S308/100,IF($X308=2,LOOKUP(AI308,'Udvaskning nøgletal'!$C$12:$C$62,'Udvaskning nøgletal'!$F$12:$F$62)+Markniveau!$Y308*Markniveau!$S308/100,IF($X308=3,LOOKUP(AI308,'Udvaskning nøgletal'!$C$12:$C$62,'Udvaskning nøgletal'!Q318:Q368)+Markniveau!$Y308*Markniveau!$S308/100,"")))</f>
        <v>10</v>
      </c>
      <c r="AK308" s="10">
        <f t="shared" si="49"/>
        <v>26</v>
      </c>
      <c r="AL308" s="10" t="str">
        <f t="shared" si="51"/>
        <v/>
      </c>
      <c r="AM308" s="10" t="str">
        <f t="shared" si="52"/>
        <v/>
      </c>
    </row>
    <row r="309" spans="1:39" x14ac:dyDescent="0.25">
      <c r="A309" s="15">
        <v>14571094</v>
      </c>
      <c r="B309" s="15">
        <v>115.72</v>
      </c>
      <c r="C309" s="15">
        <v>384259</v>
      </c>
      <c r="D309" s="15">
        <v>66068</v>
      </c>
      <c r="E309" s="15" t="s">
        <v>305</v>
      </c>
      <c r="F309" s="15">
        <v>2011</v>
      </c>
      <c r="G309" s="15">
        <v>20110308</v>
      </c>
      <c r="H309" s="15">
        <v>93905</v>
      </c>
      <c r="I309" s="15">
        <v>9.39</v>
      </c>
      <c r="J309" s="6" t="s">
        <v>97</v>
      </c>
      <c r="K309" s="15">
        <v>216</v>
      </c>
      <c r="L309" s="15" t="s">
        <v>116</v>
      </c>
      <c r="M309" s="15" t="s">
        <v>5</v>
      </c>
      <c r="N309" s="11" t="s">
        <v>1406</v>
      </c>
      <c r="O309" s="11" t="s">
        <v>46</v>
      </c>
      <c r="P309" s="11" t="s">
        <v>29</v>
      </c>
      <c r="Q309" s="15">
        <v>95</v>
      </c>
      <c r="R309" s="11" t="s">
        <v>3</v>
      </c>
      <c r="S309" s="10">
        <v>140.11972159742001</v>
      </c>
      <c r="T309" s="15">
        <v>80</v>
      </c>
      <c r="U309" s="15">
        <v>0</v>
      </c>
      <c r="V309" s="15">
        <v>1</v>
      </c>
      <c r="W309" s="15">
        <v>1</v>
      </c>
      <c r="X309" s="15">
        <f>IF(O309='Udvaskning nøgletal'!$D$65,1,IF(O309='Udvaskning nøgletal'!$D$66,2,IF(O309='Udvaskning nøgletal'!$D$67,3,IF(O309='Udvaskning nøgletal'!$D$68,2,""))))</f>
        <v>2</v>
      </c>
      <c r="Y309" s="15">
        <f>LOOKUP(K309,'Udvaskning nøgletal'!$C$12:$C$60,'Udvaskning nøgletal'!$H$12:$H$60)</f>
        <v>0</v>
      </c>
      <c r="Z309" s="10">
        <f>IF(X309=1,LOOKUP(K309,'Udvaskning nøgletal'!$C$12:$C$60,'Udvaskning nøgletal'!$E$12:$E$60)+Markniveau!Y309*Markniveau!S309/100,IF(X309=2,LOOKUP(K309,'Udvaskning nøgletal'!$C$12:$C$60,'Udvaskning nøgletal'!$F$12:$F$60)+Markniveau!Y309*Markniveau!S309/100,IF(X309=3,LOOKUP(K309,'Udvaskning nøgletal'!$C$12:$C$60,'Udvaskning nøgletal'!G319:G367)+Markniveau!Y309*Markniveau!S309/100,"")))</f>
        <v>101.66744640811392</v>
      </c>
      <c r="AA309" s="10">
        <f t="shared" si="46"/>
        <v>954.65732177218979</v>
      </c>
      <c r="AB309" s="10">
        <f t="shared" si="45"/>
        <v>5.0833723204056955</v>
      </c>
      <c r="AC309" s="10">
        <f t="shared" si="47"/>
        <v>47.732866088609484</v>
      </c>
      <c r="AD309" s="10">
        <f>IF(AND(Q309&gt;0,Q309&lt;30,K309&lt;8),Markniveau!Z309*'Udvaskning nøgletal'!$I$12/100,IF(AND(Q309&gt;0,Q309&lt;30,K309=216),Markniveau!Z309*'Udvaskning nøgletal'!$I$34/100,Markniveau!Z309))</f>
        <v>101.66744640811392</v>
      </c>
      <c r="AE309" s="10">
        <f t="shared" si="53"/>
        <v>954.65732177218979</v>
      </c>
      <c r="AF309" s="10">
        <f t="shared" si="48"/>
        <v>5.0833723204056955</v>
      </c>
      <c r="AG309" s="10">
        <f t="shared" si="54"/>
        <v>47.732866088609484</v>
      </c>
      <c r="AH309" s="10" t="str">
        <f>IF(AND(Q309&gt;0,Q309&lt;30,K309=216),'Udvaskning nøgletal'!$C$42,IF(AND(Q309&gt;0,Q309&lt;30,K309&gt;7,K309&lt;17),'Udvaskning nøgletal'!$C$61,IF(AND(Q309&gt;0,Q309&lt;30,K309&lt;7),'Udvaskning nøgletal'!$C$62,"")))</f>
        <v/>
      </c>
      <c r="AI309" s="10">
        <f t="shared" si="50"/>
        <v>216</v>
      </c>
      <c r="AJ309" s="10">
        <f>IF($X309=1,LOOKUP(AI309,'Udvaskning nøgletal'!$C$12:$C$62,'Udvaskning nøgletal'!$E$12:$E$62)+Markniveau!$Y309*Markniveau!$S309/100,IF($X309=2,LOOKUP(AI309,'Udvaskning nøgletal'!$C$12:$C$62,'Udvaskning nøgletal'!$F$12:$F$62)+Markniveau!$Y309*Markniveau!$S309/100,IF($X309=3,LOOKUP(AI309,'Udvaskning nøgletal'!$C$12:$C$62,'Udvaskning nøgletal'!Q319:Q369)+Markniveau!$Y309*Markniveau!$S309/100,"")))</f>
        <v>101.66744640811392</v>
      </c>
      <c r="AK309" s="10">
        <f t="shared" si="49"/>
        <v>954.65732177218979</v>
      </c>
      <c r="AL309" s="10">
        <f t="shared" si="51"/>
        <v>5.0833723204056955</v>
      </c>
      <c r="AM309" s="10">
        <f t="shared" si="52"/>
        <v>47.732866088609484</v>
      </c>
    </row>
    <row r="310" spans="1:39" x14ac:dyDescent="0.25">
      <c r="A310" s="15">
        <v>14571094</v>
      </c>
      <c r="B310" s="15">
        <v>115.72</v>
      </c>
      <c r="C310" s="15">
        <v>405833</v>
      </c>
      <c r="D310" s="15">
        <v>66068</v>
      </c>
      <c r="E310" s="15" t="s">
        <v>306</v>
      </c>
      <c r="F310" s="15">
        <v>2011</v>
      </c>
      <c r="G310" s="15">
        <v>20110308</v>
      </c>
      <c r="H310" s="15">
        <v>36605</v>
      </c>
      <c r="I310" s="15">
        <v>3.66</v>
      </c>
      <c r="J310" s="6" t="s">
        <v>1479</v>
      </c>
      <c r="K310" s="15">
        <v>901</v>
      </c>
      <c r="L310" s="15" t="s">
        <v>80</v>
      </c>
      <c r="M310" s="15" t="s">
        <v>81</v>
      </c>
      <c r="N310" s="11" t="s">
        <v>1390</v>
      </c>
      <c r="O310" s="11" t="s">
        <v>42</v>
      </c>
      <c r="P310" s="11" t="s">
        <v>33</v>
      </c>
      <c r="Q310" s="15">
        <v>25</v>
      </c>
      <c r="R310" s="11" t="s">
        <v>7</v>
      </c>
      <c r="S310" s="10">
        <v>140.11972159742001</v>
      </c>
      <c r="T310" s="15">
        <v>80</v>
      </c>
      <c r="U310" s="15">
        <v>0</v>
      </c>
      <c r="V310" s="15">
        <v>1</v>
      </c>
      <c r="W310" s="15">
        <v>1</v>
      </c>
      <c r="X310" s="15">
        <f>IF(O310='Udvaskning nøgletal'!$D$65,1,IF(O310='Udvaskning nøgletal'!$D$66,2,IF(O310='Udvaskning nøgletal'!$D$67,3,IF(O310='Udvaskning nøgletal'!$D$68,2,""))))</f>
        <v>2</v>
      </c>
      <c r="Y310" s="15">
        <f>LOOKUP(K310,'Udvaskning nøgletal'!$C$12:$C$60,'Udvaskning nøgletal'!$H$12:$H$60)</f>
        <v>0</v>
      </c>
      <c r="Z310" s="10">
        <f>IF(X310=1,LOOKUP(K310,'Udvaskning nøgletal'!$C$12:$C$60,'Udvaskning nøgletal'!$E$12:$E$60)+Markniveau!Y310*Markniveau!S310/100,IF(X310=2,LOOKUP(K310,'Udvaskning nøgletal'!$C$12:$C$60,'Udvaskning nøgletal'!$F$12:$F$60)+Markniveau!Y310*Markniveau!S310/100,IF(X310=3,LOOKUP(K310,'Udvaskning nøgletal'!$C$12:$C$60,'Udvaskning nøgletal'!G320:G368)+Markniveau!Y310*Markniveau!S310/100,"")))</f>
        <v>10</v>
      </c>
      <c r="AA310" s="10">
        <f t="shared" si="46"/>
        <v>36.6</v>
      </c>
      <c r="AB310" s="10">
        <f t="shared" si="45"/>
        <v>7.5</v>
      </c>
      <c r="AC310" s="10">
        <f t="shared" si="47"/>
        <v>27.450000000000003</v>
      </c>
      <c r="AD310" s="10">
        <f>IF(AND(Q310&gt;0,Q310&lt;30,K310&lt;8),Markniveau!Z310*'Udvaskning nøgletal'!$I$12/100,IF(AND(Q310&gt;0,Q310&lt;30,K310=216),Markniveau!Z310*'Udvaskning nøgletal'!$I$34/100,Markniveau!Z310))</f>
        <v>10</v>
      </c>
      <c r="AE310" s="10">
        <f t="shared" si="53"/>
        <v>36.6</v>
      </c>
      <c r="AF310" s="10">
        <f t="shared" si="48"/>
        <v>7.5</v>
      </c>
      <c r="AG310" s="10">
        <f t="shared" si="54"/>
        <v>27.450000000000003</v>
      </c>
      <c r="AH310" s="10" t="str">
        <f>IF(AND(Q310&gt;0,Q310&lt;30,K310=216),'Udvaskning nøgletal'!$C$42,IF(AND(Q310&gt;0,Q310&lt;30,K310&gt;7,K310&lt;17),'Udvaskning nøgletal'!$C$61,IF(AND(Q310&gt;0,Q310&lt;30,K310&lt;7),'Udvaskning nøgletal'!$C$62,"")))</f>
        <v/>
      </c>
      <c r="AI310" s="10">
        <f t="shared" si="50"/>
        <v>901</v>
      </c>
      <c r="AJ310" s="10">
        <f>IF($X310=1,LOOKUP(AI310,'Udvaskning nøgletal'!$C$12:$C$62,'Udvaskning nøgletal'!$E$12:$E$62)+Markniveau!$Y310*Markniveau!$S310/100,IF($X310=2,LOOKUP(AI310,'Udvaskning nøgletal'!$C$12:$C$62,'Udvaskning nøgletal'!$F$12:$F$62)+Markniveau!$Y310*Markniveau!$S310/100,IF($X310=3,LOOKUP(AI310,'Udvaskning nøgletal'!$C$12:$C$62,'Udvaskning nøgletal'!Q320:Q370)+Markniveau!$Y310*Markniveau!$S310/100,"")))</f>
        <v>10</v>
      </c>
      <c r="AK310" s="10">
        <f t="shared" si="49"/>
        <v>36.6</v>
      </c>
      <c r="AL310" s="10">
        <f t="shared" si="51"/>
        <v>7.5</v>
      </c>
      <c r="AM310" s="10">
        <f t="shared" si="52"/>
        <v>27.450000000000003</v>
      </c>
    </row>
    <row r="311" spans="1:39" x14ac:dyDescent="0.25">
      <c r="A311" s="15">
        <v>14571094</v>
      </c>
      <c r="B311" s="15">
        <v>115.72</v>
      </c>
      <c r="C311" s="15">
        <v>412289</v>
      </c>
      <c r="D311" s="15">
        <v>66068</v>
      </c>
      <c r="E311" s="15" t="s">
        <v>307</v>
      </c>
      <c r="F311" s="15">
        <v>2011</v>
      </c>
      <c r="G311" s="15">
        <v>20110410</v>
      </c>
      <c r="H311" s="15">
        <v>197618</v>
      </c>
      <c r="I311" s="15">
        <v>19.760000000000002</v>
      </c>
      <c r="J311" s="6" t="s">
        <v>123</v>
      </c>
      <c r="K311" s="15">
        <v>7</v>
      </c>
      <c r="L311" s="15" t="s">
        <v>308</v>
      </c>
      <c r="M311" s="15" t="s">
        <v>5</v>
      </c>
      <c r="N311" s="11" t="s">
        <v>1384</v>
      </c>
      <c r="O311" s="11" t="s">
        <v>28</v>
      </c>
      <c r="P311" s="11" t="s">
        <v>29</v>
      </c>
      <c r="Q311" s="15">
        <v>1</v>
      </c>
      <c r="R311" s="11" t="s">
        <v>11</v>
      </c>
      <c r="S311" s="10">
        <v>140.11972159742001</v>
      </c>
      <c r="T311" s="15">
        <v>80</v>
      </c>
      <c r="U311" s="15">
        <v>0</v>
      </c>
      <c r="V311" s="15">
        <v>1</v>
      </c>
      <c r="W311" s="15">
        <v>1</v>
      </c>
      <c r="X311" s="15">
        <f>IF(O311='Udvaskning nøgletal'!$D$65,1,IF(O311='Udvaskning nøgletal'!$D$66,2,IF(O311='Udvaskning nøgletal'!$D$67,3,IF(O311='Udvaskning nøgletal'!$D$68,2,""))))</f>
        <v>1</v>
      </c>
      <c r="Y311" s="15">
        <f>LOOKUP(K311,'Udvaskning nøgletal'!$C$12:$C$60,'Udvaskning nøgletal'!$H$12:$H$60)</f>
        <v>5</v>
      </c>
      <c r="Z311" s="10">
        <f>IF(X311=1,LOOKUP(K311,'Udvaskning nøgletal'!$C$12:$C$60,'Udvaskning nøgletal'!$E$12:$E$60)+Markniveau!Y311*Markniveau!S311/100,IF(X311=2,LOOKUP(K311,'Udvaskning nøgletal'!$C$12:$C$60,'Udvaskning nøgletal'!$F$12:$F$60)+Markniveau!Y311*Markniveau!S311/100,IF(X311=3,LOOKUP(K311,'Udvaskning nøgletal'!$C$12:$C$60,'Udvaskning nøgletal'!G321:G369)+Markniveau!Y311*Markniveau!S311/100,"")))</f>
        <v>71.665986079871004</v>
      </c>
      <c r="AA311" s="10">
        <f t="shared" si="46"/>
        <v>1416.1198849382511</v>
      </c>
      <c r="AB311" s="10">
        <f t="shared" si="45"/>
        <v>70.94932621907229</v>
      </c>
      <c r="AC311" s="10">
        <f t="shared" si="47"/>
        <v>1401.9586860888685</v>
      </c>
      <c r="AD311" s="10">
        <f>IF(AND(Q311&gt;0,Q311&lt;30,K311&lt;8),Markniveau!Z311*'Udvaskning nøgletal'!$I$12/100,IF(AND(Q311&gt;0,Q311&lt;30,K311=216),Markniveau!Z311*'Udvaskning nøgletal'!$I$34/100,Markniveau!Z311))</f>
        <v>35.832993039935502</v>
      </c>
      <c r="AE311" s="10">
        <f t="shared" si="53"/>
        <v>708.05994246912553</v>
      </c>
      <c r="AF311" s="10">
        <f t="shared" si="48"/>
        <v>35.474663109536145</v>
      </c>
      <c r="AG311" s="10">
        <f t="shared" si="54"/>
        <v>700.97934304443424</v>
      </c>
      <c r="AH311" s="10" t="str">
        <f>IF(AND(Q311&gt;0,Q311&lt;30,K311=216),'Udvaskning nøgletal'!$C$42,IF(AND(Q311&gt;0,Q311&lt;30,K311&gt;7,K311&lt;17),'Udvaskning nøgletal'!$C$61,IF(AND(Q311&gt;0,Q311&lt;30,K311&lt;7),'Udvaskning nøgletal'!$C$62,"")))</f>
        <v/>
      </c>
      <c r="AI311" s="10">
        <f t="shared" si="50"/>
        <v>7</v>
      </c>
      <c r="AJ311" s="10">
        <f>IF($X311=1,LOOKUP(AI311,'Udvaskning nøgletal'!$C$12:$C$62,'Udvaskning nøgletal'!$E$12:$E$62)+Markniveau!$Y311*Markniveau!$S311/100,IF($X311=2,LOOKUP(AI311,'Udvaskning nøgletal'!$C$12:$C$62,'Udvaskning nøgletal'!$F$12:$F$62)+Markniveau!$Y311*Markniveau!$S311/100,IF($X311=3,LOOKUP(AI311,'Udvaskning nøgletal'!$C$12:$C$62,'Udvaskning nøgletal'!Q321:Q371)+Markniveau!$Y311*Markniveau!$S311/100,"")))</f>
        <v>71.665986079871004</v>
      </c>
      <c r="AK311" s="10">
        <f t="shared" si="49"/>
        <v>1416.1198849382511</v>
      </c>
      <c r="AL311" s="10">
        <f t="shared" si="51"/>
        <v>70.94932621907229</v>
      </c>
      <c r="AM311" s="10">
        <f t="shared" si="52"/>
        <v>1401.9586860888685</v>
      </c>
    </row>
    <row r="312" spans="1:39" x14ac:dyDescent="0.25">
      <c r="A312" s="15">
        <v>14571094</v>
      </c>
      <c r="B312" s="15">
        <v>115.72</v>
      </c>
      <c r="C312" s="15">
        <v>417051</v>
      </c>
      <c r="D312" s="15">
        <v>66068</v>
      </c>
      <c r="E312" s="15" t="s">
        <v>309</v>
      </c>
      <c r="F312" s="15">
        <v>2011</v>
      </c>
      <c r="G312" s="15">
        <v>20110308</v>
      </c>
      <c r="H312" s="15">
        <v>102759</v>
      </c>
      <c r="I312" s="15">
        <v>10.28</v>
      </c>
      <c r="J312" s="6" t="s">
        <v>31</v>
      </c>
      <c r="K312" s="15">
        <v>214</v>
      </c>
      <c r="L312" s="15" t="s">
        <v>56</v>
      </c>
      <c r="M312" s="15" t="s">
        <v>5</v>
      </c>
      <c r="N312" s="11" t="s">
        <v>1406</v>
      </c>
      <c r="O312" s="11" t="s">
        <v>46</v>
      </c>
      <c r="P312" s="11" t="s">
        <v>29</v>
      </c>
      <c r="Q312" s="15">
        <v>95</v>
      </c>
      <c r="R312" s="11" t="s">
        <v>3</v>
      </c>
      <c r="S312" s="10">
        <v>140.11972159742001</v>
      </c>
      <c r="T312" s="15">
        <v>80</v>
      </c>
      <c r="U312" s="15">
        <v>0</v>
      </c>
      <c r="V312" s="15">
        <v>1</v>
      </c>
      <c r="W312" s="15">
        <v>1</v>
      </c>
      <c r="X312" s="15">
        <f>IF(O312='Udvaskning nøgletal'!$D$65,1,IF(O312='Udvaskning nøgletal'!$D$66,2,IF(O312='Udvaskning nøgletal'!$D$67,3,IF(O312='Udvaskning nøgletal'!$D$68,2,""))))</f>
        <v>2</v>
      </c>
      <c r="Y312" s="15">
        <f>LOOKUP(K312,'Udvaskning nøgletal'!$C$12:$C$60,'Udvaskning nøgletal'!$H$12:$H$60)</f>
        <v>0</v>
      </c>
      <c r="Z312" s="10">
        <f>IF(X312=1,LOOKUP(K312,'Udvaskning nøgletal'!$C$12:$C$60,'Udvaskning nøgletal'!$E$12:$E$60)+Markniveau!Y312*Markniveau!S312/100,IF(X312=2,LOOKUP(K312,'Udvaskning nøgletal'!$C$12:$C$60,'Udvaskning nøgletal'!$F$12:$F$60)+Markniveau!Y312*Markniveau!S312/100,IF(X312=3,LOOKUP(K312,'Udvaskning nøgletal'!$C$12:$C$60,'Udvaskning nøgletal'!G322:G370)+Markniveau!Y312*Markniveau!S312/100,"")))</f>
        <v>31.161328188970323</v>
      </c>
      <c r="AA312" s="10">
        <f t="shared" si="46"/>
        <v>320.33845378261492</v>
      </c>
      <c r="AB312" s="10">
        <f t="shared" si="45"/>
        <v>1.5580664094485162</v>
      </c>
      <c r="AC312" s="10">
        <f t="shared" si="47"/>
        <v>16.016922689130745</v>
      </c>
      <c r="AD312" s="10">
        <f>IF(AND(Q312&gt;0,Q312&lt;30,K312&lt;8),Markniveau!Z312*'Udvaskning nøgletal'!$I$12/100,IF(AND(Q312&gt;0,Q312&lt;30,K312=216),Markniveau!Z312*'Udvaskning nøgletal'!$I$34/100,Markniveau!Z312))</f>
        <v>31.161328188970323</v>
      </c>
      <c r="AE312" s="10">
        <f t="shared" si="53"/>
        <v>320.33845378261492</v>
      </c>
      <c r="AF312" s="10">
        <f t="shared" si="48"/>
        <v>1.5580664094485162</v>
      </c>
      <c r="AG312" s="10">
        <f t="shared" si="54"/>
        <v>16.016922689130745</v>
      </c>
      <c r="AH312" s="10" t="str">
        <f>IF(AND(Q312&gt;0,Q312&lt;30,K312=216),'Udvaskning nøgletal'!$C$42,IF(AND(Q312&gt;0,Q312&lt;30,K312&gt;7,K312&lt;17),'Udvaskning nøgletal'!$C$61,IF(AND(Q312&gt;0,Q312&lt;30,K312&lt;7),'Udvaskning nøgletal'!$C$62,"")))</f>
        <v/>
      </c>
      <c r="AI312" s="10">
        <f t="shared" si="50"/>
        <v>214</v>
      </c>
      <c r="AJ312" s="10">
        <f>IF($X312=1,LOOKUP(AI312,'Udvaskning nøgletal'!$C$12:$C$62,'Udvaskning nøgletal'!$E$12:$E$62)+Markniveau!$Y312*Markniveau!$S312/100,IF($X312=2,LOOKUP(AI312,'Udvaskning nøgletal'!$C$12:$C$62,'Udvaskning nøgletal'!$F$12:$F$62)+Markniveau!$Y312*Markniveau!$S312/100,IF($X312=3,LOOKUP(AI312,'Udvaskning nøgletal'!$C$12:$C$62,'Udvaskning nøgletal'!Q322:Q372)+Markniveau!$Y312*Markniveau!$S312/100,"")))</f>
        <v>31.161328188970323</v>
      </c>
      <c r="AK312" s="10">
        <f t="shared" si="49"/>
        <v>320.33845378261492</v>
      </c>
      <c r="AL312" s="10">
        <f t="shared" si="51"/>
        <v>1.5580664094485162</v>
      </c>
      <c r="AM312" s="10">
        <f t="shared" si="52"/>
        <v>16.016922689130745</v>
      </c>
    </row>
    <row r="313" spans="1:39" x14ac:dyDescent="0.25">
      <c r="A313" s="15">
        <v>14571094</v>
      </c>
      <c r="B313" s="15">
        <v>115.72</v>
      </c>
      <c r="C313" s="15">
        <v>417052</v>
      </c>
      <c r="D313" s="15">
        <v>66068</v>
      </c>
      <c r="E313" s="15" t="s">
        <v>310</v>
      </c>
      <c r="F313" s="15">
        <v>2011</v>
      </c>
      <c r="G313" s="15">
        <v>20110308</v>
      </c>
      <c r="H313" s="15">
        <v>44962</v>
      </c>
      <c r="I313" s="15">
        <v>4.5</v>
      </c>
      <c r="J313" s="6" t="s">
        <v>60</v>
      </c>
      <c r="K313" s="15">
        <v>260</v>
      </c>
      <c r="L313" s="15" t="s">
        <v>45</v>
      </c>
      <c r="M313" s="15" t="s">
        <v>5</v>
      </c>
      <c r="N313" s="11" t="s">
        <v>1390</v>
      </c>
      <c r="O313" s="11" t="s">
        <v>42</v>
      </c>
      <c r="P313" s="11" t="s">
        <v>33</v>
      </c>
      <c r="Q313" s="15">
        <v>0</v>
      </c>
      <c r="R313" s="11" t="s">
        <v>1386</v>
      </c>
      <c r="S313" s="10">
        <v>140.11972159742001</v>
      </c>
      <c r="T313" s="15">
        <v>80</v>
      </c>
      <c r="U313" s="15">
        <v>0</v>
      </c>
      <c r="V313" s="15">
        <v>1</v>
      </c>
      <c r="W313" s="15">
        <v>1</v>
      </c>
      <c r="X313" s="15">
        <f>IF(O313='Udvaskning nøgletal'!$D$65,1,IF(O313='Udvaskning nøgletal'!$D$66,2,IF(O313='Udvaskning nøgletal'!$D$67,3,IF(O313='Udvaskning nøgletal'!$D$68,2,""))))</f>
        <v>2</v>
      </c>
      <c r="Y313" s="15">
        <f>LOOKUP(K313,'Udvaskning nøgletal'!$C$12:$C$60,'Udvaskning nøgletal'!$H$12:$H$60)</f>
        <v>0</v>
      </c>
      <c r="Z313" s="10">
        <f>IF(X313=1,LOOKUP(K313,'Udvaskning nøgletal'!$C$12:$C$60,'Udvaskning nøgletal'!$E$12:$E$60)+Markniveau!Y313*Markniveau!S313/100,IF(X313=2,LOOKUP(K313,'Udvaskning nøgletal'!$C$12:$C$60,'Udvaskning nøgletal'!$F$12:$F$60)+Markniveau!Y313*Markniveau!S313/100,IF(X313=3,LOOKUP(K313,'Udvaskning nøgletal'!$C$12:$C$60,'Udvaskning nøgletal'!G323:G371)+Markniveau!Y313*Markniveau!S313/100,"")))</f>
        <v>27.331185321443094</v>
      </c>
      <c r="AA313" s="10">
        <f t="shared" si="46"/>
        <v>122.99033394649392</v>
      </c>
      <c r="AB313" s="10" t="str">
        <f t="shared" si="45"/>
        <v/>
      </c>
      <c r="AC313" s="10" t="str">
        <f t="shared" si="47"/>
        <v/>
      </c>
      <c r="AD313" s="10">
        <f>IF(AND(Q313&gt;0,Q313&lt;30,K313&lt;8),Markniveau!Z313*'Udvaskning nøgletal'!$I$12/100,IF(AND(Q313&gt;0,Q313&lt;30,K313=216),Markniveau!Z313*'Udvaskning nøgletal'!$I$34/100,Markniveau!Z313))</f>
        <v>27.331185321443094</v>
      </c>
      <c r="AE313" s="10">
        <f t="shared" si="53"/>
        <v>122.99033394649392</v>
      </c>
      <c r="AF313" s="10" t="str">
        <f t="shared" si="48"/>
        <v/>
      </c>
      <c r="AG313" s="10" t="str">
        <f t="shared" si="54"/>
        <v/>
      </c>
      <c r="AH313" s="10" t="str">
        <f>IF(AND(Q313&gt;0,Q313&lt;30,K313=216),'Udvaskning nøgletal'!$C$42,IF(AND(Q313&gt;0,Q313&lt;30,K313&gt;7,K313&lt;17),'Udvaskning nøgletal'!$C$61,IF(AND(Q313&gt;0,Q313&lt;30,K313&lt;7),'Udvaskning nøgletal'!$C$62,"")))</f>
        <v/>
      </c>
      <c r="AI313" s="10">
        <f t="shared" si="50"/>
        <v>260</v>
      </c>
      <c r="AJ313" s="10">
        <f>IF($X313=1,LOOKUP(AI313,'Udvaskning nøgletal'!$C$12:$C$62,'Udvaskning nøgletal'!$E$12:$E$62)+Markniveau!$Y313*Markniveau!$S313/100,IF($X313=2,LOOKUP(AI313,'Udvaskning nøgletal'!$C$12:$C$62,'Udvaskning nøgletal'!$F$12:$F$62)+Markniveau!$Y313*Markniveau!$S313/100,IF($X313=3,LOOKUP(AI313,'Udvaskning nøgletal'!$C$12:$C$62,'Udvaskning nøgletal'!Q323:Q373)+Markniveau!$Y313*Markniveau!$S313/100,"")))</f>
        <v>27.331185321443094</v>
      </c>
      <c r="AK313" s="10">
        <f t="shared" si="49"/>
        <v>122.99033394649392</v>
      </c>
      <c r="AL313" s="10" t="str">
        <f t="shared" si="51"/>
        <v/>
      </c>
      <c r="AM313" s="10" t="str">
        <f t="shared" si="52"/>
        <v/>
      </c>
    </row>
    <row r="314" spans="1:39" x14ac:dyDescent="0.25">
      <c r="A314" s="15">
        <v>14571094</v>
      </c>
      <c r="B314" s="15">
        <v>115.72</v>
      </c>
      <c r="C314" s="15">
        <v>417054</v>
      </c>
      <c r="D314" s="15">
        <v>66068</v>
      </c>
      <c r="E314" s="15" t="s">
        <v>306</v>
      </c>
      <c r="F314" s="15">
        <v>2011</v>
      </c>
      <c r="G314" s="15">
        <v>20110308</v>
      </c>
      <c r="H314" s="15">
        <v>2568</v>
      </c>
      <c r="I314" s="15">
        <v>0.26</v>
      </c>
      <c r="J314" s="6" t="s">
        <v>1388</v>
      </c>
      <c r="K314" s="15">
        <v>214</v>
      </c>
      <c r="L314" s="15" t="s">
        <v>56</v>
      </c>
      <c r="M314" s="15" t="s">
        <v>5</v>
      </c>
      <c r="N314" s="11" t="s">
        <v>1391</v>
      </c>
      <c r="O314" s="11" t="s">
        <v>46</v>
      </c>
      <c r="P314" s="11" t="s">
        <v>33</v>
      </c>
      <c r="Q314" s="15">
        <v>25</v>
      </c>
      <c r="R314" s="11" t="s">
        <v>7</v>
      </c>
      <c r="S314" s="10">
        <v>140.11972159742001</v>
      </c>
      <c r="T314" s="15">
        <v>80</v>
      </c>
      <c r="U314" s="15">
        <v>0</v>
      </c>
      <c r="V314" s="15">
        <v>1</v>
      </c>
      <c r="W314" s="15">
        <v>1</v>
      </c>
      <c r="X314" s="15">
        <f>IF(O314='Udvaskning nøgletal'!$D$65,1,IF(O314='Udvaskning nøgletal'!$D$66,2,IF(O314='Udvaskning nøgletal'!$D$67,3,IF(O314='Udvaskning nøgletal'!$D$68,2,""))))</f>
        <v>2</v>
      </c>
      <c r="Y314" s="15">
        <f>LOOKUP(K314,'Udvaskning nøgletal'!$C$12:$C$60,'Udvaskning nøgletal'!$H$12:$H$60)</f>
        <v>0</v>
      </c>
      <c r="Z314" s="10">
        <f>IF(X314=1,LOOKUP(K314,'Udvaskning nøgletal'!$C$12:$C$60,'Udvaskning nøgletal'!$E$12:$E$60)+Markniveau!Y314*Markniveau!S314/100,IF(X314=2,LOOKUP(K314,'Udvaskning nøgletal'!$C$12:$C$60,'Udvaskning nøgletal'!$F$12:$F$60)+Markniveau!Y314*Markniveau!S314/100,IF(X314=3,LOOKUP(K314,'Udvaskning nøgletal'!$C$12:$C$60,'Udvaskning nøgletal'!G324:G372)+Markniveau!Y314*Markniveau!S314/100,"")))</f>
        <v>31.161328188970323</v>
      </c>
      <c r="AA314" s="10">
        <f t="shared" si="46"/>
        <v>8.1019453291322847</v>
      </c>
      <c r="AB314" s="10">
        <f t="shared" si="45"/>
        <v>23.370996141727741</v>
      </c>
      <c r="AC314" s="10">
        <f t="shared" si="47"/>
        <v>6.0764589968492126</v>
      </c>
      <c r="AD314" s="10">
        <f>IF(AND(Q314&gt;0,Q314&lt;30,K314&lt;8),Markniveau!Z314*'Udvaskning nøgletal'!$I$12/100,IF(AND(Q314&gt;0,Q314&lt;30,K314=216),Markniveau!Z314*'Udvaskning nøgletal'!$I$34/100,Markniveau!Z314))</f>
        <v>31.161328188970323</v>
      </c>
      <c r="AE314" s="10">
        <f t="shared" si="53"/>
        <v>8.1019453291322847</v>
      </c>
      <c r="AF314" s="10">
        <f t="shared" si="48"/>
        <v>23.370996141727741</v>
      </c>
      <c r="AG314" s="10">
        <f t="shared" si="54"/>
        <v>6.0764589968492126</v>
      </c>
      <c r="AH314" s="10" t="str">
        <f>IF(AND(Q314&gt;0,Q314&lt;30,K314=216),'Udvaskning nøgletal'!$C$42,IF(AND(Q314&gt;0,Q314&lt;30,K314&gt;7,K314&lt;17),'Udvaskning nøgletal'!$C$61,IF(AND(Q314&gt;0,Q314&lt;30,K314&lt;7),'Udvaskning nøgletal'!$C$62,"")))</f>
        <v/>
      </c>
      <c r="AI314" s="10">
        <f t="shared" si="50"/>
        <v>214</v>
      </c>
      <c r="AJ314" s="10">
        <f>IF($X314=1,LOOKUP(AI314,'Udvaskning nøgletal'!$C$12:$C$62,'Udvaskning nøgletal'!$E$12:$E$62)+Markniveau!$Y314*Markniveau!$S314/100,IF($X314=2,LOOKUP(AI314,'Udvaskning nøgletal'!$C$12:$C$62,'Udvaskning nøgletal'!$F$12:$F$62)+Markniveau!$Y314*Markniveau!$S314/100,IF($X314=3,LOOKUP(AI314,'Udvaskning nøgletal'!$C$12:$C$62,'Udvaskning nøgletal'!Q324:Q374)+Markniveau!$Y314*Markniveau!$S314/100,"")))</f>
        <v>31.161328188970323</v>
      </c>
      <c r="AK314" s="10">
        <f t="shared" si="49"/>
        <v>8.1019453291322847</v>
      </c>
      <c r="AL314" s="10">
        <f t="shared" si="51"/>
        <v>23.370996141727741</v>
      </c>
      <c r="AM314" s="10">
        <f t="shared" si="52"/>
        <v>6.0764589968492126</v>
      </c>
    </row>
    <row r="315" spans="1:39" x14ac:dyDescent="0.25">
      <c r="A315" s="15">
        <v>14571094</v>
      </c>
      <c r="B315" s="15">
        <v>115.72</v>
      </c>
      <c r="C315" s="15">
        <v>418654</v>
      </c>
      <c r="D315" s="15">
        <v>66068</v>
      </c>
      <c r="E315" s="15" t="s">
        <v>311</v>
      </c>
      <c r="F315" s="15">
        <v>2011</v>
      </c>
      <c r="G315" s="15">
        <v>20110308</v>
      </c>
      <c r="H315" s="15">
        <v>3459</v>
      </c>
      <c r="I315" s="15">
        <v>0.35</v>
      </c>
      <c r="J315" s="6" t="s">
        <v>1480</v>
      </c>
      <c r="K315" s="15">
        <v>901</v>
      </c>
      <c r="L315" s="15" t="s">
        <v>80</v>
      </c>
      <c r="M315" s="15" t="s">
        <v>81</v>
      </c>
      <c r="N315" s="11" t="s">
        <v>1406</v>
      </c>
      <c r="O315" s="11" t="s">
        <v>46</v>
      </c>
      <c r="P315" s="11" t="s">
        <v>33</v>
      </c>
      <c r="Q315" s="15">
        <v>0</v>
      </c>
      <c r="R315" s="11" t="s">
        <v>1386</v>
      </c>
      <c r="S315" s="10">
        <v>140.11972159742001</v>
      </c>
      <c r="T315" s="15">
        <v>80</v>
      </c>
      <c r="U315" s="15">
        <v>0</v>
      </c>
      <c r="V315" s="15">
        <v>1</v>
      </c>
      <c r="W315" s="15">
        <v>1</v>
      </c>
      <c r="X315" s="15">
        <f>IF(O315='Udvaskning nøgletal'!$D$65,1,IF(O315='Udvaskning nøgletal'!$D$66,2,IF(O315='Udvaskning nøgletal'!$D$67,3,IF(O315='Udvaskning nøgletal'!$D$68,2,""))))</f>
        <v>2</v>
      </c>
      <c r="Y315" s="15">
        <f>LOOKUP(K315,'Udvaskning nøgletal'!$C$12:$C$60,'Udvaskning nøgletal'!$H$12:$H$60)</f>
        <v>0</v>
      </c>
      <c r="Z315" s="10">
        <f>IF(X315=1,LOOKUP(K315,'Udvaskning nøgletal'!$C$12:$C$60,'Udvaskning nøgletal'!$E$12:$E$60)+Markniveau!Y315*Markniveau!S315/100,IF(X315=2,LOOKUP(K315,'Udvaskning nøgletal'!$C$12:$C$60,'Udvaskning nøgletal'!$F$12:$F$60)+Markniveau!Y315*Markniveau!S315/100,IF(X315=3,LOOKUP(K315,'Udvaskning nøgletal'!$C$12:$C$60,'Udvaskning nøgletal'!G325:G373)+Markniveau!Y315*Markniveau!S315/100,"")))</f>
        <v>10</v>
      </c>
      <c r="AA315" s="10">
        <f t="shared" si="46"/>
        <v>3.5</v>
      </c>
      <c r="AB315" s="10" t="str">
        <f t="shared" si="45"/>
        <v/>
      </c>
      <c r="AC315" s="10" t="str">
        <f t="shared" si="47"/>
        <v/>
      </c>
      <c r="AD315" s="10">
        <f>IF(AND(Q315&gt;0,Q315&lt;30,K315&lt;8),Markniveau!Z315*'Udvaskning nøgletal'!$I$12/100,IF(AND(Q315&gt;0,Q315&lt;30,K315=216),Markniveau!Z315*'Udvaskning nøgletal'!$I$34/100,Markniveau!Z315))</f>
        <v>10</v>
      </c>
      <c r="AE315" s="10">
        <f t="shared" si="53"/>
        <v>3.5</v>
      </c>
      <c r="AF315" s="10" t="str">
        <f t="shared" si="48"/>
        <v/>
      </c>
      <c r="AG315" s="10" t="str">
        <f t="shared" si="54"/>
        <v/>
      </c>
      <c r="AH315" s="10" t="str">
        <f>IF(AND(Q315&gt;0,Q315&lt;30,K315=216),'Udvaskning nøgletal'!$C$42,IF(AND(Q315&gt;0,Q315&lt;30,K315&gt;7,K315&lt;17),'Udvaskning nøgletal'!$C$61,IF(AND(Q315&gt;0,Q315&lt;30,K315&lt;7),'Udvaskning nøgletal'!$C$62,"")))</f>
        <v/>
      </c>
      <c r="AI315" s="10">
        <f t="shared" si="50"/>
        <v>901</v>
      </c>
      <c r="AJ315" s="10">
        <f>IF($X315=1,LOOKUP(AI315,'Udvaskning nøgletal'!$C$12:$C$62,'Udvaskning nøgletal'!$E$12:$E$62)+Markniveau!$Y315*Markniveau!$S315/100,IF($X315=2,LOOKUP(AI315,'Udvaskning nøgletal'!$C$12:$C$62,'Udvaskning nøgletal'!$F$12:$F$62)+Markniveau!$Y315*Markniveau!$S315/100,IF($X315=3,LOOKUP(AI315,'Udvaskning nøgletal'!$C$12:$C$62,'Udvaskning nøgletal'!Q325:Q375)+Markniveau!$Y315*Markniveau!$S315/100,"")))</f>
        <v>10</v>
      </c>
      <c r="AK315" s="10">
        <f t="shared" si="49"/>
        <v>3.5</v>
      </c>
      <c r="AL315" s="10" t="str">
        <f t="shared" si="51"/>
        <v/>
      </c>
      <c r="AM315" s="10" t="str">
        <f t="shared" si="52"/>
        <v/>
      </c>
    </row>
    <row r="316" spans="1:39" x14ac:dyDescent="0.25">
      <c r="A316" s="15">
        <v>14571094</v>
      </c>
      <c r="B316" s="15">
        <v>115.72</v>
      </c>
      <c r="C316" s="15">
        <v>418655</v>
      </c>
      <c r="D316" s="15">
        <v>66068</v>
      </c>
      <c r="E316" s="15" t="s">
        <v>306</v>
      </c>
      <c r="F316" s="15">
        <v>2011</v>
      </c>
      <c r="G316" s="15">
        <v>20110308</v>
      </c>
      <c r="H316" s="15">
        <v>108386</v>
      </c>
      <c r="I316" s="15">
        <v>10.84</v>
      </c>
      <c r="J316" s="6" t="s">
        <v>312</v>
      </c>
      <c r="K316" s="15">
        <v>101</v>
      </c>
      <c r="L316" s="15" t="s">
        <v>313</v>
      </c>
      <c r="M316" s="15" t="s">
        <v>5</v>
      </c>
      <c r="N316" s="11" t="s">
        <v>1406</v>
      </c>
      <c r="O316" s="11" t="s">
        <v>46</v>
      </c>
      <c r="P316" s="11" t="s">
        <v>33</v>
      </c>
      <c r="Q316" s="15">
        <v>25</v>
      </c>
      <c r="R316" s="11" t="s">
        <v>7</v>
      </c>
      <c r="S316" s="10">
        <v>140.11972159742001</v>
      </c>
      <c r="T316" s="15">
        <v>80</v>
      </c>
      <c r="U316" s="15">
        <v>0</v>
      </c>
      <c r="V316" s="15">
        <v>1</v>
      </c>
      <c r="W316" s="15">
        <v>1</v>
      </c>
      <c r="X316" s="15">
        <f>IF(O316='Udvaskning nøgletal'!$D$65,1,IF(O316='Udvaskning nøgletal'!$D$66,2,IF(O316='Udvaskning nøgletal'!$D$67,3,IF(O316='Udvaskning nøgletal'!$D$68,2,""))))</f>
        <v>2</v>
      </c>
      <c r="Y316" s="15">
        <f>LOOKUP(K316,'Udvaskning nøgletal'!$C$12:$C$60,'Udvaskning nøgletal'!$H$12:$H$60)</f>
        <v>5</v>
      </c>
      <c r="Z316" s="10">
        <f>IF(X316=1,LOOKUP(K316,'Udvaskning nøgletal'!$C$12:$C$60,'Udvaskning nøgletal'!$E$12:$E$60)+Markniveau!Y316*Markniveau!S316/100,IF(X316=2,LOOKUP(K316,'Udvaskning nøgletal'!$C$12:$C$60,'Udvaskning nøgletal'!$F$12:$F$60)+Markniveau!Y316*Markniveau!S316/100,IF(X316=3,LOOKUP(K316,'Udvaskning nøgletal'!$C$12:$C$60,'Udvaskning nøgletal'!G326:G374)+Markniveau!Y316*Markniveau!S316/100,"")))</f>
        <v>30.325986079871001</v>
      </c>
      <c r="AA316" s="10">
        <f t="shared" si="46"/>
        <v>328.73368910580166</v>
      </c>
      <c r="AB316" s="10">
        <f t="shared" si="45"/>
        <v>22.744489559903251</v>
      </c>
      <c r="AC316" s="10">
        <f t="shared" si="47"/>
        <v>246.55026682935124</v>
      </c>
      <c r="AD316" s="10">
        <f>IF(AND(Q316&gt;0,Q316&lt;30,K316&lt;8),Markniveau!Z316*'Udvaskning nøgletal'!$I$12/100,IF(AND(Q316&gt;0,Q316&lt;30,K316=216),Markniveau!Z316*'Udvaskning nøgletal'!$I$34/100,Markniveau!Z316))</f>
        <v>30.325986079871001</v>
      </c>
      <c r="AE316" s="10">
        <f t="shared" si="53"/>
        <v>328.73368910580166</v>
      </c>
      <c r="AF316" s="10">
        <f t="shared" si="48"/>
        <v>22.744489559903251</v>
      </c>
      <c r="AG316" s="10">
        <f t="shared" si="54"/>
        <v>246.55026682935124</v>
      </c>
      <c r="AH316" s="10" t="str">
        <f>IF(AND(Q316&gt;0,Q316&lt;30,K316=216),'Udvaskning nøgletal'!$C$42,IF(AND(Q316&gt;0,Q316&lt;30,K316&gt;7,K316&lt;17),'Udvaskning nøgletal'!$C$61,IF(AND(Q316&gt;0,Q316&lt;30,K316&lt;7),'Udvaskning nøgletal'!$C$62,"")))</f>
        <v/>
      </c>
      <c r="AI316" s="10">
        <f t="shared" si="50"/>
        <v>101</v>
      </c>
      <c r="AJ316" s="10">
        <f>IF($X316=1,LOOKUP(AI316,'Udvaskning nøgletal'!$C$12:$C$62,'Udvaskning nøgletal'!$E$12:$E$62)+Markniveau!$Y316*Markniveau!$S316/100,IF($X316=2,LOOKUP(AI316,'Udvaskning nøgletal'!$C$12:$C$62,'Udvaskning nøgletal'!$F$12:$F$62)+Markniveau!$Y316*Markniveau!$S316/100,IF($X316=3,LOOKUP(AI316,'Udvaskning nøgletal'!$C$12:$C$62,'Udvaskning nøgletal'!Q326:Q376)+Markniveau!$Y316*Markniveau!$S316/100,"")))</f>
        <v>30.325986079871001</v>
      </c>
      <c r="AK316" s="10">
        <f t="shared" si="49"/>
        <v>328.73368910580166</v>
      </c>
      <c r="AL316" s="10">
        <f t="shared" si="51"/>
        <v>22.744489559903251</v>
      </c>
      <c r="AM316" s="10">
        <f t="shared" si="52"/>
        <v>246.55026682935124</v>
      </c>
    </row>
    <row r="317" spans="1:39" x14ac:dyDescent="0.25">
      <c r="A317" s="15">
        <v>14571094</v>
      </c>
      <c r="B317" s="15">
        <v>115.72</v>
      </c>
      <c r="C317" s="15">
        <v>418656</v>
      </c>
      <c r="D317" s="15">
        <v>66068</v>
      </c>
      <c r="E317" s="15" t="s">
        <v>306</v>
      </c>
      <c r="F317" s="15">
        <v>2011</v>
      </c>
      <c r="G317" s="15">
        <v>20110308</v>
      </c>
      <c r="H317" s="15">
        <v>27754</v>
      </c>
      <c r="I317" s="15">
        <v>2.78</v>
      </c>
      <c r="J317" s="6" t="s">
        <v>314</v>
      </c>
      <c r="K317" s="15">
        <v>260</v>
      </c>
      <c r="L317" s="15" t="s">
        <v>45</v>
      </c>
      <c r="M317" s="15" t="s">
        <v>5</v>
      </c>
      <c r="N317" s="11" t="s">
        <v>1406</v>
      </c>
      <c r="O317" s="11" t="s">
        <v>46</v>
      </c>
      <c r="P317" s="11" t="s">
        <v>33</v>
      </c>
      <c r="Q317" s="15">
        <v>25</v>
      </c>
      <c r="R317" s="11" t="s">
        <v>7</v>
      </c>
      <c r="S317" s="10">
        <v>140.11972159742001</v>
      </c>
      <c r="T317" s="15">
        <v>80</v>
      </c>
      <c r="U317" s="15">
        <v>0</v>
      </c>
      <c r="V317" s="15">
        <v>1</v>
      </c>
      <c r="W317" s="15">
        <v>1</v>
      </c>
      <c r="X317" s="15">
        <f>IF(O317='Udvaskning nøgletal'!$D$65,1,IF(O317='Udvaskning nøgletal'!$D$66,2,IF(O317='Udvaskning nøgletal'!$D$67,3,IF(O317='Udvaskning nøgletal'!$D$68,2,""))))</f>
        <v>2</v>
      </c>
      <c r="Y317" s="15">
        <f>LOOKUP(K317,'Udvaskning nøgletal'!$C$12:$C$60,'Udvaskning nøgletal'!$H$12:$H$60)</f>
        <v>0</v>
      </c>
      <c r="Z317" s="10">
        <f>IF(X317=1,LOOKUP(K317,'Udvaskning nøgletal'!$C$12:$C$60,'Udvaskning nøgletal'!$E$12:$E$60)+Markniveau!Y317*Markniveau!S317/100,IF(X317=2,LOOKUP(K317,'Udvaskning nøgletal'!$C$12:$C$60,'Udvaskning nøgletal'!$F$12:$F$60)+Markniveau!Y317*Markniveau!S317/100,IF(X317=3,LOOKUP(K317,'Udvaskning nøgletal'!$C$12:$C$60,'Udvaskning nøgletal'!G327:G375)+Markniveau!Y317*Markniveau!S317/100,"")))</f>
        <v>27.331185321443094</v>
      </c>
      <c r="AA317" s="10">
        <f t="shared" si="46"/>
        <v>75.980695193611794</v>
      </c>
      <c r="AB317" s="10">
        <f t="shared" si="45"/>
        <v>20.498388991082319</v>
      </c>
      <c r="AC317" s="10">
        <f t="shared" si="47"/>
        <v>56.985521395208842</v>
      </c>
      <c r="AD317" s="10">
        <f>IF(AND(Q317&gt;0,Q317&lt;30,K317&lt;8),Markniveau!Z317*'Udvaskning nøgletal'!$I$12/100,IF(AND(Q317&gt;0,Q317&lt;30,K317=216),Markniveau!Z317*'Udvaskning nøgletal'!$I$34/100,Markniveau!Z317))</f>
        <v>27.331185321443094</v>
      </c>
      <c r="AE317" s="10">
        <f t="shared" si="53"/>
        <v>75.980695193611794</v>
      </c>
      <c r="AF317" s="10">
        <f t="shared" si="48"/>
        <v>20.498388991082319</v>
      </c>
      <c r="AG317" s="10">
        <f t="shared" si="54"/>
        <v>56.985521395208842</v>
      </c>
      <c r="AH317" s="10" t="str">
        <f>IF(AND(Q317&gt;0,Q317&lt;30,K317=216),'Udvaskning nøgletal'!$C$42,IF(AND(Q317&gt;0,Q317&lt;30,K317&gt;7,K317&lt;17),'Udvaskning nøgletal'!$C$61,IF(AND(Q317&gt;0,Q317&lt;30,K317&lt;7),'Udvaskning nøgletal'!$C$62,"")))</f>
        <v/>
      </c>
      <c r="AI317" s="10">
        <f t="shared" si="50"/>
        <v>260</v>
      </c>
      <c r="AJ317" s="10">
        <f>IF($X317=1,LOOKUP(AI317,'Udvaskning nøgletal'!$C$12:$C$62,'Udvaskning nøgletal'!$E$12:$E$62)+Markniveau!$Y317*Markniveau!$S317/100,IF($X317=2,LOOKUP(AI317,'Udvaskning nøgletal'!$C$12:$C$62,'Udvaskning nøgletal'!$F$12:$F$62)+Markniveau!$Y317*Markniveau!$S317/100,IF($X317=3,LOOKUP(AI317,'Udvaskning nøgletal'!$C$12:$C$62,'Udvaskning nøgletal'!Q327:Q377)+Markniveau!$Y317*Markniveau!$S317/100,"")))</f>
        <v>27.331185321443094</v>
      </c>
      <c r="AK317" s="10">
        <f t="shared" si="49"/>
        <v>75.980695193611794</v>
      </c>
      <c r="AL317" s="10">
        <f t="shared" si="51"/>
        <v>20.498388991082319</v>
      </c>
      <c r="AM317" s="10">
        <f t="shared" si="52"/>
        <v>56.985521395208842</v>
      </c>
    </row>
    <row r="318" spans="1:39" x14ac:dyDescent="0.25">
      <c r="A318" s="15">
        <v>14571094</v>
      </c>
      <c r="B318" s="15">
        <v>115.72</v>
      </c>
      <c r="C318" s="15">
        <v>418657</v>
      </c>
      <c r="D318" s="15">
        <v>66068</v>
      </c>
      <c r="E318" s="15" t="s">
        <v>315</v>
      </c>
      <c r="F318" s="15">
        <v>2011</v>
      </c>
      <c r="G318" s="15">
        <v>20110308</v>
      </c>
      <c r="H318" s="15">
        <v>13732</v>
      </c>
      <c r="I318" s="15">
        <v>1.37</v>
      </c>
      <c r="J318" s="6" t="s">
        <v>1417</v>
      </c>
      <c r="K318" s="15">
        <v>260</v>
      </c>
      <c r="L318" s="15" t="s">
        <v>45</v>
      </c>
      <c r="M318" s="15" t="s">
        <v>5</v>
      </c>
      <c r="N318" s="11" t="s">
        <v>1384</v>
      </c>
      <c r="O318" s="11" t="s">
        <v>28</v>
      </c>
      <c r="P318" s="11" t="s">
        <v>33</v>
      </c>
      <c r="Q318" s="15">
        <v>0</v>
      </c>
      <c r="R318" s="11" t="s">
        <v>1386</v>
      </c>
      <c r="S318" s="10">
        <v>140.11972159742001</v>
      </c>
      <c r="T318" s="15">
        <v>80</v>
      </c>
      <c r="U318" s="15">
        <v>0</v>
      </c>
      <c r="V318" s="15">
        <v>1</v>
      </c>
      <c r="W318" s="15">
        <v>1</v>
      </c>
      <c r="X318" s="15">
        <f>IF(O318='Udvaskning nøgletal'!$D$65,1,IF(O318='Udvaskning nøgletal'!$D$66,2,IF(O318='Udvaskning nøgletal'!$D$67,3,IF(O318='Udvaskning nøgletal'!$D$68,2,""))))</f>
        <v>1</v>
      </c>
      <c r="Y318" s="15">
        <f>LOOKUP(K318,'Udvaskning nøgletal'!$C$12:$C$60,'Udvaskning nøgletal'!$H$12:$H$60)</f>
        <v>0</v>
      </c>
      <c r="Z318" s="10">
        <f>IF(X318=1,LOOKUP(K318,'Udvaskning nøgletal'!$C$12:$C$60,'Udvaskning nøgletal'!$E$12:$E$60)+Markniveau!Y318*Markniveau!S318/100,IF(X318=2,LOOKUP(K318,'Udvaskning nøgletal'!$C$12:$C$60,'Udvaskning nøgletal'!$F$12:$F$60)+Markniveau!Y318*Markniveau!S318/100,IF(X318=3,LOOKUP(K318,'Udvaskning nøgletal'!$C$12:$C$60,'Udvaskning nøgletal'!G328:G376)+Markniveau!Y318*Markniveau!S318/100,"")))</f>
        <v>33.723295792149436</v>
      </c>
      <c r="AA318" s="10">
        <f t="shared" si="46"/>
        <v>46.200915235244729</v>
      </c>
      <c r="AB318" s="10" t="str">
        <f t="shared" si="45"/>
        <v/>
      </c>
      <c r="AC318" s="10" t="str">
        <f t="shared" si="47"/>
        <v/>
      </c>
      <c r="AD318" s="10">
        <f>IF(AND(Q318&gt;0,Q318&lt;30,K318&lt;8),Markniveau!Z318*'Udvaskning nøgletal'!$I$12/100,IF(AND(Q318&gt;0,Q318&lt;30,K318=216),Markniveau!Z318*'Udvaskning nøgletal'!$I$34/100,Markniveau!Z318))</f>
        <v>33.723295792149436</v>
      </c>
      <c r="AE318" s="10">
        <f t="shared" si="53"/>
        <v>46.200915235244729</v>
      </c>
      <c r="AF318" s="10" t="str">
        <f t="shared" si="48"/>
        <v/>
      </c>
      <c r="AG318" s="10" t="str">
        <f t="shared" si="54"/>
        <v/>
      </c>
      <c r="AH318" s="10" t="str">
        <f>IF(AND(Q318&gt;0,Q318&lt;30,K318=216),'Udvaskning nøgletal'!$C$42,IF(AND(Q318&gt;0,Q318&lt;30,K318&gt;7,K318&lt;17),'Udvaskning nøgletal'!$C$61,IF(AND(Q318&gt;0,Q318&lt;30,K318&lt;7),'Udvaskning nøgletal'!$C$62,"")))</f>
        <v/>
      </c>
      <c r="AI318" s="10">
        <f t="shared" si="50"/>
        <v>260</v>
      </c>
      <c r="AJ318" s="10">
        <f>IF($X318=1,LOOKUP(AI318,'Udvaskning nøgletal'!$C$12:$C$62,'Udvaskning nøgletal'!$E$12:$E$62)+Markniveau!$Y318*Markniveau!$S318/100,IF($X318=2,LOOKUP(AI318,'Udvaskning nøgletal'!$C$12:$C$62,'Udvaskning nøgletal'!$F$12:$F$62)+Markniveau!$Y318*Markniveau!$S318/100,IF($X318=3,LOOKUP(AI318,'Udvaskning nøgletal'!$C$12:$C$62,'Udvaskning nøgletal'!Q328:Q378)+Markniveau!$Y318*Markniveau!$S318/100,"")))</f>
        <v>33.723295792149436</v>
      </c>
      <c r="AK318" s="10">
        <f t="shared" si="49"/>
        <v>46.200915235244729</v>
      </c>
      <c r="AL318" s="10" t="str">
        <f t="shared" si="51"/>
        <v/>
      </c>
      <c r="AM318" s="10" t="str">
        <f t="shared" si="52"/>
        <v/>
      </c>
    </row>
    <row r="319" spans="1:39" x14ac:dyDescent="0.25">
      <c r="A319" s="15">
        <v>14571094</v>
      </c>
      <c r="B319" s="15">
        <v>115.72</v>
      </c>
      <c r="C319" s="15">
        <v>418658</v>
      </c>
      <c r="D319" s="15">
        <v>66068</v>
      </c>
      <c r="E319" s="15" t="s">
        <v>316</v>
      </c>
      <c r="F319" s="15">
        <v>2011</v>
      </c>
      <c r="G319" s="15">
        <v>20110308</v>
      </c>
      <c r="H319" s="15">
        <v>21720</v>
      </c>
      <c r="I319" s="15">
        <v>2.17</v>
      </c>
      <c r="J319" s="6" t="s">
        <v>1392</v>
      </c>
      <c r="K319" s="15">
        <v>260</v>
      </c>
      <c r="L319" s="15" t="s">
        <v>45</v>
      </c>
      <c r="M319" s="15" t="s">
        <v>5</v>
      </c>
      <c r="N319" s="11" t="s">
        <v>1384</v>
      </c>
      <c r="O319" s="11" t="s">
        <v>28</v>
      </c>
      <c r="P319" s="11" t="s">
        <v>33</v>
      </c>
      <c r="Q319" s="15">
        <v>0</v>
      </c>
      <c r="R319" s="11" t="s">
        <v>1386</v>
      </c>
      <c r="S319" s="10">
        <v>140.11972159742001</v>
      </c>
      <c r="T319" s="15">
        <v>80</v>
      </c>
      <c r="U319" s="15">
        <v>0</v>
      </c>
      <c r="V319" s="15">
        <v>1</v>
      </c>
      <c r="W319" s="15">
        <v>1</v>
      </c>
      <c r="X319" s="15">
        <f>IF(O319='Udvaskning nøgletal'!$D$65,1,IF(O319='Udvaskning nøgletal'!$D$66,2,IF(O319='Udvaskning nøgletal'!$D$67,3,IF(O319='Udvaskning nøgletal'!$D$68,2,""))))</f>
        <v>1</v>
      </c>
      <c r="Y319" s="15">
        <f>LOOKUP(K319,'Udvaskning nøgletal'!$C$12:$C$60,'Udvaskning nøgletal'!$H$12:$H$60)</f>
        <v>0</v>
      </c>
      <c r="Z319" s="10">
        <f>IF(X319=1,LOOKUP(K319,'Udvaskning nøgletal'!$C$12:$C$60,'Udvaskning nøgletal'!$E$12:$E$60)+Markniveau!Y319*Markniveau!S319/100,IF(X319=2,LOOKUP(K319,'Udvaskning nøgletal'!$C$12:$C$60,'Udvaskning nøgletal'!$F$12:$F$60)+Markniveau!Y319*Markniveau!S319/100,IF(X319=3,LOOKUP(K319,'Udvaskning nøgletal'!$C$12:$C$60,'Udvaskning nøgletal'!G329:G377)+Markniveau!Y319*Markniveau!S319/100,"")))</f>
        <v>33.723295792149436</v>
      </c>
      <c r="AA319" s="10">
        <f t="shared" si="46"/>
        <v>73.179551868964268</v>
      </c>
      <c r="AB319" s="10" t="str">
        <f t="shared" si="45"/>
        <v/>
      </c>
      <c r="AC319" s="10" t="str">
        <f t="shared" si="47"/>
        <v/>
      </c>
      <c r="AD319" s="10">
        <f>IF(AND(Q319&gt;0,Q319&lt;30,K319&lt;8),Markniveau!Z319*'Udvaskning nøgletal'!$I$12/100,IF(AND(Q319&gt;0,Q319&lt;30,K319=216),Markniveau!Z319*'Udvaskning nøgletal'!$I$34/100,Markniveau!Z319))</f>
        <v>33.723295792149436</v>
      </c>
      <c r="AE319" s="10">
        <f t="shared" si="53"/>
        <v>73.179551868964268</v>
      </c>
      <c r="AF319" s="10" t="str">
        <f t="shared" si="48"/>
        <v/>
      </c>
      <c r="AG319" s="10" t="str">
        <f t="shared" si="54"/>
        <v/>
      </c>
      <c r="AH319" s="10" t="str">
        <f>IF(AND(Q319&gt;0,Q319&lt;30,K319=216),'Udvaskning nøgletal'!$C$42,IF(AND(Q319&gt;0,Q319&lt;30,K319&gt;7,K319&lt;17),'Udvaskning nøgletal'!$C$61,IF(AND(Q319&gt;0,Q319&lt;30,K319&lt;7),'Udvaskning nøgletal'!$C$62,"")))</f>
        <v/>
      </c>
      <c r="AI319" s="10">
        <f t="shared" si="50"/>
        <v>260</v>
      </c>
      <c r="AJ319" s="10">
        <f>IF($X319=1,LOOKUP(AI319,'Udvaskning nøgletal'!$C$12:$C$62,'Udvaskning nøgletal'!$E$12:$E$62)+Markniveau!$Y319*Markniveau!$S319/100,IF($X319=2,LOOKUP(AI319,'Udvaskning nøgletal'!$C$12:$C$62,'Udvaskning nøgletal'!$F$12:$F$62)+Markniveau!$Y319*Markniveau!$S319/100,IF($X319=3,LOOKUP(AI319,'Udvaskning nøgletal'!$C$12:$C$62,'Udvaskning nøgletal'!Q329:Q379)+Markniveau!$Y319*Markniveau!$S319/100,"")))</f>
        <v>33.723295792149436</v>
      </c>
      <c r="AK319" s="10">
        <f t="shared" si="49"/>
        <v>73.179551868964268</v>
      </c>
      <c r="AL319" s="10" t="str">
        <f t="shared" si="51"/>
        <v/>
      </c>
      <c r="AM319" s="10" t="str">
        <f t="shared" si="52"/>
        <v/>
      </c>
    </row>
    <row r="320" spans="1:39" x14ac:dyDescent="0.25">
      <c r="A320" s="15">
        <v>14571094</v>
      </c>
      <c r="B320" s="15">
        <v>115.72</v>
      </c>
      <c r="C320" s="15">
        <v>419183</v>
      </c>
      <c r="D320" s="15">
        <v>66068</v>
      </c>
      <c r="E320" s="15" t="s">
        <v>317</v>
      </c>
      <c r="F320" s="15">
        <v>2011</v>
      </c>
      <c r="G320" s="15">
        <v>20110308</v>
      </c>
      <c r="H320" s="15">
        <v>33169</v>
      </c>
      <c r="I320" s="15">
        <v>3.32</v>
      </c>
      <c r="J320" s="6" t="s">
        <v>61</v>
      </c>
      <c r="K320" s="15">
        <v>260</v>
      </c>
      <c r="L320" s="15" t="s">
        <v>45</v>
      </c>
      <c r="M320" s="15" t="s">
        <v>5</v>
      </c>
      <c r="N320" s="11" t="s">
        <v>1406</v>
      </c>
      <c r="O320" s="11" t="s">
        <v>46</v>
      </c>
      <c r="P320" s="11" t="s">
        <v>29</v>
      </c>
      <c r="Q320" s="15">
        <v>95</v>
      </c>
      <c r="R320" s="11" t="s">
        <v>3</v>
      </c>
      <c r="S320" s="10">
        <v>140.11972159742001</v>
      </c>
      <c r="T320" s="15">
        <v>80</v>
      </c>
      <c r="U320" s="15">
        <v>0</v>
      </c>
      <c r="V320" s="15">
        <v>1</v>
      </c>
      <c r="W320" s="15">
        <v>1</v>
      </c>
      <c r="X320" s="15">
        <f>IF(O320='Udvaskning nøgletal'!$D$65,1,IF(O320='Udvaskning nøgletal'!$D$66,2,IF(O320='Udvaskning nøgletal'!$D$67,3,IF(O320='Udvaskning nøgletal'!$D$68,2,""))))</f>
        <v>2</v>
      </c>
      <c r="Y320" s="15">
        <f>LOOKUP(K320,'Udvaskning nøgletal'!$C$12:$C$60,'Udvaskning nøgletal'!$H$12:$H$60)</f>
        <v>0</v>
      </c>
      <c r="Z320" s="10">
        <f>IF(X320=1,LOOKUP(K320,'Udvaskning nøgletal'!$C$12:$C$60,'Udvaskning nøgletal'!$E$12:$E$60)+Markniveau!Y320*Markniveau!S320/100,IF(X320=2,LOOKUP(K320,'Udvaskning nøgletal'!$C$12:$C$60,'Udvaskning nøgletal'!$F$12:$F$60)+Markniveau!Y320*Markniveau!S320/100,IF(X320=3,LOOKUP(K320,'Udvaskning nøgletal'!$C$12:$C$60,'Udvaskning nøgletal'!G330:G378)+Markniveau!Y320*Markniveau!S320/100,"")))</f>
        <v>27.331185321443094</v>
      </c>
      <c r="AA320" s="10">
        <f t="shared" si="46"/>
        <v>90.739535267191073</v>
      </c>
      <c r="AB320" s="10">
        <f t="shared" si="45"/>
        <v>1.3665592660721546</v>
      </c>
      <c r="AC320" s="10">
        <f t="shared" si="47"/>
        <v>4.5369767633595535</v>
      </c>
      <c r="AD320" s="10">
        <f>IF(AND(Q320&gt;0,Q320&lt;30,K320&lt;8),Markniveau!Z320*'Udvaskning nøgletal'!$I$12/100,IF(AND(Q320&gt;0,Q320&lt;30,K320=216),Markniveau!Z320*'Udvaskning nøgletal'!$I$34/100,Markniveau!Z320))</f>
        <v>27.331185321443094</v>
      </c>
      <c r="AE320" s="10">
        <f t="shared" si="53"/>
        <v>90.739535267191073</v>
      </c>
      <c r="AF320" s="10">
        <f t="shared" si="48"/>
        <v>1.3665592660721546</v>
      </c>
      <c r="AG320" s="10">
        <f t="shared" si="54"/>
        <v>4.5369767633595535</v>
      </c>
      <c r="AH320" s="10" t="str">
        <f>IF(AND(Q320&gt;0,Q320&lt;30,K320=216),'Udvaskning nøgletal'!$C$42,IF(AND(Q320&gt;0,Q320&lt;30,K320&gt;7,K320&lt;17),'Udvaskning nøgletal'!$C$61,IF(AND(Q320&gt;0,Q320&lt;30,K320&lt;7),'Udvaskning nøgletal'!$C$62,"")))</f>
        <v/>
      </c>
      <c r="AI320" s="10">
        <f t="shared" si="50"/>
        <v>260</v>
      </c>
      <c r="AJ320" s="10">
        <f>IF($X320=1,LOOKUP(AI320,'Udvaskning nøgletal'!$C$12:$C$62,'Udvaskning nøgletal'!$E$12:$E$62)+Markniveau!$Y320*Markniveau!$S320/100,IF($X320=2,LOOKUP(AI320,'Udvaskning nøgletal'!$C$12:$C$62,'Udvaskning nøgletal'!$F$12:$F$62)+Markniveau!$Y320*Markniveau!$S320/100,IF($X320=3,LOOKUP(AI320,'Udvaskning nøgletal'!$C$12:$C$62,'Udvaskning nøgletal'!Q330:Q380)+Markniveau!$Y320*Markniveau!$S320/100,"")))</f>
        <v>27.331185321443094</v>
      </c>
      <c r="AK320" s="10">
        <f t="shared" si="49"/>
        <v>90.739535267191073</v>
      </c>
      <c r="AL320" s="10">
        <f t="shared" si="51"/>
        <v>1.3665592660721546</v>
      </c>
      <c r="AM320" s="10">
        <f t="shared" si="52"/>
        <v>4.5369767633595535</v>
      </c>
    </row>
    <row r="321" spans="1:39" x14ac:dyDescent="0.25">
      <c r="A321" s="15">
        <v>14571094</v>
      </c>
      <c r="B321" s="15">
        <v>115.72</v>
      </c>
      <c r="C321" s="15">
        <v>419184</v>
      </c>
      <c r="D321" s="15">
        <v>66068</v>
      </c>
      <c r="E321" s="15" t="s">
        <v>318</v>
      </c>
      <c r="F321" s="15">
        <v>2011</v>
      </c>
      <c r="G321" s="15">
        <v>20110308</v>
      </c>
      <c r="H321" s="15">
        <v>79225</v>
      </c>
      <c r="I321" s="15">
        <v>7.92</v>
      </c>
      <c r="J321" s="6" t="s">
        <v>37</v>
      </c>
      <c r="K321" s="15">
        <v>230</v>
      </c>
      <c r="L321" s="15" t="s">
        <v>120</v>
      </c>
      <c r="M321" s="15" t="s">
        <v>5</v>
      </c>
      <c r="N321" s="11" t="s">
        <v>1406</v>
      </c>
      <c r="O321" s="11" t="s">
        <v>46</v>
      </c>
      <c r="P321" s="11" t="s">
        <v>29</v>
      </c>
      <c r="Q321" s="15">
        <v>95</v>
      </c>
      <c r="R321" s="11" t="s">
        <v>3</v>
      </c>
      <c r="S321" s="10">
        <v>140.11972159742001</v>
      </c>
      <c r="T321" s="15">
        <v>80</v>
      </c>
      <c r="U321" s="15">
        <v>0</v>
      </c>
      <c r="V321" s="15">
        <v>1</v>
      </c>
      <c r="W321" s="15">
        <v>1</v>
      </c>
      <c r="X321" s="15">
        <f>IF(O321='Udvaskning nøgletal'!$D$65,1,IF(O321='Udvaskning nøgletal'!$D$66,2,IF(O321='Udvaskning nøgletal'!$D$67,3,IF(O321='Udvaskning nøgletal'!$D$68,2,""))))</f>
        <v>2</v>
      </c>
      <c r="Y321" s="15">
        <f>LOOKUP(K321,'Udvaskning nøgletal'!$C$12:$C$60,'Udvaskning nøgletal'!$H$12:$H$60)</f>
        <v>0</v>
      </c>
      <c r="Z321" s="10">
        <f>IF(X321=1,LOOKUP(K321,'Udvaskning nøgletal'!$C$12:$C$60,'Udvaskning nøgletal'!$E$12:$E$60)+Markniveau!Y321*Markniveau!S321/100,IF(X321=2,LOOKUP(K321,'Udvaskning nøgletal'!$C$12:$C$60,'Udvaskning nøgletal'!$F$12:$F$60)+Markniveau!Y321*Markniveau!S321/100,IF(X321=3,LOOKUP(K321,'Udvaskning nøgletal'!$C$12:$C$60,'Udvaskning nøgletal'!G331:G379)+Markniveau!Y321*Markniveau!S321/100,"")))</f>
        <v>31.161328188970323</v>
      </c>
      <c r="AA321" s="10">
        <f t="shared" si="46"/>
        <v>246.79771925664497</v>
      </c>
      <c r="AB321" s="10">
        <f t="shared" si="45"/>
        <v>1.5580664094485162</v>
      </c>
      <c r="AC321" s="10">
        <f t="shared" si="47"/>
        <v>12.339885962832248</v>
      </c>
      <c r="AD321" s="10">
        <f>IF(AND(Q321&gt;0,Q321&lt;30,K321&lt;8),Markniveau!Z321*'Udvaskning nøgletal'!$I$12/100,IF(AND(Q321&gt;0,Q321&lt;30,K321=216),Markniveau!Z321*'Udvaskning nøgletal'!$I$34/100,Markniveau!Z321))</f>
        <v>31.161328188970323</v>
      </c>
      <c r="AE321" s="10">
        <f t="shared" si="53"/>
        <v>246.79771925664497</v>
      </c>
      <c r="AF321" s="10">
        <f t="shared" si="48"/>
        <v>1.5580664094485162</v>
      </c>
      <c r="AG321" s="10">
        <f t="shared" si="54"/>
        <v>12.339885962832248</v>
      </c>
      <c r="AH321" s="10" t="str">
        <f>IF(AND(Q321&gt;0,Q321&lt;30,K321=216),'Udvaskning nøgletal'!$C$42,IF(AND(Q321&gt;0,Q321&lt;30,K321&gt;7,K321&lt;17),'Udvaskning nøgletal'!$C$61,IF(AND(Q321&gt;0,Q321&lt;30,K321&lt;7),'Udvaskning nøgletal'!$C$62,"")))</f>
        <v/>
      </c>
      <c r="AI321" s="10">
        <f t="shared" si="50"/>
        <v>230</v>
      </c>
      <c r="AJ321" s="10">
        <f>IF($X321=1,LOOKUP(AI321,'Udvaskning nøgletal'!$C$12:$C$62,'Udvaskning nøgletal'!$E$12:$E$62)+Markniveau!$Y321*Markniveau!$S321/100,IF($X321=2,LOOKUP(AI321,'Udvaskning nøgletal'!$C$12:$C$62,'Udvaskning nøgletal'!$F$12:$F$62)+Markniveau!$Y321*Markniveau!$S321/100,IF($X321=3,LOOKUP(AI321,'Udvaskning nøgletal'!$C$12:$C$62,'Udvaskning nøgletal'!Q331:Q381)+Markniveau!$Y321*Markniveau!$S321/100,"")))</f>
        <v>31.161328188970323</v>
      </c>
      <c r="AK321" s="10">
        <f t="shared" si="49"/>
        <v>246.79771925664497</v>
      </c>
      <c r="AL321" s="10">
        <f t="shared" si="51"/>
        <v>1.5580664094485162</v>
      </c>
      <c r="AM321" s="10">
        <f t="shared" si="52"/>
        <v>12.339885962832248</v>
      </c>
    </row>
    <row r="322" spans="1:39" x14ac:dyDescent="0.25">
      <c r="A322" s="15">
        <v>14571094</v>
      </c>
      <c r="B322" s="15">
        <v>115.72</v>
      </c>
      <c r="C322" s="15">
        <v>419186</v>
      </c>
      <c r="D322" s="15">
        <v>66068</v>
      </c>
      <c r="E322" s="15" t="s">
        <v>319</v>
      </c>
      <c r="F322" s="15">
        <v>2011</v>
      </c>
      <c r="G322" s="15">
        <v>20110308</v>
      </c>
      <c r="H322" s="15">
        <v>62636</v>
      </c>
      <c r="I322" s="15">
        <v>6.26</v>
      </c>
      <c r="J322" s="6" t="s">
        <v>69</v>
      </c>
      <c r="K322" s="15">
        <v>260</v>
      </c>
      <c r="L322" s="15" t="s">
        <v>45</v>
      </c>
      <c r="M322" s="15" t="s">
        <v>5</v>
      </c>
      <c r="N322" s="11" t="s">
        <v>1406</v>
      </c>
      <c r="O322" s="11" t="s">
        <v>46</v>
      </c>
      <c r="P322" s="11" t="s">
        <v>29</v>
      </c>
      <c r="Q322" s="15">
        <v>2</v>
      </c>
      <c r="R322" s="11" t="s">
        <v>11</v>
      </c>
      <c r="S322" s="10">
        <v>140.11972159742001</v>
      </c>
      <c r="T322" s="15">
        <v>80</v>
      </c>
      <c r="U322" s="15">
        <v>0</v>
      </c>
      <c r="V322" s="15">
        <v>1</v>
      </c>
      <c r="W322" s="15">
        <v>1</v>
      </c>
      <c r="X322" s="15">
        <f>IF(O322='Udvaskning nøgletal'!$D$65,1,IF(O322='Udvaskning nøgletal'!$D$66,2,IF(O322='Udvaskning nøgletal'!$D$67,3,IF(O322='Udvaskning nøgletal'!$D$68,2,""))))</f>
        <v>2</v>
      </c>
      <c r="Y322" s="15">
        <f>LOOKUP(K322,'Udvaskning nøgletal'!$C$12:$C$60,'Udvaskning nøgletal'!$H$12:$H$60)</f>
        <v>0</v>
      </c>
      <c r="Z322" s="10">
        <f>IF(X322=1,LOOKUP(K322,'Udvaskning nøgletal'!$C$12:$C$60,'Udvaskning nøgletal'!$E$12:$E$60)+Markniveau!Y322*Markniveau!S322/100,IF(X322=2,LOOKUP(K322,'Udvaskning nøgletal'!$C$12:$C$60,'Udvaskning nøgletal'!$F$12:$F$60)+Markniveau!Y322*Markniveau!S322/100,IF(X322=3,LOOKUP(K322,'Udvaskning nøgletal'!$C$12:$C$60,'Udvaskning nøgletal'!G332:G380)+Markniveau!Y322*Markniveau!S322/100,"")))</f>
        <v>27.331185321443094</v>
      </c>
      <c r="AA322" s="10">
        <f t="shared" si="46"/>
        <v>171.09322011223375</v>
      </c>
      <c r="AB322" s="10">
        <f t="shared" ref="AB322:AB385" si="55">IF(Q322&gt;0,(100-Q322)*Z322/100,"")</f>
        <v>26.78456161501423</v>
      </c>
      <c r="AC322" s="10">
        <f t="shared" si="47"/>
        <v>167.67135570998909</v>
      </c>
      <c r="AD322" s="10">
        <f>IF(AND(Q322&gt;0,Q322&lt;30,K322&lt;8),Markniveau!Z322*'Udvaskning nøgletal'!$I$12/100,IF(AND(Q322&gt;0,Q322&lt;30,K322=216),Markniveau!Z322*'Udvaskning nøgletal'!$I$34/100,Markniveau!Z322))</f>
        <v>27.331185321443094</v>
      </c>
      <c r="AE322" s="10">
        <f t="shared" si="53"/>
        <v>171.09322011223375</v>
      </c>
      <c r="AF322" s="10">
        <f t="shared" si="48"/>
        <v>26.78456161501423</v>
      </c>
      <c r="AG322" s="10">
        <f t="shared" si="54"/>
        <v>167.67135570998909</v>
      </c>
      <c r="AH322" s="10" t="str">
        <f>IF(AND(Q322&gt;0,Q322&lt;30,K322=216),'Udvaskning nøgletal'!$C$42,IF(AND(Q322&gt;0,Q322&lt;30,K322&gt;7,K322&lt;17),'Udvaskning nøgletal'!$C$61,IF(AND(Q322&gt;0,Q322&lt;30,K322&lt;7),'Udvaskning nøgletal'!$C$62,"")))</f>
        <v/>
      </c>
      <c r="AI322" s="10">
        <f t="shared" si="50"/>
        <v>260</v>
      </c>
      <c r="AJ322" s="10">
        <f>IF($X322=1,LOOKUP(AI322,'Udvaskning nøgletal'!$C$12:$C$62,'Udvaskning nøgletal'!$E$12:$E$62)+Markniveau!$Y322*Markniveau!$S322/100,IF($X322=2,LOOKUP(AI322,'Udvaskning nøgletal'!$C$12:$C$62,'Udvaskning nøgletal'!$F$12:$F$62)+Markniveau!$Y322*Markniveau!$S322/100,IF($X322=3,LOOKUP(AI322,'Udvaskning nøgletal'!$C$12:$C$62,'Udvaskning nøgletal'!Q332:Q382)+Markniveau!$Y322*Markniveau!$S322/100,"")))</f>
        <v>27.331185321443094</v>
      </c>
      <c r="AK322" s="10">
        <f t="shared" si="49"/>
        <v>171.09322011223375</v>
      </c>
      <c r="AL322" s="10">
        <f t="shared" si="51"/>
        <v>26.78456161501423</v>
      </c>
      <c r="AM322" s="10">
        <f t="shared" si="52"/>
        <v>167.67135570998909</v>
      </c>
    </row>
    <row r="323" spans="1:39" x14ac:dyDescent="0.25">
      <c r="A323" s="15">
        <v>14571094</v>
      </c>
      <c r="B323" s="15">
        <v>115.72</v>
      </c>
      <c r="C323" s="15">
        <v>419187</v>
      </c>
      <c r="D323" s="15">
        <v>66068</v>
      </c>
      <c r="E323" s="15" t="s">
        <v>319</v>
      </c>
      <c r="F323" s="15">
        <v>2011</v>
      </c>
      <c r="G323" s="15">
        <v>20110308</v>
      </c>
      <c r="H323" s="15">
        <v>5991</v>
      </c>
      <c r="I323" s="15">
        <v>0.6</v>
      </c>
      <c r="J323" s="6" t="s">
        <v>35</v>
      </c>
      <c r="K323" s="15">
        <v>901</v>
      </c>
      <c r="L323" s="15" t="s">
        <v>80</v>
      </c>
      <c r="M323" s="15" t="s">
        <v>81</v>
      </c>
      <c r="N323" s="11" t="s">
        <v>1406</v>
      </c>
      <c r="O323" s="11" t="s">
        <v>46</v>
      </c>
      <c r="P323" s="11" t="s">
        <v>29</v>
      </c>
      <c r="Q323" s="15">
        <v>2</v>
      </c>
      <c r="R323" s="11" t="s">
        <v>11</v>
      </c>
      <c r="S323" s="10">
        <v>140.11972159742001</v>
      </c>
      <c r="T323" s="15">
        <v>80</v>
      </c>
      <c r="U323" s="15">
        <v>0</v>
      </c>
      <c r="V323" s="15">
        <v>1</v>
      </c>
      <c r="W323" s="15">
        <v>1</v>
      </c>
      <c r="X323" s="15">
        <f>IF(O323='Udvaskning nøgletal'!$D$65,1,IF(O323='Udvaskning nøgletal'!$D$66,2,IF(O323='Udvaskning nøgletal'!$D$67,3,IF(O323='Udvaskning nøgletal'!$D$68,2,""))))</f>
        <v>2</v>
      </c>
      <c r="Y323" s="15">
        <f>LOOKUP(K323,'Udvaskning nøgletal'!$C$12:$C$60,'Udvaskning nøgletal'!$H$12:$H$60)</f>
        <v>0</v>
      </c>
      <c r="Z323" s="10">
        <f>IF(X323=1,LOOKUP(K323,'Udvaskning nøgletal'!$C$12:$C$60,'Udvaskning nøgletal'!$E$12:$E$60)+Markniveau!Y323*Markniveau!S323/100,IF(X323=2,LOOKUP(K323,'Udvaskning nøgletal'!$C$12:$C$60,'Udvaskning nøgletal'!$F$12:$F$60)+Markniveau!Y323*Markniveau!S323/100,IF(X323=3,LOOKUP(K323,'Udvaskning nøgletal'!$C$12:$C$60,'Udvaskning nøgletal'!G333:G381)+Markniveau!Y323*Markniveau!S323/100,"")))</f>
        <v>10</v>
      </c>
      <c r="AA323" s="10">
        <f t="shared" ref="AA323:AA386" si="56">Z323*I323</f>
        <v>6</v>
      </c>
      <c r="AB323" s="10">
        <f t="shared" si="55"/>
        <v>9.8000000000000007</v>
      </c>
      <c r="AC323" s="10">
        <f t="shared" ref="AC323:AC386" si="57">IF(Q323&gt;0,AB323*I323,"")</f>
        <v>5.88</v>
      </c>
      <c r="AD323" s="10">
        <f>IF(AND(Q323&gt;0,Q323&lt;30,K323&lt;8),Markniveau!Z323*'Udvaskning nøgletal'!$I$12/100,IF(AND(Q323&gt;0,Q323&lt;30,K323=216),Markniveau!Z323*'Udvaskning nøgletal'!$I$34/100,Markniveau!Z323))</f>
        <v>10</v>
      </c>
      <c r="AE323" s="10">
        <f t="shared" si="53"/>
        <v>6</v>
      </c>
      <c r="AF323" s="10">
        <f t="shared" ref="AF323:AF386" si="58">IF($Q323&gt;0,(100-$Q323)*$AD323/100,"")</f>
        <v>9.8000000000000007</v>
      </c>
      <c r="AG323" s="10">
        <f t="shared" si="54"/>
        <v>5.88</v>
      </c>
      <c r="AH323" s="10" t="str">
        <f>IF(AND(Q323&gt;0,Q323&lt;30,K323=216),'Udvaskning nøgletal'!$C$42,IF(AND(Q323&gt;0,Q323&lt;30,K323&gt;7,K323&lt;17),'Udvaskning nøgletal'!$C$61,IF(AND(Q323&gt;0,Q323&lt;30,K323&lt;7),'Udvaskning nøgletal'!$C$62,"")))</f>
        <v/>
      </c>
      <c r="AI323" s="10">
        <f t="shared" si="50"/>
        <v>901</v>
      </c>
      <c r="AJ323" s="10">
        <f>IF($X323=1,LOOKUP(AI323,'Udvaskning nøgletal'!$C$12:$C$62,'Udvaskning nøgletal'!$E$12:$E$62)+Markniveau!$Y323*Markniveau!$S323/100,IF($X323=2,LOOKUP(AI323,'Udvaskning nøgletal'!$C$12:$C$62,'Udvaskning nøgletal'!$F$12:$F$62)+Markniveau!$Y323*Markniveau!$S323/100,IF($X323=3,LOOKUP(AI323,'Udvaskning nøgletal'!$C$12:$C$62,'Udvaskning nøgletal'!Q333:Q383)+Markniveau!$Y323*Markniveau!$S323/100,"")))</f>
        <v>10</v>
      </c>
      <c r="AK323" s="10">
        <f t="shared" ref="AK323:AK386" si="59">AJ323*$I323</f>
        <v>6</v>
      </c>
      <c r="AL323" s="10">
        <f t="shared" si="51"/>
        <v>9.8000000000000007</v>
      </c>
      <c r="AM323" s="10">
        <f t="shared" si="52"/>
        <v>5.88</v>
      </c>
    </row>
    <row r="324" spans="1:39" x14ac:dyDescent="0.25">
      <c r="A324" s="15">
        <v>14571094</v>
      </c>
      <c r="B324" s="15">
        <v>115.72</v>
      </c>
      <c r="C324" s="15">
        <v>419188</v>
      </c>
      <c r="D324" s="15">
        <v>66068</v>
      </c>
      <c r="E324" s="15" t="s">
        <v>320</v>
      </c>
      <c r="F324" s="15">
        <v>2011</v>
      </c>
      <c r="G324" s="15">
        <v>20110308</v>
      </c>
      <c r="H324" s="15">
        <v>1994</v>
      </c>
      <c r="I324" s="15">
        <v>0.2</v>
      </c>
      <c r="J324" s="6" t="s">
        <v>1396</v>
      </c>
      <c r="K324" s="15">
        <v>901</v>
      </c>
      <c r="L324" s="15" t="s">
        <v>80</v>
      </c>
      <c r="M324" s="15" t="s">
        <v>81</v>
      </c>
      <c r="N324" s="11" t="s">
        <v>1390</v>
      </c>
      <c r="O324" s="11" t="s">
        <v>42</v>
      </c>
      <c r="P324" s="11" t="s">
        <v>33</v>
      </c>
      <c r="Q324" s="15">
        <v>25</v>
      </c>
      <c r="R324" s="11" t="s">
        <v>7</v>
      </c>
      <c r="S324" s="10">
        <v>140.11972159742001</v>
      </c>
      <c r="T324" s="15">
        <v>80</v>
      </c>
      <c r="U324" s="15">
        <v>0</v>
      </c>
      <c r="V324" s="15">
        <v>1</v>
      </c>
      <c r="W324" s="15">
        <v>1</v>
      </c>
      <c r="X324" s="15">
        <f>IF(O324='Udvaskning nøgletal'!$D$65,1,IF(O324='Udvaskning nøgletal'!$D$66,2,IF(O324='Udvaskning nøgletal'!$D$67,3,IF(O324='Udvaskning nøgletal'!$D$68,2,""))))</f>
        <v>2</v>
      </c>
      <c r="Y324" s="15">
        <f>LOOKUP(K324,'Udvaskning nøgletal'!$C$12:$C$60,'Udvaskning nøgletal'!$H$12:$H$60)</f>
        <v>0</v>
      </c>
      <c r="Z324" s="10">
        <f>IF(X324=1,LOOKUP(K324,'Udvaskning nøgletal'!$C$12:$C$60,'Udvaskning nøgletal'!$E$12:$E$60)+Markniveau!Y324*Markniveau!S324/100,IF(X324=2,LOOKUP(K324,'Udvaskning nøgletal'!$C$12:$C$60,'Udvaskning nøgletal'!$F$12:$F$60)+Markniveau!Y324*Markniveau!S324/100,IF(X324=3,LOOKUP(K324,'Udvaskning nøgletal'!$C$12:$C$60,'Udvaskning nøgletal'!G334:G382)+Markniveau!Y324*Markniveau!S324/100,"")))</f>
        <v>10</v>
      </c>
      <c r="AA324" s="10">
        <f t="shared" si="56"/>
        <v>2</v>
      </c>
      <c r="AB324" s="10">
        <f t="shared" si="55"/>
        <v>7.5</v>
      </c>
      <c r="AC324" s="10">
        <f t="shared" si="57"/>
        <v>1.5</v>
      </c>
      <c r="AD324" s="10">
        <f>IF(AND(Q324&gt;0,Q324&lt;30,K324&lt;8),Markniveau!Z324*'Udvaskning nøgletal'!$I$12/100,IF(AND(Q324&gt;0,Q324&lt;30,K324=216),Markniveau!Z324*'Udvaskning nøgletal'!$I$34/100,Markniveau!Z324))</f>
        <v>10</v>
      </c>
      <c r="AE324" s="10">
        <f t="shared" si="53"/>
        <v>2</v>
      </c>
      <c r="AF324" s="10">
        <f t="shared" si="58"/>
        <v>7.5</v>
      </c>
      <c r="AG324" s="10">
        <f t="shared" si="54"/>
        <v>1.5</v>
      </c>
      <c r="AH324" s="10" t="str">
        <f>IF(AND(Q324&gt;0,Q324&lt;30,K324=216),'Udvaskning nøgletal'!$C$42,IF(AND(Q324&gt;0,Q324&lt;30,K324&gt;7,K324&lt;17),'Udvaskning nøgletal'!$C$61,IF(AND(Q324&gt;0,Q324&lt;30,K324&lt;7),'Udvaskning nøgletal'!$C$62,"")))</f>
        <v/>
      </c>
      <c r="AI324" s="10">
        <f t="shared" si="50"/>
        <v>901</v>
      </c>
      <c r="AJ324" s="10">
        <f>IF($X324=1,LOOKUP(AI324,'Udvaskning nøgletal'!$C$12:$C$62,'Udvaskning nøgletal'!$E$12:$E$62)+Markniveau!$Y324*Markniveau!$S324/100,IF($X324=2,LOOKUP(AI324,'Udvaskning nøgletal'!$C$12:$C$62,'Udvaskning nøgletal'!$F$12:$F$62)+Markniveau!$Y324*Markniveau!$S324/100,IF($X324=3,LOOKUP(AI324,'Udvaskning nøgletal'!$C$12:$C$62,'Udvaskning nøgletal'!Q334:Q384)+Markniveau!$Y324*Markniveau!$S324/100,"")))</f>
        <v>10</v>
      </c>
      <c r="AK324" s="10">
        <f t="shared" si="59"/>
        <v>2</v>
      </c>
      <c r="AL324" s="10">
        <f t="shared" si="51"/>
        <v>7.5</v>
      </c>
      <c r="AM324" s="10">
        <f t="shared" si="52"/>
        <v>1.5</v>
      </c>
    </row>
    <row r="325" spans="1:39" x14ac:dyDescent="0.25">
      <c r="A325" s="15">
        <v>14571094</v>
      </c>
      <c r="B325" s="15">
        <v>115.72</v>
      </c>
      <c r="C325" s="15">
        <v>419740</v>
      </c>
      <c r="D325" s="15">
        <v>66068</v>
      </c>
      <c r="E325" s="15" t="s">
        <v>320</v>
      </c>
      <c r="F325" s="15">
        <v>2011</v>
      </c>
      <c r="G325" s="15">
        <v>20110308</v>
      </c>
      <c r="H325" s="15">
        <v>12642</v>
      </c>
      <c r="I325" s="15">
        <v>1.26</v>
      </c>
      <c r="J325" s="6" t="s">
        <v>38</v>
      </c>
      <c r="K325" s="15">
        <v>252</v>
      </c>
      <c r="L325" s="15" t="s">
        <v>41</v>
      </c>
      <c r="M325" s="15" t="s">
        <v>4</v>
      </c>
      <c r="N325" s="11" t="s">
        <v>1390</v>
      </c>
      <c r="O325" s="11" t="s">
        <v>42</v>
      </c>
      <c r="P325" s="11" t="s">
        <v>33</v>
      </c>
      <c r="Q325" s="15">
        <v>25</v>
      </c>
      <c r="R325" s="11" t="s">
        <v>7</v>
      </c>
      <c r="S325" s="10">
        <v>140.11972159742001</v>
      </c>
      <c r="T325" s="15">
        <v>80</v>
      </c>
      <c r="U325" s="15">
        <v>0</v>
      </c>
      <c r="V325" s="15">
        <v>1</v>
      </c>
      <c r="W325" s="15">
        <v>1</v>
      </c>
      <c r="X325" s="15">
        <f>IF(O325='Udvaskning nøgletal'!$D$65,1,IF(O325='Udvaskning nøgletal'!$D$66,2,IF(O325='Udvaskning nøgletal'!$D$67,3,IF(O325='Udvaskning nøgletal'!$D$68,2,""))))</f>
        <v>2</v>
      </c>
      <c r="Y325" s="15">
        <f>LOOKUP(K325,'Udvaskning nøgletal'!$C$12:$C$60,'Udvaskning nøgletal'!$H$12:$H$60)</f>
        <v>0</v>
      </c>
      <c r="Z325" s="10">
        <f>IF(X325=1,LOOKUP(K325,'Udvaskning nøgletal'!$C$12:$C$60,'Udvaskning nøgletal'!$E$12:$E$60)+Markniveau!Y325*Markniveau!S325/100,IF(X325=2,LOOKUP(K325,'Udvaskning nøgletal'!$C$12:$C$60,'Udvaskning nøgletal'!$F$12:$F$60)+Markniveau!Y325*Markniveau!S325/100,IF(X325=3,LOOKUP(K325,'Udvaskning nøgletal'!$C$12:$C$60,'Udvaskning nøgletal'!G335:G383)+Markniveau!Y325*Markniveau!S325/100,"")))</f>
        <v>21.2</v>
      </c>
      <c r="AA325" s="10">
        <f t="shared" si="56"/>
        <v>26.712</v>
      </c>
      <c r="AB325" s="10">
        <f t="shared" si="55"/>
        <v>15.9</v>
      </c>
      <c r="AC325" s="10">
        <f t="shared" si="57"/>
        <v>20.033999999999999</v>
      </c>
      <c r="AD325" s="10">
        <f>IF(AND(Q325&gt;0,Q325&lt;30,K325&lt;8),Markniveau!Z325*'Udvaskning nøgletal'!$I$12/100,IF(AND(Q325&gt;0,Q325&lt;30,K325=216),Markniveau!Z325*'Udvaskning nøgletal'!$I$34/100,Markniveau!Z325))</f>
        <v>21.2</v>
      </c>
      <c r="AE325" s="10">
        <f t="shared" si="53"/>
        <v>26.712</v>
      </c>
      <c r="AF325" s="10">
        <f t="shared" si="58"/>
        <v>15.9</v>
      </c>
      <c r="AG325" s="10">
        <f t="shared" si="54"/>
        <v>20.033999999999999</v>
      </c>
      <c r="AH325" s="10" t="str">
        <f>IF(AND(Q325&gt;0,Q325&lt;30,K325=216),'Udvaskning nøgletal'!$C$42,IF(AND(Q325&gt;0,Q325&lt;30,K325&gt;7,K325&lt;17),'Udvaskning nøgletal'!$C$61,IF(AND(Q325&gt;0,Q325&lt;30,K325&lt;7),'Udvaskning nøgletal'!$C$62,"")))</f>
        <v/>
      </c>
      <c r="AI325" s="10">
        <f t="shared" si="50"/>
        <v>252</v>
      </c>
      <c r="AJ325" s="10">
        <f>IF($X325=1,LOOKUP(AI325,'Udvaskning nøgletal'!$C$12:$C$62,'Udvaskning nøgletal'!$E$12:$E$62)+Markniveau!$Y325*Markniveau!$S325/100,IF($X325=2,LOOKUP(AI325,'Udvaskning nøgletal'!$C$12:$C$62,'Udvaskning nøgletal'!$F$12:$F$62)+Markniveau!$Y325*Markniveau!$S325/100,IF($X325=3,LOOKUP(AI325,'Udvaskning nøgletal'!$C$12:$C$62,'Udvaskning nøgletal'!Q335:Q385)+Markniveau!$Y325*Markniveau!$S325/100,"")))</f>
        <v>21.2</v>
      </c>
      <c r="AK325" s="10">
        <f t="shared" si="59"/>
        <v>26.712</v>
      </c>
      <c r="AL325" s="10">
        <f t="shared" si="51"/>
        <v>15.9</v>
      </c>
      <c r="AM325" s="10">
        <f t="shared" si="52"/>
        <v>20.033999999999999</v>
      </c>
    </row>
    <row r="326" spans="1:39" x14ac:dyDescent="0.25">
      <c r="A326" s="15">
        <v>14571094</v>
      </c>
      <c r="B326" s="15">
        <v>115.72</v>
      </c>
      <c r="C326" s="15">
        <v>419742</v>
      </c>
      <c r="D326" s="15">
        <v>66068</v>
      </c>
      <c r="E326" s="15" t="s">
        <v>306</v>
      </c>
      <c r="F326" s="15">
        <v>2011</v>
      </c>
      <c r="G326" s="15">
        <v>20110308</v>
      </c>
      <c r="H326" s="15">
        <v>21050</v>
      </c>
      <c r="I326" s="15">
        <v>2.1</v>
      </c>
      <c r="J326" s="6" t="s">
        <v>1481</v>
      </c>
      <c r="K326" s="15">
        <v>260</v>
      </c>
      <c r="L326" s="15" t="s">
        <v>45</v>
      </c>
      <c r="M326" s="15" t="s">
        <v>5</v>
      </c>
      <c r="N326" s="11" t="s">
        <v>1390</v>
      </c>
      <c r="O326" s="11" t="s">
        <v>42</v>
      </c>
      <c r="P326" s="11" t="s">
        <v>33</v>
      </c>
      <c r="Q326" s="15">
        <v>25</v>
      </c>
      <c r="R326" s="11" t="s">
        <v>7</v>
      </c>
      <c r="S326" s="10">
        <v>140.11972159742001</v>
      </c>
      <c r="T326" s="15">
        <v>80</v>
      </c>
      <c r="U326" s="15">
        <v>0</v>
      </c>
      <c r="V326" s="15">
        <v>1</v>
      </c>
      <c r="W326" s="15">
        <v>1</v>
      </c>
      <c r="X326" s="15">
        <f>IF(O326='Udvaskning nøgletal'!$D$65,1,IF(O326='Udvaskning nøgletal'!$D$66,2,IF(O326='Udvaskning nøgletal'!$D$67,3,IF(O326='Udvaskning nøgletal'!$D$68,2,""))))</f>
        <v>2</v>
      </c>
      <c r="Y326" s="15">
        <f>LOOKUP(K326,'Udvaskning nøgletal'!$C$12:$C$60,'Udvaskning nøgletal'!$H$12:$H$60)</f>
        <v>0</v>
      </c>
      <c r="Z326" s="10">
        <f>IF(X326=1,LOOKUP(K326,'Udvaskning nøgletal'!$C$12:$C$60,'Udvaskning nøgletal'!$E$12:$E$60)+Markniveau!Y326*Markniveau!S326/100,IF(X326=2,LOOKUP(K326,'Udvaskning nøgletal'!$C$12:$C$60,'Udvaskning nøgletal'!$F$12:$F$60)+Markniveau!Y326*Markniveau!S326/100,IF(X326=3,LOOKUP(K326,'Udvaskning nøgletal'!$C$12:$C$60,'Udvaskning nøgletal'!G336:G384)+Markniveau!Y326*Markniveau!S326/100,"")))</f>
        <v>27.331185321443094</v>
      </c>
      <c r="AA326" s="10">
        <f t="shared" si="56"/>
        <v>57.395489175030498</v>
      </c>
      <c r="AB326" s="10">
        <f t="shared" si="55"/>
        <v>20.498388991082319</v>
      </c>
      <c r="AC326" s="10">
        <f t="shared" si="57"/>
        <v>43.046616881272868</v>
      </c>
      <c r="AD326" s="10">
        <f>IF(AND(Q326&gt;0,Q326&lt;30,K326&lt;8),Markniveau!Z326*'Udvaskning nøgletal'!$I$12/100,IF(AND(Q326&gt;0,Q326&lt;30,K326=216),Markniveau!Z326*'Udvaskning nøgletal'!$I$34/100,Markniveau!Z326))</f>
        <v>27.331185321443094</v>
      </c>
      <c r="AE326" s="10">
        <f t="shared" si="53"/>
        <v>57.395489175030498</v>
      </c>
      <c r="AF326" s="10">
        <f t="shared" si="58"/>
        <v>20.498388991082319</v>
      </c>
      <c r="AG326" s="10">
        <f t="shared" si="54"/>
        <v>43.046616881272868</v>
      </c>
      <c r="AH326" s="10" t="str">
        <f>IF(AND(Q326&gt;0,Q326&lt;30,K326=216),'Udvaskning nøgletal'!$C$42,IF(AND(Q326&gt;0,Q326&lt;30,K326&gt;7,K326&lt;17),'Udvaskning nøgletal'!$C$61,IF(AND(Q326&gt;0,Q326&lt;30,K326&lt;7),'Udvaskning nøgletal'!$C$62,"")))</f>
        <v/>
      </c>
      <c r="AI326" s="10">
        <f t="shared" si="50"/>
        <v>260</v>
      </c>
      <c r="AJ326" s="10">
        <f>IF($X326=1,LOOKUP(AI326,'Udvaskning nøgletal'!$C$12:$C$62,'Udvaskning nøgletal'!$E$12:$E$62)+Markniveau!$Y326*Markniveau!$S326/100,IF($X326=2,LOOKUP(AI326,'Udvaskning nøgletal'!$C$12:$C$62,'Udvaskning nøgletal'!$F$12:$F$62)+Markniveau!$Y326*Markniveau!$S326/100,IF($X326=3,LOOKUP(AI326,'Udvaskning nøgletal'!$C$12:$C$62,'Udvaskning nøgletal'!Q336:Q386)+Markniveau!$Y326*Markniveau!$S326/100,"")))</f>
        <v>27.331185321443094</v>
      </c>
      <c r="AK326" s="10">
        <f t="shared" si="59"/>
        <v>57.395489175030498</v>
      </c>
      <c r="AL326" s="10">
        <f t="shared" si="51"/>
        <v>20.498388991082319</v>
      </c>
      <c r="AM326" s="10">
        <f t="shared" si="52"/>
        <v>43.046616881272868</v>
      </c>
    </row>
    <row r="327" spans="1:39" x14ac:dyDescent="0.25">
      <c r="A327" s="15">
        <v>14571094</v>
      </c>
      <c r="B327" s="15">
        <v>115.72</v>
      </c>
      <c r="C327" s="15">
        <v>420297</v>
      </c>
      <c r="D327" s="15">
        <v>66068</v>
      </c>
      <c r="E327" s="15" t="s">
        <v>321</v>
      </c>
      <c r="F327" s="15">
        <v>2011</v>
      </c>
      <c r="G327" s="15">
        <v>20110308</v>
      </c>
      <c r="H327" s="15">
        <v>48764</v>
      </c>
      <c r="I327" s="15">
        <v>4.88</v>
      </c>
      <c r="J327" s="6" t="s">
        <v>144</v>
      </c>
      <c r="K327" s="15">
        <v>260</v>
      </c>
      <c r="L327" s="15" t="s">
        <v>45</v>
      </c>
      <c r="M327" s="15" t="s">
        <v>5</v>
      </c>
      <c r="N327" s="11" t="s">
        <v>1384</v>
      </c>
      <c r="O327" s="11" t="s">
        <v>28</v>
      </c>
      <c r="P327" s="11" t="s">
        <v>33</v>
      </c>
      <c r="Q327" s="15">
        <v>0</v>
      </c>
      <c r="R327" s="11" t="s">
        <v>1386</v>
      </c>
      <c r="S327" s="10">
        <v>140.11972159742001</v>
      </c>
      <c r="T327" s="15">
        <v>80</v>
      </c>
      <c r="U327" s="15">
        <v>0</v>
      </c>
      <c r="V327" s="15">
        <v>1</v>
      </c>
      <c r="W327" s="15">
        <v>1</v>
      </c>
      <c r="X327" s="15">
        <f>IF(O327='Udvaskning nøgletal'!$D$65,1,IF(O327='Udvaskning nøgletal'!$D$66,2,IF(O327='Udvaskning nøgletal'!$D$67,3,IF(O327='Udvaskning nøgletal'!$D$68,2,""))))</f>
        <v>1</v>
      </c>
      <c r="Y327" s="15">
        <f>LOOKUP(K327,'Udvaskning nøgletal'!$C$12:$C$60,'Udvaskning nøgletal'!$H$12:$H$60)</f>
        <v>0</v>
      </c>
      <c r="Z327" s="10">
        <f>IF(X327=1,LOOKUP(K327,'Udvaskning nøgletal'!$C$12:$C$60,'Udvaskning nøgletal'!$E$12:$E$60)+Markniveau!Y327*Markniveau!S327/100,IF(X327=2,LOOKUP(K327,'Udvaskning nøgletal'!$C$12:$C$60,'Udvaskning nøgletal'!$F$12:$F$60)+Markniveau!Y327*Markniveau!S327/100,IF(X327=3,LOOKUP(K327,'Udvaskning nøgletal'!$C$12:$C$60,'Udvaskning nøgletal'!G337:G385)+Markniveau!Y327*Markniveau!S327/100,"")))</f>
        <v>33.723295792149436</v>
      </c>
      <c r="AA327" s="10">
        <f t="shared" si="56"/>
        <v>164.56968346568925</v>
      </c>
      <c r="AB327" s="10" t="str">
        <f t="shared" si="55"/>
        <v/>
      </c>
      <c r="AC327" s="10" t="str">
        <f t="shared" si="57"/>
        <v/>
      </c>
      <c r="AD327" s="10">
        <f>IF(AND(Q327&gt;0,Q327&lt;30,K327&lt;8),Markniveau!Z327*'Udvaskning nøgletal'!$I$12/100,IF(AND(Q327&gt;0,Q327&lt;30,K327=216),Markniveau!Z327*'Udvaskning nøgletal'!$I$34/100,Markniveau!Z327))</f>
        <v>33.723295792149436</v>
      </c>
      <c r="AE327" s="10">
        <f t="shared" si="53"/>
        <v>164.56968346568925</v>
      </c>
      <c r="AF327" s="10" t="str">
        <f t="shared" si="58"/>
        <v/>
      </c>
      <c r="AG327" s="10" t="str">
        <f t="shared" si="54"/>
        <v/>
      </c>
      <c r="AH327" s="10" t="str">
        <f>IF(AND(Q327&gt;0,Q327&lt;30,K327=216),'Udvaskning nøgletal'!$C$42,IF(AND(Q327&gt;0,Q327&lt;30,K327&gt;7,K327&lt;17),'Udvaskning nøgletal'!$C$61,IF(AND(Q327&gt;0,Q327&lt;30,K327&lt;7),'Udvaskning nøgletal'!$C$62,"")))</f>
        <v/>
      </c>
      <c r="AI327" s="10">
        <f t="shared" si="50"/>
        <v>260</v>
      </c>
      <c r="AJ327" s="10">
        <f>IF($X327=1,LOOKUP(AI327,'Udvaskning nøgletal'!$C$12:$C$62,'Udvaskning nøgletal'!$E$12:$E$62)+Markniveau!$Y327*Markniveau!$S327/100,IF($X327=2,LOOKUP(AI327,'Udvaskning nøgletal'!$C$12:$C$62,'Udvaskning nøgletal'!$F$12:$F$62)+Markniveau!$Y327*Markniveau!$S327/100,IF($X327=3,LOOKUP(AI327,'Udvaskning nøgletal'!$C$12:$C$62,'Udvaskning nøgletal'!Q337:Q387)+Markniveau!$Y327*Markniveau!$S327/100,"")))</f>
        <v>33.723295792149436</v>
      </c>
      <c r="AK327" s="10">
        <f t="shared" si="59"/>
        <v>164.56968346568925</v>
      </c>
      <c r="AL327" s="10" t="str">
        <f t="shared" si="51"/>
        <v/>
      </c>
      <c r="AM327" s="10" t="str">
        <f t="shared" si="52"/>
        <v/>
      </c>
    </row>
    <row r="328" spans="1:39" x14ac:dyDescent="0.25">
      <c r="A328" s="15">
        <v>14571094</v>
      </c>
      <c r="B328" s="15">
        <v>115.72</v>
      </c>
      <c r="C328" s="15">
        <v>420298</v>
      </c>
      <c r="D328" s="15">
        <v>66068</v>
      </c>
      <c r="E328" s="15" t="s">
        <v>322</v>
      </c>
      <c r="F328" s="15">
        <v>2011</v>
      </c>
      <c r="G328" s="15">
        <v>20110308</v>
      </c>
      <c r="H328" s="15">
        <v>54991</v>
      </c>
      <c r="I328" s="15">
        <v>5.5</v>
      </c>
      <c r="J328" s="6" t="s">
        <v>164</v>
      </c>
      <c r="K328" s="15">
        <v>214</v>
      </c>
      <c r="L328" s="15" t="s">
        <v>56</v>
      </c>
      <c r="M328" s="15" t="s">
        <v>5</v>
      </c>
      <c r="N328" s="11" t="s">
        <v>1384</v>
      </c>
      <c r="O328" s="11" t="s">
        <v>28</v>
      </c>
      <c r="P328" s="11" t="s">
        <v>33</v>
      </c>
      <c r="Q328" s="15">
        <v>0</v>
      </c>
      <c r="R328" s="11" t="s">
        <v>1386</v>
      </c>
      <c r="S328" s="10">
        <v>140.11972159742001</v>
      </c>
      <c r="T328" s="15">
        <v>80</v>
      </c>
      <c r="U328" s="15">
        <v>0</v>
      </c>
      <c r="V328" s="15">
        <v>1</v>
      </c>
      <c r="W328" s="15">
        <v>1</v>
      </c>
      <c r="X328" s="15">
        <f>IF(O328='Udvaskning nøgletal'!$D$65,1,IF(O328='Udvaskning nøgletal'!$D$66,2,IF(O328='Udvaskning nøgletal'!$D$67,3,IF(O328='Udvaskning nøgletal'!$D$68,2,""))))</f>
        <v>1</v>
      </c>
      <c r="Y328" s="15">
        <f>LOOKUP(K328,'Udvaskning nøgletal'!$C$12:$C$60,'Udvaskning nøgletal'!$H$12:$H$60)</f>
        <v>0</v>
      </c>
      <c r="Z328" s="10">
        <f>IF(X328=1,LOOKUP(K328,'Udvaskning nøgletal'!$C$12:$C$60,'Udvaskning nøgletal'!$E$12:$E$60)+Markniveau!Y328*Markniveau!S328/100,IF(X328=2,LOOKUP(K328,'Udvaskning nøgletal'!$C$12:$C$60,'Udvaskning nøgletal'!$F$12:$F$60)+Markniveau!Y328*Markniveau!S328/100,IF(X328=3,LOOKUP(K328,'Udvaskning nøgletal'!$C$12:$C$60,'Udvaskning nøgletal'!G338:G386)+Markniveau!Y328*Markniveau!S328/100,"")))</f>
        <v>38.620385460262987</v>
      </c>
      <c r="AA328" s="10">
        <f t="shared" si="56"/>
        <v>212.41212003144642</v>
      </c>
      <c r="AB328" s="10" t="str">
        <f t="shared" si="55"/>
        <v/>
      </c>
      <c r="AC328" s="10" t="str">
        <f t="shared" si="57"/>
        <v/>
      </c>
      <c r="AD328" s="10">
        <f>IF(AND(Q328&gt;0,Q328&lt;30,K328&lt;8),Markniveau!Z328*'Udvaskning nøgletal'!$I$12/100,IF(AND(Q328&gt;0,Q328&lt;30,K328=216),Markniveau!Z328*'Udvaskning nøgletal'!$I$34/100,Markniveau!Z328))</f>
        <v>38.620385460262987</v>
      </c>
      <c r="AE328" s="10">
        <f t="shared" si="53"/>
        <v>212.41212003144642</v>
      </c>
      <c r="AF328" s="10" t="str">
        <f t="shared" si="58"/>
        <v/>
      </c>
      <c r="AG328" s="10" t="str">
        <f t="shared" si="54"/>
        <v/>
      </c>
      <c r="AH328" s="10" t="str">
        <f>IF(AND(Q328&gt;0,Q328&lt;30,K328=216),'Udvaskning nøgletal'!$C$42,IF(AND(Q328&gt;0,Q328&lt;30,K328&gt;7,K328&lt;17),'Udvaskning nøgletal'!$C$61,IF(AND(Q328&gt;0,Q328&lt;30,K328&lt;7),'Udvaskning nøgletal'!$C$62,"")))</f>
        <v/>
      </c>
      <c r="AI328" s="10">
        <f t="shared" ref="AI328:AI391" si="60">IF(SUM(AH328)&gt;0,AH328,K328)</f>
        <v>214</v>
      </c>
      <c r="AJ328" s="10">
        <f>IF($X328=1,LOOKUP(AI328,'Udvaskning nøgletal'!$C$12:$C$62,'Udvaskning nøgletal'!$E$12:$E$62)+Markniveau!$Y328*Markniveau!$S328/100,IF($X328=2,LOOKUP(AI328,'Udvaskning nøgletal'!$C$12:$C$62,'Udvaskning nøgletal'!$F$12:$F$62)+Markniveau!$Y328*Markniveau!$S328/100,IF($X328=3,LOOKUP(AI328,'Udvaskning nøgletal'!$C$12:$C$62,'Udvaskning nøgletal'!Q338:Q388)+Markniveau!$Y328*Markniveau!$S328/100,"")))</f>
        <v>38.620385460262987</v>
      </c>
      <c r="AK328" s="10">
        <f t="shared" si="59"/>
        <v>212.41212003144642</v>
      </c>
      <c r="AL328" s="10" t="str">
        <f t="shared" si="51"/>
        <v/>
      </c>
      <c r="AM328" s="10" t="str">
        <f t="shared" si="52"/>
        <v/>
      </c>
    </row>
    <row r="329" spans="1:39" x14ac:dyDescent="0.25">
      <c r="A329" s="15">
        <v>14571094</v>
      </c>
      <c r="B329" s="15">
        <v>115.72</v>
      </c>
      <c r="C329" s="15">
        <v>420299</v>
      </c>
      <c r="D329" s="15">
        <v>66068</v>
      </c>
      <c r="E329" s="15" t="s">
        <v>291</v>
      </c>
      <c r="F329" s="15">
        <v>2011</v>
      </c>
      <c r="G329" s="15">
        <v>20110308</v>
      </c>
      <c r="H329" s="15">
        <v>95387</v>
      </c>
      <c r="I329" s="15">
        <v>9.5399999999999991</v>
      </c>
      <c r="J329" s="6" t="s">
        <v>76</v>
      </c>
      <c r="K329" s="15">
        <v>260</v>
      </c>
      <c r="L329" s="15" t="s">
        <v>45</v>
      </c>
      <c r="M329" s="15" t="s">
        <v>5</v>
      </c>
      <c r="N329" s="11" t="s">
        <v>1390</v>
      </c>
      <c r="O329" s="11" t="s">
        <v>42</v>
      </c>
      <c r="P329" s="11" t="s">
        <v>33</v>
      </c>
      <c r="Q329" s="15">
        <v>0</v>
      </c>
      <c r="R329" s="11" t="s">
        <v>1386</v>
      </c>
      <c r="S329" s="10">
        <v>140.11972159742001</v>
      </c>
      <c r="T329" s="15">
        <v>80</v>
      </c>
      <c r="U329" s="15">
        <v>0</v>
      </c>
      <c r="V329" s="15">
        <v>1</v>
      </c>
      <c r="W329" s="15">
        <v>1</v>
      </c>
      <c r="X329" s="15">
        <f>IF(O329='Udvaskning nøgletal'!$D$65,1,IF(O329='Udvaskning nøgletal'!$D$66,2,IF(O329='Udvaskning nøgletal'!$D$67,3,IF(O329='Udvaskning nøgletal'!$D$68,2,""))))</f>
        <v>2</v>
      </c>
      <c r="Y329" s="15">
        <f>LOOKUP(K329,'Udvaskning nøgletal'!$C$12:$C$60,'Udvaskning nøgletal'!$H$12:$H$60)</f>
        <v>0</v>
      </c>
      <c r="Z329" s="10">
        <f>IF(X329=1,LOOKUP(K329,'Udvaskning nøgletal'!$C$12:$C$60,'Udvaskning nøgletal'!$E$12:$E$60)+Markniveau!Y329*Markniveau!S329/100,IF(X329=2,LOOKUP(K329,'Udvaskning nøgletal'!$C$12:$C$60,'Udvaskning nøgletal'!$F$12:$F$60)+Markniveau!Y329*Markniveau!S329/100,IF(X329=3,LOOKUP(K329,'Udvaskning nøgletal'!$C$12:$C$60,'Udvaskning nøgletal'!G339:G387)+Markniveau!Y329*Markniveau!S329/100,"")))</f>
        <v>27.331185321443094</v>
      </c>
      <c r="AA329" s="10">
        <f t="shared" si="56"/>
        <v>260.73950796656709</v>
      </c>
      <c r="AB329" s="10" t="str">
        <f t="shared" si="55"/>
        <v/>
      </c>
      <c r="AC329" s="10" t="str">
        <f t="shared" si="57"/>
        <v/>
      </c>
      <c r="AD329" s="10">
        <f>IF(AND(Q329&gt;0,Q329&lt;30,K329&lt;8),Markniveau!Z329*'Udvaskning nøgletal'!$I$12/100,IF(AND(Q329&gt;0,Q329&lt;30,K329=216),Markniveau!Z329*'Udvaskning nøgletal'!$I$34/100,Markniveau!Z329))</f>
        <v>27.331185321443094</v>
      </c>
      <c r="AE329" s="10">
        <f t="shared" si="53"/>
        <v>260.73950796656709</v>
      </c>
      <c r="AF329" s="10" t="str">
        <f t="shared" si="58"/>
        <v/>
      </c>
      <c r="AG329" s="10" t="str">
        <f t="shared" si="54"/>
        <v/>
      </c>
      <c r="AH329" s="10" t="str">
        <f>IF(AND(Q329&gt;0,Q329&lt;30,K329=216),'Udvaskning nøgletal'!$C$42,IF(AND(Q329&gt;0,Q329&lt;30,K329&gt;7,K329&lt;17),'Udvaskning nøgletal'!$C$61,IF(AND(Q329&gt;0,Q329&lt;30,K329&lt;7),'Udvaskning nøgletal'!$C$62,"")))</f>
        <v/>
      </c>
      <c r="AI329" s="10">
        <f t="shared" si="60"/>
        <v>260</v>
      </c>
      <c r="AJ329" s="10">
        <f>IF($X329=1,LOOKUP(AI329,'Udvaskning nøgletal'!$C$12:$C$62,'Udvaskning nøgletal'!$E$12:$E$62)+Markniveau!$Y329*Markniveau!$S329/100,IF($X329=2,LOOKUP(AI329,'Udvaskning nøgletal'!$C$12:$C$62,'Udvaskning nøgletal'!$F$12:$F$62)+Markniveau!$Y329*Markniveau!$S329/100,IF($X329=3,LOOKUP(AI329,'Udvaskning nøgletal'!$C$12:$C$62,'Udvaskning nøgletal'!Q339:Q389)+Markniveau!$Y329*Markniveau!$S329/100,"")))</f>
        <v>27.331185321443094</v>
      </c>
      <c r="AK329" s="10">
        <f t="shared" si="59"/>
        <v>260.73950796656709</v>
      </c>
      <c r="AL329" s="10" t="str">
        <f t="shared" si="51"/>
        <v/>
      </c>
      <c r="AM329" s="10" t="str">
        <f t="shared" si="52"/>
        <v/>
      </c>
    </row>
    <row r="330" spans="1:39" x14ac:dyDescent="0.25">
      <c r="A330" s="15">
        <v>14571094</v>
      </c>
      <c r="B330" s="15">
        <v>115.72</v>
      </c>
      <c r="C330" s="15">
        <v>420302</v>
      </c>
      <c r="D330" s="15">
        <v>66068</v>
      </c>
      <c r="E330" s="15" t="s">
        <v>323</v>
      </c>
      <c r="F330" s="15">
        <v>2011</v>
      </c>
      <c r="G330" s="15">
        <v>20110308</v>
      </c>
      <c r="H330" s="15">
        <v>106344</v>
      </c>
      <c r="I330" s="15">
        <v>10.63</v>
      </c>
      <c r="J330" s="6" t="s">
        <v>141</v>
      </c>
      <c r="K330" s="15">
        <v>101</v>
      </c>
      <c r="L330" s="15" t="s">
        <v>313</v>
      </c>
      <c r="M330" s="15" t="s">
        <v>5</v>
      </c>
      <c r="N330" s="11" t="s">
        <v>1391</v>
      </c>
      <c r="O330" s="11" t="s">
        <v>46</v>
      </c>
      <c r="P330" s="11" t="s">
        <v>33</v>
      </c>
      <c r="Q330" s="15">
        <v>25</v>
      </c>
      <c r="R330" s="11" t="s">
        <v>7</v>
      </c>
      <c r="S330" s="10">
        <v>140.11972159742001</v>
      </c>
      <c r="T330" s="15">
        <v>80</v>
      </c>
      <c r="U330" s="15">
        <v>0</v>
      </c>
      <c r="V330" s="15">
        <v>1</v>
      </c>
      <c r="W330" s="15">
        <v>1</v>
      </c>
      <c r="X330" s="15">
        <f>IF(O330='Udvaskning nøgletal'!$D$65,1,IF(O330='Udvaskning nøgletal'!$D$66,2,IF(O330='Udvaskning nøgletal'!$D$67,3,IF(O330='Udvaskning nøgletal'!$D$68,2,""))))</f>
        <v>2</v>
      </c>
      <c r="Y330" s="15">
        <f>LOOKUP(K330,'Udvaskning nøgletal'!$C$12:$C$60,'Udvaskning nøgletal'!$H$12:$H$60)</f>
        <v>5</v>
      </c>
      <c r="Z330" s="10">
        <f>IF(X330=1,LOOKUP(K330,'Udvaskning nøgletal'!$C$12:$C$60,'Udvaskning nøgletal'!$E$12:$E$60)+Markniveau!Y330*Markniveau!S330/100,IF(X330=2,LOOKUP(K330,'Udvaskning nøgletal'!$C$12:$C$60,'Udvaskning nøgletal'!$F$12:$F$60)+Markniveau!Y330*Markniveau!S330/100,IF(X330=3,LOOKUP(K330,'Udvaskning nøgletal'!$C$12:$C$60,'Udvaskning nøgletal'!G340:G388)+Markniveau!Y330*Markniveau!S330/100,"")))</f>
        <v>30.325986079871001</v>
      </c>
      <c r="AA330" s="10">
        <f t="shared" si="56"/>
        <v>322.36523202902879</v>
      </c>
      <c r="AB330" s="10">
        <f t="shared" si="55"/>
        <v>22.744489559903251</v>
      </c>
      <c r="AC330" s="10">
        <f t="shared" si="57"/>
        <v>241.77392402177156</v>
      </c>
      <c r="AD330" s="10">
        <f>IF(AND(Q330&gt;0,Q330&lt;30,K330&lt;8),Markniveau!Z330*'Udvaskning nøgletal'!$I$12/100,IF(AND(Q330&gt;0,Q330&lt;30,K330=216),Markniveau!Z330*'Udvaskning nøgletal'!$I$34/100,Markniveau!Z330))</f>
        <v>30.325986079871001</v>
      </c>
      <c r="AE330" s="10">
        <f t="shared" si="53"/>
        <v>322.36523202902879</v>
      </c>
      <c r="AF330" s="10">
        <f t="shared" si="58"/>
        <v>22.744489559903251</v>
      </c>
      <c r="AG330" s="10">
        <f t="shared" si="54"/>
        <v>241.77392402177156</v>
      </c>
      <c r="AH330" s="10" t="str">
        <f>IF(AND(Q330&gt;0,Q330&lt;30,K330=216),'Udvaskning nøgletal'!$C$42,IF(AND(Q330&gt;0,Q330&lt;30,K330&gt;7,K330&lt;17),'Udvaskning nøgletal'!$C$61,IF(AND(Q330&gt;0,Q330&lt;30,K330&lt;7),'Udvaskning nøgletal'!$C$62,"")))</f>
        <v/>
      </c>
      <c r="AI330" s="10">
        <f t="shared" si="60"/>
        <v>101</v>
      </c>
      <c r="AJ330" s="10">
        <f>IF($X330=1,LOOKUP(AI330,'Udvaskning nøgletal'!$C$12:$C$62,'Udvaskning nøgletal'!$E$12:$E$62)+Markniveau!$Y330*Markniveau!$S330/100,IF($X330=2,LOOKUP(AI330,'Udvaskning nøgletal'!$C$12:$C$62,'Udvaskning nøgletal'!$F$12:$F$62)+Markniveau!$Y330*Markniveau!$S330/100,IF($X330=3,LOOKUP(AI330,'Udvaskning nøgletal'!$C$12:$C$62,'Udvaskning nøgletal'!Q340:Q390)+Markniveau!$Y330*Markniveau!$S330/100,"")))</f>
        <v>30.325986079871001</v>
      </c>
      <c r="AK330" s="10">
        <f t="shared" si="59"/>
        <v>322.36523202902879</v>
      </c>
      <c r="AL330" s="10">
        <f t="shared" si="51"/>
        <v>22.744489559903251</v>
      </c>
      <c r="AM330" s="10">
        <f t="shared" si="52"/>
        <v>241.77392402177156</v>
      </c>
    </row>
    <row r="331" spans="1:39" x14ac:dyDescent="0.25">
      <c r="A331" s="15">
        <v>14571094</v>
      </c>
      <c r="B331" s="15">
        <v>115.72</v>
      </c>
      <c r="C331" s="15">
        <v>420535</v>
      </c>
      <c r="D331" s="15">
        <v>66068</v>
      </c>
      <c r="E331" s="15" t="s">
        <v>306</v>
      </c>
      <c r="F331" s="15">
        <v>2011</v>
      </c>
      <c r="G331" s="15">
        <v>20110308</v>
      </c>
      <c r="H331" s="15">
        <v>17631</v>
      </c>
      <c r="I331" s="15">
        <v>1.76</v>
      </c>
      <c r="J331" s="6" t="s">
        <v>1482</v>
      </c>
      <c r="K331" s="15">
        <v>252</v>
      </c>
      <c r="L331" s="15" t="s">
        <v>41</v>
      </c>
      <c r="M331" s="15" t="s">
        <v>4</v>
      </c>
      <c r="N331" s="11" t="s">
        <v>1390</v>
      </c>
      <c r="O331" s="11" t="s">
        <v>42</v>
      </c>
      <c r="P331" s="11" t="s">
        <v>33</v>
      </c>
      <c r="Q331" s="15">
        <v>25</v>
      </c>
      <c r="R331" s="11" t="s">
        <v>7</v>
      </c>
      <c r="S331" s="10">
        <v>140.11972159742001</v>
      </c>
      <c r="T331" s="15">
        <v>80</v>
      </c>
      <c r="U331" s="15">
        <v>0</v>
      </c>
      <c r="V331" s="15">
        <v>1</v>
      </c>
      <c r="W331" s="15">
        <v>1</v>
      </c>
      <c r="X331" s="15">
        <f>IF(O331='Udvaskning nøgletal'!$D$65,1,IF(O331='Udvaskning nøgletal'!$D$66,2,IF(O331='Udvaskning nøgletal'!$D$67,3,IF(O331='Udvaskning nøgletal'!$D$68,2,""))))</f>
        <v>2</v>
      </c>
      <c r="Y331" s="15">
        <f>LOOKUP(K331,'Udvaskning nøgletal'!$C$12:$C$60,'Udvaskning nøgletal'!$H$12:$H$60)</f>
        <v>0</v>
      </c>
      <c r="Z331" s="10">
        <f>IF(X331=1,LOOKUP(K331,'Udvaskning nøgletal'!$C$12:$C$60,'Udvaskning nøgletal'!$E$12:$E$60)+Markniveau!Y331*Markniveau!S331/100,IF(X331=2,LOOKUP(K331,'Udvaskning nøgletal'!$C$12:$C$60,'Udvaskning nøgletal'!$F$12:$F$60)+Markniveau!Y331*Markniveau!S331/100,IF(X331=3,LOOKUP(K331,'Udvaskning nøgletal'!$C$12:$C$60,'Udvaskning nøgletal'!G341:G389)+Markniveau!Y331*Markniveau!S331/100,"")))</f>
        <v>21.2</v>
      </c>
      <c r="AA331" s="10">
        <f t="shared" si="56"/>
        <v>37.311999999999998</v>
      </c>
      <c r="AB331" s="10">
        <f t="shared" si="55"/>
        <v>15.9</v>
      </c>
      <c r="AC331" s="10">
        <f t="shared" si="57"/>
        <v>27.984000000000002</v>
      </c>
      <c r="AD331" s="10">
        <f>IF(AND(Q331&gt;0,Q331&lt;30,K331&lt;8),Markniveau!Z331*'Udvaskning nøgletal'!$I$12/100,IF(AND(Q331&gt;0,Q331&lt;30,K331=216),Markniveau!Z331*'Udvaskning nøgletal'!$I$34/100,Markniveau!Z331))</f>
        <v>21.2</v>
      </c>
      <c r="AE331" s="10">
        <f t="shared" si="53"/>
        <v>37.311999999999998</v>
      </c>
      <c r="AF331" s="10">
        <f t="shared" si="58"/>
        <v>15.9</v>
      </c>
      <c r="AG331" s="10">
        <f t="shared" si="54"/>
        <v>27.984000000000002</v>
      </c>
      <c r="AH331" s="10" t="str">
        <f>IF(AND(Q331&gt;0,Q331&lt;30,K331=216),'Udvaskning nøgletal'!$C$42,IF(AND(Q331&gt;0,Q331&lt;30,K331&gt;7,K331&lt;17),'Udvaskning nøgletal'!$C$61,IF(AND(Q331&gt;0,Q331&lt;30,K331&lt;7),'Udvaskning nøgletal'!$C$62,"")))</f>
        <v/>
      </c>
      <c r="AI331" s="10">
        <f t="shared" si="60"/>
        <v>252</v>
      </c>
      <c r="AJ331" s="10">
        <f>IF($X331=1,LOOKUP(AI331,'Udvaskning nøgletal'!$C$12:$C$62,'Udvaskning nøgletal'!$E$12:$E$62)+Markniveau!$Y331*Markniveau!$S331/100,IF($X331=2,LOOKUP(AI331,'Udvaskning nøgletal'!$C$12:$C$62,'Udvaskning nøgletal'!$F$12:$F$62)+Markniveau!$Y331*Markniveau!$S331/100,IF($X331=3,LOOKUP(AI331,'Udvaskning nøgletal'!$C$12:$C$62,'Udvaskning nøgletal'!Q341:Q391)+Markniveau!$Y331*Markniveau!$S331/100,"")))</f>
        <v>21.2</v>
      </c>
      <c r="AK331" s="10">
        <f t="shared" si="59"/>
        <v>37.311999999999998</v>
      </c>
      <c r="AL331" s="10">
        <f t="shared" ref="AL331:AL394" si="61">IF($Q331&gt;0,(100-$Q331)*AJ331/100,"")</f>
        <v>15.9</v>
      </c>
      <c r="AM331" s="10">
        <f t="shared" ref="AM331:AM394" si="62">IF($Q331&gt;0,(100-$Q331)*AJ331/100*I331,"")</f>
        <v>27.984000000000002</v>
      </c>
    </row>
    <row r="332" spans="1:39" x14ac:dyDescent="0.25">
      <c r="A332" s="15">
        <v>14571094</v>
      </c>
      <c r="B332" s="15">
        <v>115.72</v>
      </c>
      <c r="C332" s="15">
        <v>424965</v>
      </c>
      <c r="D332" s="15">
        <v>66068</v>
      </c>
      <c r="E332" s="15" t="s">
        <v>291</v>
      </c>
      <c r="F332" s="15">
        <v>2011</v>
      </c>
      <c r="G332" s="15">
        <v>20110410</v>
      </c>
      <c r="H332" s="15">
        <v>28933</v>
      </c>
      <c r="I332" s="15">
        <v>2.89</v>
      </c>
      <c r="J332" s="6" t="s">
        <v>63</v>
      </c>
      <c r="K332" s="15">
        <v>252</v>
      </c>
      <c r="L332" s="15" t="s">
        <v>41</v>
      </c>
      <c r="M332" s="15" t="s">
        <v>4</v>
      </c>
      <c r="N332" s="11" t="s">
        <v>1390</v>
      </c>
      <c r="O332" s="11" t="s">
        <v>42</v>
      </c>
      <c r="P332" s="11" t="s">
        <v>33</v>
      </c>
      <c r="Q332" s="15">
        <v>0</v>
      </c>
      <c r="R332" s="11" t="s">
        <v>1386</v>
      </c>
      <c r="S332" s="10">
        <v>140.11972159742001</v>
      </c>
      <c r="T332" s="15">
        <v>80</v>
      </c>
      <c r="U332" s="15">
        <v>0</v>
      </c>
      <c r="V332" s="15">
        <v>1</v>
      </c>
      <c r="W332" s="15">
        <v>1</v>
      </c>
      <c r="X332" s="15">
        <f>IF(O332='Udvaskning nøgletal'!$D$65,1,IF(O332='Udvaskning nøgletal'!$D$66,2,IF(O332='Udvaskning nøgletal'!$D$67,3,IF(O332='Udvaskning nøgletal'!$D$68,2,""))))</f>
        <v>2</v>
      </c>
      <c r="Y332" s="15">
        <f>LOOKUP(K332,'Udvaskning nøgletal'!$C$12:$C$60,'Udvaskning nøgletal'!$H$12:$H$60)</f>
        <v>0</v>
      </c>
      <c r="Z332" s="10">
        <f>IF(X332=1,LOOKUP(K332,'Udvaskning nøgletal'!$C$12:$C$60,'Udvaskning nøgletal'!$E$12:$E$60)+Markniveau!Y332*Markniveau!S332/100,IF(X332=2,LOOKUP(K332,'Udvaskning nøgletal'!$C$12:$C$60,'Udvaskning nøgletal'!$F$12:$F$60)+Markniveau!Y332*Markniveau!S332/100,IF(X332=3,LOOKUP(K332,'Udvaskning nøgletal'!$C$12:$C$60,'Udvaskning nøgletal'!G342:G390)+Markniveau!Y332*Markniveau!S332/100,"")))</f>
        <v>21.2</v>
      </c>
      <c r="AA332" s="10">
        <f t="shared" si="56"/>
        <v>61.268000000000001</v>
      </c>
      <c r="AB332" s="10" t="str">
        <f t="shared" si="55"/>
        <v/>
      </c>
      <c r="AC332" s="10" t="str">
        <f t="shared" si="57"/>
        <v/>
      </c>
      <c r="AD332" s="10">
        <f>IF(AND(Q332&gt;0,Q332&lt;30,K332&lt;8),Markniveau!Z332*'Udvaskning nøgletal'!$I$12/100,IF(AND(Q332&gt;0,Q332&lt;30,K332=216),Markniveau!Z332*'Udvaskning nøgletal'!$I$34/100,Markniveau!Z332))</f>
        <v>21.2</v>
      </c>
      <c r="AE332" s="10">
        <f t="shared" si="53"/>
        <v>61.268000000000001</v>
      </c>
      <c r="AF332" s="10" t="str">
        <f t="shared" si="58"/>
        <v/>
      </c>
      <c r="AG332" s="10" t="str">
        <f t="shared" si="54"/>
        <v/>
      </c>
      <c r="AH332" s="10" t="str">
        <f>IF(AND(Q332&gt;0,Q332&lt;30,K332=216),'Udvaskning nøgletal'!$C$42,IF(AND(Q332&gt;0,Q332&lt;30,K332&gt;7,K332&lt;17),'Udvaskning nøgletal'!$C$61,IF(AND(Q332&gt;0,Q332&lt;30,K332&lt;7),'Udvaskning nøgletal'!$C$62,"")))</f>
        <v/>
      </c>
      <c r="AI332" s="10">
        <f t="shared" si="60"/>
        <v>252</v>
      </c>
      <c r="AJ332" s="10">
        <f>IF($X332=1,LOOKUP(AI332,'Udvaskning nøgletal'!$C$12:$C$62,'Udvaskning nøgletal'!$E$12:$E$62)+Markniveau!$Y332*Markniveau!$S332/100,IF($X332=2,LOOKUP(AI332,'Udvaskning nøgletal'!$C$12:$C$62,'Udvaskning nøgletal'!$F$12:$F$62)+Markniveau!$Y332*Markniveau!$S332/100,IF($X332=3,LOOKUP(AI332,'Udvaskning nøgletal'!$C$12:$C$62,'Udvaskning nøgletal'!Q342:Q392)+Markniveau!$Y332*Markniveau!$S332/100,"")))</f>
        <v>21.2</v>
      </c>
      <c r="AK332" s="10">
        <f t="shared" si="59"/>
        <v>61.268000000000001</v>
      </c>
      <c r="AL332" s="10" t="str">
        <f t="shared" si="61"/>
        <v/>
      </c>
      <c r="AM332" s="10" t="str">
        <f t="shared" si="62"/>
        <v/>
      </c>
    </row>
    <row r="333" spans="1:39" x14ac:dyDescent="0.25">
      <c r="A333" s="15">
        <v>14571094</v>
      </c>
      <c r="B333" s="15">
        <v>115.72</v>
      </c>
      <c r="C333" s="15">
        <v>424966</v>
      </c>
      <c r="D333" s="15">
        <v>66068</v>
      </c>
      <c r="E333" s="15" t="s">
        <v>324</v>
      </c>
      <c r="F333" s="15">
        <v>2011</v>
      </c>
      <c r="G333" s="15">
        <v>20110410</v>
      </c>
      <c r="H333" s="15">
        <v>80656</v>
      </c>
      <c r="I333" s="15">
        <v>8.07</v>
      </c>
      <c r="J333" s="6" t="s">
        <v>137</v>
      </c>
      <c r="K333" s="15">
        <v>260</v>
      </c>
      <c r="L333" s="15" t="s">
        <v>45</v>
      </c>
      <c r="M333" s="15" t="s">
        <v>5</v>
      </c>
      <c r="N333" s="11" t="s">
        <v>1384</v>
      </c>
      <c r="O333" s="11" t="s">
        <v>28</v>
      </c>
      <c r="P333" s="11" t="s">
        <v>33</v>
      </c>
      <c r="Q333" s="15">
        <v>90</v>
      </c>
      <c r="R333" s="11" t="s">
        <v>8</v>
      </c>
      <c r="S333" s="10">
        <v>140.11972159742001</v>
      </c>
      <c r="T333" s="15">
        <v>80</v>
      </c>
      <c r="U333" s="15">
        <v>0</v>
      </c>
      <c r="V333" s="15">
        <v>1</v>
      </c>
      <c r="W333" s="15">
        <v>1</v>
      </c>
      <c r="X333" s="15">
        <f>IF(O333='Udvaskning nøgletal'!$D$65,1,IF(O333='Udvaskning nøgletal'!$D$66,2,IF(O333='Udvaskning nøgletal'!$D$67,3,IF(O333='Udvaskning nøgletal'!$D$68,2,""))))</f>
        <v>1</v>
      </c>
      <c r="Y333" s="15">
        <f>LOOKUP(K333,'Udvaskning nøgletal'!$C$12:$C$60,'Udvaskning nøgletal'!$H$12:$H$60)</f>
        <v>0</v>
      </c>
      <c r="Z333" s="10">
        <f>IF(X333=1,LOOKUP(K333,'Udvaskning nøgletal'!$C$12:$C$60,'Udvaskning nøgletal'!$E$12:$E$60)+Markniveau!Y333*Markniveau!S333/100,IF(X333=2,LOOKUP(K333,'Udvaskning nøgletal'!$C$12:$C$60,'Udvaskning nøgletal'!$F$12:$F$60)+Markniveau!Y333*Markniveau!S333/100,IF(X333=3,LOOKUP(K333,'Udvaskning nøgletal'!$C$12:$C$60,'Udvaskning nøgletal'!G343:G391)+Markniveau!Y333*Markniveau!S333/100,"")))</f>
        <v>33.723295792149436</v>
      </c>
      <c r="AA333" s="10">
        <f t="shared" si="56"/>
        <v>272.14699704264598</v>
      </c>
      <c r="AB333" s="10">
        <f t="shared" si="55"/>
        <v>3.3723295792149433</v>
      </c>
      <c r="AC333" s="10">
        <f t="shared" si="57"/>
        <v>27.214699704264593</v>
      </c>
      <c r="AD333" s="10">
        <f>IF(AND(Q333&gt;0,Q333&lt;30,K333&lt;8),Markniveau!Z333*'Udvaskning nøgletal'!$I$12/100,IF(AND(Q333&gt;0,Q333&lt;30,K333=216),Markniveau!Z333*'Udvaskning nøgletal'!$I$34/100,Markniveau!Z333))</f>
        <v>33.723295792149436</v>
      </c>
      <c r="AE333" s="10">
        <f t="shared" si="53"/>
        <v>272.14699704264598</v>
      </c>
      <c r="AF333" s="10">
        <f t="shared" si="58"/>
        <v>3.3723295792149433</v>
      </c>
      <c r="AG333" s="10">
        <f t="shared" si="54"/>
        <v>27.214699704264593</v>
      </c>
      <c r="AH333" s="10" t="str">
        <f>IF(AND(Q333&gt;0,Q333&lt;30,K333=216),'Udvaskning nøgletal'!$C$42,IF(AND(Q333&gt;0,Q333&lt;30,K333&gt;7,K333&lt;17),'Udvaskning nøgletal'!$C$61,IF(AND(Q333&gt;0,Q333&lt;30,K333&lt;7),'Udvaskning nøgletal'!$C$62,"")))</f>
        <v/>
      </c>
      <c r="AI333" s="10">
        <f t="shared" si="60"/>
        <v>260</v>
      </c>
      <c r="AJ333" s="10">
        <f>IF($X333=1,LOOKUP(AI333,'Udvaskning nøgletal'!$C$12:$C$62,'Udvaskning nøgletal'!$E$12:$E$62)+Markniveau!$Y333*Markniveau!$S333/100,IF($X333=2,LOOKUP(AI333,'Udvaskning nøgletal'!$C$12:$C$62,'Udvaskning nøgletal'!$F$12:$F$62)+Markniveau!$Y333*Markniveau!$S333/100,IF($X333=3,LOOKUP(AI333,'Udvaskning nøgletal'!$C$12:$C$62,'Udvaskning nøgletal'!Q343:Q393)+Markniveau!$Y333*Markniveau!$S333/100,"")))</f>
        <v>33.723295792149436</v>
      </c>
      <c r="AK333" s="10">
        <f t="shared" si="59"/>
        <v>272.14699704264598</v>
      </c>
      <c r="AL333" s="10">
        <f t="shared" si="61"/>
        <v>3.3723295792149433</v>
      </c>
      <c r="AM333" s="10">
        <f t="shared" si="62"/>
        <v>27.214699704264593</v>
      </c>
    </row>
    <row r="334" spans="1:39" x14ac:dyDescent="0.25">
      <c r="A334" s="15">
        <v>14571094</v>
      </c>
      <c r="B334" s="15">
        <v>115.72</v>
      </c>
      <c r="C334" s="15">
        <v>424967</v>
      </c>
      <c r="D334" s="15">
        <v>66068</v>
      </c>
      <c r="E334" s="15" t="s">
        <v>321</v>
      </c>
      <c r="F334" s="15">
        <v>2011</v>
      </c>
      <c r="G334" s="15">
        <v>20110308</v>
      </c>
      <c r="H334" s="15">
        <v>20200</v>
      </c>
      <c r="I334" s="15">
        <v>2.02</v>
      </c>
      <c r="J334" s="6" t="s">
        <v>1413</v>
      </c>
      <c r="K334" s="15">
        <v>214</v>
      </c>
      <c r="L334" s="15" t="s">
        <v>56</v>
      </c>
      <c r="M334" s="15" t="s">
        <v>5</v>
      </c>
      <c r="N334" s="11" t="s">
        <v>1384</v>
      </c>
      <c r="O334" s="11" t="s">
        <v>28</v>
      </c>
      <c r="P334" s="11" t="s">
        <v>33</v>
      </c>
      <c r="Q334" s="15">
        <v>0</v>
      </c>
      <c r="R334" s="11" t="s">
        <v>1386</v>
      </c>
      <c r="S334" s="10">
        <v>140.11972159742001</v>
      </c>
      <c r="T334" s="15">
        <v>80</v>
      </c>
      <c r="U334" s="15">
        <v>0</v>
      </c>
      <c r="V334" s="15">
        <v>1</v>
      </c>
      <c r="W334" s="15">
        <v>1</v>
      </c>
      <c r="X334" s="15">
        <f>IF(O334='Udvaskning nøgletal'!$D$65,1,IF(O334='Udvaskning nøgletal'!$D$66,2,IF(O334='Udvaskning nøgletal'!$D$67,3,IF(O334='Udvaskning nøgletal'!$D$68,2,""))))</f>
        <v>1</v>
      </c>
      <c r="Y334" s="15">
        <f>LOOKUP(K334,'Udvaskning nøgletal'!$C$12:$C$60,'Udvaskning nøgletal'!$H$12:$H$60)</f>
        <v>0</v>
      </c>
      <c r="Z334" s="10">
        <f>IF(X334=1,LOOKUP(K334,'Udvaskning nøgletal'!$C$12:$C$60,'Udvaskning nøgletal'!$E$12:$E$60)+Markniveau!Y334*Markniveau!S334/100,IF(X334=2,LOOKUP(K334,'Udvaskning nøgletal'!$C$12:$C$60,'Udvaskning nøgletal'!$F$12:$F$60)+Markniveau!Y334*Markniveau!S334/100,IF(X334=3,LOOKUP(K334,'Udvaskning nøgletal'!$C$12:$C$60,'Udvaskning nøgletal'!G344:G392)+Markniveau!Y334*Markniveau!S334/100,"")))</f>
        <v>38.620385460262987</v>
      </c>
      <c r="AA334" s="10">
        <f t="shared" si="56"/>
        <v>78.013178629731229</v>
      </c>
      <c r="AB334" s="10" t="str">
        <f t="shared" si="55"/>
        <v/>
      </c>
      <c r="AC334" s="10" t="str">
        <f t="shared" si="57"/>
        <v/>
      </c>
      <c r="AD334" s="10">
        <f>IF(AND(Q334&gt;0,Q334&lt;30,K334&lt;8),Markniveau!Z334*'Udvaskning nøgletal'!$I$12/100,IF(AND(Q334&gt;0,Q334&lt;30,K334=216),Markniveau!Z334*'Udvaskning nøgletal'!$I$34/100,Markniveau!Z334))</f>
        <v>38.620385460262987</v>
      </c>
      <c r="AE334" s="10">
        <f t="shared" si="53"/>
        <v>78.013178629731229</v>
      </c>
      <c r="AF334" s="10" t="str">
        <f t="shared" si="58"/>
        <v/>
      </c>
      <c r="AG334" s="10" t="str">
        <f t="shared" si="54"/>
        <v/>
      </c>
      <c r="AH334" s="10" t="str">
        <f>IF(AND(Q334&gt;0,Q334&lt;30,K334=216),'Udvaskning nøgletal'!$C$42,IF(AND(Q334&gt;0,Q334&lt;30,K334&gt;7,K334&lt;17),'Udvaskning nøgletal'!$C$61,IF(AND(Q334&gt;0,Q334&lt;30,K334&lt;7),'Udvaskning nøgletal'!$C$62,"")))</f>
        <v/>
      </c>
      <c r="AI334" s="10">
        <f t="shared" si="60"/>
        <v>214</v>
      </c>
      <c r="AJ334" s="10">
        <f>IF($X334=1,LOOKUP(AI334,'Udvaskning nøgletal'!$C$12:$C$62,'Udvaskning nøgletal'!$E$12:$E$62)+Markniveau!$Y334*Markniveau!$S334/100,IF($X334=2,LOOKUP(AI334,'Udvaskning nøgletal'!$C$12:$C$62,'Udvaskning nøgletal'!$F$12:$F$62)+Markniveau!$Y334*Markniveau!$S334/100,IF($X334=3,LOOKUP(AI334,'Udvaskning nøgletal'!$C$12:$C$62,'Udvaskning nøgletal'!Q344:Q394)+Markniveau!$Y334*Markniveau!$S334/100,"")))</f>
        <v>38.620385460262987</v>
      </c>
      <c r="AK334" s="10">
        <f t="shared" si="59"/>
        <v>78.013178629731229</v>
      </c>
      <c r="AL334" s="10" t="str">
        <f t="shared" si="61"/>
        <v/>
      </c>
      <c r="AM334" s="10" t="str">
        <f t="shared" si="62"/>
        <v/>
      </c>
    </row>
    <row r="335" spans="1:39" x14ac:dyDescent="0.25">
      <c r="A335" s="15">
        <v>14571094</v>
      </c>
      <c r="B335" s="15">
        <v>115.72</v>
      </c>
      <c r="C335" s="15">
        <v>424970</v>
      </c>
      <c r="D335" s="15">
        <v>66068</v>
      </c>
      <c r="E335" s="15" t="s">
        <v>306</v>
      </c>
      <c r="F335" s="15">
        <v>2011</v>
      </c>
      <c r="G335" s="15">
        <v>20110308</v>
      </c>
      <c r="H335" s="15">
        <v>50828</v>
      </c>
      <c r="I335" s="15">
        <v>5.08</v>
      </c>
      <c r="J335" s="6" t="s">
        <v>55</v>
      </c>
      <c r="K335" s="15">
        <v>260</v>
      </c>
      <c r="L335" s="15" t="s">
        <v>45</v>
      </c>
      <c r="M335" s="15" t="s">
        <v>5</v>
      </c>
      <c r="N335" s="11" t="s">
        <v>1391</v>
      </c>
      <c r="O335" s="11" t="s">
        <v>46</v>
      </c>
      <c r="P335" s="11" t="s">
        <v>33</v>
      </c>
      <c r="Q335" s="15">
        <v>25</v>
      </c>
      <c r="R335" s="11" t="s">
        <v>7</v>
      </c>
      <c r="S335" s="10">
        <v>140.11972159742001</v>
      </c>
      <c r="T335" s="15">
        <v>80</v>
      </c>
      <c r="U335" s="15">
        <v>0</v>
      </c>
      <c r="V335" s="15">
        <v>1</v>
      </c>
      <c r="W335" s="15">
        <v>1</v>
      </c>
      <c r="X335" s="15">
        <f>IF(O335='Udvaskning nøgletal'!$D$65,1,IF(O335='Udvaskning nøgletal'!$D$66,2,IF(O335='Udvaskning nøgletal'!$D$67,3,IF(O335='Udvaskning nøgletal'!$D$68,2,""))))</f>
        <v>2</v>
      </c>
      <c r="Y335" s="15">
        <f>LOOKUP(K335,'Udvaskning nøgletal'!$C$12:$C$60,'Udvaskning nøgletal'!$H$12:$H$60)</f>
        <v>0</v>
      </c>
      <c r="Z335" s="10">
        <f>IF(X335=1,LOOKUP(K335,'Udvaskning nøgletal'!$C$12:$C$60,'Udvaskning nøgletal'!$E$12:$E$60)+Markniveau!Y335*Markniveau!S335/100,IF(X335=2,LOOKUP(K335,'Udvaskning nøgletal'!$C$12:$C$60,'Udvaskning nøgletal'!$F$12:$F$60)+Markniveau!Y335*Markniveau!S335/100,IF(X335=3,LOOKUP(K335,'Udvaskning nøgletal'!$C$12:$C$60,'Udvaskning nøgletal'!G345:G393)+Markniveau!Y335*Markniveau!S335/100,"")))</f>
        <v>27.331185321443094</v>
      </c>
      <c r="AA335" s="10">
        <f t="shared" si="56"/>
        <v>138.84242143293091</v>
      </c>
      <c r="AB335" s="10">
        <f t="shared" si="55"/>
        <v>20.498388991082319</v>
      </c>
      <c r="AC335" s="10">
        <f t="shared" si="57"/>
        <v>104.13181607469818</v>
      </c>
      <c r="AD335" s="10">
        <f>IF(AND(Q335&gt;0,Q335&lt;30,K335&lt;8),Markniveau!Z335*'Udvaskning nøgletal'!$I$12/100,IF(AND(Q335&gt;0,Q335&lt;30,K335=216),Markniveau!Z335*'Udvaskning nøgletal'!$I$34/100,Markniveau!Z335))</f>
        <v>27.331185321443094</v>
      </c>
      <c r="AE335" s="10">
        <f t="shared" si="53"/>
        <v>138.84242143293091</v>
      </c>
      <c r="AF335" s="10">
        <f t="shared" si="58"/>
        <v>20.498388991082319</v>
      </c>
      <c r="AG335" s="10">
        <f t="shared" si="54"/>
        <v>104.13181607469818</v>
      </c>
      <c r="AH335" s="10" t="str">
        <f>IF(AND(Q335&gt;0,Q335&lt;30,K335=216),'Udvaskning nøgletal'!$C$42,IF(AND(Q335&gt;0,Q335&lt;30,K335&gt;7,K335&lt;17),'Udvaskning nøgletal'!$C$61,IF(AND(Q335&gt;0,Q335&lt;30,K335&lt;7),'Udvaskning nøgletal'!$C$62,"")))</f>
        <v/>
      </c>
      <c r="AI335" s="10">
        <f t="shared" si="60"/>
        <v>260</v>
      </c>
      <c r="AJ335" s="10">
        <f>IF($X335=1,LOOKUP(AI335,'Udvaskning nøgletal'!$C$12:$C$62,'Udvaskning nøgletal'!$E$12:$E$62)+Markniveau!$Y335*Markniveau!$S335/100,IF($X335=2,LOOKUP(AI335,'Udvaskning nøgletal'!$C$12:$C$62,'Udvaskning nøgletal'!$F$12:$F$62)+Markniveau!$Y335*Markniveau!$S335/100,IF($X335=3,LOOKUP(AI335,'Udvaskning nøgletal'!$C$12:$C$62,'Udvaskning nøgletal'!Q345:Q395)+Markniveau!$Y335*Markniveau!$S335/100,"")))</f>
        <v>27.331185321443094</v>
      </c>
      <c r="AK335" s="10">
        <f t="shared" si="59"/>
        <v>138.84242143293091</v>
      </c>
      <c r="AL335" s="10">
        <f t="shared" si="61"/>
        <v>20.498388991082319</v>
      </c>
      <c r="AM335" s="10">
        <f t="shared" si="62"/>
        <v>104.13181607469818</v>
      </c>
    </row>
    <row r="336" spans="1:39" x14ac:dyDescent="0.25">
      <c r="A336" s="15">
        <v>14571094</v>
      </c>
      <c r="B336" s="15">
        <v>115.72</v>
      </c>
      <c r="C336" s="15">
        <v>443380</v>
      </c>
      <c r="D336" s="15">
        <v>66068</v>
      </c>
      <c r="E336" s="15" t="s">
        <v>306</v>
      </c>
      <c r="F336" s="15">
        <v>2011</v>
      </c>
      <c r="G336" s="15">
        <v>20110308</v>
      </c>
      <c r="H336" s="15">
        <v>94934</v>
      </c>
      <c r="I336" s="15">
        <v>9.49</v>
      </c>
      <c r="J336" s="6" t="s">
        <v>173</v>
      </c>
      <c r="K336" s="15">
        <v>216</v>
      </c>
      <c r="L336" s="15" t="s">
        <v>116</v>
      </c>
      <c r="M336" s="15" t="s">
        <v>5</v>
      </c>
      <c r="N336" s="11" t="s">
        <v>1391</v>
      </c>
      <c r="O336" s="11" t="s">
        <v>46</v>
      </c>
      <c r="P336" s="11" t="s">
        <v>33</v>
      </c>
      <c r="Q336" s="15">
        <v>25</v>
      </c>
      <c r="R336" s="11" t="s">
        <v>7</v>
      </c>
      <c r="S336" s="10">
        <v>140.11972159742001</v>
      </c>
      <c r="T336" s="15">
        <v>80</v>
      </c>
      <c r="U336" s="15">
        <v>0</v>
      </c>
      <c r="V336" s="15">
        <v>1</v>
      </c>
      <c r="W336" s="15">
        <v>1</v>
      </c>
      <c r="X336" s="15">
        <f>IF(O336='Udvaskning nøgletal'!$D$65,1,IF(O336='Udvaskning nøgletal'!$D$66,2,IF(O336='Udvaskning nøgletal'!$D$67,3,IF(O336='Udvaskning nøgletal'!$D$68,2,""))))</f>
        <v>2</v>
      </c>
      <c r="Y336" s="15">
        <f>LOOKUP(K336,'Udvaskning nøgletal'!$C$12:$C$60,'Udvaskning nøgletal'!$H$12:$H$60)</f>
        <v>0</v>
      </c>
      <c r="Z336" s="10">
        <f>IF(X336=1,LOOKUP(K336,'Udvaskning nøgletal'!$C$12:$C$60,'Udvaskning nøgletal'!$E$12:$E$60)+Markniveau!Y336*Markniveau!S336/100,IF(X336=2,LOOKUP(K336,'Udvaskning nøgletal'!$C$12:$C$60,'Udvaskning nøgletal'!$F$12:$F$60)+Markniveau!Y336*Markniveau!S336/100,IF(X336=3,LOOKUP(K336,'Udvaskning nøgletal'!$C$12:$C$60,'Udvaskning nøgletal'!G346:G394)+Markniveau!Y336*Markniveau!S336/100,"")))</f>
        <v>101.66744640811392</v>
      </c>
      <c r="AA336" s="10">
        <f t="shared" si="56"/>
        <v>964.82406641300111</v>
      </c>
      <c r="AB336" s="10">
        <f t="shared" si="55"/>
        <v>76.250584806085442</v>
      </c>
      <c r="AC336" s="10">
        <f t="shared" si="57"/>
        <v>723.61804980975091</v>
      </c>
      <c r="AD336" s="10">
        <f>IF(AND(Q336&gt;0,Q336&lt;30,K336&lt;8),Markniveau!Z336*'Udvaskning nøgletal'!$I$12/100,IF(AND(Q336&gt;0,Q336&lt;30,K336=216),Markniveau!Z336*'Udvaskning nøgletal'!$I$34/100,Markniveau!Z336))</f>
        <v>71.167212485679741</v>
      </c>
      <c r="AE336" s="10">
        <f t="shared" si="53"/>
        <v>675.37684648910079</v>
      </c>
      <c r="AF336" s="10">
        <f t="shared" si="58"/>
        <v>53.375409364259802</v>
      </c>
      <c r="AG336" s="10">
        <f t="shared" si="54"/>
        <v>506.53263486682556</v>
      </c>
      <c r="AH336" s="10">
        <f>IF(AND(Q336&gt;0,Q336&lt;30,K336=216),'Udvaskning nøgletal'!$C$42,IF(AND(Q336&gt;0,Q336&lt;30,K336&gt;7,K336&lt;17),'Udvaskning nøgletal'!$C$61,IF(AND(Q336&gt;0,Q336&lt;30,K336&lt;7),'Udvaskning nøgletal'!$C$62,"")))</f>
        <v>260</v>
      </c>
      <c r="AI336" s="10">
        <f t="shared" si="60"/>
        <v>260</v>
      </c>
      <c r="AJ336" s="10">
        <f>IF($X336=1,LOOKUP(AI336,'Udvaskning nøgletal'!$C$12:$C$62,'Udvaskning nøgletal'!$E$12:$E$62)+Markniveau!$Y336*Markniveau!$S336/100,IF($X336=2,LOOKUP(AI336,'Udvaskning nøgletal'!$C$12:$C$62,'Udvaskning nøgletal'!$F$12:$F$62)+Markniveau!$Y336*Markniveau!$S336/100,IF($X336=3,LOOKUP(AI336,'Udvaskning nøgletal'!$C$12:$C$62,'Udvaskning nøgletal'!Q346:Q396)+Markniveau!$Y336*Markniveau!$S336/100,"")))</f>
        <v>27.331185321443094</v>
      </c>
      <c r="AK336" s="10">
        <f t="shared" si="59"/>
        <v>259.37294870049499</v>
      </c>
      <c r="AL336" s="10">
        <f t="shared" si="61"/>
        <v>20.498388991082319</v>
      </c>
      <c r="AM336" s="10">
        <f t="shared" si="62"/>
        <v>194.5297115253712</v>
      </c>
    </row>
    <row r="337" spans="1:39" x14ac:dyDescent="0.25">
      <c r="A337" s="15">
        <v>14571094</v>
      </c>
      <c r="B337" s="15">
        <v>115.72</v>
      </c>
      <c r="C337" s="15">
        <v>456923</v>
      </c>
      <c r="D337" s="15">
        <v>66068</v>
      </c>
      <c r="E337" s="15" t="s">
        <v>306</v>
      </c>
      <c r="F337" s="15">
        <v>2011</v>
      </c>
      <c r="G337" s="15">
        <v>20110308</v>
      </c>
      <c r="H337" s="15">
        <v>41059</v>
      </c>
      <c r="I337" s="15">
        <v>4.1100000000000003</v>
      </c>
      <c r="J337" s="6" t="s">
        <v>1389</v>
      </c>
      <c r="K337" s="15">
        <v>252</v>
      </c>
      <c r="L337" s="15" t="s">
        <v>41</v>
      </c>
      <c r="M337" s="15" t="s">
        <v>4</v>
      </c>
      <c r="N337" s="11" t="s">
        <v>1390</v>
      </c>
      <c r="O337" s="11" t="s">
        <v>42</v>
      </c>
      <c r="P337" s="11" t="s">
        <v>33</v>
      </c>
      <c r="Q337" s="15">
        <v>25</v>
      </c>
      <c r="R337" s="11" t="s">
        <v>7</v>
      </c>
      <c r="S337" s="10">
        <v>140.11972159742001</v>
      </c>
      <c r="T337" s="15">
        <v>80</v>
      </c>
      <c r="U337" s="15">
        <v>0</v>
      </c>
      <c r="V337" s="15">
        <v>1</v>
      </c>
      <c r="W337" s="15">
        <v>1</v>
      </c>
      <c r="X337" s="15">
        <f>IF(O337='Udvaskning nøgletal'!$D$65,1,IF(O337='Udvaskning nøgletal'!$D$66,2,IF(O337='Udvaskning nøgletal'!$D$67,3,IF(O337='Udvaskning nøgletal'!$D$68,2,""))))</f>
        <v>2</v>
      </c>
      <c r="Y337" s="15">
        <f>LOOKUP(K337,'Udvaskning nøgletal'!$C$12:$C$60,'Udvaskning nøgletal'!$H$12:$H$60)</f>
        <v>0</v>
      </c>
      <c r="Z337" s="10">
        <f>IF(X337=1,LOOKUP(K337,'Udvaskning nøgletal'!$C$12:$C$60,'Udvaskning nøgletal'!$E$12:$E$60)+Markniveau!Y337*Markniveau!S337/100,IF(X337=2,LOOKUP(K337,'Udvaskning nøgletal'!$C$12:$C$60,'Udvaskning nøgletal'!$F$12:$F$60)+Markniveau!Y337*Markniveau!S337/100,IF(X337=3,LOOKUP(K337,'Udvaskning nøgletal'!$C$12:$C$60,'Udvaskning nøgletal'!G347:G395)+Markniveau!Y337*Markniveau!S337/100,"")))</f>
        <v>21.2</v>
      </c>
      <c r="AA337" s="10">
        <f t="shared" si="56"/>
        <v>87.132000000000005</v>
      </c>
      <c r="AB337" s="10">
        <f t="shared" si="55"/>
        <v>15.9</v>
      </c>
      <c r="AC337" s="10">
        <f t="shared" si="57"/>
        <v>65.349000000000004</v>
      </c>
      <c r="AD337" s="10">
        <f>IF(AND(Q337&gt;0,Q337&lt;30,K337&lt;8),Markniveau!Z337*'Udvaskning nøgletal'!$I$12/100,IF(AND(Q337&gt;0,Q337&lt;30,K337=216),Markniveau!Z337*'Udvaskning nøgletal'!$I$34/100,Markniveau!Z337))</f>
        <v>21.2</v>
      </c>
      <c r="AE337" s="10">
        <f t="shared" ref="AE337:AE400" si="63">AD337*I337</f>
        <v>87.132000000000005</v>
      </c>
      <c r="AF337" s="10">
        <f t="shared" si="58"/>
        <v>15.9</v>
      </c>
      <c r="AG337" s="10">
        <f t="shared" ref="AG337:AG400" si="64">IF($Q337&gt;0,(100-$Q337)*$AD337/100*I337,"")</f>
        <v>65.349000000000004</v>
      </c>
      <c r="AH337" s="10" t="str">
        <f>IF(AND(Q337&gt;0,Q337&lt;30,K337=216),'Udvaskning nøgletal'!$C$42,IF(AND(Q337&gt;0,Q337&lt;30,K337&gt;7,K337&lt;17),'Udvaskning nøgletal'!$C$61,IF(AND(Q337&gt;0,Q337&lt;30,K337&lt;7),'Udvaskning nøgletal'!$C$62,"")))</f>
        <v/>
      </c>
      <c r="AI337" s="10">
        <f t="shared" si="60"/>
        <v>252</v>
      </c>
      <c r="AJ337" s="10">
        <f>IF($X337=1,LOOKUP(AI337,'Udvaskning nøgletal'!$C$12:$C$62,'Udvaskning nøgletal'!$E$12:$E$62)+Markniveau!$Y337*Markniveau!$S337/100,IF($X337=2,LOOKUP(AI337,'Udvaskning nøgletal'!$C$12:$C$62,'Udvaskning nøgletal'!$F$12:$F$62)+Markniveau!$Y337*Markniveau!$S337/100,IF($X337=3,LOOKUP(AI337,'Udvaskning nøgletal'!$C$12:$C$62,'Udvaskning nøgletal'!Q347:Q397)+Markniveau!$Y337*Markniveau!$S337/100,"")))</f>
        <v>21.2</v>
      </c>
      <c r="AK337" s="10">
        <f t="shared" si="59"/>
        <v>87.132000000000005</v>
      </c>
      <c r="AL337" s="10">
        <f t="shared" si="61"/>
        <v>15.9</v>
      </c>
      <c r="AM337" s="10">
        <f t="shared" si="62"/>
        <v>65.349000000000004</v>
      </c>
    </row>
    <row r="338" spans="1:39" x14ac:dyDescent="0.25">
      <c r="A338" s="15">
        <v>14571094</v>
      </c>
      <c r="B338" s="15">
        <v>115.72</v>
      </c>
      <c r="C338" s="15">
        <v>465761</v>
      </c>
      <c r="D338" s="15">
        <v>66068</v>
      </c>
      <c r="E338" s="15" t="s">
        <v>185</v>
      </c>
      <c r="F338" s="15">
        <v>2011</v>
      </c>
      <c r="G338" s="15">
        <v>20110308</v>
      </c>
      <c r="H338" s="15">
        <v>1810</v>
      </c>
      <c r="I338" s="15">
        <v>0.18</v>
      </c>
      <c r="J338" s="6" t="s">
        <v>1402</v>
      </c>
      <c r="K338" s="15">
        <v>260</v>
      </c>
      <c r="L338" s="15" t="s">
        <v>45</v>
      </c>
      <c r="M338" s="15" t="s">
        <v>5</v>
      </c>
      <c r="N338" s="11" t="s">
        <v>1406</v>
      </c>
      <c r="O338" s="11" t="s">
        <v>46</v>
      </c>
      <c r="P338" s="11" t="s">
        <v>29</v>
      </c>
      <c r="Q338" s="15">
        <v>95</v>
      </c>
      <c r="R338" s="11" t="s">
        <v>3</v>
      </c>
      <c r="S338" s="10">
        <v>140.11972159742001</v>
      </c>
      <c r="T338" s="15">
        <v>80</v>
      </c>
      <c r="U338" s="15">
        <v>0</v>
      </c>
      <c r="V338" s="15">
        <v>1</v>
      </c>
      <c r="W338" s="15">
        <v>1</v>
      </c>
      <c r="X338" s="15">
        <f>IF(O338='Udvaskning nøgletal'!$D$65,1,IF(O338='Udvaskning nøgletal'!$D$66,2,IF(O338='Udvaskning nøgletal'!$D$67,3,IF(O338='Udvaskning nøgletal'!$D$68,2,""))))</f>
        <v>2</v>
      </c>
      <c r="Y338" s="15">
        <f>LOOKUP(K338,'Udvaskning nøgletal'!$C$12:$C$60,'Udvaskning nøgletal'!$H$12:$H$60)</f>
        <v>0</v>
      </c>
      <c r="Z338" s="10">
        <f>IF(X338=1,LOOKUP(K338,'Udvaskning nøgletal'!$C$12:$C$60,'Udvaskning nøgletal'!$E$12:$E$60)+Markniveau!Y338*Markniveau!S338/100,IF(X338=2,LOOKUP(K338,'Udvaskning nøgletal'!$C$12:$C$60,'Udvaskning nøgletal'!$F$12:$F$60)+Markniveau!Y338*Markniveau!S338/100,IF(X338=3,LOOKUP(K338,'Udvaskning nøgletal'!$C$12:$C$60,'Udvaskning nøgletal'!G348:G396)+Markniveau!Y338*Markniveau!S338/100,"")))</f>
        <v>27.331185321443094</v>
      </c>
      <c r="AA338" s="10">
        <f t="shared" si="56"/>
        <v>4.919613357859757</v>
      </c>
      <c r="AB338" s="10">
        <f t="shared" si="55"/>
        <v>1.3665592660721546</v>
      </c>
      <c r="AC338" s="10">
        <f t="shared" si="57"/>
        <v>0.24598066789298781</v>
      </c>
      <c r="AD338" s="10">
        <f>IF(AND(Q338&gt;0,Q338&lt;30,K338&lt;8),Markniveau!Z338*'Udvaskning nøgletal'!$I$12/100,IF(AND(Q338&gt;0,Q338&lt;30,K338=216),Markniveau!Z338*'Udvaskning nøgletal'!$I$34/100,Markniveau!Z338))</f>
        <v>27.331185321443094</v>
      </c>
      <c r="AE338" s="10">
        <f t="shared" si="63"/>
        <v>4.919613357859757</v>
      </c>
      <c r="AF338" s="10">
        <f t="shared" si="58"/>
        <v>1.3665592660721546</v>
      </c>
      <c r="AG338" s="10">
        <f t="shared" si="64"/>
        <v>0.24598066789298781</v>
      </c>
      <c r="AH338" s="10" t="str">
        <f>IF(AND(Q338&gt;0,Q338&lt;30,K338=216),'Udvaskning nøgletal'!$C$42,IF(AND(Q338&gt;0,Q338&lt;30,K338&gt;7,K338&lt;17),'Udvaskning nøgletal'!$C$61,IF(AND(Q338&gt;0,Q338&lt;30,K338&lt;7),'Udvaskning nøgletal'!$C$62,"")))</f>
        <v/>
      </c>
      <c r="AI338" s="10">
        <f t="shared" si="60"/>
        <v>260</v>
      </c>
      <c r="AJ338" s="10">
        <f>IF($X338=1,LOOKUP(AI338,'Udvaskning nøgletal'!$C$12:$C$62,'Udvaskning nøgletal'!$E$12:$E$62)+Markniveau!$Y338*Markniveau!$S338/100,IF($X338=2,LOOKUP(AI338,'Udvaskning nøgletal'!$C$12:$C$62,'Udvaskning nøgletal'!$F$12:$F$62)+Markniveau!$Y338*Markniveau!$S338/100,IF($X338=3,LOOKUP(AI338,'Udvaskning nøgletal'!$C$12:$C$62,'Udvaskning nøgletal'!Q348:Q398)+Markniveau!$Y338*Markniveau!$S338/100,"")))</f>
        <v>27.331185321443094</v>
      </c>
      <c r="AK338" s="10">
        <f t="shared" si="59"/>
        <v>4.919613357859757</v>
      </c>
      <c r="AL338" s="10">
        <f t="shared" si="61"/>
        <v>1.3665592660721546</v>
      </c>
      <c r="AM338" s="10">
        <f t="shared" si="62"/>
        <v>0.24598066789298781</v>
      </c>
    </row>
    <row r="339" spans="1:39" x14ac:dyDescent="0.25">
      <c r="A339" s="15">
        <v>14571094</v>
      </c>
      <c r="B339" s="15">
        <v>115.72</v>
      </c>
      <c r="C339" s="15">
        <v>468631</v>
      </c>
      <c r="D339" s="15">
        <v>66068</v>
      </c>
      <c r="E339" s="15" t="s">
        <v>306</v>
      </c>
      <c r="F339" s="15">
        <v>2011</v>
      </c>
      <c r="G339" s="15">
        <v>20110308</v>
      </c>
      <c r="H339" s="15">
        <v>6769</v>
      </c>
      <c r="I339" s="15">
        <v>0.68</v>
      </c>
      <c r="J339" s="6" t="s">
        <v>1483</v>
      </c>
      <c r="K339" s="15">
        <v>214</v>
      </c>
      <c r="L339" s="15" t="s">
        <v>56</v>
      </c>
      <c r="M339" s="15" t="s">
        <v>5</v>
      </c>
      <c r="N339" s="11" t="s">
        <v>1390</v>
      </c>
      <c r="O339" s="11" t="s">
        <v>42</v>
      </c>
      <c r="P339" s="11" t="s">
        <v>33</v>
      </c>
      <c r="Q339" s="15">
        <v>25</v>
      </c>
      <c r="R339" s="11" t="s">
        <v>7</v>
      </c>
      <c r="S339" s="10">
        <v>140.11972159742001</v>
      </c>
      <c r="T339" s="15">
        <v>80</v>
      </c>
      <c r="U339" s="15">
        <v>0</v>
      </c>
      <c r="V339" s="15">
        <v>1</v>
      </c>
      <c r="W339" s="15">
        <v>1</v>
      </c>
      <c r="X339" s="15">
        <f>IF(O339='Udvaskning nøgletal'!$D$65,1,IF(O339='Udvaskning nøgletal'!$D$66,2,IF(O339='Udvaskning nøgletal'!$D$67,3,IF(O339='Udvaskning nøgletal'!$D$68,2,""))))</f>
        <v>2</v>
      </c>
      <c r="Y339" s="15">
        <f>LOOKUP(K339,'Udvaskning nøgletal'!$C$12:$C$60,'Udvaskning nøgletal'!$H$12:$H$60)</f>
        <v>0</v>
      </c>
      <c r="Z339" s="10">
        <f>IF(X339=1,LOOKUP(K339,'Udvaskning nøgletal'!$C$12:$C$60,'Udvaskning nøgletal'!$E$12:$E$60)+Markniveau!Y339*Markniveau!S339/100,IF(X339=2,LOOKUP(K339,'Udvaskning nøgletal'!$C$12:$C$60,'Udvaskning nøgletal'!$F$12:$F$60)+Markniveau!Y339*Markniveau!S339/100,IF(X339=3,LOOKUP(K339,'Udvaskning nøgletal'!$C$12:$C$60,'Udvaskning nøgletal'!G349:G397)+Markniveau!Y339*Markniveau!S339/100,"")))</f>
        <v>31.161328188970323</v>
      </c>
      <c r="AA339" s="10">
        <f t="shared" si="56"/>
        <v>21.189703168499822</v>
      </c>
      <c r="AB339" s="10">
        <f t="shared" si="55"/>
        <v>23.370996141727741</v>
      </c>
      <c r="AC339" s="10">
        <f t="shared" si="57"/>
        <v>15.892277376374865</v>
      </c>
      <c r="AD339" s="10">
        <f>IF(AND(Q339&gt;0,Q339&lt;30,K339&lt;8),Markniveau!Z339*'Udvaskning nøgletal'!$I$12/100,IF(AND(Q339&gt;0,Q339&lt;30,K339=216),Markniveau!Z339*'Udvaskning nøgletal'!$I$34/100,Markniveau!Z339))</f>
        <v>31.161328188970323</v>
      </c>
      <c r="AE339" s="10">
        <f t="shared" si="63"/>
        <v>21.189703168499822</v>
      </c>
      <c r="AF339" s="10">
        <f t="shared" si="58"/>
        <v>23.370996141727741</v>
      </c>
      <c r="AG339" s="10">
        <f t="shared" si="64"/>
        <v>15.892277376374865</v>
      </c>
      <c r="AH339" s="10" t="str">
        <f>IF(AND(Q339&gt;0,Q339&lt;30,K339=216),'Udvaskning nøgletal'!$C$42,IF(AND(Q339&gt;0,Q339&lt;30,K339&gt;7,K339&lt;17),'Udvaskning nøgletal'!$C$61,IF(AND(Q339&gt;0,Q339&lt;30,K339&lt;7),'Udvaskning nøgletal'!$C$62,"")))</f>
        <v/>
      </c>
      <c r="AI339" s="10">
        <f t="shared" si="60"/>
        <v>214</v>
      </c>
      <c r="AJ339" s="10">
        <f>IF($X339=1,LOOKUP(AI339,'Udvaskning nøgletal'!$C$12:$C$62,'Udvaskning nøgletal'!$E$12:$E$62)+Markniveau!$Y339*Markniveau!$S339/100,IF($X339=2,LOOKUP(AI339,'Udvaskning nøgletal'!$C$12:$C$62,'Udvaskning nøgletal'!$F$12:$F$62)+Markniveau!$Y339*Markniveau!$S339/100,IF($X339=3,LOOKUP(AI339,'Udvaskning nøgletal'!$C$12:$C$62,'Udvaskning nøgletal'!Q349:Q399)+Markniveau!$Y339*Markniveau!$S339/100,"")))</f>
        <v>31.161328188970323</v>
      </c>
      <c r="AK339" s="10">
        <f t="shared" si="59"/>
        <v>21.189703168499822</v>
      </c>
      <c r="AL339" s="10">
        <f t="shared" si="61"/>
        <v>23.370996141727741</v>
      </c>
      <c r="AM339" s="10">
        <f t="shared" si="62"/>
        <v>15.892277376374865</v>
      </c>
    </row>
    <row r="340" spans="1:39" x14ac:dyDescent="0.25">
      <c r="A340" s="15">
        <v>14571094</v>
      </c>
      <c r="B340" s="15">
        <v>115.72</v>
      </c>
      <c r="C340" s="15">
        <v>476150</v>
      </c>
      <c r="D340" s="15">
        <v>66068</v>
      </c>
      <c r="E340" s="15" t="s">
        <v>306</v>
      </c>
      <c r="F340" s="15">
        <v>2011</v>
      </c>
      <c r="G340" s="15">
        <v>20110308</v>
      </c>
      <c r="H340" s="15">
        <v>21057</v>
      </c>
      <c r="I340" s="15">
        <v>2.11</v>
      </c>
      <c r="J340" s="6" t="s">
        <v>1484</v>
      </c>
      <c r="K340" s="15">
        <v>260</v>
      </c>
      <c r="L340" s="15" t="s">
        <v>45</v>
      </c>
      <c r="M340" s="15" t="s">
        <v>5</v>
      </c>
      <c r="N340" s="11" t="s">
        <v>1390</v>
      </c>
      <c r="O340" s="11" t="s">
        <v>42</v>
      </c>
      <c r="P340" s="11" t="s">
        <v>33</v>
      </c>
      <c r="Q340" s="15">
        <v>25</v>
      </c>
      <c r="R340" s="11" t="s">
        <v>7</v>
      </c>
      <c r="S340" s="10">
        <v>140.11972159742001</v>
      </c>
      <c r="T340" s="15">
        <v>80</v>
      </c>
      <c r="U340" s="15">
        <v>0</v>
      </c>
      <c r="V340" s="15">
        <v>1</v>
      </c>
      <c r="W340" s="15">
        <v>1</v>
      </c>
      <c r="X340" s="15">
        <f>IF(O340='Udvaskning nøgletal'!$D$65,1,IF(O340='Udvaskning nøgletal'!$D$66,2,IF(O340='Udvaskning nøgletal'!$D$67,3,IF(O340='Udvaskning nøgletal'!$D$68,2,""))))</f>
        <v>2</v>
      </c>
      <c r="Y340" s="15">
        <f>LOOKUP(K340,'Udvaskning nøgletal'!$C$12:$C$60,'Udvaskning nøgletal'!$H$12:$H$60)</f>
        <v>0</v>
      </c>
      <c r="Z340" s="10">
        <f>IF(X340=1,LOOKUP(K340,'Udvaskning nøgletal'!$C$12:$C$60,'Udvaskning nøgletal'!$E$12:$E$60)+Markniveau!Y340*Markniveau!S340/100,IF(X340=2,LOOKUP(K340,'Udvaskning nøgletal'!$C$12:$C$60,'Udvaskning nøgletal'!$F$12:$F$60)+Markniveau!Y340*Markniveau!S340/100,IF(X340=3,LOOKUP(K340,'Udvaskning nøgletal'!$C$12:$C$60,'Udvaskning nøgletal'!G350:G398)+Markniveau!Y340*Markniveau!S340/100,"")))</f>
        <v>27.331185321443094</v>
      </c>
      <c r="AA340" s="10">
        <f t="shared" si="56"/>
        <v>57.668801028244928</v>
      </c>
      <c r="AB340" s="10">
        <f t="shared" si="55"/>
        <v>20.498388991082319</v>
      </c>
      <c r="AC340" s="10">
        <f t="shared" si="57"/>
        <v>43.251600771183689</v>
      </c>
      <c r="AD340" s="10">
        <f>IF(AND(Q340&gt;0,Q340&lt;30,K340&lt;8),Markniveau!Z340*'Udvaskning nøgletal'!$I$12/100,IF(AND(Q340&gt;0,Q340&lt;30,K340=216),Markniveau!Z340*'Udvaskning nøgletal'!$I$34/100,Markniveau!Z340))</f>
        <v>27.331185321443094</v>
      </c>
      <c r="AE340" s="10">
        <f t="shared" si="63"/>
        <v>57.668801028244928</v>
      </c>
      <c r="AF340" s="10">
        <f t="shared" si="58"/>
        <v>20.498388991082319</v>
      </c>
      <c r="AG340" s="10">
        <f t="shared" si="64"/>
        <v>43.251600771183689</v>
      </c>
      <c r="AH340" s="10" t="str">
        <f>IF(AND(Q340&gt;0,Q340&lt;30,K340=216),'Udvaskning nøgletal'!$C$42,IF(AND(Q340&gt;0,Q340&lt;30,K340&gt;7,K340&lt;17),'Udvaskning nøgletal'!$C$61,IF(AND(Q340&gt;0,Q340&lt;30,K340&lt;7),'Udvaskning nøgletal'!$C$62,"")))</f>
        <v/>
      </c>
      <c r="AI340" s="10">
        <f t="shared" si="60"/>
        <v>260</v>
      </c>
      <c r="AJ340" s="10">
        <f>IF($X340=1,LOOKUP(AI340,'Udvaskning nøgletal'!$C$12:$C$62,'Udvaskning nøgletal'!$E$12:$E$62)+Markniveau!$Y340*Markniveau!$S340/100,IF($X340=2,LOOKUP(AI340,'Udvaskning nøgletal'!$C$12:$C$62,'Udvaskning nøgletal'!$F$12:$F$62)+Markniveau!$Y340*Markniveau!$S340/100,IF($X340=3,LOOKUP(AI340,'Udvaskning nøgletal'!$C$12:$C$62,'Udvaskning nøgletal'!Q350:Q400)+Markniveau!$Y340*Markniveau!$S340/100,"")))</f>
        <v>27.331185321443094</v>
      </c>
      <c r="AK340" s="10">
        <f t="shared" si="59"/>
        <v>57.668801028244928</v>
      </c>
      <c r="AL340" s="10">
        <f t="shared" si="61"/>
        <v>20.498388991082319</v>
      </c>
      <c r="AM340" s="10">
        <f t="shared" si="62"/>
        <v>43.251600771183689</v>
      </c>
    </row>
    <row r="341" spans="1:39" x14ac:dyDescent="0.25">
      <c r="A341" s="15">
        <v>14571094</v>
      </c>
      <c r="B341" s="15">
        <v>115.72</v>
      </c>
      <c r="C341" s="15">
        <v>488981</v>
      </c>
      <c r="D341" s="15">
        <v>66068</v>
      </c>
      <c r="E341" s="15" t="s">
        <v>185</v>
      </c>
      <c r="F341" s="15">
        <v>2011</v>
      </c>
      <c r="G341" s="15">
        <v>20110308</v>
      </c>
      <c r="H341" s="15">
        <v>3189</v>
      </c>
      <c r="I341" s="15">
        <v>0.32</v>
      </c>
      <c r="J341" s="6" t="s">
        <v>1461</v>
      </c>
      <c r="K341" s="15">
        <v>902</v>
      </c>
      <c r="L341" s="15" t="s">
        <v>160</v>
      </c>
      <c r="M341" s="15" t="s">
        <v>81</v>
      </c>
      <c r="N341" s="11" t="s">
        <v>1406</v>
      </c>
      <c r="O341" s="11" t="s">
        <v>46</v>
      </c>
      <c r="P341" s="11" t="s">
        <v>29</v>
      </c>
      <c r="Q341" s="15">
        <v>2</v>
      </c>
      <c r="R341" s="11" t="s">
        <v>11</v>
      </c>
      <c r="S341" s="10">
        <v>140.11972159742001</v>
      </c>
      <c r="T341" s="15">
        <v>80</v>
      </c>
      <c r="U341" s="15">
        <v>0</v>
      </c>
      <c r="V341" s="15">
        <v>1</v>
      </c>
      <c r="W341" s="15">
        <v>1</v>
      </c>
      <c r="X341" s="15">
        <f>IF(O341='Udvaskning nøgletal'!$D$65,1,IF(O341='Udvaskning nøgletal'!$D$66,2,IF(O341='Udvaskning nøgletal'!$D$67,3,IF(O341='Udvaskning nøgletal'!$D$68,2,""))))</f>
        <v>2</v>
      </c>
      <c r="Y341" s="15">
        <f>LOOKUP(K341,'Udvaskning nøgletal'!$C$12:$C$60,'Udvaskning nøgletal'!$H$12:$H$60)</f>
        <v>0</v>
      </c>
      <c r="Z341" s="10">
        <f>IF(X341=1,LOOKUP(K341,'Udvaskning nøgletal'!$C$12:$C$60,'Udvaskning nøgletal'!$E$12:$E$60)+Markniveau!Y341*Markniveau!S341/100,IF(X341=2,LOOKUP(K341,'Udvaskning nøgletal'!$C$12:$C$60,'Udvaskning nøgletal'!$F$12:$F$60)+Markniveau!Y341*Markniveau!S341/100,IF(X341=3,LOOKUP(K341,'Udvaskning nøgletal'!$C$12:$C$60,'Udvaskning nøgletal'!G351:G399)+Markniveau!Y341*Markniveau!S341/100,"")))</f>
        <v>10</v>
      </c>
      <c r="AA341" s="10">
        <f t="shared" si="56"/>
        <v>3.2</v>
      </c>
      <c r="AB341" s="10">
        <f t="shared" si="55"/>
        <v>9.8000000000000007</v>
      </c>
      <c r="AC341" s="10">
        <f t="shared" si="57"/>
        <v>3.1360000000000001</v>
      </c>
      <c r="AD341" s="10">
        <f>IF(AND(Q341&gt;0,Q341&lt;30,K341&lt;8),Markniveau!Z341*'Udvaskning nøgletal'!$I$12/100,IF(AND(Q341&gt;0,Q341&lt;30,K341=216),Markniveau!Z341*'Udvaskning nøgletal'!$I$34/100,Markniveau!Z341))</f>
        <v>10</v>
      </c>
      <c r="AE341" s="10">
        <f t="shared" si="63"/>
        <v>3.2</v>
      </c>
      <c r="AF341" s="10">
        <f t="shared" si="58"/>
        <v>9.8000000000000007</v>
      </c>
      <c r="AG341" s="10">
        <f t="shared" si="64"/>
        <v>3.1360000000000001</v>
      </c>
      <c r="AH341" s="10" t="str">
        <f>IF(AND(Q341&gt;0,Q341&lt;30,K341=216),'Udvaskning nøgletal'!$C$42,IF(AND(Q341&gt;0,Q341&lt;30,K341&gt;7,K341&lt;17),'Udvaskning nøgletal'!$C$61,IF(AND(Q341&gt;0,Q341&lt;30,K341&lt;7),'Udvaskning nøgletal'!$C$62,"")))</f>
        <v/>
      </c>
      <c r="AI341" s="10">
        <f t="shared" si="60"/>
        <v>902</v>
      </c>
      <c r="AJ341" s="10">
        <f>IF($X341=1,LOOKUP(AI341,'Udvaskning nøgletal'!$C$12:$C$62,'Udvaskning nøgletal'!$E$12:$E$62)+Markniveau!$Y341*Markniveau!$S341/100,IF($X341=2,LOOKUP(AI341,'Udvaskning nøgletal'!$C$12:$C$62,'Udvaskning nøgletal'!$F$12:$F$62)+Markniveau!$Y341*Markniveau!$S341/100,IF($X341=3,LOOKUP(AI341,'Udvaskning nøgletal'!$C$12:$C$62,'Udvaskning nøgletal'!Q351:Q401)+Markniveau!$Y341*Markniveau!$S341/100,"")))</f>
        <v>10</v>
      </c>
      <c r="AK341" s="10">
        <f t="shared" si="59"/>
        <v>3.2</v>
      </c>
      <c r="AL341" s="10">
        <f t="shared" si="61"/>
        <v>9.8000000000000007</v>
      </c>
      <c r="AM341" s="10">
        <f t="shared" si="62"/>
        <v>3.1360000000000001</v>
      </c>
    </row>
    <row r="342" spans="1:39" x14ac:dyDescent="0.25">
      <c r="A342" s="15">
        <v>14571094</v>
      </c>
      <c r="B342" s="15">
        <v>115.72</v>
      </c>
      <c r="C342" s="15">
        <v>9093</v>
      </c>
      <c r="D342" s="15">
        <v>66068</v>
      </c>
      <c r="E342" s="15" t="s">
        <v>295</v>
      </c>
      <c r="F342" s="15">
        <v>2011</v>
      </c>
      <c r="G342" s="15">
        <v>20110405</v>
      </c>
      <c r="H342" s="15">
        <v>13941</v>
      </c>
      <c r="I342" s="15">
        <v>1.39</v>
      </c>
      <c r="J342" s="6" t="s">
        <v>1399</v>
      </c>
      <c r="K342" s="15">
        <v>215</v>
      </c>
      <c r="L342" s="15" t="s">
        <v>128</v>
      </c>
      <c r="M342" s="15" t="s">
        <v>5</v>
      </c>
      <c r="N342" s="11" t="s">
        <v>1406</v>
      </c>
      <c r="O342" s="11" t="s">
        <v>46</v>
      </c>
      <c r="P342" s="11" t="s">
        <v>29</v>
      </c>
      <c r="Q342" s="15">
        <v>2</v>
      </c>
      <c r="R342" s="11" t="s">
        <v>11</v>
      </c>
      <c r="S342" s="10">
        <v>140.11972159742001</v>
      </c>
      <c r="T342" s="15">
        <v>80</v>
      </c>
      <c r="U342" s="15">
        <v>0</v>
      </c>
      <c r="V342" s="15">
        <v>1</v>
      </c>
      <c r="W342" s="15">
        <v>1</v>
      </c>
      <c r="X342" s="15">
        <f>IF(O342='Udvaskning nøgletal'!$D$65,1,IF(O342='Udvaskning nøgletal'!$D$66,2,IF(O342='Udvaskning nøgletal'!$D$67,3,IF(O342='Udvaskning nøgletal'!$D$68,2,""))))</f>
        <v>2</v>
      </c>
      <c r="Y342" s="15">
        <f>LOOKUP(K342,'Udvaskning nøgletal'!$C$12:$C$60,'Udvaskning nøgletal'!$H$12:$H$60)</f>
        <v>0</v>
      </c>
      <c r="Z342" s="10">
        <f>IF(X342=1,LOOKUP(K342,'Udvaskning nøgletal'!$C$12:$C$60,'Udvaskning nøgletal'!$E$12:$E$60)+Markniveau!Y342*Markniveau!S342/100,IF(X342=2,LOOKUP(K342,'Udvaskning nøgletal'!$C$12:$C$60,'Udvaskning nøgletal'!$F$12:$F$60)+Markniveau!Y342*Markniveau!S342/100,IF(X342=3,LOOKUP(K342,'Udvaskning nøgletal'!$C$12:$C$60,'Udvaskning nøgletal'!G352:G400)+Markniveau!Y342*Markniveau!S342/100,"")))</f>
        <v>31.161328188970323</v>
      </c>
      <c r="AA342" s="10">
        <f t="shared" si="56"/>
        <v>43.314246182668747</v>
      </c>
      <c r="AB342" s="10">
        <f t="shared" si="55"/>
        <v>30.538101625190915</v>
      </c>
      <c r="AC342" s="10">
        <f t="shared" si="57"/>
        <v>42.447961259015372</v>
      </c>
      <c r="AD342" s="10">
        <f>IF(AND(Q342&gt;0,Q342&lt;30,K342&lt;8),Markniveau!Z342*'Udvaskning nøgletal'!$I$12/100,IF(AND(Q342&gt;0,Q342&lt;30,K342=216),Markniveau!Z342*'Udvaskning nøgletal'!$I$34/100,Markniveau!Z342))</f>
        <v>31.161328188970323</v>
      </c>
      <c r="AE342" s="10">
        <f t="shared" si="63"/>
        <v>43.314246182668747</v>
      </c>
      <c r="AF342" s="10">
        <f t="shared" si="58"/>
        <v>30.538101625190915</v>
      </c>
      <c r="AG342" s="10">
        <f t="shared" si="64"/>
        <v>42.447961259015372</v>
      </c>
      <c r="AH342" s="10" t="str">
        <f>IF(AND(Q342&gt;0,Q342&lt;30,K342=216),'Udvaskning nøgletal'!$C$42,IF(AND(Q342&gt;0,Q342&lt;30,K342&gt;7,K342&lt;17),'Udvaskning nøgletal'!$C$61,IF(AND(Q342&gt;0,Q342&lt;30,K342&lt;7),'Udvaskning nøgletal'!$C$62,"")))</f>
        <v/>
      </c>
      <c r="AI342" s="10">
        <f t="shared" si="60"/>
        <v>215</v>
      </c>
      <c r="AJ342" s="10">
        <f>IF($X342=1,LOOKUP(AI342,'Udvaskning nøgletal'!$C$12:$C$62,'Udvaskning nøgletal'!$E$12:$E$62)+Markniveau!$Y342*Markniveau!$S342/100,IF($X342=2,LOOKUP(AI342,'Udvaskning nøgletal'!$C$12:$C$62,'Udvaskning nøgletal'!$F$12:$F$62)+Markniveau!$Y342*Markniveau!$S342/100,IF($X342=3,LOOKUP(AI342,'Udvaskning nøgletal'!$C$12:$C$62,'Udvaskning nøgletal'!Q352:Q402)+Markniveau!$Y342*Markniveau!$S342/100,"")))</f>
        <v>31.161328188970323</v>
      </c>
      <c r="AK342" s="10">
        <f t="shared" si="59"/>
        <v>43.314246182668747</v>
      </c>
      <c r="AL342" s="10">
        <f t="shared" si="61"/>
        <v>30.538101625190915</v>
      </c>
      <c r="AM342" s="10">
        <f t="shared" si="62"/>
        <v>42.447961259015372</v>
      </c>
    </row>
    <row r="343" spans="1:39" x14ac:dyDescent="0.25">
      <c r="A343" s="15">
        <v>14571094</v>
      </c>
      <c r="B343" s="15">
        <v>115.72</v>
      </c>
      <c r="C343" s="15">
        <v>14243</v>
      </c>
      <c r="D343" s="15">
        <v>66068</v>
      </c>
      <c r="E343" s="15" t="s">
        <v>296</v>
      </c>
      <c r="F343" s="15">
        <v>2011</v>
      </c>
      <c r="G343" s="15">
        <v>20110410</v>
      </c>
      <c r="H343" s="15">
        <v>87336</v>
      </c>
      <c r="I343" s="15">
        <v>8.73</v>
      </c>
      <c r="J343" s="6" t="s">
        <v>325</v>
      </c>
      <c r="K343" s="15">
        <v>260</v>
      </c>
      <c r="L343" s="15" t="s">
        <v>45</v>
      </c>
      <c r="M343" s="15" t="s">
        <v>5</v>
      </c>
      <c r="N343" s="11" t="s">
        <v>1390</v>
      </c>
      <c r="O343" s="11" t="s">
        <v>42</v>
      </c>
      <c r="P343" s="11" t="s">
        <v>33</v>
      </c>
      <c r="Q343" s="15">
        <v>0</v>
      </c>
      <c r="R343" s="11" t="s">
        <v>1386</v>
      </c>
      <c r="S343" s="10">
        <v>140.11972159742001</v>
      </c>
      <c r="T343" s="15">
        <v>80</v>
      </c>
      <c r="U343" s="15">
        <v>0</v>
      </c>
      <c r="V343" s="15">
        <v>1</v>
      </c>
      <c r="W343" s="15">
        <v>1</v>
      </c>
      <c r="X343" s="15">
        <f>IF(O343='Udvaskning nøgletal'!$D$65,1,IF(O343='Udvaskning nøgletal'!$D$66,2,IF(O343='Udvaskning nøgletal'!$D$67,3,IF(O343='Udvaskning nøgletal'!$D$68,2,""))))</f>
        <v>2</v>
      </c>
      <c r="Y343" s="15">
        <f>LOOKUP(K343,'Udvaskning nøgletal'!$C$12:$C$60,'Udvaskning nøgletal'!$H$12:$H$60)</f>
        <v>0</v>
      </c>
      <c r="Z343" s="10">
        <f>IF(X343=1,LOOKUP(K343,'Udvaskning nøgletal'!$C$12:$C$60,'Udvaskning nøgletal'!$E$12:$E$60)+Markniveau!Y343*Markniveau!S343/100,IF(X343=2,LOOKUP(K343,'Udvaskning nøgletal'!$C$12:$C$60,'Udvaskning nøgletal'!$F$12:$F$60)+Markniveau!Y343*Markniveau!S343/100,IF(X343=3,LOOKUP(K343,'Udvaskning nøgletal'!$C$12:$C$60,'Udvaskning nøgletal'!G353:G401)+Markniveau!Y343*Markniveau!S343/100,"")))</f>
        <v>27.331185321443094</v>
      </c>
      <c r="AA343" s="10">
        <f t="shared" si="56"/>
        <v>238.60124785619823</v>
      </c>
      <c r="AB343" s="10" t="str">
        <f t="shared" si="55"/>
        <v/>
      </c>
      <c r="AC343" s="10" t="str">
        <f t="shared" si="57"/>
        <v/>
      </c>
      <c r="AD343" s="10">
        <f>IF(AND(Q343&gt;0,Q343&lt;30,K343&lt;8),Markniveau!Z343*'Udvaskning nøgletal'!$I$12/100,IF(AND(Q343&gt;0,Q343&lt;30,K343=216),Markniveau!Z343*'Udvaskning nøgletal'!$I$34/100,Markniveau!Z343))</f>
        <v>27.331185321443094</v>
      </c>
      <c r="AE343" s="10">
        <f t="shared" si="63"/>
        <v>238.60124785619823</v>
      </c>
      <c r="AF343" s="10" t="str">
        <f t="shared" si="58"/>
        <v/>
      </c>
      <c r="AG343" s="10" t="str">
        <f t="shared" si="64"/>
        <v/>
      </c>
      <c r="AH343" s="10" t="str">
        <f>IF(AND(Q343&gt;0,Q343&lt;30,K343=216),'Udvaskning nøgletal'!$C$42,IF(AND(Q343&gt;0,Q343&lt;30,K343&gt;7,K343&lt;17),'Udvaskning nøgletal'!$C$61,IF(AND(Q343&gt;0,Q343&lt;30,K343&lt;7),'Udvaskning nøgletal'!$C$62,"")))</f>
        <v/>
      </c>
      <c r="AI343" s="10">
        <f t="shared" si="60"/>
        <v>260</v>
      </c>
      <c r="AJ343" s="10">
        <f>IF($X343=1,LOOKUP(AI343,'Udvaskning nøgletal'!$C$12:$C$62,'Udvaskning nøgletal'!$E$12:$E$62)+Markniveau!$Y343*Markniveau!$S343/100,IF($X343=2,LOOKUP(AI343,'Udvaskning nøgletal'!$C$12:$C$62,'Udvaskning nøgletal'!$F$12:$F$62)+Markniveau!$Y343*Markniveau!$S343/100,IF($X343=3,LOOKUP(AI343,'Udvaskning nøgletal'!$C$12:$C$62,'Udvaskning nøgletal'!Q353:Q403)+Markniveau!$Y343*Markniveau!$S343/100,"")))</f>
        <v>27.331185321443094</v>
      </c>
      <c r="AK343" s="10">
        <f t="shared" si="59"/>
        <v>238.60124785619823</v>
      </c>
      <c r="AL343" s="10" t="str">
        <f t="shared" si="61"/>
        <v/>
      </c>
      <c r="AM343" s="10" t="str">
        <f t="shared" si="62"/>
        <v/>
      </c>
    </row>
    <row r="344" spans="1:39" x14ac:dyDescent="0.25">
      <c r="A344" s="15">
        <v>15378506</v>
      </c>
      <c r="B344" s="15">
        <v>7.14</v>
      </c>
      <c r="C344" s="15">
        <v>557</v>
      </c>
      <c r="D344" s="15">
        <v>51482</v>
      </c>
      <c r="E344" s="15" t="s">
        <v>326</v>
      </c>
      <c r="F344" s="15">
        <v>2011</v>
      </c>
      <c r="G344" s="15">
        <v>20110401</v>
      </c>
      <c r="H344" s="15">
        <v>47995</v>
      </c>
      <c r="I344" s="15">
        <v>4.8</v>
      </c>
      <c r="J344" s="6" t="s">
        <v>1391</v>
      </c>
      <c r="K344" s="15">
        <v>10</v>
      </c>
      <c r="L344" s="15" t="s">
        <v>107</v>
      </c>
      <c r="M344" s="15" t="s">
        <v>5</v>
      </c>
      <c r="N344" s="11" t="s">
        <v>1384</v>
      </c>
      <c r="O344" s="11" t="s">
        <v>28</v>
      </c>
      <c r="P344" s="11" t="s">
        <v>33</v>
      </c>
      <c r="Q344" s="15">
        <v>40</v>
      </c>
      <c r="R344" s="11" t="s">
        <v>6</v>
      </c>
      <c r="S344" s="10">
        <v>72.244428723027994</v>
      </c>
      <c r="T344" s="15">
        <v>80</v>
      </c>
      <c r="U344" s="15">
        <v>0</v>
      </c>
      <c r="V344" s="15">
        <v>0</v>
      </c>
      <c r="W344" s="15">
        <v>0</v>
      </c>
      <c r="X344" s="15">
        <f>IF(O344='Udvaskning nøgletal'!$D$65,1,IF(O344='Udvaskning nøgletal'!$D$66,2,IF(O344='Udvaskning nøgletal'!$D$67,3,IF(O344='Udvaskning nøgletal'!$D$68,2,""))))</f>
        <v>1</v>
      </c>
      <c r="Y344" s="15">
        <f>LOOKUP(K344,'Udvaskning nøgletal'!$C$12:$C$60,'Udvaskning nøgletal'!$H$12:$H$60)</f>
        <v>5</v>
      </c>
      <c r="Z344" s="10">
        <f>IF(X344=1,LOOKUP(K344,'Udvaskning nøgletal'!$C$12:$C$60,'Udvaskning nøgletal'!$E$12:$E$60)+Markniveau!Y344*Markniveau!S344/100,IF(X344=2,LOOKUP(K344,'Udvaskning nøgletal'!$C$12:$C$60,'Udvaskning nøgletal'!$F$12:$F$60)+Markniveau!Y344*Markniveau!S344/100,IF(X344=3,LOOKUP(K344,'Udvaskning nøgletal'!$C$12:$C$60,'Udvaskning nøgletal'!G354:G402)+Markniveau!Y344*Markniveau!S344/100,"")))</f>
        <v>68.272221436151398</v>
      </c>
      <c r="AA344" s="10">
        <f t="shared" si="56"/>
        <v>327.7066628935267</v>
      </c>
      <c r="AB344" s="10">
        <f t="shared" si="55"/>
        <v>40.963332861690844</v>
      </c>
      <c r="AC344" s="10">
        <f t="shared" si="57"/>
        <v>196.62399773611605</v>
      </c>
      <c r="AD344" s="10">
        <f>IF(AND(Q344&gt;0,Q344&lt;30,K344&lt;8),Markniveau!Z344*'Udvaskning nøgletal'!$I$12/100,IF(AND(Q344&gt;0,Q344&lt;30,K344=216),Markniveau!Z344*'Udvaskning nøgletal'!$I$34/100,Markniveau!Z344))</f>
        <v>68.272221436151398</v>
      </c>
      <c r="AE344" s="10">
        <f t="shared" si="63"/>
        <v>327.7066628935267</v>
      </c>
      <c r="AF344" s="10">
        <f t="shared" si="58"/>
        <v>40.963332861690844</v>
      </c>
      <c r="AG344" s="10">
        <f t="shared" si="64"/>
        <v>196.62399773611605</v>
      </c>
      <c r="AH344" s="10" t="str">
        <f>IF(AND(Q344&gt;0,Q344&lt;30,K344=216),'Udvaskning nøgletal'!$C$42,IF(AND(Q344&gt;0,Q344&lt;30,K344&gt;7,K344&lt;17),'Udvaskning nøgletal'!$C$61,IF(AND(Q344&gt;0,Q344&lt;30,K344&lt;7),'Udvaskning nøgletal'!$C$62,"")))</f>
        <v/>
      </c>
      <c r="AI344" s="10">
        <f t="shared" si="60"/>
        <v>10</v>
      </c>
      <c r="AJ344" s="10">
        <f>IF($X344=1,LOOKUP(AI344,'Udvaskning nøgletal'!$C$12:$C$62,'Udvaskning nøgletal'!$E$12:$E$62)+Markniveau!$Y344*Markniveau!$S344/100,IF($X344=2,LOOKUP(AI344,'Udvaskning nøgletal'!$C$12:$C$62,'Udvaskning nøgletal'!$F$12:$F$62)+Markniveau!$Y344*Markniveau!$S344/100,IF($X344=3,LOOKUP(AI344,'Udvaskning nøgletal'!$C$12:$C$62,'Udvaskning nøgletal'!Q354:Q404)+Markniveau!$Y344*Markniveau!$S344/100,"")))</f>
        <v>68.272221436151398</v>
      </c>
      <c r="AK344" s="10">
        <f t="shared" si="59"/>
        <v>327.7066628935267</v>
      </c>
      <c r="AL344" s="10">
        <f t="shared" si="61"/>
        <v>40.963332861690844</v>
      </c>
      <c r="AM344" s="10">
        <f t="shared" si="62"/>
        <v>196.62399773611605</v>
      </c>
    </row>
    <row r="345" spans="1:39" x14ac:dyDescent="0.25">
      <c r="A345" s="15">
        <v>15378506</v>
      </c>
      <c r="B345" s="15">
        <v>7.14</v>
      </c>
      <c r="C345" s="15">
        <v>558</v>
      </c>
      <c r="D345" s="15">
        <v>51482</v>
      </c>
      <c r="E345" s="15" t="s">
        <v>326</v>
      </c>
      <c r="F345" s="15">
        <v>2011</v>
      </c>
      <c r="G345" s="15">
        <v>20110401</v>
      </c>
      <c r="H345" s="15">
        <v>45484</v>
      </c>
      <c r="I345" s="15">
        <v>4.55</v>
      </c>
      <c r="J345" s="6" t="s">
        <v>1466</v>
      </c>
      <c r="K345" s="15">
        <v>1</v>
      </c>
      <c r="L345" s="15" t="s">
        <v>32</v>
      </c>
      <c r="M345" s="15" t="s">
        <v>5</v>
      </c>
      <c r="N345" s="11" t="s">
        <v>1384</v>
      </c>
      <c r="O345" s="11" t="s">
        <v>28</v>
      </c>
      <c r="P345" s="11" t="s">
        <v>33</v>
      </c>
      <c r="Q345" s="15">
        <v>40</v>
      </c>
      <c r="R345" s="11" t="s">
        <v>6</v>
      </c>
      <c r="S345" s="10">
        <v>72.244428723027994</v>
      </c>
      <c r="T345" s="15">
        <v>80</v>
      </c>
      <c r="U345" s="15">
        <v>0</v>
      </c>
      <c r="V345" s="15">
        <v>0</v>
      </c>
      <c r="W345" s="15">
        <v>0</v>
      </c>
      <c r="X345" s="15">
        <f>IF(O345='Udvaskning nøgletal'!$D$65,1,IF(O345='Udvaskning nøgletal'!$D$66,2,IF(O345='Udvaskning nøgletal'!$D$67,3,IF(O345='Udvaskning nøgletal'!$D$68,2,""))))</f>
        <v>1</v>
      </c>
      <c r="Y345" s="15">
        <f>LOOKUP(K345,'Udvaskning nøgletal'!$C$12:$C$60,'Udvaskning nøgletal'!$H$12:$H$60)</f>
        <v>5</v>
      </c>
      <c r="Z345" s="10">
        <f>IF(X345=1,LOOKUP(K345,'Udvaskning nøgletal'!$C$12:$C$60,'Udvaskning nøgletal'!$E$12:$E$60)+Markniveau!Y345*Markniveau!S345/100,IF(X345=2,LOOKUP(K345,'Udvaskning nøgletal'!$C$12:$C$60,'Udvaskning nøgletal'!$F$12:$F$60)+Markniveau!Y345*Markniveau!S345/100,IF(X345=3,LOOKUP(K345,'Udvaskning nøgletal'!$C$12:$C$60,'Udvaskning nøgletal'!G355:G403)+Markniveau!Y345*Markniveau!S345/100,"")))</f>
        <v>68.272221436151398</v>
      </c>
      <c r="AA345" s="10">
        <f t="shared" si="56"/>
        <v>310.63860753448887</v>
      </c>
      <c r="AB345" s="10">
        <f t="shared" si="55"/>
        <v>40.963332861690844</v>
      </c>
      <c r="AC345" s="10">
        <f t="shared" si="57"/>
        <v>186.38316452069333</v>
      </c>
      <c r="AD345" s="10">
        <f>IF(AND(Q345&gt;0,Q345&lt;30,K345&lt;8),Markniveau!Z345*'Udvaskning nøgletal'!$I$12/100,IF(AND(Q345&gt;0,Q345&lt;30,K345=216),Markniveau!Z345*'Udvaskning nøgletal'!$I$34/100,Markniveau!Z345))</f>
        <v>68.272221436151398</v>
      </c>
      <c r="AE345" s="10">
        <f t="shared" si="63"/>
        <v>310.63860753448887</v>
      </c>
      <c r="AF345" s="10">
        <f t="shared" si="58"/>
        <v>40.963332861690844</v>
      </c>
      <c r="AG345" s="10">
        <f t="shared" si="64"/>
        <v>186.38316452069333</v>
      </c>
      <c r="AH345" s="10" t="str">
        <f>IF(AND(Q345&gt;0,Q345&lt;30,K345=216),'Udvaskning nøgletal'!$C$42,IF(AND(Q345&gt;0,Q345&lt;30,K345&gt;7,K345&lt;17),'Udvaskning nøgletal'!$C$61,IF(AND(Q345&gt;0,Q345&lt;30,K345&lt;7),'Udvaskning nøgletal'!$C$62,"")))</f>
        <v/>
      </c>
      <c r="AI345" s="10">
        <f t="shared" si="60"/>
        <v>1</v>
      </c>
      <c r="AJ345" s="10">
        <f>IF($X345=1,LOOKUP(AI345,'Udvaskning nøgletal'!$C$12:$C$62,'Udvaskning nøgletal'!$E$12:$E$62)+Markniveau!$Y345*Markniveau!$S345/100,IF($X345=2,LOOKUP(AI345,'Udvaskning nøgletal'!$C$12:$C$62,'Udvaskning nøgletal'!$F$12:$F$62)+Markniveau!$Y345*Markniveau!$S345/100,IF($X345=3,LOOKUP(AI345,'Udvaskning nøgletal'!$C$12:$C$62,'Udvaskning nøgletal'!Q355:Q405)+Markniveau!$Y345*Markniveau!$S345/100,"")))</f>
        <v>68.272221436151398</v>
      </c>
      <c r="AK345" s="10">
        <f t="shared" si="59"/>
        <v>310.63860753448887</v>
      </c>
      <c r="AL345" s="10">
        <f t="shared" si="61"/>
        <v>40.963332861690844</v>
      </c>
      <c r="AM345" s="10">
        <f t="shared" si="62"/>
        <v>186.38316452069333</v>
      </c>
    </row>
    <row r="346" spans="1:39" x14ac:dyDescent="0.25">
      <c r="A346" s="15">
        <v>15378506</v>
      </c>
      <c r="B346" s="15">
        <v>7.14</v>
      </c>
      <c r="C346" s="15">
        <v>559</v>
      </c>
      <c r="D346" s="15">
        <v>51482</v>
      </c>
      <c r="E346" s="15" t="s">
        <v>327</v>
      </c>
      <c r="F346" s="15">
        <v>2011</v>
      </c>
      <c r="G346" s="15">
        <v>20110401</v>
      </c>
      <c r="H346" s="15">
        <v>4794</v>
      </c>
      <c r="I346" s="15">
        <v>0.48</v>
      </c>
      <c r="J346" s="6" t="s">
        <v>1468</v>
      </c>
      <c r="K346" s="15">
        <v>1</v>
      </c>
      <c r="L346" s="15" t="s">
        <v>32</v>
      </c>
      <c r="M346" s="15" t="s">
        <v>5</v>
      </c>
      <c r="N346" s="11" t="s">
        <v>1384</v>
      </c>
      <c r="O346" s="11" t="s">
        <v>28</v>
      </c>
      <c r="P346" s="11" t="s">
        <v>33</v>
      </c>
      <c r="Q346" s="15">
        <v>40</v>
      </c>
      <c r="R346" s="11" t="s">
        <v>6</v>
      </c>
      <c r="S346" s="10">
        <v>72.244428723027994</v>
      </c>
      <c r="T346" s="15">
        <v>80</v>
      </c>
      <c r="U346" s="15">
        <v>0</v>
      </c>
      <c r="V346" s="15">
        <v>0</v>
      </c>
      <c r="W346" s="15">
        <v>0</v>
      </c>
      <c r="X346" s="15">
        <f>IF(O346='Udvaskning nøgletal'!$D$65,1,IF(O346='Udvaskning nøgletal'!$D$66,2,IF(O346='Udvaskning nøgletal'!$D$67,3,IF(O346='Udvaskning nøgletal'!$D$68,2,""))))</f>
        <v>1</v>
      </c>
      <c r="Y346" s="15">
        <f>LOOKUP(K346,'Udvaskning nøgletal'!$C$12:$C$60,'Udvaskning nøgletal'!$H$12:$H$60)</f>
        <v>5</v>
      </c>
      <c r="Z346" s="10">
        <f>IF(X346=1,LOOKUP(K346,'Udvaskning nøgletal'!$C$12:$C$60,'Udvaskning nøgletal'!$E$12:$E$60)+Markniveau!Y346*Markniveau!S346/100,IF(X346=2,LOOKUP(K346,'Udvaskning nøgletal'!$C$12:$C$60,'Udvaskning nøgletal'!$F$12:$F$60)+Markniveau!Y346*Markniveau!S346/100,IF(X346=3,LOOKUP(K346,'Udvaskning nøgletal'!$C$12:$C$60,'Udvaskning nøgletal'!G356:G404)+Markniveau!Y346*Markniveau!S346/100,"")))</f>
        <v>68.272221436151398</v>
      </c>
      <c r="AA346" s="10">
        <f t="shared" si="56"/>
        <v>32.770666289352668</v>
      </c>
      <c r="AB346" s="10">
        <f t="shared" si="55"/>
        <v>40.963332861690844</v>
      </c>
      <c r="AC346" s="10">
        <f t="shared" si="57"/>
        <v>19.662399773611604</v>
      </c>
      <c r="AD346" s="10">
        <f>IF(AND(Q346&gt;0,Q346&lt;30,K346&lt;8),Markniveau!Z346*'Udvaskning nøgletal'!$I$12/100,IF(AND(Q346&gt;0,Q346&lt;30,K346=216),Markniveau!Z346*'Udvaskning nøgletal'!$I$34/100,Markniveau!Z346))</f>
        <v>68.272221436151398</v>
      </c>
      <c r="AE346" s="10">
        <f t="shared" si="63"/>
        <v>32.770666289352668</v>
      </c>
      <c r="AF346" s="10">
        <f t="shared" si="58"/>
        <v>40.963332861690844</v>
      </c>
      <c r="AG346" s="10">
        <f t="shared" si="64"/>
        <v>19.662399773611604</v>
      </c>
      <c r="AH346" s="10" t="str">
        <f>IF(AND(Q346&gt;0,Q346&lt;30,K346=216),'Udvaskning nøgletal'!$C$42,IF(AND(Q346&gt;0,Q346&lt;30,K346&gt;7,K346&lt;17),'Udvaskning nøgletal'!$C$61,IF(AND(Q346&gt;0,Q346&lt;30,K346&lt;7),'Udvaskning nøgletal'!$C$62,"")))</f>
        <v/>
      </c>
      <c r="AI346" s="10">
        <f t="shared" si="60"/>
        <v>1</v>
      </c>
      <c r="AJ346" s="10">
        <f>IF($X346=1,LOOKUP(AI346,'Udvaskning nøgletal'!$C$12:$C$62,'Udvaskning nøgletal'!$E$12:$E$62)+Markniveau!$Y346*Markniveau!$S346/100,IF($X346=2,LOOKUP(AI346,'Udvaskning nøgletal'!$C$12:$C$62,'Udvaskning nøgletal'!$F$12:$F$62)+Markniveau!$Y346*Markniveau!$S346/100,IF($X346=3,LOOKUP(AI346,'Udvaskning nøgletal'!$C$12:$C$62,'Udvaskning nøgletal'!Q356:Q406)+Markniveau!$Y346*Markniveau!$S346/100,"")))</f>
        <v>68.272221436151398</v>
      </c>
      <c r="AK346" s="10">
        <f t="shared" si="59"/>
        <v>32.770666289352668</v>
      </c>
      <c r="AL346" s="10">
        <f t="shared" si="61"/>
        <v>40.963332861690844</v>
      </c>
      <c r="AM346" s="10">
        <f t="shared" si="62"/>
        <v>19.662399773611604</v>
      </c>
    </row>
    <row r="347" spans="1:39" x14ac:dyDescent="0.25">
      <c r="A347" s="15">
        <v>15378506</v>
      </c>
      <c r="B347" s="15">
        <v>7.14</v>
      </c>
      <c r="C347" s="15">
        <v>560</v>
      </c>
      <c r="D347" s="15">
        <v>51482</v>
      </c>
      <c r="E347" s="15" t="s">
        <v>328</v>
      </c>
      <c r="F347" s="15">
        <v>2011</v>
      </c>
      <c r="G347" s="15">
        <v>20110401</v>
      </c>
      <c r="H347" s="15">
        <v>13135</v>
      </c>
      <c r="I347" s="15">
        <v>1.31</v>
      </c>
      <c r="J347" s="6" t="s">
        <v>1471</v>
      </c>
      <c r="K347" s="15">
        <v>10</v>
      </c>
      <c r="L347" s="15" t="s">
        <v>107</v>
      </c>
      <c r="M347" s="15" t="s">
        <v>5</v>
      </c>
      <c r="N347" s="11" t="s">
        <v>1384</v>
      </c>
      <c r="O347" s="11" t="s">
        <v>28</v>
      </c>
      <c r="P347" s="11" t="s">
        <v>33</v>
      </c>
      <c r="Q347" s="15">
        <v>40</v>
      </c>
      <c r="R347" s="11" t="s">
        <v>6</v>
      </c>
      <c r="S347" s="10">
        <v>72.244428723027994</v>
      </c>
      <c r="T347" s="15">
        <v>80</v>
      </c>
      <c r="U347" s="15">
        <v>0</v>
      </c>
      <c r="V347" s="15">
        <v>0</v>
      </c>
      <c r="W347" s="15">
        <v>0</v>
      </c>
      <c r="X347" s="15">
        <f>IF(O347='Udvaskning nøgletal'!$D$65,1,IF(O347='Udvaskning nøgletal'!$D$66,2,IF(O347='Udvaskning nøgletal'!$D$67,3,IF(O347='Udvaskning nøgletal'!$D$68,2,""))))</f>
        <v>1</v>
      </c>
      <c r="Y347" s="15">
        <f>LOOKUP(K347,'Udvaskning nøgletal'!$C$12:$C$60,'Udvaskning nøgletal'!$H$12:$H$60)</f>
        <v>5</v>
      </c>
      <c r="Z347" s="10">
        <f>IF(X347=1,LOOKUP(K347,'Udvaskning nøgletal'!$C$12:$C$60,'Udvaskning nøgletal'!$E$12:$E$60)+Markniveau!Y347*Markniveau!S347/100,IF(X347=2,LOOKUP(K347,'Udvaskning nøgletal'!$C$12:$C$60,'Udvaskning nøgletal'!$F$12:$F$60)+Markniveau!Y347*Markniveau!S347/100,IF(X347=3,LOOKUP(K347,'Udvaskning nøgletal'!$C$12:$C$60,'Udvaskning nøgletal'!G357:G405)+Markniveau!Y347*Markniveau!S347/100,"")))</f>
        <v>68.272221436151398</v>
      </c>
      <c r="AA347" s="10">
        <f t="shared" si="56"/>
        <v>89.436610081358339</v>
      </c>
      <c r="AB347" s="10">
        <f t="shared" si="55"/>
        <v>40.963332861690844</v>
      </c>
      <c r="AC347" s="10">
        <f t="shared" si="57"/>
        <v>53.66196604881501</v>
      </c>
      <c r="AD347" s="10">
        <f>IF(AND(Q347&gt;0,Q347&lt;30,K347&lt;8),Markniveau!Z347*'Udvaskning nøgletal'!$I$12/100,IF(AND(Q347&gt;0,Q347&lt;30,K347=216),Markniveau!Z347*'Udvaskning nøgletal'!$I$34/100,Markniveau!Z347))</f>
        <v>68.272221436151398</v>
      </c>
      <c r="AE347" s="10">
        <f t="shared" si="63"/>
        <v>89.436610081358339</v>
      </c>
      <c r="AF347" s="10">
        <f t="shared" si="58"/>
        <v>40.963332861690844</v>
      </c>
      <c r="AG347" s="10">
        <f t="shared" si="64"/>
        <v>53.66196604881501</v>
      </c>
      <c r="AH347" s="10" t="str">
        <f>IF(AND(Q347&gt;0,Q347&lt;30,K347=216),'Udvaskning nøgletal'!$C$42,IF(AND(Q347&gt;0,Q347&lt;30,K347&gt;7,K347&lt;17),'Udvaskning nøgletal'!$C$61,IF(AND(Q347&gt;0,Q347&lt;30,K347&lt;7),'Udvaskning nøgletal'!$C$62,"")))</f>
        <v/>
      </c>
      <c r="AI347" s="10">
        <f t="shared" si="60"/>
        <v>10</v>
      </c>
      <c r="AJ347" s="10">
        <f>IF($X347=1,LOOKUP(AI347,'Udvaskning nøgletal'!$C$12:$C$62,'Udvaskning nøgletal'!$E$12:$E$62)+Markniveau!$Y347*Markniveau!$S347/100,IF($X347=2,LOOKUP(AI347,'Udvaskning nøgletal'!$C$12:$C$62,'Udvaskning nøgletal'!$F$12:$F$62)+Markniveau!$Y347*Markniveau!$S347/100,IF($X347=3,LOOKUP(AI347,'Udvaskning nøgletal'!$C$12:$C$62,'Udvaskning nøgletal'!Q357:Q407)+Markniveau!$Y347*Markniveau!$S347/100,"")))</f>
        <v>68.272221436151398</v>
      </c>
      <c r="AK347" s="10">
        <f t="shared" si="59"/>
        <v>89.436610081358339</v>
      </c>
      <c r="AL347" s="10">
        <f t="shared" si="61"/>
        <v>40.963332861690844</v>
      </c>
      <c r="AM347" s="10">
        <f t="shared" si="62"/>
        <v>53.66196604881501</v>
      </c>
    </row>
    <row r="348" spans="1:39" x14ac:dyDescent="0.25">
      <c r="A348" s="15">
        <v>15378506</v>
      </c>
      <c r="B348" s="15">
        <v>7.14</v>
      </c>
      <c r="C348" s="15">
        <v>561</v>
      </c>
      <c r="D348" s="15">
        <v>51482</v>
      </c>
      <c r="E348" s="15" t="s">
        <v>329</v>
      </c>
      <c r="F348" s="15">
        <v>2011</v>
      </c>
      <c r="G348" s="15">
        <v>20110401</v>
      </c>
      <c r="H348" s="15">
        <v>5058</v>
      </c>
      <c r="I348" s="15">
        <v>0.51</v>
      </c>
      <c r="J348" s="6" t="s">
        <v>1390</v>
      </c>
      <c r="K348" s="15">
        <v>11</v>
      </c>
      <c r="L348" s="15" t="s">
        <v>102</v>
      </c>
      <c r="M348" s="15" t="s">
        <v>5</v>
      </c>
      <c r="N348" s="11" t="s">
        <v>1384</v>
      </c>
      <c r="O348" s="11" t="s">
        <v>28</v>
      </c>
      <c r="P348" s="11" t="s">
        <v>29</v>
      </c>
      <c r="Q348" s="15">
        <v>95</v>
      </c>
      <c r="R348" s="11" t="s">
        <v>3</v>
      </c>
      <c r="S348" s="10">
        <v>72.244428723027994</v>
      </c>
      <c r="T348" s="15">
        <v>80</v>
      </c>
      <c r="U348" s="15">
        <v>0</v>
      </c>
      <c r="V348" s="15">
        <v>0</v>
      </c>
      <c r="W348" s="15">
        <v>0</v>
      </c>
      <c r="X348" s="15">
        <f>IF(O348='Udvaskning nøgletal'!$D$65,1,IF(O348='Udvaskning nøgletal'!$D$66,2,IF(O348='Udvaskning nøgletal'!$D$67,3,IF(O348='Udvaskning nøgletal'!$D$68,2,""))))</f>
        <v>1</v>
      </c>
      <c r="Y348" s="15">
        <f>LOOKUP(K348,'Udvaskning nøgletal'!$C$12:$C$60,'Udvaskning nøgletal'!$H$12:$H$60)</f>
        <v>5</v>
      </c>
      <c r="Z348" s="10">
        <f>IF(X348=1,LOOKUP(K348,'Udvaskning nøgletal'!$C$12:$C$60,'Udvaskning nøgletal'!$E$12:$E$60)+Markniveau!Y348*Markniveau!S348/100,IF(X348=2,LOOKUP(K348,'Udvaskning nøgletal'!$C$12:$C$60,'Udvaskning nøgletal'!$F$12:$F$60)+Markniveau!Y348*Markniveau!S348/100,IF(X348=3,LOOKUP(K348,'Udvaskning nøgletal'!$C$12:$C$60,'Udvaskning nøgletal'!G358:G406)+Markniveau!Y348*Markniveau!S348/100,"")))</f>
        <v>68.272221436151398</v>
      </c>
      <c r="AA348" s="10">
        <f t="shared" si="56"/>
        <v>34.818832932437211</v>
      </c>
      <c r="AB348" s="10">
        <f t="shared" si="55"/>
        <v>3.4136110718075701</v>
      </c>
      <c r="AC348" s="10">
        <f t="shared" si="57"/>
        <v>1.7409416466218608</v>
      </c>
      <c r="AD348" s="10">
        <f>IF(AND(Q348&gt;0,Q348&lt;30,K348&lt;8),Markniveau!Z348*'Udvaskning nøgletal'!$I$12/100,IF(AND(Q348&gt;0,Q348&lt;30,K348=216),Markniveau!Z348*'Udvaskning nøgletal'!$I$34/100,Markniveau!Z348))</f>
        <v>68.272221436151398</v>
      </c>
      <c r="AE348" s="10">
        <f t="shared" si="63"/>
        <v>34.818832932437211</v>
      </c>
      <c r="AF348" s="10">
        <f t="shared" si="58"/>
        <v>3.4136110718075701</v>
      </c>
      <c r="AG348" s="10">
        <f t="shared" si="64"/>
        <v>1.7409416466218608</v>
      </c>
      <c r="AH348" s="10" t="str">
        <f>IF(AND(Q348&gt;0,Q348&lt;30,K348=216),'Udvaskning nøgletal'!$C$42,IF(AND(Q348&gt;0,Q348&lt;30,K348&gt;7,K348&lt;17),'Udvaskning nøgletal'!$C$61,IF(AND(Q348&gt;0,Q348&lt;30,K348&lt;7),'Udvaskning nøgletal'!$C$62,"")))</f>
        <v/>
      </c>
      <c r="AI348" s="10">
        <f t="shared" si="60"/>
        <v>11</v>
      </c>
      <c r="AJ348" s="10">
        <f>IF($X348=1,LOOKUP(AI348,'Udvaskning nøgletal'!$C$12:$C$62,'Udvaskning nøgletal'!$E$12:$E$62)+Markniveau!$Y348*Markniveau!$S348/100,IF($X348=2,LOOKUP(AI348,'Udvaskning nøgletal'!$C$12:$C$62,'Udvaskning nøgletal'!$F$12:$F$62)+Markniveau!$Y348*Markniveau!$S348/100,IF($X348=3,LOOKUP(AI348,'Udvaskning nøgletal'!$C$12:$C$62,'Udvaskning nøgletal'!Q358:Q408)+Markniveau!$Y348*Markniveau!$S348/100,"")))</f>
        <v>68.272221436151398</v>
      </c>
      <c r="AK348" s="10">
        <f t="shared" si="59"/>
        <v>34.818832932437211</v>
      </c>
      <c r="AL348" s="10">
        <f t="shared" si="61"/>
        <v>3.4136110718075701</v>
      </c>
      <c r="AM348" s="10">
        <f t="shared" si="62"/>
        <v>1.7409416466218608</v>
      </c>
    </row>
    <row r="349" spans="1:39" x14ac:dyDescent="0.25">
      <c r="A349" s="15">
        <v>15378506</v>
      </c>
      <c r="B349" s="15">
        <v>7.14</v>
      </c>
      <c r="C349" s="15">
        <v>562</v>
      </c>
      <c r="D349" s="15">
        <v>51482</v>
      </c>
      <c r="E349" s="15" t="s">
        <v>330</v>
      </c>
      <c r="F349" s="15">
        <v>2011</v>
      </c>
      <c r="G349" s="15">
        <v>20110401</v>
      </c>
      <c r="H349" s="15">
        <v>28089</v>
      </c>
      <c r="I349" s="15">
        <v>2.81</v>
      </c>
      <c r="J349" s="6" t="s">
        <v>1485</v>
      </c>
      <c r="K349" s="15">
        <v>11</v>
      </c>
      <c r="L349" s="15" t="s">
        <v>102</v>
      </c>
      <c r="M349" s="15" t="s">
        <v>5</v>
      </c>
      <c r="N349" s="11" t="s">
        <v>1384</v>
      </c>
      <c r="O349" s="11" t="s">
        <v>28</v>
      </c>
      <c r="P349" s="11" t="s">
        <v>29</v>
      </c>
      <c r="Q349" s="15">
        <v>95</v>
      </c>
      <c r="R349" s="11" t="s">
        <v>3</v>
      </c>
      <c r="S349" s="10">
        <v>72.244428723027994</v>
      </c>
      <c r="T349" s="15">
        <v>80</v>
      </c>
      <c r="U349" s="15">
        <v>0</v>
      </c>
      <c r="V349" s="15">
        <v>0</v>
      </c>
      <c r="W349" s="15">
        <v>0</v>
      </c>
      <c r="X349" s="15">
        <f>IF(O349='Udvaskning nøgletal'!$D$65,1,IF(O349='Udvaskning nøgletal'!$D$66,2,IF(O349='Udvaskning nøgletal'!$D$67,3,IF(O349='Udvaskning nøgletal'!$D$68,2,""))))</f>
        <v>1</v>
      </c>
      <c r="Y349" s="15">
        <f>LOOKUP(K349,'Udvaskning nøgletal'!$C$12:$C$60,'Udvaskning nøgletal'!$H$12:$H$60)</f>
        <v>5</v>
      </c>
      <c r="Z349" s="10">
        <f>IF(X349=1,LOOKUP(K349,'Udvaskning nøgletal'!$C$12:$C$60,'Udvaskning nøgletal'!$E$12:$E$60)+Markniveau!Y349*Markniveau!S349/100,IF(X349=2,LOOKUP(K349,'Udvaskning nøgletal'!$C$12:$C$60,'Udvaskning nøgletal'!$F$12:$F$60)+Markniveau!Y349*Markniveau!S349/100,IF(X349=3,LOOKUP(K349,'Udvaskning nøgletal'!$C$12:$C$60,'Udvaskning nøgletal'!G359:G407)+Markniveau!Y349*Markniveau!S349/100,"")))</f>
        <v>68.272221436151398</v>
      </c>
      <c r="AA349" s="10">
        <f t="shared" si="56"/>
        <v>191.84494223558542</v>
      </c>
      <c r="AB349" s="10">
        <f t="shared" si="55"/>
        <v>3.4136110718075701</v>
      </c>
      <c r="AC349" s="10">
        <f t="shared" si="57"/>
        <v>9.5922471117792725</v>
      </c>
      <c r="AD349" s="10">
        <f>IF(AND(Q349&gt;0,Q349&lt;30,K349&lt;8),Markniveau!Z349*'Udvaskning nøgletal'!$I$12/100,IF(AND(Q349&gt;0,Q349&lt;30,K349=216),Markniveau!Z349*'Udvaskning nøgletal'!$I$34/100,Markniveau!Z349))</f>
        <v>68.272221436151398</v>
      </c>
      <c r="AE349" s="10">
        <f t="shared" si="63"/>
        <v>191.84494223558542</v>
      </c>
      <c r="AF349" s="10">
        <f t="shared" si="58"/>
        <v>3.4136110718075701</v>
      </c>
      <c r="AG349" s="10">
        <f t="shared" si="64"/>
        <v>9.5922471117792725</v>
      </c>
      <c r="AH349" s="10" t="str">
        <f>IF(AND(Q349&gt;0,Q349&lt;30,K349=216),'Udvaskning nøgletal'!$C$42,IF(AND(Q349&gt;0,Q349&lt;30,K349&gt;7,K349&lt;17),'Udvaskning nøgletal'!$C$61,IF(AND(Q349&gt;0,Q349&lt;30,K349&lt;7),'Udvaskning nøgletal'!$C$62,"")))</f>
        <v/>
      </c>
      <c r="AI349" s="10">
        <f t="shared" si="60"/>
        <v>11</v>
      </c>
      <c r="AJ349" s="10">
        <f>IF($X349=1,LOOKUP(AI349,'Udvaskning nøgletal'!$C$12:$C$62,'Udvaskning nøgletal'!$E$12:$E$62)+Markniveau!$Y349*Markniveau!$S349/100,IF($X349=2,LOOKUP(AI349,'Udvaskning nøgletal'!$C$12:$C$62,'Udvaskning nøgletal'!$F$12:$F$62)+Markniveau!$Y349*Markniveau!$S349/100,IF($X349=3,LOOKUP(AI349,'Udvaskning nøgletal'!$C$12:$C$62,'Udvaskning nøgletal'!Q359:Q409)+Markniveau!$Y349*Markniveau!$S349/100,"")))</f>
        <v>68.272221436151398</v>
      </c>
      <c r="AK349" s="10">
        <f t="shared" si="59"/>
        <v>191.84494223558542</v>
      </c>
      <c r="AL349" s="10">
        <f t="shared" si="61"/>
        <v>3.4136110718075701</v>
      </c>
      <c r="AM349" s="10">
        <f t="shared" si="62"/>
        <v>9.5922471117792725</v>
      </c>
    </row>
    <row r="350" spans="1:39" x14ac:dyDescent="0.25">
      <c r="A350" s="15">
        <v>15378506</v>
      </c>
      <c r="B350" s="15">
        <v>7.14</v>
      </c>
      <c r="C350" s="15">
        <v>563</v>
      </c>
      <c r="D350" s="15">
        <v>51482</v>
      </c>
      <c r="E350" s="15" t="s">
        <v>331</v>
      </c>
      <c r="F350" s="15">
        <v>2011</v>
      </c>
      <c r="G350" s="15">
        <v>20110401</v>
      </c>
      <c r="H350" s="15">
        <v>46261</v>
      </c>
      <c r="I350" s="15">
        <v>4.63</v>
      </c>
      <c r="J350" s="6" t="s">
        <v>1467</v>
      </c>
      <c r="K350" s="15">
        <v>1</v>
      </c>
      <c r="L350" s="15" t="s">
        <v>32</v>
      </c>
      <c r="M350" s="15" t="s">
        <v>5</v>
      </c>
      <c r="N350" s="11" t="s">
        <v>1384</v>
      </c>
      <c r="O350" s="11" t="s">
        <v>28</v>
      </c>
      <c r="P350" s="11" t="s">
        <v>33</v>
      </c>
      <c r="Q350" s="15">
        <v>1</v>
      </c>
      <c r="R350" s="11" t="s">
        <v>11</v>
      </c>
      <c r="S350" s="10">
        <v>72.244428723027994</v>
      </c>
      <c r="T350" s="15">
        <v>80</v>
      </c>
      <c r="U350" s="15">
        <v>0</v>
      </c>
      <c r="V350" s="15">
        <v>0</v>
      </c>
      <c r="W350" s="15">
        <v>0</v>
      </c>
      <c r="X350" s="15">
        <f>IF(O350='Udvaskning nøgletal'!$D$65,1,IF(O350='Udvaskning nøgletal'!$D$66,2,IF(O350='Udvaskning nøgletal'!$D$67,3,IF(O350='Udvaskning nøgletal'!$D$68,2,""))))</f>
        <v>1</v>
      </c>
      <c r="Y350" s="15">
        <f>LOOKUP(K350,'Udvaskning nøgletal'!$C$12:$C$60,'Udvaskning nøgletal'!$H$12:$H$60)</f>
        <v>5</v>
      </c>
      <c r="Z350" s="10">
        <f>IF(X350=1,LOOKUP(K350,'Udvaskning nøgletal'!$C$12:$C$60,'Udvaskning nøgletal'!$E$12:$E$60)+Markniveau!Y350*Markniveau!S350/100,IF(X350=2,LOOKUP(K350,'Udvaskning nøgletal'!$C$12:$C$60,'Udvaskning nøgletal'!$F$12:$F$60)+Markniveau!Y350*Markniveau!S350/100,IF(X350=3,LOOKUP(K350,'Udvaskning nøgletal'!$C$12:$C$60,'Udvaskning nøgletal'!G360:G408)+Markniveau!Y350*Markniveau!S350/100,"")))</f>
        <v>68.272221436151398</v>
      </c>
      <c r="AA350" s="10">
        <f t="shared" si="56"/>
        <v>316.10038524938096</v>
      </c>
      <c r="AB350" s="10">
        <f t="shared" si="55"/>
        <v>67.589499221789879</v>
      </c>
      <c r="AC350" s="10">
        <f t="shared" si="57"/>
        <v>312.93938139688714</v>
      </c>
      <c r="AD350" s="10">
        <f>IF(AND(Q350&gt;0,Q350&lt;30,K350&lt;8),Markniveau!Z350*'Udvaskning nøgletal'!$I$12/100,IF(AND(Q350&gt;0,Q350&lt;30,K350=216),Markniveau!Z350*'Udvaskning nøgletal'!$I$34/100,Markniveau!Z350))</f>
        <v>34.136110718075699</v>
      </c>
      <c r="AE350" s="10">
        <f t="shared" si="63"/>
        <v>158.05019262469048</v>
      </c>
      <c r="AF350" s="10">
        <f t="shared" si="58"/>
        <v>33.794749610894939</v>
      </c>
      <c r="AG350" s="10">
        <f t="shared" si="64"/>
        <v>156.46969069844357</v>
      </c>
      <c r="AH350" s="10">
        <f>IF(AND(Q350&gt;0,Q350&lt;30,K350=216),'Udvaskning nøgletal'!$C$42,IF(AND(Q350&gt;0,Q350&lt;30,K350&gt;7,K350&lt;17),'Udvaskning nøgletal'!$C$61,IF(AND(Q350&gt;0,Q350&lt;30,K350&lt;7),'Udvaskning nøgletal'!$C$62,"")))</f>
        <v>1002</v>
      </c>
      <c r="AI350" s="10">
        <f t="shared" si="60"/>
        <v>1002</v>
      </c>
      <c r="AJ350" s="10">
        <f>IF($X350=1,LOOKUP(AI350,'Udvaskning nøgletal'!$C$12:$C$62,'Udvaskning nøgletal'!$E$12:$E$62)+Markniveau!$Y350*Markniveau!$S350/100,IF($X350=2,LOOKUP(AI350,'Udvaskning nøgletal'!$C$12:$C$62,'Udvaskning nøgletal'!$F$12:$F$62)+Markniveau!$Y350*Markniveau!$S350/100,IF($X350=3,LOOKUP(AI350,'Udvaskning nøgletal'!$C$12:$C$62,'Udvaskning nøgletal'!Q360:Q410)+Markniveau!$Y350*Markniveau!$S350/100,"")))</f>
        <v>34.112221436151401</v>
      </c>
      <c r="AK350" s="10">
        <f t="shared" si="59"/>
        <v>157.939585249381</v>
      </c>
      <c r="AL350" s="10">
        <f t="shared" si="61"/>
        <v>33.771099221789889</v>
      </c>
      <c r="AM350" s="10">
        <f t="shared" si="62"/>
        <v>156.36018939688719</v>
      </c>
    </row>
    <row r="351" spans="1:39" x14ac:dyDescent="0.25">
      <c r="A351" s="15">
        <v>15378506</v>
      </c>
      <c r="B351" s="15">
        <v>7.14</v>
      </c>
      <c r="C351" s="15">
        <v>41225</v>
      </c>
      <c r="D351" s="15">
        <v>51482</v>
      </c>
      <c r="E351" s="15" t="s">
        <v>332</v>
      </c>
      <c r="F351" s="15">
        <v>2011</v>
      </c>
      <c r="G351" s="15">
        <v>20110401</v>
      </c>
      <c r="H351" s="15">
        <v>5806</v>
      </c>
      <c r="I351" s="15">
        <v>0.57999999999999996</v>
      </c>
      <c r="J351" s="6" t="s">
        <v>1486</v>
      </c>
      <c r="K351" s="15">
        <v>263</v>
      </c>
      <c r="L351" s="15" t="s">
        <v>39</v>
      </c>
      <c r="M351" s="15" t="s">
        <v>5</v>
      </c>
      <c r="N351" s="11" t="s">
        <v>1391</v>
      </c>
      <c r="O351" s="11" t="s">
        <v>46</v>
      </c>
      <c r="P351" s="11" t="s">
        <v>33</v>
      </c>
      <c r="Q351" s="15">
        <v>95</v>
      </c>
      <c r="R351" s="11" t="s">
        <v>3</v>
      </c>
      <c r="S351" s="10">
        <v>72.244428723027994</v>
      </c>
      <c r="T351" s="15">
        <v>80</v>
      </c>
      <c r="U351" s="15">
        <v>0</v>
      </c>
      <c r="V351" s="15">
        <v>0</v>
      </c>
      <c r="W351" s="15">
        <v>0</v>
      </c>
      <c r="X351" s="15">
        <f>IF(O351='Udvaskning nøgletal'!$D$65,1,IF(O351='Udvaskning nøgletal'!$D$66,2,IF(O351='Udvaskning nøgletal'!$D$67,3,IF(O351='Udvaskning nøgletal'!$D$68,2,""))))</f>
        <v>2</v>
      </c>
      <c r="Y351" s="15">
        <f>LOOKUP(K351,'Udvaskning nøgletal'!$C$12:$C$60,'Udvaskning nøgletal'!$H$12:$H$60)</f>
        <v>0</v>
      </c>
      <c r="Z351" s="10">
        <f>IF(X351=1,LOOKUP(K351,'Udvaskning nøgletal'!$C$12:$C$60,'Udvaskning nøgletal'!$E$12:$E$60)+Markniveau!Y351*Markniveau!S351/100,IF(X351=2,LOOKUP(K351,'Udvaskning nøgletal'!$C$12:$C$60,'Udvaskning nøgletal'!$F$12:$F$60)+Markniveau!Y351*Markniveau!S351/100,IF(X351=3,LOOKUP(K351,'Udvaskning nøgletal'!$C$12:$C$60,'Udvaskning nøgletal'!G361:G409)+Markniveau!Y351*Markniveau!S351/100,"")))</f>
        <v>27.331185321443094</v>
      </c>
      <c r="AA351" s="10">
        <f t="shared" si="56"/>
        <v>15.852087486436993</v>
      </c>
      <c r="AB351" s="10">
        <f t="shared" si="55"/>
        <v>1.3665592660721546</v>
      </c>
      <c r="AC351" s="10">
        <f t="shared" si="57"/>
        <v>0.7926043743218496</v>
      </c>
      <c r="AD351" s="10">
        <f>IF(AND(Q351&gt;0,Q351&lt;30,K351&lt;8),Markniveau!Z351*'Udvaskning nøgletal'!$I$12/100,IF(AND(Q351&gt;0,Q351&lt;30,K351=216),Markniveau!Z351*'Udvaskning nøgletal'!$I$34/100,Markniveau!Z351))</f>
        <v>27.331185321443094</v>
      </c>
      <c r="AE351" s="10">
        <f t="shared" si="63"/>
        <v>15.852087486436993</v>
      </c>
      <c r="AF351" s="10">
        <f t="shared" si="58"/>
        <v>1.3665592660721546</v>
      </c>
      <c r="AG351" s="10">
        <f t="shared" si="64"/>
        <v>0.7926043743218496</v>
      </c>
      <c r="AH351" s="10" t="str">
        <f>IF(AND(Q351&gt;0,Q351&lt;30,K351=216),'Udvaskning nøgletal'!$C$42,IF(AND(Q351&gt;0,Q351&lt;30,K351&gt;7,K351&lt;17),'Udvaskning nøgletal'!$C$61,IF(AND(Q351&gt;0,Q351&lt;30,K351&lt;7),'Udvaskning nøgletal'!$C$62,"")))</f>
        <v/>
      </c>
      <c r="AI351" s="10">
        <f t="shared" si="60"/>
        <v>263</v>
      </c>
      <c r="AJ351" s="10">
        <f>IF($X351=1,LOOKUP(AI351,'Udvaskning nøgletal'!$C$12:$C$62,'Udvaskning nøgletal'!$E$12:$E$62)+Markniveau!$Y351*Markniveau!$S351/100,IF($X351=2,LOOKUP(AI351,'Udvaskning nøgletal'!$C$12:$C$62,'Udvaskning nøgletal'!$F$12:$F$62)+Markniveau!$Y351*Markniveau!$S351/100,IF($X351=3,LOOKUP(AI351,'Udvaskning nøgletal'!$C$12:$C$62,'Udvaskning nøgletal'!Q361:Q411)+Markniveau!$Y351*Markniveau!$S351/100,"")))</f>
        <v>27.331185321443094</v>
      </c>
      <c r="AK351" s="10">
        <f t="shared" si="59"/>
        <v>15.852087486436993</v>
      </c>
      <c r="AL351" s="10">
        <f t="shared" si="61"/>
        <v>1.3665592660721546</v>
      </c>
      <c r="AM351" s="10">
        <f t="shared" si="62"/>
        <v>0.7926043743218496</v>
      </c>
    </row>
    <row r="352" spans="1:39" x14ac:dyDescent="0.25">
      <c r="A352" s="15">
        <v>15378506</v>
      </c>
      <c r="B352" s="15">
        <v>7.14</v>
      </c>
      <c r="C352" s="15">
        <v>517955</v>
      </c>
      <c r="D352" s="15">
        <v>51482</v>
      </c>
      <c r="E352" s="15" t="s">
        <v>332</v>
      </c>
      <c r="F352" s="15">
        <v>2011</v>
      </c>
      <c r="G352" s="15">
        <v>20110401</v>
      </c>
      <c r="H352" s="15">
        <v>5064</v>
      </c>
      <c r="I352" s="15">
        <v>0.51</v>
      </c>
      <c r="J352" s="6" t="s">
        <v>1487</v>
      </c>
      <c r="K352" s="15">
        <v>152</v>
      </c>
      <c r="L352" s="15" t="s">
        <v>333</v>
      </c>
      <c r="M352" s="15" t="s">
        <v>5</v>
      </c>
      <c r="N352" s="11" t="s">
        <v>1391</v>
      </c>
      <c r="O352" s="11" t="s">
        <v>46</v>
      </c>
      <c r="P352" s="11" t="s">
        <v>33</v>
      </c>
      <c r="Q352" s="15">
        <v>95</v>
      </c>
      <c r="R352" s="11" t="s">
        <v>3</v>
      </c>
      <c r="S352" s="10">
        <v>72.244428723027994</v>
      </c>
      <c r="T352" s="15">
        <v>80</v>
      </c>
      <c r="U352" s="15">
        <v>0</v>
      </c>
      <c r="V352" s="15">
        <v>0</v>
      </c>
      <c r="W352" s="15">
        <v>0</v>
      </c>
      <c r="X352" s="15">
        <f>IF(O352='Udvaskning nøgletal'!$D$65,1,IF(O352='Udvaskning nøgletal'!$D$66,2,IF(O352='Udvaskning nøgletal'!$D$67,3,IF(O352='Udvaskning nøgletal'!$D$68,2,""))))</f>
        <v>2</v>
      </c>
      <c r="Y352" s="15">
        <f>LOOKUP(K352,'Udvaskning nøgletal'!$C$12:$C$60,'Udvaskning nøgletal'!$H$12:$H$60)</f>
        <v>5</v>
      </c>
      <c r="Z352" s="10">
        <f>IF(X352=1,LOOKUP(K352,'Udvaskning nøgletal'!$C$12:$C$60,'Udvaskning nøgletal'!$E$12:$E$60)+Markniveau!Y352*Markniveau!S352/100,IF(X352=2,LOOKUP(K352,'Udvaskning nøgletal'!$C$12:$C$60,'Udvaskning nøgletal'!$F$12:$F$60)+Markniveau!Y352*Markniveau!S352/100,IF(X352=3,LOOKUP(K352,'Udvaskning nøgletal'!$C$12:$C$60,'Udvaskning nøgletal'!G362:G410)+Markniveau!Y352*Markniveau!S352/100,"")))</f>
        <v>54.492221436151404</v>
      </c>
      <c r="AA352" s="10">
        <f t="shared" si="56"/>
        <v>27.791032932437215</v>
      </c>
      <c r="AB352" s="10">
        <f t="shared" si="55"/>
        <v>2.7246110718075705</v>
      </c>
      <c r="AC352" s="10">
        <f t="shared" si="57"/>
        <v>1.3895516466218609</v>
      </c>
      <c r="AD352" s="10">
        <f>IF(AND(Q352&gt;0,Q352&lt;30,K352&lt;8),Markniveau!Z352*'Udvaskning nøgletal'!$I$12/100,IF(AND(Q352&gt;0,Q352&lt;30,K352=216),Markniveau!Z352*'Udvaskning nøgletal'!$I$34/100,Markniveau!Z352))</f>
        <v>54.492221436151404</v>
      </c>
      <c r="AE352" s="10">
        <f t="shared" si="63"/>
        <v>27.791032932437215</v>
      </c>
      <c r="AF352" s="10">
        <f t="shared" si="58"/>
        <v>2.7246110718075705</v>
      </c>
      <c r="AG352" s="10">
        <f t="shared" si="64"/>
        <v>1.3895516466218609</v>
      </c>
      <c r="AH352" s="10" t="str">
        <f>IF(AND(Q352&gt;0,Q352&lt;30,K352=216),'Udvaskning nøgletal'!$C$42,IF(AND(Q352&gt;0,Q352&lt;30,K352&gt;7,K352&lt;17),'Udvaskning nøgletal'!$C$61,IF(AND(Q352&gt;0,Q352&lt;30,K352&lt;7),'Udvaskning nøgletal'!$C$62,"")))</f>
        <v/>
      </c>
      <c r="AI352" s="10">
        <f t="shared" si="60"/>
        <v>152</v>
      </c>
      <c r="AJ352" s="10">
        <f>IF($X352=1,LOOKUP(AI352,'Udvaskning nøgletal'!$C$12:$C$62,'Udvaskning nøgletal'!$E$12:$E$62)+Markniveau!$Y352*Markniveau!$S352/100,IF($X352=2,LOOKUP(AI352,'Udvaskning nøgletal'!$C$12:$C$62,'Udvaskning nøgletal'!$F$12:$F$62)+Markniveau!$Y352*Markniveau!$S352/100,IF($X352=3,LOOKUP(AI352,'Udvaskning nøgletal'!$C$12:$C$62,'Udvaskning nøgletal'!Q362:Q412)+Markniveau!$Y352*Markniveau!$S352/100,"")))</f>
        <v>54.492221436151404</v>
      </c>
      <c r="AK352" s="10">
        <f t="shared" si="59"/>
        <v>27.791032932437215</v>
      </c>
      <c r="AL352" s="10">
        <f t="shared" si="61"/>
        <v>2.7246110718075705</v>
      </c>
      <c r="AM352" s="10">
        <f t="shared" si="62"/>
        <v>1.3895516466218609</v>
      </c>
    </row>
    <row r="353" spans="1:39" x14ac:dyDescent="0.25">
      <c r="A353" s="15">
        <v>15378506</v>
      </c>
      <c r="B353" s="15">
        <v>7.14</v>
      </c>
      <c r="C353" s="15">
        <v>555</v>
      </c>
      <c r="D353" s="15">
        <v>51482</v>
      </c>
      <c r="E353" s="15" t="s">
        <v>331</v>
      </c>
      <c r="F353" s="15">
        <v>2011</v>
      </c>
      <c r="G353" s="15">
        <v>20110401</v>
      </c>
      <c r="H353" s="15">
        <v>38177</v>
      </c>
      <c r="I353" s="15">
        <v>3.82</v>
      </c>
      <c r="J353" s="6" t="s">
        <v>1384</v>
      </c>
      <c r="K353" s="15">
        <v>11</v>
      </c>
      <c r="L353" s="15" t="s">
        <v>102</v>
      </c>
      <c r="M353" s="15" t="s">
        <v>5</v>
      </c>
      <c r="N353" s="11" t="s">
        <v>1384</v>
      </c>
      <c r="O353" s="11" t="s">
        <v>28</v>
      </c>
      <c r="P353" s="11" t="s">
        <v>29</v>
      </c>
      <c r="Q353" s="15">
        <v>95</v>
      </c>
      <c r="R353" s="11" t="s">
        <v>3</v>
      </c>
      <c r="S353" s="10">
        <v>72.244428723027994</v>
      </c>
      <c r="T353" s="15">
        <v>80</v>
      </c>
      <c r="U353" s="15">
        <v>0</v>
      </c>
      <c r="V353" s="15">
        <v>0</v>
      </c>
      <c r="W353" s="15">
        <v>0</v>
      </c>
      <c r="X353" s="15">
        <f>IF(O353='Udvaskning nøgletal'!$D$65,1,IF(O353='Udvaskning nøgletal'!$D$66,2,IF(O353='Udvaskning nøgletal'!$D$67,3,IF(O353='Udvaskning nøgletal'!$D$68,2,""))))</f>
        <v>1</v>
      </c>
      <c r="Y353" s="15">
        <f>LOOKUP(K353,'Udvaskning nøgletal'!$C$12:$C$60,'Udvaskning nøgletal'!$H$12:$H$60)</f>
        <v>5</v>
      </c>
      <c r="Z353" s="10">
        <f>IF(X353=1,LOOKUP(K353,'Udvaskning nøgletal'!$C$12:$C$60,'Udvaskning nøgletal'!$E$12:$E$60)+Markniveau!Y353*Markniveau!S353/100,IF(X353=2,LOOKUP(K353,'Udvaskning nøgletal'!$C$12:$C$60,'Udvaskning nøgletal'!$F$12:$F$60)+Markniveau!Y353*Markniveau!S353/100,IF(X353=3,LOOKUP(K353,'Udvaskning nøgletal'!$C$12:$C$60,'Udvaskning nøgletal'!G363:G411)+Markniveau!Y353*Markniveau!S353/100,"")))</f>
        <v>68.272221436151398</v>
      </c>
      <c r="AA353" s="10">
        <f t="shared" si="56"/>
        <v>260.79988588609831</v>
      </c>
      <c r="AB353" s="10">
        <f t="shared" si="55"/>
        <v>3.4136110718075701</v>
      </c>
      <c r="AC353" s="10">
        <f t="shared" si="57"/>
        <v>13.039994294304917</v>
      </c>
      <c r="AD353" s="10">
        <f>IF(AND(Q353&gt;0,Q353&lt;30,K353&lt;8),Markniveau!Z353*'Udvaskning nøgletal'!$I$12/100,IF(AND(Q353&gt;0,Q353&lt;30,K353=216),Markniveau!Z353*'Udvaskning nøgletal'!$I$34/100,Markniveau!Z353))</f>
        <v>68.272221436151398</v>
      </c>
      <c r="AE353" s="10">
        <f t="shared" si="63"/>
        <v>260.79988588609831</v>
      </c>
      <c r="AF353" s="10">
        <f t="shared" si="58"/>
        <v>3.4136110718075701</v>
      </c>
      <c r="AG353" s="10">
        <f t="shared" si="64"/>
        <v>13.039994294304917</v>
      </c>
      <c r="AH353" s="10" t="str">
        <f>IF(AND(Q353&gt;0,Q353&lt;30,K353=216),'Udvaskning nøgletal'!$C$42,IF(AND(Q353&gt;0,Q353&lt;30,K353&gt;7,K353&lt;17),'Udvaskning nøgletal'!$C$61,IF(AND(Q353&gt;0,Q353&lt;30,K353&lt;7),'Udvaskning nøgletal'!$C$62,"")))</f>
        <v/>
      </c>
      <c r="AI353" s="10">
        <f t="shared" si="60"/>
        <v>11</v>
      </c>
      <c r="AJ353" s="10">
        <f>IF($X353=1,LOOKUP(AI353,'Udvaskning nøgletal'!$C$12:$C$62,'Udvaskning nøgletal'!$E$12:$E$62)+Markniveau!$Y353*Markniveau!$S353/100,IF($X353=2,LOOKUP(AI353,'Udvaskning nøgletal'!$C$12:$C$62,'Udvaskning nøgletal'!$F$12:$F$62)+Markniveau!$Y353*Markniveau!$S353/100,IF($X353=3,LOOKUP(AI353,'Udvaskning nøgletal'!$C$12:$C$62,'Udvaskning nøgletal'!Q363:Q413)+Markniveau!$Y353*Markniveau!$S353/100,"")))</f>
        <v>68.272221436151398</v>
      </c>
      <c r="AK353" s="10">
        <f t="shared" si="59"/>
        <v>260.79988588609831</v>
      </c>
      <c r="AL353" s="10">
        <f t="shared" si="61"/>
        <v>3.4136110718075701</v>
      </c>
      <c r="AM353" s="10">
        <f t="shared" si="62"/>
        <v>13.039994294304917</v>
      </c>
    </row>
    <row r="354" spans="1:39" x14ac:dyDescent="0.25">
      <c r="A354" s="15">
        <v>15378506</v>
      </c>
      <c r="B354" s="15">
        <v>7.14</v>
      </c>
      <c r="C354" s="15">
        <v>556</v>
      </c>
      <c r="D354" s="15">
        <v>51482</v>
      </c>
      <c r="E354" s="15" t="s">
        <v>331</v>
      </c>
      <c r="F354" s="15">
        <v>2011</v>
      </c>
      <c r="G354" s="15">
        <v>20110401</v>
      </c>
      <c r="H354" s="15">
        <v>42659</v>
      </c>
      <c r="I354" s="15">
        <v>4.2699999999999996</v>
      </c>
      <c r="J354" s="6" t="s">
        <v>1406</v>
      </c>
      <c r="K354" s="15">
        <v>22</v>
      </c>
      <c r="L354" s="15" t="s">
        <v>213</v>
      </c>
      <c r="M354" s="15" t="s">
        <v>5</v>
      </c>
      <c r="N354" s="11" t="s">
        <v>1384</v>
      </c>
      <c r="O354" s="11" t="s">
        <v>28</v>
      </c>
      <c r="P354" s="11" t="s">
        <v>33</v>
      </c>
      <c r="Q354" s="15">
        <v>40</v>
      </c>
      <c r="R354" s="11" t="s">
        <v>6</v>
      </c>
      <c r="S354" s="10">
        <v>72.244428723027994</v>
      </c>
      <c r="T354" s="15">
        <v>80</v>
      </c>
      <c r="U354" s="15">
        <v>0</v>
      </c>
      <c r="V354" s="15">
        <v>0</v>
      </c>
      <c r="W354" s="15">
        <v>0</v>
      </c>
      <c r="X354" s="15">
        <f>IF(O354='Udvaskning nøgletal'!$D$65,1,IF(O354='Udvaskning nøgletal'!$D$66,2,IF(O354='Udvaskning nøgletal'!$D$67,3,IF(O354='Udvaskning nøgletal'!$D$68,2,""))))</f>
        <v>1</v>
      </c>
      <c r="Y354" s="15">
        <f>LOOKUP(K354,'Udvaskning nøgletal'!$C$12:$C$60,'Udvaskning nøgletal'!$H$12:$H$60)</f>
        <v>5</v>
      </c>
      <c r="Z354" s="10">
        <f>IF(X354=1,LOOKUP(K354,'Udvaskning nøgletal'!$C$12:$C$60,'Udvaskning nøgletal'!$E$12:$E$60)+Markniveau!Y354*Markniveau!S354/100,IF(X354=2,LOOKUP(K354,'Udvaskning nøgletal'!$C$12:$C$60,'Udvaskning nøgletal'!$F$12:$F$60)+Markniveau!Y354*Markniveau!S354/100,IF(X354=3,LOOKUP(K354,'Udvaskning nøgletal'!$C$12:$C$60,'Udvaskning nøgletal'!G364:G412)+Markniveau!Y354*Markniveau!S354/100,"")))</f>
        <v>68.272221436151398</v>
      </c>
      <c r="AA354" s="10">
        <f t="shared" si="56"/>
        <v>291.52238553236646</v>
      </c>
      <c r="AB354" s="10">
        <f t="shared" si="55"/>
        <v>40.963332861690844</v>
      </c>
      <c r="AC354" s="10">
        <f t="shared" si="57"/>
        <v>174.91343131941989</v>
      </c>
      <c r="AD354" s="10">
        <f>IF(AND(Q354&gt;0,Q354&lt;30,K354&lt;8),Markniveau!Z354*'Udvaskning nøgletal'!$I$12/100,IF(AND(Q354&gt;0,Q354&lt;30,K354=216),Markniveau!Z354*'Udvaskning nøgletal'!$I$34/100,Markniveau!Z354))</f>
        <v>68.272221436151398</v>
      </c>
      <c r="AE354" s="10">
        <f t="shared" si="63"/>
        <v>291.52238553236646</v>
      </c>
      <c r="AF354" s="10">
        <f t="shared" si="58"/>
        <v>40.963332861690844</v>
      </c>
      <c r="AG354" s="10">
        <f t="shared" si="64"/>
        <v>174.91343131941989</v>
      </c>
      <c r="AH354" s="10" t="str">
        <f>IF(AND(Q354&gt;0,Q354&lt;30,K354=216),'Udvaskning nøgletal'!$C$42,IF(AND(Q354&gt;0,Q354&lt;30,K354&gt;7,K354&lt;17),'Udvaskning nøgletal'!$C$61,IF(AND(Q354&gt;0,Q354&lt;30,K354&lt;7),'Udvaskning nøgletal'!$C$62,"")))</f>
        <v/>
      </c>
      <c r="AI354" s="10">
        <f t="shared" si="60"/>
        <v>22</v>
      </c>
      <c r="AJ354" s="10">
        <f>IF($X354=1,LOOKUP(AI354,'Udvaskning nøgletal'!$C$12:$C$62,'Udvaskning nøgletal'!$E$12:$E$62)+Markniveau!$Y354*Markniveau!$S354/100,IF($X354=2,LOOKUP(AI354,'Udvaskning nøgletal'!$C$12:$C$62,'Udvaskning nøgletal'!$F$12:$F$62)+Markniveau!$Y354*Markniveau!$S354/100,IF($X354=3,LOOKUP(AI354,'Udvaskning nøgletal'!$C$12:$C$62,'Udvaskning nøgletal'!Q364:Q414)+Markniveau!$Y354*Markniveau!$S354/100,"")))</f>
        <v>68.272221436151398</v>
      </c>
      <c r="AK354" s="10">
        <f t="shared" si="59"/>
        <v>291.52238553236646</v>
      </c>
      <c r="AL354" s="10">
        <f t="shared" si="61"/>
        <v>40.963332861690844</v>
      </c>
      <c r="AM354" s="10">
        <f t="shared" si="62"/>
        <v>174.91343131941989</v>
      </c>
    </row>
    <row r="355" spans="1:39" x14ac:dyDescent="0.25">
      <c r="A355" s="15">
        <v>16032646</v>
      </c>
      <c r="B355" s="15">
        <v>70.69</v>
      </c>
      <c r="C355" s="15">
        <v>296626</v>
      </c>
      <c r="D355" s="15">
        <v>14644</v>
      </c>
      <c r="E355" s="15" t="s">
        <v>151</v>
      </c>
      <c r="F355" s="15">
        <v>2011</v>
      </c>
      <c r="G355" s="15">
        <v>20110202</v>
      </c>
      <c r="H355" s="15">
        <v>30439</v>
      </c>
      <c r="I355" s="15">
        <v>3.04</v>
      </c>
      <c r="J355" s="6" t="s">
        <v>1488</v>
      </c>
      <c r="K355" s="15">
        <v>260</v>
      </c>
      <c r="L355" s="15" t="s">
        <v>45</v>
      </c>
      <c r="M355" s="15" t="s">
        <v>5</v>
      </c>
      <c r="N355" s="11" t="s">
        <v>1384</v>
      </c>
      <c r="O355" s="11" t="s">
        <v>28</v>
      </c>
      <c r="P355" s="11" t="s">
        <v>29</v>
      </c>
      <c r="Q355" s="15">
        <v>0</v>
      </c>
      <c r="R355" s="11" t="s">
        <v>1386</v>
      </c>
      <c r="S355" s="10">
        <v>162.68514544588001</v>
      </c>
      <c r="T355" s="15">
        <v>80</v>
      </c>
      <c r="U355" s="15">
        <v>1</v>
      </c>
      <c r="V355" s="15">
        <v>1</v>
      </c>
      <c r="W355" s="15">
        <v>0</v>
      </c>
      <c r="X355" s="15">
        <f>IF(O355='Udvaskning nøgletal'!$D$65,1,IF(O355='Udvaskning nøgletal'!$D$66,2,IF(O355='Udvaskning nøgletal'!$D$67,3,IF(O355='Udvaskning nøgletal'!$D$68,2,""))))</f>
        <v>1</v>
      </c>
      <c r="Y355" s="15">
        <f>LOOKUP(K355,'Udvaskning nøgletal'!$C$12:$C$60,'Udvaskning nøgletal'!$H$12:$H$60)</f>
        <v>0</v>
      </c>
      <c r="Z355" s="10">
        <f>IF(X355=1,LOOKUP(K355,'Udvaskning nøgletal'!$C$12:$C$60,'Udvaskning nøgletal'!$E$12:$E$60)+Markniveau!Y355*Markniveau!S355/100,IF(X355=2,LOOKUP(K355,'Udvaskning nøgletal'!$C$12:$C$60,'Udvaskning nøgletal'!$F$12:$F$60)+Markniveau!Y355*Markniveau!S355/100,IF(X355=3,LOOKUP(K355,'Udvaskning nøgletal'!$C$12:$C$60,'Udvaskning nøgletal'!G365:G413)+Markniveau!Y355*Markniveau!S355/100,"")))</f>
        <v>33.723295792149436</v>
      </c>
      <c r="AA355" s="10">
        <f t="shared" si="56"/>
        <v>102.51881920813429</v>
      </c>
      <c r="AB355" s="10" t="str">
        <f t="shared" si="55"/>
        <v/>
      </c>
      <c r="AC355" s="10" t="str">
        <f t="shared" si="57"/>
        <v/>
      </c>
      <c r="AD355" s="10">
        <f>IF(AND(Q355&gt;0,Q355&lt;30,K355&lt;8),Markniveau!Z355*'Udvaskning nøgletal'!$I$12/100,IF(AND(Q355&gt;0,Q355&lt;30,K355=216),Markniveau!Z355*'Udvaskning nøgletal'!$I$34/100,Markniveau!Z355))</f>
        <v>33.723295792149436</v>
      </c>
      <c r="AE355" s="10">
        <f t="shared" si="63"/>
        <v>102.51881920813429</v>
      </c>
      <c r="AF355" s="10" t="str">
        <f t="shared" si="58"/>
        <v/>
      </c>
      <c r="AG355" s="10" t="str">
        <f t="shared" si="64"/>
        <v/>
      </c>
      <c r="AH355" s="10" t="str">
        <f>IF(AND(Q355&gt;0,Q355&lt;30,K355=216),'Udvaskning nøgletal'!$C$42,IF(AND(Q355&gt;0,Q355&lt;30,K355&gt;7,K355&lt;17),'Udvaskning nøgletal'!$C$61,IF(AND(Q355&gt;0,Q355&lt;30,K355&lt;7),'Udvaskning nøgletal'!$C$62,"")))</f>
        <v/>
      </c>
      <c r="AI355" s="10">
        <f t="shared" si="60"/>
        <v>260</v>
      </c>
      <c r="AJ355" s="10">
        <f>IF($X355=1,LOOKUP(AI355,'Udvaskning nøgletal'!$C$12:$C$62,'Udvaskning nøgletal'!$E$12:$E$62)+Markniveau!$Y355*Markniveau!$S355/100,IF($X355=2,LOOKUP(AI355,'Udvaskning nøgletal'!$C$12:$C$62,'Udvaskning nøgletal'!$F$12:$F$62)+Markniveau!$Y355*Markniveau!$S355/100,IF($X355=3,LOOKUP(AI355,'Udvaskning nøgletal'!$C$12:$C$62,'Udvaskning nøgletal'!Q365:Q415)+Markniveau!$Y355*Markniveau!$S355/100,"")))</f>
        <v>33.723295792149436</v>
      </c>
      <c r="AK355" s="10">
        <f t="shared" si="59"/>
        <v>102.51881920813429</v>
      </c>
      <c r="AL355" s="10" t="str">
        <f t="shared" si="61"/>
        <v/>
      </c>
      <c r="AM355" s="10" t="str">
        <f t="shared" si="62"/>
        <v/>
      </c>
    </row>
    <row r="356" spans="1:39" x14ac:dyDescent="0.25">
      <c r="A356" s="15">
        <v>16032646</v>
      </c>
      <c r="B356" s="15">
        <v>70.69</v>
      </c>
      <c r="C356" s="15">
        <v>316946</v>
      </c>
      <c r="D356" s="15">
        <v>14644</v>
      </c>
      <c r="E356" s="15" t="s">
        <v>334</v>
      </c>
      <c r="F356" s="15">
        <v>2011</v>
      </c>
      <c r="G356" s="15">
        <v>20110202</v>
      </c>
      <c r="H356" s="15">
        <v>78858</v>
      </c>
      <c r="I356" s="15">
        <v>7.89</v>
      </c>
      <c r="J356" s="6" t="s">
        <v>1489</v>
      </c>
      <c r="K356" s="15">
        <v>216</v>
      </c>
      <c r="L356" s="15" t="s">
        <v>116</v>
      </c>
      <c r="M356" s="15" t="s">
        <v>5</v>
      </c>
      <c r="N356" s="11" t="s">
        <v>1384</v>
      </c>
      <c r="O356" s="11" t="s">
        <v>28</v>
      </c>
      <c r="P356" s="11" t="s">
        <v>29</v>
      </c>
      <c r="Q356" s="15">
        <v>95</v>
      </c>
      <c r="R356" s="11" t="s">
        <v>3</v>
      </c>
      <c r="S356" s="10">
        <v>162.68514544588001</v>
      </c>
      <c r="T356" s="15">
        <v>80</v>
      </c>
      <c r="U356" s="15">
        <v>1</v>
      </c>
      <c r="V356" s="15">
        <v>1</v>
      </c>
      <c r="W356" s="15">
        <v>0</v>
      </c>
      <c r="X356" s="15">
        <f>IF(O356='Udvaskning nøgletal'!$D$65,1,IF(O356='Udvaskning nøgletal'!$D$66,2,IF(O356='Udvaskning nøgletal'!$D$67,3,IF(O356='Udvaskning nøgletal'!$D$68,2,""))))</f>
        <v>1</v>
      </c>
      <c r="Y356" s="15">
        <f>LOOKUP(K356,'Udvaskning nøgletal'!$C$12:$C$60,'Udvaskning nøgletal'!$H$12:$H$60)</f>
        <v>0</v>
      </c>
      <c r="Z356" s="10">
        <f>IF(X356=1,LOOKUP(K356,'Udvaskning nøgletal'!$C$12:$C$60,'Udvaskning nøgletal'!$E$12:$E$60)+Markniveau!Y356*Markniveau!S356/100,IF(X356=2,LOOKUP(K356,'Udvaskning nøgletal'!$C$12:$C$60,'Udvaskning nøgletal'!$F$12:$F$60)+Markniveau!Y356*Markniveau!S356/100,IF(X356=3,LOOKUP(K356,'Udvaskning nøgletal'!$C$12:$C$60,'Udvaskning nøgletal'!G366:G414)+Markniveau!Y356*Markniveau!S356/100,"")))</f>
        <v>125.85383557148924</v>
      </c>
      <c r="AA356" s="10">
        <f t="shared" si="56"/>
        <v>992.9867626590501</v>
      </c>
      <c r="AB356" s="10">
        <f t="shared" si="55"/>
        <v>6.2926917785744623</v>
      </c>
      <c r="AC356" s="10">
        <f t="shared" si="57"/>
        <v>49.649338132952508</v>
      </c>
      <c r="AD356" s="10">
        <f>IF(AND(Q356&gt;0,Q356&lt;30,K356&lt;8),Markniveau!Z356*'Udvaskning nøgletal'!$I$12/100,IF(AND(Q356&gt;0,Q356&lt;30,K356=216),Markniveau!Z356*'Udvaskning nøgletal'!$I$34/100,Markniveau!Z356))</f>
        <v>125.85383557148924</v>
      </c>
      <c r="AE356" s="10">
        <f t="shared" si="63"/>
        <v>992.9867626590501</v>
      </c>
      <c r="AF356" s="10">
        <f t="shared" si="58"/>
        <v>6.2926917785744623</v>
      </c>
      <c r="AG356" s="10">
        <f t="shared" si="64"/>
        <v>49.649338132952508</v>
      </c>
      <c r="AH356" s="10" t="str">
        <f>IF(AND(Q356&gt;0,Q356&lt;30,K356=216),'Udvaskning nøgletal'!$C$42,IF(AND(Q356&gt;0,Q356&lt;30,K356&gt;7,K356&lt;17),'Udvaskning nøgletal'!$C$61,IF(AND(Q356&gt;0,Q356&lt;30,K356&lt;7),'Udvaskning nøgletal'!$C$62,"")))</f>
        <v/>
      </c>
      <c r="AI356" s="10">
        <f t="shared" si="60"/>
        <v>216</v>
      </c>
      <c r="AJ356" s="10">
        <f>IF($X356=1,LOOKUP(AI356,'Udvaskning nøgletal'!$C$12:$C$62,'Udvaskning nøgletal'!$E$12:$E$62)+Markniveau!$Y356*Markniveau!$S356/100,IF($X356=2,LOOKUP(AI356,'Udvaskning nøgletal'!$C$12:$C$62,'Udvaskning nøgletal'!$F$12:$F$62)+Markniveau!$Y356*Markniveau!$S356/100,IF($X356=3,LOOKUP(AI356,'Udvaskning nøgletal'!$C$12:$C$62,'Udvaskning nøgletal'!Q366:Q416)+Markniveau!$Y356*Markniveau!$S356/100,"")))</f>
        <v>125.85383557148924</v>
      </c>
      <c r="AK356" s="10">
        <f t="shared" si="59"/>
        <v>992.9867626590501</v>
      </c>
      <c r="AL356" s="10">
        <f t="shared" si="61"/>
        <v>6.2926917785744623</v>
      </c>
      <c r="AM356" s="10">
        <f t="shared" si="62"/>
        <v>49.649338132952508</v>
      </c>
    </row>
    <row r="357" spans="1:39" x14ac:dyDescent="0.25">
      <c r="A357" s="15">
        <v>16032646</v>
      </c>
      <c r="B357" s="15">
        <v>70.69</v>
      </c>
      <c r="C357" s="15">
        <v>317387</v>
      </c>
      <c r="D357" s="15">
        <v>14644</v>
      </c>
      <c r="E357" s="15" t="s">
        <v>335</v>
      </c>
      <c r="F357" s="15">
        <v>2011</v>
      </c>
      <c r="G357" s="15">
        <v>20110202</v>
      </c>
      <c r="H357" s="15">
        <v>102599</v>
      </c>
      <c r="I357" s="15">
        <v>10.26</v>
      </c>
      <c r="J357" s="6" t="s">
        <v>1490</v>
      </c>
      <c r="K357" s="15">
        <v>260</v>
      </c>
      <c r="L357" s="15" t="s">
        <v>45</v>
      </c>
      <c r="M357" s="15" t="s">
        <v>5</v>
      </c>
      <c r="N357" s="11" t="s">
        <v>1384</v>
      </c>
      <c r="O357" s="11" t="s">
        <v>28</v>
      </c>
      <c r="P357" s="11" t="s">
        <v>29</v>
      </c>
      <c r="Q357" s="15">
        <v>95</v>
      </c>
      <c r="R357" s="11" t="s">
        <v>3</v>
      </c>
      <c r="S357" s="10">
        <v>162.68514544588001</v>
      </c>
      <c r="T357" s="15">
        <v>80</v>
      </c>
      <c r="U357" s="15">
        <v>1</v>
      </c>
      <c r="V357" s="15">
        <v>1</v>
      </c>
      <c r="W357" s="15">
        <v>0</v>
      </c>
      <c r="X357" s="15">
        <f>IF(O357='Udvaskning nøgletal'!$D$65,1,IF(O357='Udvaskning nøgletal'!$D$66,2,IF(O357='Udvaskning nøgletal'!$D$67,3,IF(O357='Udvaskning nøgletal'!$D$68,2,""))))</f>
        <v>1</v>
      </c>
      <c r="Y357" s="15">
        <f>LOOKUP(K357,'Udvaskning nøgletal'!$C$12:$C$60,'Udvaskning nøgletal'!$H$12:$H$60)</f>
        <v>0</v>
      </c>
      <c r="Z357" s="10">
        <f>IF(X357=1,LOOKUP(K357,'Udvaskning nøgletal'!$C$12:$C$60,'Udvaskning nøgletal'!$E$12:$E$60)+Markniveau!Y357*Markniveau!S357/100,IF(X357=2,LOOKUP(K357,'Udvaskning nøgletal'!$C$12:$C$60,'Udvaskning nøgletal'!$F$12:$F$60)+Markniveau!Y357*Markniveau!S357/100,IF(X357=3,LOOKUP(K357,'Udvaskning nøgletal'!$C$12:$C$60,'Udvaskning nøgletal'!G367:G415)+Markniveau!Y357*Markniveau!S357/100,"")))</f>
        <v>33.723295792149436</v>
      </c>
      <c r="AA357" s="10">
        <f t="shared" si="56"/>
        <v>346.00101482745322</v>
      </c>
      <c r="AB357" s="10">
        <f t="shared" si="55"/>
        <v>1.6861647896074716</v>
      </c>
      <c r="AC357" s="10">
        <f t="shared" si="57"/>
        <v>17.300050741372658</v>
      </c>
      <c r="AD357" s="10">
        <f>IF(AND(Q357&gt;0,Q357&lt;30,K357&lt;8),Markniveau!Z357*'Udvaskning nøgletal'!$I$12/100,IF(AND(Q357&gt;0,Q357&lt;30,K357=216),Markniveau!Z357*'Udvaskning nøgletal'!$I$34/100,Markniveau!Z357))</f>
        <v>33.723295792149436</v>
      </c>
      <c r="AE357" s="10">
        <f t="shared" si="63"/>
        <v>346.00101482745322</v>
      </c>
      <c r="AF357" s="10">
        <f t="shared" si="58"/>
        <v>1.6861647896074716</v>
      </c>
      <c r="AG357" s="10">
        <f t="shared" si="64"/>
        <v>17.300050741372658</v>
      </c>
      <c r="AH357" s="10" t="str">
        <f>IF(AND(Q357&gt;0,Q357&lt;30,K357=216),'Udvaskning nøgletal'!$C$42,IF(AND(Q357&gt;0,Q357&lt;30,K357&gt;7,K357&lt;17),'Udvaskning nøgletal'!$C$61,IF(AND(Q357&gt;0,Q357&lt;30,K357&lt;7),'Udvaskning nøgletal'!$C$62,"")))</f>
        <v/>
      </c>
      <c r="AI357" s="10">
        <f t="shared" si="60"/>
        <v>260</v>
      </c>
      <c r="AJ357" s="10">
        <f>IF($X357=1,LOOKUP(AI357,'Udvaskning nøgletal'!$C$12:$C$62,'Udvaskning nøgletal'!$E$12:$E$62)+Markniveau!$Y357*Markniveau!$S357/100,IF($X357=2,LOOKUP(AI357,'Udvaskning nøgletal'!$C$12:$C$62,'Udvaskning nøgletal'!$F$12:$F$62)+Markniveau!$Y357*Markniveau!$S357/100,IF($X357=3,LOOKUP(AI357,'Udvaskning nøgletal'!$C$12:$C$62,'Udvaskning nøgletal'!Q367:Q417)+Markniveau!$Y357*Markniveau!$S357/100,"")))</f>
        <v>33.723295792149436</v>
      </c>
      <c r="AK357" s="10">
        <f t="shared" si="59"/>
        <v>346.00101482745322</v>
      </c>
      <c r="AL357" s="10">
        <f t="shared" si="61"/>
        <v>1.6861647896074716</v>
      </c>
      <c r="AM357" s="10">
        <f t="shared" si="62"/>
        <v>17.300050741372658</v>
      </c>
    </row>
    <row r="358" spans="1:39" x14ac:dyDescent="0.25">
      <c r="A358" s="15">
        <v>16032646</v>
      </c>
      <c r="B358" s="15">
        <v>70.69</v>
      </c>
      <c r="C358" s="15">
        <v>317506</v>
      </c>
      <c r="D358" s="15">
        <v>14644</v>
      </c>
      <c r="E358" s="15" t="s">
        <v>336</v>
      </c>
      <c r="F358" s="15">
        <v>2011</v>
      </c>
      <c r="G358" s="15">
        <v>20110202</v>
      </c>
      <c r="H358" s="15">
        <v>90571</v>
      </c>
      <c r="I358" s="15">
        <v>9.06</v>
      </c>
      <c r="J358" s="6" t="s">
        <v>1491</v>
      </c>
      <c r="K358" s="15">
        <v>260</v>
      </c>
      <c r="L358" s="15" t="s">
        <v>45</v>
      </c>
      <c r="M358" s="15" t="s">
        <v>5</v>
      </c>
      <c r="N358" s="11" t="s">
        <v>1384</v>
      </c>
      <c r="O358" s="11" t="s">
        <v>28</v>
      </c>
      <c r="P358" s="11" t="s">
        <v>29</v>
      </c>
      <c r="Q358" s="15">
        <v>95</v>
      </c>
      <c r="R358" s="11" t="s">
        <v>3</v>
      </c>
      <c r="S358" s="10">
        <v>162.68514544588001</v>
      </c>
      <c r="T358" s="15">
        <v>80</v>
      </c>
      <c r="U358" s="15">
        <v>1</v>
      </c>
      <c r="V358" s="15">
        <v>1</v>
      </c>
      <c r="W358" s="15">
        <v>0</v>
      </c>
      <c r="X358" s="15">
        <f>IF(O358='Udvaskning nøgletal'!$D$65,1,IF(O358='Udvaskning nøgletal'!$D$66,2,IF(O358='Udvaskning nøgletal'!$D$67,3,IF(O358='Udvaskning nøgletal'!$D$68,2,""))))</f>
        <v>1</v>
      </c>
      <c r="Y358" s="15">
        <f>LOOKUP(K358,'Udvaskning nøgletal'!$C$12:$C$60,'Udvaskning nøgletal'!$H$12:$H$60)</f>
        <v>0</v>
      </c>
      <c r="Z358" s="10">
        <f>IF(X358=1,LOOKUP(K358,'Udvaskning nøgletal'!$C$12:$C$60,'Udvaskning nøgletal'!$E$12:$E$60)+Markniveau!Y358*Markniveau!S358/100,IF(X358=2,LOOKUP(K358,'Udvaskning nøgletal'!$C$12:$C$60,'Udvaskning nøgletal'!$F$12:$F$60)+Markniveau!Y358*Markniveau!S358/100,IF(X358=3,LOOKUP(K358,'Udvaskning nøgletal'!$C$12:$C$60,'Udvaskning nøgletal'!G368:G416)+Markniveau!Y358*Markniveau!S358/100,"")))</f>
        <v>33.723295792149436</v>
      </c>
      <c r="AA358" s="10">
        <f t="shared" si="56"/>
        <v>305.53305987687389</v>
      </c>
      <c r="AB358" s="10">
        <f t="shared" si="55"/>
        <v>1.6861647896074716</v>
      </c>
      <c r="AC358" s="10">
        <f t="shared" si="57"/>
        <v>15.276652993843694</v>
      </c>
      <c r="AD358" s="10">
        <f>IF(AND(Q358&gt;0,Q358&lt;30,K358&lt;8),Markniveau!Z358*'Udvaskning nøgletal'!$I$12/100,IF(AND(Q358&gt;0,Q358&lt;30,K358=216),Markniveau!Z358*'Udvaskning nøgletal'!$I$34/100,Markniveau!Z358))</f>
        <v>33.723295792149436</v>
      </c>
      <c r="AE358" s="10">
        <f t="shared" si="63"/>
        <v>305.53305987687389</v>
      </c>
      <c r="AF358" s="10">
        <f t="shared" si="58"/>
        <v>1.6861647896074716</v>
      </c>
      <c r="AG358" s="10">
        <f t="shared" si="64"/>
        <v>15.276652993843694</v>
      </c>
      <c r="AH358" s="10" t="str">
        <f>IF(AND(Q358&gt;0,Q358&lt;30,K358=216),'Udvaskning nøgletal'!$C$42,IF(AND(Q358&gt;0,Q358&lt;30,K358&gt;7,K358&lt;17),'Udvaskning nøgletal'!$C$61,IF(AND(Q358&gt;0,Q358&lt;30,K358&lt;7),'Udvaskning nøgletal'!$C$62,"")))</f>
        <v/>
      </c>
      <c r="AI358" s="10">
        <f t="shared" si="60"/>
        <v>260</v>
      </c>
      <c r="AJ358" s="10">
        <f>IF($X358=1,LOOKUP(AI358,'Udvaskning nøgletal'!$C$12:$C$62,'Udvaskning nøgletal'!$E$12:$E$62)+Markniveau!$Y358*Markniveau!$S358/100,IF($X358=2,LOOKUP(AI358,'Udvaskning nøgletal'!$C$12:$C$62,'Udvaskning nøgletal'!$F$12:$F$62)+Markniveau!$Y358*Markniveau!$S358/100,IF($X358=3,LOOKUP(AI358,'Udvaskning nøgletal'!$C$12:$C$62,'Udvaskning nøgletal'!Q368:Q418)+Markniveau!$Y358*Markniveau!$S358/100,"")))</f>
        <v>33.723295792149436</v>
      </c>
      <c r="AK358" s="10">
        <f t="shared" si="59"/>
        <v>305.53305987687389</v>
      </c>
      <c r="AL358" s="10">
        <f t="shared" si="61"/>
        <v>1.6861647896074716</v>
      </c>
      <c r="AM358" s="10">
        <f t="shared" si="62"/>
        <v>15.276652993843694</v>
      </c>
    </row>
    <row r="359" spans="1:39" x14ac:dyDescent="0.25">
      <c r="A359" s="15">
        <v>16032646</v>
      </c>
      <c r="B359" s="15">
        <v>70.69</v>
      </c>
      <c r="C359" s="15">
        <v>317507</v>
      </c>
      <c r="D359" s="15">
        <v>14644</v>
      </c>
      <c r="E359" s="15" t="s">
        <v>151</v>
      </c>
      <c r="F359" s="15">
        <v>2011</v>
      </c>
      <c r="G359" s="15">
        <v>20110202</v>
      </c>
      <c r="H359" s="15">
        <v>27425</v>
      </c>
      <c r="I359" s="15">
        <v>2.74</v>
      </c>
      <c r="J359" s="6" t="s">
        <v>1492</v>
      </c>
      <c r="K359" s="15">
        <v>260</v>
      </c>
      <c r="L359" s="15" t="s">
        <v>45</v>
      </c>
      <c r="M359" s="15" t="s">
        <v>5</v>
      </c>
      <c r="N359" s="11" t="s">
        <v>1384</v>
      </c>
      <c r="O359" s="11" t="s">
        <v>28</v>
      </c>
      <c r="P359" s="11" t="s">
        <v>33</v>
      </c>
      <c r="Q359" s="15">
        <v>0</v>
      </c>
      <c r="R359" s="11" t="s">
        <v>1386</v>
      </c>
      <c r="S359" s="10">
        <v>162.68514544588001</v>
      </c>
      <c r="T359" s="15">
        <v>80</v>
      </c>
      <c r="U359" s="15">
        <v>1</v>
      </c>
      <c r="V359" s="15">
        <v>1</v>
      </c>
      <c r="W359" s="15">
        <v>0</v>
      </c>
      <c r="X359" s="15">
        <f>IF(O359='Udvaskning nøgletal'!$D$65,1,IF(O359='Udvaskning nøgletal'!$D$66,2,IF(O359='Udvaskning nøgletal'!$D$67,3,IF(O359='Udvaskning nøgletal'!$D$68,2,""))))</f>
        <v>1</v>
      </c>
      <c r="Y359" s="15">
        <f>LOOKUP(K359,'Udvaskning nøgletal'!$C$12:$C$60,'Udvaskning nøgletal'!$H$12:$H$60)</f>
        <v>0</v>
      </c>
      <c r="Z359" s="10">
        <f>IF(X359=1,LOOKUP(K359,'Udvaskning nøgletal'!$C$12:$C$60,'Udvaskning nøgletal'!$E$12:$E$60)+Markniveau!Y359*Markniveau!S359/100,IF(X359=2,LOOKUP(K359,'Udvaskning nøgletal'!$C$12:$C$60,'Udvaskning nøgletal'!$F$12:$F$60)+Markniveau!Y359*Markniveau!S359/100,IF(X359=3,LOOKUP(K359,'Udvaskning nøgletal'!$C$12:$C$60,'Udvaskning nøgletal'!G369:G417)+Markniveau!Y359*Markniveau!S359/100,"")))</f>
        <v>33.723295792149436</v>
      </c>
      <c r="AA359" s="10">
        <f t="shared" si="56"/>
        <v>92.401830470489458</v>
      </c>
      <c r="AB359" s="10" t="str">
        <f t="shared" si="55"/>
        <v/>
      </c>
      <c r="AC359" s="10" t="str">
        <f t="shared" si="57"/>
        <v/>
      </c>
      <c r="AD359" s="10">
        <f>IF(AND(Q359&gt;0,Q359&lt;30,K359&lt;8),Markniveau!Z359*'Udvaskning nøgletal'!$I$12/100,IF(AND(Q359&gt;0,Q359&lt;30,K359=216),Markniveau!Z359*'Udvaskning nøgletal'!$I$34/100,Markniveau!Z359))</f>
        <v>33.723295792149436</v>
      </c>
      <c r="AE359" s="10">
        <f t="shared" si="63"/>
        <v>92.401830470489458</v>
      </c>
      <c r="AF359" s="10" t="str">
        <f t="shared" si="58"/>
        <v/>
      </c>
      <c r="AG359" s="10" t="str">
        <f t="shared" si="64"/>
        <v/>
      </c>
      <c r="AH359" s="10" t="str">
        <f>IF(AND(Q359&gt;0,Q359&lt;30,K359=216),'Udvaskning nøgletal'!$C$42,IF(AND(Q359&gt;0,Q359&lt;30,K359&gt;7,K359&lt;17),'Udvaskning nøgletal'!$C$61,IF(AND(Q359&gt;0,Q359&lt;30,K359&lt;7),'Udvaskning nøgletal'!$C$62,"")))</f>
        <v/>
      </c>
      <c r="AI359" s="10">
        <f t="shared" si="60"/>
        <v>260</v>
      </c>
      <c r="AJ359" s="10">
        <f>IF($X359=1,LOOKUP(AI359,'Udvaskning nøgletal'!$C$12:$C$62,'Udvaskning nøgletal'!$E$12:$E$62)+Markniveau!$Y359*Markniveau!$S359/100,IF($X359=2,LOOKUP(AI359,'Udvaskning nøgletal'!$C$12:$C$62,'Udvaskning nøgletal'!$F$12:$F$62)+Markniveau!$Y359*Markniveau!$S359/100,IF($X359=3,LOOKUP(AI359,'Udvaskning nøgletal'!$C$12:$C$62,'Udvaskning nøgletal'!Q369:Q419)+Markniveau!$Y359*Markniveau!$S359/100,"")))</f>
        <v>33.723295792149436</v>
      </c>
      <c r="AK359" s="10">
        <f t="shared" si="59"/>
        <v>92.401830470489458</v>
      </c>
      <c r="AL359" s="10" t="str">
        <f t="shared" si="61"/>
        <v/>
      </c>
      <c r="AM359" s="10" t="str">
        <f t="shared" si="62"/>
        <v/>
      </c>
    </row>
    <row r="360" spans="1:39" x14ac:dyDescent="0.25">
      <c r="A360" s="15">
        <v>16032646</v>
      </c>
      <c r="B360" s="15">
        <v>70.69</v>
      </c>
      <c r="C360" s="15">
        <v>317508</v>
      </c>
      <c r="D360" s="15">
        <v>14644</v>
      </c>
      <c r="E360" s="15" t="s">
        <v>337</v>
      </c>
      <c r="F360" s="15">
        <v>2011</v>
      </c>
      <c r="G360" s="15">
        <v>20110202</v>
      </c>
      <c r="H360" s="15">
        <v>72164</v>
      </c>
      <c r="I360" s="15">
        <v>7.22</v>
      </c>
      <c r="J360" s="6" t="s">
        <v>1493</v>
      </c>
      <c r="K360" s="15">
        <v>260</v>
      </c>
      <c r="L360" s="15" t="s">
        <v>45</v>
      </c>
      <c r="M360" s="15" t="s">
        <v>5</v>
      </c>
      <c r="N360" s="11" t="s">
        <v>1384</v>
      </c>
      <c r="O360" s="11" t="s">
        <v>28</v>
      </c>
      <c r="P360" s="11" t="s">
        <v>29</v>
      </c>
      <c r="Q360" s="15">
        <v>95</v>
      </c>
      <c r="R360" s="11" t="s">
        <v>3</v>
      </c>
      <c r="S360" s="10">
        <v>162.68514544588001</v>
      </c>
      <c r="T360" s="15">
        <v>80</v>
      </c>
      <c r="U360" s="15">
        <v>1</v>
      </c>
      <c r="V360" s="15">
        <v>1</v>
      </c>
      <c r="W360" s="15">
        <v>0</v>
      </c>
      <c r="X360" s="15">
        <f>IF(O360='Udvaskning nøgletal'!$D$65,1,IF(O360='Udvaskning nøgletal'!$D$66,2,IF(O360='Udvaskning nøgletal'!$D$67,3,IF(O360='Udvaskning nøgletal'!$D$68,2,""))))</f>
        <v>1</v>
      </c>
      <c r="Y360" s="15">
        <f>LOOKUP(K360,'Udvaskning nøgletal'!$C$12:$C$60,'Udvaskning nøgletal'!$H$12:$H$60)</f>
        <v>0</v>
      </c>
      <c r="Z360" s="10">
        <f>IF(X360=1,LOOKUP(K360,'Udvaskning nøgletal'!$C$12:$C$60,'Udvaskning nøgletal'!$E$12:$E$60)+Markniveau!Y360*Markniveau!S360/100,IF(X360=2,LOOKUP(K360,'Udvaskning nøgletal'!$C$12:$C$60,'Udvaskning nøgletal'!$F$12:$F$60)+Markniveau!Y360*Markniveau!S360/100,IF(X360=3,LOOKUP(K360,'Udvaskning nøgletal'!$C$12:$C$60,'Udvaskning nøgletal'!G370:G418)+Markniveau!Y360*Markniveau!S360/100,"")))</f>
        <v>33.723295792149436</v>
      </c>
      <c r="AA360" s="10">
        <f t="shared" si="56"/>
        <v>243.48219561931893</v>
      </c>
      <c r="AB360" s="10">
        <f t="shared" si="55"/>
        <v>1.6861647896074716</v>
      </c>
      <c r="AC360" s="10">
        <f t="shared" si="57"/>
        <v>12.174109780965944</v>
      </c>
      <c r="AD360" s="10">
        <f>IF(AND(Q360&gt;0,Q360&lt;30,K360&lt;8),Markniveau!Z360*'Udvaskning nøgletal'!$I$12/100,IF(AND(Q360&gt;0,Q360&lt;30,K360=216),Markniveau!Z360*'Udvaskning nøgletal'!$I$34/100,Markniveau!Z360))</f>
        <v>33.723295792149436</v>
      </c>
      <c r="AE360" s="10">
        <f t="shared" si="63"/>
        <v>243.48219561931893</v>
      </c>
      <c r="AF360" s="10">
        <f t="shared" si="58"/>
        <v>1.6861647896074716</v>
      </c>
      <c r="AG360" s="10">
        <f t="shared" si="64"/>
        <v>12.174109780965944</v>
      </c>
      <c r="AH360" s="10" t="str">
        <f>IF(AND(Q360&gt;0,Q360&lt;30,K360=216),'Udvaskning nøgletal'!$C$42,IF(AND(Q360&gt;0,Q360&lt;30,K360&gt;7,K360&lt;17),'Udvaskning nøgletal'!$C$61,IF(AND(Q360&gt;0,Q360&lt;30,K360&lt;7),'Udvaskning nøgletal'!$C$62,"")))</f>
        <v/>
      </c>
      <c r="AI360" s="10">
        <f t="shared" si="60"/>
        <v>260</v>
      </c>
      <c r="AJ360" s="10">
        <f>IF($X360=1,LOOKUP(AI360,'Udvaskning nøgletal'!$C$12:$C$62,'Udvaskning nøgletal'!$E$12:$E$62)+Markniveau!$Y360*Markniveau!$S360/100,IF($X360=2,LOOKUP(AI360,'Udvaskning nøgletal'!$C$12:$C$62,'Udvaskning nøgletal'!$F$12:$F$62)+Markniveau!$Y360*Markniveau!$S360/100,IF($X360=3,LOOKUP(AI360,'Udvaskning nøgletal'!$C$12:$C$62,'Udvaskning nøgletal'!Q370:Q420)+Markniveau!$Y360*Markniveau!$S360/100,"")))</f>
        <v>33.723295792149436</v>
      </c>
      <c r="AK360" s="10">
        <f t="shared" si="59"/>
        <v>243.48219561931893</v>
      </c>
      <c r="AL360" s="10">
        <f t="shared" si="61"/>
        <v>1.6861647896074716</v>
      </c>
      <c r="AM360" s="10">
        <f t="shared" si="62"/>
        <v>12.174109780965944</v>
      </c>
    </row>
    <row r="361" spans="1:39" x14ac:dyDescent="0.25">
      <c r="A361" s="15">
        <v>16032646</v>
      </c>
      <c r="B361" s="15">
        <v>70.69</v>
      </c>
      <c r="C361" s="15">
        <v>317509</v>
      </c>
      <c r="D361" s="15">
        <v>14644</v>
      </c>
      <c r="E361" s="15" t="s">
        <v>338</v>
      </c>
      <c r="F361" s="15">
        <v>2011</v>
      </c>
      <c r="G361" s="15">
        <v>20110202</v>
      </c>
      <c r="H361" s="15">
        <v>3765</v>
      </c>
      <c r="I361" s="15">
        <v>0.38</v>
      </c>
      <c r="J361" s="6" t="s">
        <v>1494</v>
      </c>
      <c r="K361" s="15">
        <v>260</v>
      </c>
      <c r="L361" s="15" t="s">
        <v>45</v>
      </c>
      <c r="M361" s="15" t="s">
        <v>5</v>
      </c>
      <c r="N361" s="11" t="s">
        <v>1384</v>
      </c>
      <c r="O361" s="11" t="s">
        <v>28</v>
      </c>
      <c r="P361" s="11" t="s">
        <v>29</v>
      </c>
      <c r="Q361" s="15">
        <v>95</v>
      </c>
      <c r="R361" s="11" t="s">
        <v>3</v>
      </c>
      <c r="S361" s="10">
        <v>162.68514544588001</v>
      </c>
      <c r="T361" s="15">
        <v>80</v>
      </c>
      <c r="U361" s="15">
        <v>1</v>
      </c>
      <c r="V361" s="15">
        <v>1</v>
      </c>
      <c r="W361" s="15">
        <v>0</v>
      </c>
      <c r="X361" s="15">
        <f>IF(O361='Udvaskning nøgletal'!$D$65,1,IF(O361='Udvaskning nøgletal'!$D$66,2,IF(O361='Udvaskning nøgletal'!$D$67,3,IF(O361='Udvaskning nøgletal'!$D$68,2,""))))</f>
        <v>1</v>
      </c>
      <c r="Y361" s="15">
        <f>LOOKUP(K361,'Udvaskning nøgletal'!$C$12:$C$60,'Udvaskning nøgletal'!$H$12:$H$60)</f>
        <v>0</v>
      </c>
      <c r="Z361" s="10">
        <f>IF(X361=1,LOOKUP(K361,'Udvaskning nøgletal'!$C$12:$C$60,'Udvaskning nøgletal'!$E$12:$E$60)+Markniveau!Y361*Markniveau!S361/100,IF(X361=2,LOOKUP(K361,'Udvaskning nøgletal'!$C$12:$C$60,'Udvaskning nøgletal'!$F$12:$F$60)+Markniveau!Y361*Markniveau!S361/100,IF(X361=3,LOOKUP(K361,'Udvaskning nøgletal'!$C$12:$C$60,'Udvaskning nøgletal'!G371:G419)+Markniveau!Y361*Markniveau!S361/100,"")))</f>
        <v>33.723295792149436</v>
      </c>
      <c r="AA361" s="10">
        <f t="shared" si="56"/>
        <v>12.814852401016786</v>
      </c>
      <c r="AB361" s="10">
        <f t="shared" si="55"/>
        <v>1.6861647896074716</v>
      </c>
      <c r="AC361" s="10">
        <f t="shared" si="57"/>
        <v>0.64074262005083926</v>
      </c>
      <c r="AD361" s="10">
        <f>IF(AND(Q361&gt;0,Q361&lt;30,K361&lt;8),Markniveau!Z361*'Udvaskning nøgletal'!$I$12/100,IF(AND(Q361&gt;0,Q361&lt;30,K361=216),Markniveau!Z361*'Udvaskning nøgletal'!$I$34/100,Markniveau!Z361))</f>
        <v>33.723295792149436</v>
      </c>
      <c r="AE361" s="10">
        <f t="shared" si="63"/>
        <v>12.814852401016786</v>
      </c>
      <c r="AF361" s="10">
        <f t="shared" si="58"/>
        <v>1.6861647896074716</v>
      </c>
      <c r="AG361" s="10">
        <f t="shared" si="64"/>
        <v>0.64074262005083926</v>
      </c>
      <c r="AH361" s="10" t="str">
        <f>IF(AND(Q361&gt;0,Q361&lt;30,K361=216),'Udvaskning nøgletal'!$C$42,IF(AND(Q361&gt;0,Q361&lt;30,K361&gt;7,K361&lt;17),'Udvaskning nøgletal'!$C$61,IF(AND(Q361&gt;0,Q361&lt;30,K361&lt;7),'Udvaskning nøgletal'!$C$62,"")))</f>
        <v/>
      </c>
      <c r="AI361" s="10">
        <f t="shared" si="60"/>
        <v>260</v>
      </c>
      <c r="AJ361" s="10">
        <f>IF($X361=1,LOOKUP(AI361,'Udvaskning nøgletal'!$C$12:$C$62,'Udvaskning nøgletal'!$E$12:$E$62)+Markniveau!$Y361*Markniveau!$S361/100,IF($X361=2,LOOKUP(AI361,'Udvaskning nøgletal'!$C$12:$C$62,'Udvaskning nøgletal'!$F$12:$F$62)+Markniveau!$Y361*Markniveau!$S361/100,IF($X361=3,LOOKUP(AI361,'Udvaskning nøgletal'!$C$12:$C$62,'Udvaskning nøgletal'!Q371:Q421)+Markniveau!$Y361*Markniveau!$S361/100,"")))</f>
        <v>33.723295792149436</v>
      </c>
      <c r="AK361" s="10">
        <f t="shared" si="59"/>
        <v>12.814852401016786</v>
      </c>
      <c r="AL361" s="10">
        <f t="shared" si="61"/>
        <v>1.6861647896074716</v>
      </c>
      <c r="AM361" s="10">
        <f t="shared" si="62"/>
        <v>0.64074262005083926</v>
      </c>
    </row>
    <row r="362" spans="1:39" x14ac:dyDescent="0.25">
      <c r="A362" s="15">
        <v>16032646</v>
      </c>
      <c r="B362" s="15">
        <v>70.69</v>
      </c>
      <c r="C362" s="15">
        <v>318032</v>
      </c>
      <c r="D362" s="15">
        <v>14644</v>
      </c>
      <c r="E362" s="15" t="s">
        <v>339</v>
      </c>
      <c r="F362" s="15">
        <v>2011</v>
      </c>
      <c r="G362" s="15">
        <v>20110202</v>
      </c>
      <c r="H362" s="15">
        <v>18404</v>
      </c>
      <c r="I362" s="15">
        <v>1.84</v>
      </c>
      <c r="J362" s="6" t="s">
        <v>1495</v>
      </c>
      <c r="K362" s="15">
        <v>263</v>
      </c>
      <c r="L362" s="15" t="s">
        <v>39</v>
      </c>
      <c r="M362" s="15" t="s">
        <v>5</v>
      </c>
      <c r="N362" s="11" t="s">
        <v>1384</v>
      </c>
      <c r="O362" s="11" t="s">
        <v>28</v>
      </c>
      <c r="P362" s="11" t="s">
        <v>33</v>
      </c>
      <c r="Q362" s="15">
        <v>0</v>
      </c>
      <c r="R362" s="11" t="s">
        <v>1386</v>
      </c>
      <c r="S362" s="10">
        <v>162.68514544588001</v>
      </c>
      <c r="T362" s="15">
        <v>80</v>
      </c>
      <c r="U362" s="15">
        <v>1</v>
      </c>
      <c r="V362" s="15">
        <v>1</v>
      </c>
      <c r="W362" s="15">
        <v>0</v>
      </c>
      <c r="X362" s="15">
        <f>IF(O362='Udvaskning nøgletal'!$D$65,1,IF(O362='Udvaskning nøgletal'!$D$66,2,IF(O362='Udvaskning nøgletal'!$D$67,3,IF(O362='Udvaskning nøgletal'!$D$68,2,""))))</f>
        <v>1</v>
      </c>
      <c r="Y362" s="15">
        <f>LOOKUP(K362,'Udvaskning nøgletal'!$C$12:$C$60,'Udvaskning nøgletal'!$H$12:$H$60)</f>
        <v>0</v>
      </c>
      <c r="Z362" s="10">
        <f>IF(X362=1,LOOKUP(K362,'Udvaskning nøgletal'!$C$12:$C$60,'Udvaskning nøgletal'!$E$12:$E$60)+Markniveau!Y362*Markniveau!S362/100,IF(X362=2,LOOKUP(K362,'Udvaskning nøgletal'!$C$12:$C$60,'Udvaskning nøgletal'!$F$12:$F$60)+Markniveau!Y362*Markniveau!S362/100,IF(X362=3,LOOKUP(K362,'Udvaskning nøgletal'!$C$12:$C$60,'Udvaskning nøgletal'!G372:G420)+Markniveau!Y362*Markniveau!S362/100,"")))</f>
        <v>33.723295792149436</v>
      </c>
      <c r="AA362" s="10">
        <f t="shared" si="56"/>
        <v>62.050864257554963</v>
      </c>
      <c r="AB362" s="10" t="str">
        <f t="shared" si="55"/>
        <v/>
      </c>
      <c r="AC362" s="10" t="str">
        <f t="shared" si="57"/>
        <v/>
      </c>
      <c r="AD362" s="10">
        <f>IF(AND(Q362&gt;0,Q362&lt;30,K362&lt;8),Markniveau!Z362*'Udvaskning nøgletal'!$I$12/100,IF(AND(Q362&gt;0,Q362&lt;30,K362=216),Markniveau!Z362*'Udvaskning nøgletal'!$I$34/100,Markniveau!Z362))</f>
        <v>33.723295792149436</v>
      </c>
      <c r="AE362" s="10">
        <f t="shared" si="63"/>
        <v>62.050864257554963</v>
      </c>
      <c r="AF362" s="10" t="str">
        <f t="shared" si="58"/>
        <v/>
      </c>
      <c r="AG362" s="10" t="str">
        <f t="shared" si="64"/>
        <v/>
      </c>
      <c r="AH362" s="10" t="str">
        <f>IF(AND(Q362&gt;0,Q362&lt;30,K362=216),'Udvaskning nøgletal'!$C$42,IF(AND(Q362&gt;0,Q362&lt;30,K362&gt;7,K362&lt;17),'Udvaskning nøgletal'!$C$61,IF(AND(Q362&gt;0,Q362&lt;30,K362&lt;7),'Udvaskning nøgletal'!$C$62,"")))</f>
        <v/>
      </c>
      <c r="AI362" s="10">
        <f t="shared" si="60"/>
        <v>263</v>
      </c>
      <c r="AJ362" s="10">
        <f>IF($X362=1,LOOKUP(AI362,'Udvaskning nøgletal'!$C$12:$C$62,'Udvaskning nøgletal'!$E$12:$E$62)+Markniveau!$Y362*Markniveau!$S362/100,IF($X362=2,LOOKUP(AI362,'Udvaskning nøgletal'!$C$12:$C$62,'Udvaskning nøgletal'!$F$12:$F$62)+Markniveau!$Y362*Markniveau!$S362/100,IF($X362=3,LOOKUP(AI362,'Udvaskning nøgletal'!$C$12:$C$62,'Udvaskning nøgletal'!Q372:Q422)+Markniveau!$Y362*Markniveau!$S362/100,"")))</f>
        <v>33.723295792149436</v>
      </c>
      <c r="AK362" s="10">
        <f t="shared" si="59"/>
        <v>62.050864257554963</v>
      </c>
      <c r="AL362" s="10" t="str">
        <f t="shared" si="61"/>
        <v/>
      </c>
      <c r="AM362" s="10" t="str">
        <f t="shared" si="62"/>
        <v/>
      </c>
    </row>
    <row r="363" spans="1:39" x14ac:dyDescent="0.25">
      <c r="A363" s="15">
        <v>16032646</v>
      </c>
      <c r="B363" s="15">
        <v>70.69</v>
      </c>
      <c r="C363" s="15">
        <v>318033</v>
      </c>
      <c r="D363" s="15">
        <v>14644</v>
      </c>
      <c r="E363" s="15" t="s">
        <v>340</v>
      </c>
      <c r="F363" s="15">
        <v>2011</v>
      </c>
      <c r="G363" s="15">
        <v>20110202</v>
      </c>
      <c r="H363" s="15">
        <v>9271</v>
      </c>
      <c r="I363" s="15">
        <v>0.93</v>
      </c>
      <c r="J363" s="6" t="s">
        <v>1496</v>
      </c>
      <c r="K363" s="15">
        <v>1</v>
      </c>
      <c r="L363" s="15" t="s">
        <v>32</v>
      </c>
      <c r="M363" s="15" t="s">
        <v>5</v>
      </c>
      <c r="N363" s="11" t="s">
        <v>1391</v>
      </c>
      <c r="O363" s="11" t="s">
        <v>46</v>
      </c>
      <c r="P363" s="11" t="s">
        <v>33</v>
      </c>
      <c r="Q363" s="15">
        <v>0</v>
      </c>
      <c r="R363" s="11" t="s">
        <v>1386</v>
      </c>
      <c r="S363" s="10">
        <v>162.68514544588001</v>
      </c>
      <c r="T363" s="15">
        <v>80</v>
      </c>
      <c r="U363" s="15">
        <v>1</v>
      </c>
      <c r="V363" s="15">
        <v>1</v>
      </c>
      <c r="W363" s="15">
        <v>0</v>
      </c>
      <c r="X363" s="15">
        <f>IF(O363='Udvaskning nøgletal'!$D$65,1,IF(O363='Udvaskning nøgletal'!$D$66,2,IF(O363='Udvaskning nøgletal'!$D$67,3,IF(O363='Udvaskning nøgletal'!$D$68,2,""))))</f>
        <v>2</v>
      </c>
      <c r="Y363" s="15">
        <f>LOOKUP(K363,'Udvaskning nøgletal'!$C$12:$C$60,'Udvaskning nøgletal'!$H$12:$H$60)</f>
        <v>5</v>
      </c>
      <c r="Z363" s="10">
        <f>IF(X363=1,LOOKUP(K363,'Udvaskning nøgletal'!$C$12:$C$60,'Udvaskning nøgletal'!$E$12:$E$60)+Markniveau!Y363*Markniveau!S363/100,IF(X363=2,LOOKUP(K363,'Udvaskning nøgletal'!$C$12:$C$60,'Udvaskning nøgletal'!$F$12:$F$60)+Markniveau!Y363*Markniveau!S363/100,IF(X363=3,LOOKUP(K363,'Udvaskning nøgletal'!$C$12:$C$60,'Udvaskning nøgletal'!G373:G421)+Markniveau!Y363*Markniveau!S363/100,"")))</f>
        <v>59.014257272294003</v>
      </c>
      <c r="AA363" s="10">
        <f t="shared" si="56"/>
        <v>54.883259263233427</v>
      </c>
      <c r="AB363" s="10" t="str">
        <f t="shared" si="55"/>
        <v/>
      </c>
      <c r="AC363" s="10" t="str">
        <f t="shared" si="57"/>
        <v/>
      </c>
      <c r="AD363" s="10">
        <f>IF(AND(Q363&gt;0,Q363&lt;30,K363&lt;8),Markniveau!Z363*'Udvaskning nøgletal'!$I$12/100,IF(AND(Q363&gt;0,Q363&lt;30,K363=216),Markniveau!Z363*'Udvaskning nøgletal'!$I$34/100,Markniveau!Z363))</f>
        <v>59.014257272294003</v>
      </c>
      <c r="AE363" s="10">
        <f t="shared" si="63"/>
        <v>54.883259263233427</v>
      </c>
      <c r="AF363" s="10" t="str">
        <f t="shared" si="58"/>
        <v/>
      </c>
      <c r="AG363" s="10" t="str">
        <f t="shared" si="64"/>
        <v/>
      </c>
      <c r="AH363" s="10" t="str">
        <f>IF(AND(Q363&gt;0,Q363&lt;30,K363=216),'Udvaskning nøgletal'!$C$42,IF(AND(Q363&gt;0,Q363&lt;30,K363&gt;7,K363&lt;17),'Udvaskning nøgletal'!$C$61,IF(AND(Q363&gt;0,Q363&lt;30,K363&lt;7),'Udvaskning nøgletal'!$C$62,"")))</f>
        <v/>
      </c>
      <c r="AI363" s="10">
        <f t="shared" si="60"/>
        <v>1</v>
      </c>
      <c r="AJ363" s="10">
        <f>IF($X363=1,LOOKUP(AI363,'Udvaskning nøgletal'!$C$12:$C$62,'Udvaskning nøgletal'!$E$12:$E$62)+Markniveau!$Y363*Markniveau!$S363/100,IF($X363=2,LOOKUP(AI363,'Udvaskning nøgletal'!$C$12:$C$62,'Udvaskning nøgletal'!$F$12:$F$62)+Markniveau!$Y363*Markniveau!$S363/100,IF($X363=3,LOOKUP(AI363,'Udvaskning nøgletal'!$C$12:$C$62,'Udvaskning nøgletal'!Q373:Q423)+Markniveau!$Y363*Markniveau!$S363/100,"")))</f>
        <v>59.014257272294003</v>
      </c>
      <c r="AK363" s="10">
        <f t="shared" si="59"/>
        <v>54.883259263233427</v>
      </c>
      <c r="AL363" s="10" t="str">
        <f t="shared" si="61"/>
        <v/>
      </c>
      <c r="AM363" s="10" t="str">
        <f t="shared" si="62"/>
        <v/>
      </c>
    </row>
    <row r="364" spans="1:39" x14ac:dyDescent="0.25">
      <c r="A364" s="15">
        <v>16032646</v>
      </c>
      <c r="B364" s="15">
        <v>70.69</v>
      </c>
      <c r="C364" s="15">
        <v>318034</v>
      </c>
      <c r="D364" s="15">
        <v>14644</v>
      </c>
      <c r="E364" s="15" t="s">
        <v>341</v>
      </c>
      <c r="F364" s="15">
        <v>2011</v>
      </c>
      <c r="G364" s="15">
        <v>20110202</v>
      </c>
      <c r="H364" s="15">
        <v>11925</v>
      </c>
      <c r="I364" s="15">
        <v>1.19</v>
      </c>
      <c r="J364" s="6" t="s">
        <v>1497</v>
      </c>
      <c r="K364" s="15">
        <v>260</v>
      </c>
      <c r="L364" s="15" t="s">
        <v>45</v>
      </c>
      <c r="M364" s="15" t="s">
        <v>5</v>
      </c>
      <c r="N364" s="11" t="s">
        <v>1384</v>
      </c>
      <c r="O364" s="11" t="s">
        <v>28</v>
      </c>
      <c r="P364" s="11" t="s">
        <v>33</v>
      </c>
      <c r="Q364" s="15">
        <v>0</v>
      </c>
      <c r="R364" s="11" t="s">
        <v>1386</v>
      </c>
      <c r="S364" s="10">
        <v>162.68514544588001</v>
      </c>
      <c r="T364" s="15">
        <v>80</v>
      </c>
      <c r="U364" s="15">
        <v>1</v>
      </c>
      <c r="V364" s="15">
        <v>1</v>
      </c>
      <c r="W364" s="15">
        <v>0</v>
      </c>
      <c r="X364" s="15">
        <f>IF(O364='Udvaskning nøgletal'!$D$65,1,IF(O364='Udvaskning nøgletal'!$D$66,2,IF(O364='Udvaskning nøgletal'!$D$67,3,IF(O364='Udvaskning nøgletal'!$D$68,2,""))))</f>
        <v>1</v>
      </c>
      <c r="Y364" s="15">
        <f>LOOKUP(K364,'Udvaskning nøgletal'!$C$12:$C$60,'Udvaskning nøgletal'!$H$12:$H$60)</f>
        <v>0</v>
      </c>
      <c r="Z364" s="10">
        <f>IF(X364=1,LOOKUP(K364,'Udvaskning nøgletal'!$C$12:$C$60,'Udvaskning nøgletal'!$E$12:$E$60)+Markniveau!Y364*Markniveau!S364/100,IF(X364=2,LOOKUP(K364,'Udvaskning nøgletal'!$C$12:$C$60,'Udvaskning nøgletal'!$F$12:$F$60)+Markniveau!Y364*Markniveau!S364/100,IF(X364=3,LOOKUP(K364,'Udvaskning nøgletal'!$C$12:$C$60,'Udvaskning nøgletal'!G374:G422)+Markniveau!Y364*Markniveau!S364/100,"")))</f>
        <v>33.723295792149436</v>
      </c>
      <c r="AA364" s="10">
        <f t="shared" si="56"/>
        <v>40.130721992657826</v>
      </c>
      <c r="AB364" s="10" t="str">
        <f t="shared" si="55"/>
        <v/>
      </c>
      <c r="AC364" s="10" t="str">
        <f t="shared" si="57"/>
        <v/>
      </c>
      <c r="AD364" s="10">
        <f>IF(AND(Q364&gt;0,Q364&lt;30,K364&lt;8),Markniveau!Z364*'Udvaskning nøgletal'!$I$12/100,IF(AND(Q364&gt;0,Q364&lt;30,K364=216),Markniveau!Z364*'Udvaskning nøgletal'!$I$34/100,Markniveau!Z364))</f>
        <v>33.723295792149436</v>
      </c>
      <c r="AE364" s="10">
        <f t="shared" si="63"/>
        <v>40.130721992657826</v>
      </c>
      <c r="AF364" s="10" t="str">
        <f t="shared" si="58"/>
        <v/>
      </c>
      <c r="AG364" s="10" t="str">
        <f t="shared" si="64"/>
        <v/>
      </c>
      <c r="AH364" s="10" t="str">
        <f>IF(AND(Q364&gt;0,Q364&lt;30,K364=216),'Udvaskning nøgletal'!$C$42,IF(AND(Q364&gt;0,Q364&lt;30,K364&gt;7,K364&lt;17),'Udvaskning nøgletal'!$C$61,IF(AND(Q364&gt;0,Q364&lt;30,K364&lt;7),'Udvaskning nøgletal'!$C$62,"")))</f>
        <v/>
      </c>
      <c r="AI364" s="10">
        <f t="shared" si="60"/>
        <v>260</v>
      </c>
      <c r="AJ364" s="10">
        <f>IF($X364=1,LOOKUP(AI364,'Udvaskning nøgletal'!$C$12:$C$62,'Udvaskning nøgletal'!$E$12:$E$62)+Markniveau!$Y364*Markniveau!$S364/100,IF($X364=2,LOOKUP(AI364,'Udvaskning nøgletal'!$C$12:$C$62,'Udvaskning nøgletal'!$F$12:$F$62)+Markniveau!$Y364*Markniveau!$S364/100,IF($X364=3,LOOKUP(AI364,'Udvaskning nøgletal'!$C$12:$C$62,'Udvaskning nøgletal'!Q374:Q424)+Markniveau!$Y364*Markniveau!$S364/100,"")))</f>
        <v>33.723295792149436</v>
      </c>
      <c r="AK364" s="10">
        <f t="shared" si="59"/>
        <v>40.130721992657826</v>
      </c>
      <c r="AL364" s="10" t="str">
        <f t="shared" si="61"/>
        <v/>
      </c>
      <c r="AM364" s="10" t="str">
        <f t="shared" si="62"/>
        <v/>
      </c>
    </row>
    <row r="365" spans="1:39" x14ac:dyDescent="0.25">
      <c r="A365" s="15">
        <v>16032646</v>
      </c>
      <c r="B365" s="15">
        <v>70.69</v>
      </c>
      <c r="C365" s="15">
        <v>318035</v>
      </c>
      <c r="D365" s="15">
        <v>14644</v>
      </c>
      <c r="E365" s="15" t="s">
        <v>342</v>
      </c>
      <c r="F365" s="15">
        <v>2011</v>
      </c>
      <c r="G365" s="15">
        <v>20110202</v>
      </c>
      <c r="H365" s="15">
        <v>16016</v>
      </c>
      <c r="I365" s="15">
        <v>1.6</v>
      </c>
      <c r="J365" s="6" t="s">
        <v>1498</v>
      </c>
      <c r="K365" s="15">
        <v>260</v>
      </c>
      <c r="L365" s="15" t="s">
        <v>45</v>
      </c>
      <c r="M365" s="15" t="s">
        <v>5</v>
      </c>
      <c r="N365" s="11" t="s">
        <v>1384</v>
      </c>
      <c r="O365" s="11" t="s">
        <v>28</v>
      </c>
      <c r="P365" s="11" t="s">
        <v>33</v>
      </c>
      <c r="Q365" s="15">
        <v>0</v>
      </c>
      <c r="R365" s="11" t="s">
        <v>1386</v>
      </c>
      <c r="S365" s="10">
        <v>162.68514544588001</v>
      </c>
      <c r="T365" s="15">
        <v>80</v>
      </c>
      <c r="U365" s="15">
        <v>1</v>
      </c>
      <c r="V365" s="15">
        <v>1</v>
      </c>
      <c r="W365" s="15">
        <v>0</v>
      </c>
      <c r="X365" s="15">
        <f>IF(O365='Udvaskning nøgletal'!$D$65,1,IF(O365='Udvaskning nøgletal'!$D$66,2,IF(O365='Udvaskning nøgletal'!$D$67,3,IF(O365='Udvaskning nøgletal'!$D$68,2,""))))</f>
        <v>1</v>
      </c>
      <c r="Y365" s="15">
        <f>LOOKUP(K365,'Udvaskning nøgletal'!$C$12:$C$60,'Udvaskning nøgletal'!$H$12:$H$60)</f>
        <v>0</v>
      </c>
      <c r="Z365" s="10">
        <f>IF(X365=1,LOOKUP(K365,'Udvaskning nøgletal'!$C$12:$C$60,'Udvaskning nøgletal'!$E$12:$E$60)+Markniveau!Y365*Markniveau!S365/100,IF(X365=2,LOOKUP(K365,'Udvaskning nøgletal'!$C$12:$C$60,'Udvaskning nøgletal'!$F$12:$F$60)+Markniveau!Y365*Markniveau!S365/100,IF(X365=3,LOOKUP(K365,'Udvaskning nøgletal'!$C$12:$C$60,'Udvaskning nøgletal'!G375:G423)+Markniveau!Y365*Markniveau!S365/100,"")))</f>
        <v>33.723295792149436</v>
      </c>
      <c r="AA365" s="10">
        <f t="shared" si="56"/>
        <v>53.957273267439099</v>
      </c>
      <c r="AB365" s="10" t="str">
        <f t="shared" si="55"/>
        <v/>
      </c>
      <c r="AC365" s="10" t="str">
        <f t="shared" si="57"/>
        <v/>
      </c>
      <c r="AD365" s="10">
        <f>IF(AND(Q365&gt;0,Q365&lt;30,K365&lt;8),Markniveau!Z365*'Udvaskning nøgletal'!$I$12/100,IF(AND(Q365&gt;0,Q365&lt;30,K365=216),Markniveau!Z365*'Udvaskning nøgletal'!$I$34/100,Markniveau!Z365))</f>
        <v>33.723295792149436</v>
      </c>
      <c r="AE365" s="10">
        <f t="shared" si="63"/>
        <v>53.957273267439099</v>
      </c>
      <c r="AF365" s="10" t="str">
        <f t="shared" si="58"/>
        <v/>
      </c>
      <c r="AG365" s="10" t="str">
        <f t="shared" si="64"/>
        <v/>
      </c>
      <c r="AH365" s="10" t="str">
        <f>IF(AND(Q365&gt;0,Q365&lt;30,K365=216),'Udvaskning nøgletal'!$C$42,IF(AND(Q365&gt;0,Q365&lt;30,K365&gt;7,K365&lt;17),'Udvaskning nøgletal'!$C$61,IF(AND(Q365&gt;0,Q365&lt;30,K365&lt;7),'Udvaskning nøgletal'!$C$62,"")))</f>
        <v/>
      </c>
      <c r="AI365" s="10">
        <f t="shared" si="60"/>
        <v>260</v>
      </c>
      <c r="AJ365" s="10">
        <f>IF($X365=1,LOOKUP(AI365,'Udvaskning nøgletal'!$C$12:$C$62,'Udvaskning nøgletal'!$E$12:$E$62)+Markniveau!$Y365*Markniveau!$S365/100,IF($X365=2,LOOKUP(AI365,'Udvaskning nøgletal'!$C$12:$C$62,'Udvaskning nøgletal'!$F$12:$F$62)+Markniveau!$Y365*Markniveau!$S365/100,IF($X365=3,LOOKUP(AI365,'Udvaskning nøgletal'!$C$12:$C$62,'Udvaskning nøgletal'!Q375:Q425)+Markniveau!$Y365*Markniveau!$S365/100,"")))</f>
        <v>33.723295792149436</v>
      </c>
      <c r="AK365" s="10">
        <f t="shared" si="59"/>
        <v>53.957273267439099</v>
      </c>
      <c r="AL365" s="10" t="str">
        <f t="shared" si="61"/>
        <v/>
      </c>
      <c r="AM365" s="10" t="str">
        <f t="shared" si="62"/>
        <v/>
      </c>
    </row>
    <row r="366" spans="1:39" x14ac:dyDescent="0.25">
      <c r="A366" s="15">
        <v>16032646</v>
      </c>
      <c r="B366" s="15">
        <v>70.69</v>
      </c>
      <c r="C366" s="15">
        <v>318036</v>
      </c>
      <c r="D366" s="15">
        <v>14644</v>
      </c>
      <c r="E366" s="15" t="s">
        <v>334</v>
      </c>
      <c r="F366" s="15">
        <v>2011</v>
      </c>
      <c r="G366" s="15">
        <v>20110202</v>
      </c>
      <c r="H366" s="15">
        <v>27231</v>
      </c>
      <c r="I366" s="15">
        <v>2.72</v>
      </c>
      <c r="J366" s="6" t="s">
        <v>1499</v>
      </c>
      <c r="K366" s="15">
        <v>260</v>
      </c>
      <c r="L366" s="15" t="s">
        <v>45</v>
      </c>
      <c r="M366" s="15" t="s">
        <v>5</v>
      </c>
      <c r="N366" s="11" t="s">
        <v>1384</v>
      </c>
      <c r="O366" s="11" t="s">
        <v>28</v>
      </c>
      <c r="P366" s="11" t="s">
        <v>29</v>
      </c>
      <c r="Q366" s="15">
        <v>95</v>
      </c>
      <c r="R366" s="11" t="s">
        <v>3</v>
      </c>
      <c r="S366" s="10">
        <v>162.68514544588001</v>
      </c>
      <c r="T366" s="15">
        <v>80</v>
      </c>
      <c r="U366" s="15">
        <v>1</v>
      </c>
      <c r="V366" s="15">
        <v>1</v>
      </c>
      <c r="W366" s="15">
        <v>0</v>
      </c>
      <c r="X366" s="15">
        <f>IF(O366='Udvaskning nøgletal'!$D$65,1,IF(O366='Udvaskning nøgletal'!$D$66,2,IF(O366='Udvaskning nøgletal'!$D$67,3,IF(O366='Udvaskning nøgletal'!$D$68,2,""))))</f>
        <v>1</v>
      </c>
      <c r="Y366" s="15">
        <f>LOOKUP(K366,'Udvaskning nøgletal'!$C$12:$C$60,'Udvaskning nøgletal'!$H$12:$H$60)</f>
        <v>0</v>
      </c>
      <c r="Z366" s="10">
        <f>IF(X366=1,LOOKUP(K366,'Udvaskning nøgletal'!$C$12:$C$60,'Udvaskning nøgletal'!$E$12:$E$60)+Markniveau!Y366*Markniveau!S366/100,IF(X366=2,LOOKUP(K366,'Udvaskning nøgletal'!$C$12:$C$60,'Udvaskning nøgletal'!$F$12:$F$60)+Markniveau!Y366*Markniveau!S366/100,IF(X366=3,LOOKUP(K366,'Udvaskning nøgletal'!$C$12:$C$60,'Udvaskning nøgletal'!G376:G424)+Markniveau!Y366*Markniveau!S366/100,"")))</f>
        <v>33.723295792149436</v>
      </c>
      <c r="AA366" s="10">
        <f t="shared" si="56"/>
        <v>91.727364554646471</v>
      </c>
      <c r="AB366" s="10">
        <f t="shared" si="55"/>
        <v>1.6861647896074716</v>
      </c>
      <c r="AC366" s="10">
        <f t="shared" si="57"/>
        <v>4.586368227732323</v>
      </c>
      <c r="AD366" s="10">
        <f>IF(AND(Q366&gt;0,Q366&lt;30,K366&lt;8),Markniveau!Z366*'Udvaskning nøgletal'!$I$12/100,IF(AND(Q366&gt;0,Q366&lt;30,K366=216),Markniveau!Z366*'Udvaskning nøgletal'!$I$34/100,Markniveau!Z366))</f>
        <v>33.723295792149436</v>
      </c>
      <c r="AE366" s="10">
        <f t="shared" si="63"/>
        <v>91.727364554646471</v>
      </c>
      <c r="AF366" s="10">
        <f t="shared" si="58"/>
        <v>1.6861647896074716</v>
      </c>
      <c r="AG366" s="10">
        <f t="shared" si="64"/>
        <v>4.586368227732323</v>
      </c>
      <c r="AH366" s="10" t="str">
        <f>IF(AND(Q366&gt;0,Q366&lt;30,K366=216),'Udvaskning nøgletal'!$C$42,IF(AND(Q366&gt;0,Q366&lt;30,K366&gt;7,K366&lt;17),'Udvaskning nøgletal'!$C$61,IF(AND(Q366&gt;0,Q366&lt;30,K366&lt;7),'Udvaskning nøgletal'!$C$62,"")))</f>
        <v/>
      </c>
      <c r="AI366" s="10">
        <f t="shared" si="60"/>
        <v>260</v>
      </c>
      <c r="AJ366" s="10">
        <f>IF($X366=1,LOOKUP(AI366,'Udvaskning nøgletal'!$C$12:$C$62,'Udvaskning nøgletal'!$E$12:$E$62)+Markniveau!$Y366*Markniveau!$S366/100,IF($X366=2,LOOKUP(AI366,'Udvaskning nøgletal'!$C$12:$C$62,'Udvaskning nøgletal'!$F$12:$F$62)+Markniveau!$Y366*Markniveau!$S366/100,IF($X366=3,LOOKUP(AI366,'Udvaskning nøgletal'!$C$12:$C$62,'Udvaskning nøgletal'!Q376:Q426)+Markniveau!$Y366*Markniveau!$S366/100,"")))</f>
        <v>33.723295792149436</v>
      </c>
      <c r="AK366" s="10">
        <f t="shared" si="59"/>
        <v>91.727364554646471</v>
      </c>
      <c r="AL366" s="10">
        <f t="shared" si="61"/>
        <v>1.6861647896074716</v>
      </c>
      <c r="AM366" s="10">
        <f t="shared" si="62"/>
        <v>4.586368227732323</v>
      </c>
    </row>
    <row r="367" spans="1:39" x14ac:dyDescent="0.25">
      <c r="A367" s="15">
        <v>16032646</v>
      </c>
      <c r="B367" s="15">
        <v>70.69</v>
      </c>
      <c r="C367" s="15">
        <v>318037</v>
      </c>
      <c r="D367" s="15">
        <v>14644</v>
      </c>
      <c r="E367" s="15" t="s">
        <v>334</v>
      </c>
      <c r="F367" s="15">
        <v>2011</v>
      </c>
      <c r="G367" s="15">
        <v>20110202</v>
      </c>
      <c r="H367" s="15">
        <v>101258</v>
      </c>
      <c r="I367" s="15">
        <v>10.130000000000001</v>
      </c>
      <c r="J367" s="6" t="s">
        <v>1500</v>
      </c>
      <c r="K367" s="15">
        <v>260</v>
      </c>
      <c r="L367" s="15" t="s">
        <v>45</v>
      </c>
      <c r="M367" s="15" t="s">
        <v>5</v>
      </c>
      <c r="N367" s="11" t="s">
        <v>1384</v>
      </c>
      <c r="O367" s="11" t="s">
        <v>28</v>
      </c>
      <c r="P367" s="11" t="s">
        <v>29</v>
      </c>
      <c r="Q367" s="15">
        <v>95</v>
      </c>
      <c r="R367" s="11" t="s">
        <v>3</v>
      </c>
      <c r="S367" s="10">
        <v>162.68514544588001</v>
      </c>
      <c r="T367" s="15">
        <v>80</v>
      </c>
      <c r="U367" s="15">
        <v>1</v>
      </c>
      <c r="V367" s="15">
        <v>1</v>
      </c>
      <c r="W367" s="15">
        <v>0</v>
      </c>
      <c r="X367" s="15">
        <f>IF(O367='Udvaskning nøgletal'!$D$65,1,IF(O367='Udvaskning nøgletal'!$D$66,2,IF(O367='Udvaskning nøgletal'!$D$67,3,IF(O367='Udvaskning nøgletal'!$D$68,2,""))))</f>
        <v>1</v>
      </c>
      <c r="Y367" s="15">
        <f>LOOKUP(K367,'Udvaskning nøgletal'!$C$12:$C$60,'Udvaskning nøgletal'!$H$12:$H$60)</f>
        <v>0</v>
      </c>
      <c r="Z367" s="10">
        <f>IF(X367=1,LOOKUP(K367,'Udvaskning nøgletal'!$C$12:$C$60,'Udvaskning nøgletal'!$E$12:$E$60)+Markniveau!Y367*Markniveau!S367/100,IF(X367=2,LOOKUP(K367,'Udvaskning nøgletal'!$C$12:$C$60,'Udvaskning nøgletal'!$F$12:$F$60)+Markniveau!Y367*Markniveau!S367/100,IF(X367=3,LOOKUP(K367,'Udvaskning nøgletal'!$C$12:$C$60,'Udvaskning nøgletal'!G377:G425)+Markniveau!Y367*Markniveau!S367/100,"")))</f>
        <v>33.723295792149436</v>
      </c>
      <c r="AA367" s="10">
        <f t="shared" si="56"/>
        <v>341.61698637447381</v>
      </c>
      <c r="AB367" s="10">
        <f t="shared" si="55"/>
        <v>1.6861647896074716</v>
      </c>
      <c r="AC367" s="10">
        <f t="shared" si="57"/>
        <v>17.08084931872369</v>
      </c>
      <c r="AD367" s="10">
        <f>IF(AND(Q367&gt;0,Q367&lt;30,K367&lt;8),Markniveau!Z367*'Udvaskning nøgletal'!$I$12/100,IF(AND(Q367&gt;0,Q367&lt;30,K367=216),Markniveau!Z367*'Udvaskning nøgletal'!$I$34/100,Markniveau!Z367))</f>
        <v>33.723295792149436</v>
      </c>
      <c r="AE367" s="10">
        <f t="shared" si="63"/>
        <v>341.61698637447381</v>
      </c>
      <c r="AF367" s="10">
        <f t="shared" si="58"/>
        <v>1.6861647896074716</v>
      </c>
      <c r="AG367" s="10">
        <f t="shared" si="64"/>
        <v>17.08084931872369</v>
      </c>
      <c r="AH367" s="10" t="str">
        <f>IF(AND(Q367&gt;0,Q367&lt;30,K367=216),'Udvaskning nøgletal'!$C$42,IF(AND(Q367&gt;0,Q367&lt;30,K367&gt;7,K367&lt;17),'Udvaskning nøgletal'!$C$61,IF(AND(Q367&gt;0,Q367&lt;30,K367&lt;7),'Udvaskning nøgletal'!$C$62,"")))</f>
        <v/>
      </c>
      <c r="AI367" s="10">
        <f t="shared" si="60"/>
        <v>260</v>
      </c>
      <c r="AJ367" s="10">
        <f>IF($X367=1,LOOKUP(AI367,'Udvaskning nøgletal'!$C$12:$C$62,'Udvaskning nøgletal'!$E$12:$E$62)+Markniveau!$Y367*Markniveau!$S367/100,IF($X367=2,LOOKUP(AI367,'Udvaskning nøgletal'!$C$12:$C$62,'Udvaskning nøgletal'!$F$12:$F$62)+Markniveau!$Y367*Markniveau!$S367/100,IF($X367=3,LOOKUP(AI367,'Udvaskning nøgletal'!$C$12:$C$62,'Udvaskning nøgletal'!Q377:Q427)+Markniveau!$Y367*Markniveau!$S367/100,"")))</f>
        <v>33.723295792149436</v>
      </c>
      <c r="AK367" s="10">
        <f t="shared" si="59"/>
        <v>341.61698637447381</v>
      </c>
      <c r="AL367" s="10">
        <f t="shared" si="61"/>
        <v>1.6861647896074716</v>
      </c>
      <c r="AM367" s="10">
        <f t="shared" si="62"/>
        <v>17.08084931872369</v>
      </c>
    </row>
    <row r="368" spans="1:39" x14ac:dyDescent="0.25">
      <c r="A368" s="15">
        <v>16032646</v>
      </c>
      <c r="B368" s="15">
        <v>70.69</v>
      </c>
      <c r="C368" s="15">
        <v>318038</v>
      </c>
      <c r="D368" s="15">
        <v>14644</v>
      </c>
      <c r="E368" s="15" t="s">
        <v>343</v>
      </c>
      <c r="F368" s="15">
        <v>2011</v>
      </c>
      <c r="G368" s="15">
        <v>20110202</v>
      </c>
      <c r="H368" s="15">
        <v>4415</v>
      </c>
      <c r="I368" s="15">
        <v>0.44</v>
      </c>
      <c r="J368" s="6" t="s">
        <v>1501</v>
      </c>
      <c r="K368" s="15">
        <v>260</v>
      </c>
      <c r="L368" s="15" t="s">
        <v>45</v>
      </c>
      <c r="M368" s="15" t="s">
        <v>5</v>
      </c>
      <c r="N368" s="11" t="s">
        <v>1384</v>
      </c>
      <c r="O368" s="11" t="s">
        <v>28</v>
      </c>
      <c r="P368" s="11" t="s">
        <v>29</v>
      </c>
      <c r="Q368" s="15">
        <v>95</v>
      </c>
      <c r="R368" s="11" t="s">
        <v>3</v>
      </c>
      <c r="S368" s="10">
        <v>162.68514544588001</v>
      </c>
      <c r="T368" s="15">
        <v>80</v>
      </c>
      <c r="U368" s="15">
        <v>1</v>
      </c>
      <c r="V368" s="15">
        <v>1</v>
      </c>
      <c r="W368" s="15">
        <v>0</v>
      </c>
      <c r="X368" s="15">
        <f>IF(O368='Udvaskning nøgletal'!$D$65,1,IF(O368='Udvaskning nøgletal'!$D$66,2,IF(O368='Udvaskning nøgletal'!$D$67,3,IF(O368='Udvaskning nøgletal'!$D$68,2,""))))</f>
        <v>1</v>
      </c>
      <c r="Y368" s="15">
        <f>LOOKUP(K368,'Udvaskning nøgletal'!$C$12:$C$60,'Udvaskning nøgletal'!$H$12:$H$60)</f>
        <v>0</v>
      </c>
      <c r="Z368" s="10">
        <f>IF(X368=1,LOOKUP(K368,'Udvaskning nøgletal'!$C$12:$C$60,'Udvaskning nøgletal'!$E$12:$E$60)+Markniveau!Y368*Markniveau!S368/100,IF(X368=2,LOOKUP(K368,'Udvaskning nøgletal'!$C$12:$C$60,'Udvaskning nøgletal'!$F$12:$F$60)+Markniveau!Y368*Markniveau!S368/100,IF(X368=3,LOOKUP(K368,'Udvaskning nøgletal'!$C$12:$C$60,'Udvaskning nøgletal'!G378:G426)+Markniveau!Y368*Markniveau!S368/100,"")))</f>
        <v>33.723295792149436</v>
      </c>
      <c r="AA368" s="10">
        <f t="shared" si="56"/>
        <v>14.838250148545752</v>
      </c>
      <c r="AB368" s="10">
        <f t="shared" si="55"/>
        <v>1.6861647896074716</v>
      </c>
      <c r="AC368" s="10">
        <f t="shared" si="57"/>
        <v>0.74191250742728754</v>
      </c>
      <c r="AD368" s="10">
        <f>IF(AND(Q368&gt;0,Q368&lt;30,K368&lt;8),Markniveau!Z368*'Udvaskning nøgletal'!$I$12/100,IF(AND(Q368&gt;0,Q368&lt;30,K368=216),Markniveau!Z368*'Udvaskning nøgletal'!$I$34/100,Markniveau!Z368))</f>
        <v>33.723295792149436</v>
      </c>
      <c r="AE368" s="10">
        <f t="shared" si="63"/>
        <v>14.838250148545752</v>
      </c>
      <c r="AF368" s="10">
        <f t="shared" si="58"/>
        <v>1.6861647896074716</v>
      </c>
      <c r="AG368" s="10">
        <f t="shared" si="64"/>
        <v>0.74191250742728754</v>
      </c>
      <c r="AH368" s="10" t="str">
        <f>IF(AND(Q368&gt;0,Q368&lt;30,K368=216),'Udvaskning nøgletal'!$C$42,IF(AND(Q368&gt;0,Q368&lt;30,K368&gt;7,K368&lt;17),'Udvaskning nøgletal'!$C$61,IF(AND(Q368&gt;0,Q368&lt;30,K368&lt;7),'Udvaskning nøgletal'!$C$62,"")))</f>
        <v/>
      </c>
      <c r="AI368" s="10">
        <f t="shared" si="60"/>
        <v>260</v>
      </c>
      <c r="AJ368" s="10">
        <f>IF($X368=1,LOOKUP(AI368,'Udvaskning nøgletal'!$C$12:$C$62,'Udvaskning nøgletal'!$E$12:$E$62)+Markniveau!$Y368*Markniveau!$S368/100,IF($X368=2,LOOKUP(AI368,'Udvaskning nøgletal'!$C$12:$C$62,'Udvaskning nøgletal'!$F$12:$F$62)+Markniveau!$Y368*Markniveau!$S368/100,IF($X368=3,LOOKUP(AI368,'Udvaskning nøgletal'!$C$12:$C$62,'Udvaskning nøgletal'!Q378:Q428)+Markniveau!$Y368*Markniveau!$S368/100,"")))</f>
        <v>33.723295792149436</v>
      </c>
      <c r="AK368" s="10">
        <f t="shared" si="59"/>
        <v>14.838250148545752</v>
      </c>
      <c r="AL368" s="10">
        <f t="shared" si="61"/>
        <v>1.6861647896074716</v>
      </c>
      <c r="AM368" s="10">
        <f t="shared" si="62"/>
        <v>0.74191250742728754</v>
      </c>
    </row>
    <row r="369" spans="1:39" x14ac:dyDescent="0.25">
      <c r="A369" s="15">
        <v>16032646</v>
      </c>
      <c r="B369" s="15">
        <v>70.69</v>
      </c>
      <c r="C369" s="15">
        <v>404476</v>
      </c>
      <c r="D369" s="15">
        <v>14644</v>
      </c>
      <c r="E369" s="15" t="s">
        <v>336</v>
      </c>
      <c r="F369" s="15">
        <v>2011</v>
      </c>
      <c r="G369" s="15">
        <v>20110301</v>
      </c>
      <c r="H369" s="15">
        <v>76680</v>
      </c>
      <c r="I369" s="15">
        <v>7.67</v>
      </c>
      <c r="J369" s="6" t="s">
        <v>1471</v>
      </c>
      <c r="K369" s="15">
        <v>260</v>
      </c>
      <c r="L369" s="15" t="s">
        <v>45</v>
      </c>
      <c r="M369" s="15" t="s">
        <v>5</v>
      </c>
      <c r="N369" s="11" t="s">
        <v>1384</v>
      </c>
      <c r="O369" s="11" t="s">
        <v>28</v>
      </c>
      <c r="P369" s="11" t="s">
        <v>29</v>
      </c>
      <c r="Q369" s="15">
        <v>95</v>
      </c>
      <c r="R369" s="11" t="s">
        <v>3</v>
      </c>
      <c r="S369" s="10">
        <v>162.68514544588001</v>
      </c>
      <c r="T369" s="15">
        <v>80</v>
      </c>
      <c r="U369" s="15">
        <v>1</v>
      </c>
      <c r="V369" s="15">
        <v>1</v>
      </c>
      <c r="W369" s="15">
        <v>0</v>
      </c>
      <c r="X369" s="15">
        <f>IF(O369='Udvaskning nøgletal'!$D$65,1,IF(O369='Udvaskning nøgletal'!$D$66,2,IF(O369='Udvaskning nøgletal'!$D$67,3,IF(O369='Udvaskning nøgletal'!$D$68,2,""))))</f>
        <v>1</v>
      </c>
      <c r="Y369" s="15">
        <f>LOOKUP(K369,'Udvaskning nøgletal'!$C$12:$C$60,'Udvaskning nøgletal'!$H$12:$H$60)</f>
        <v>0</v>
      </c>
      <c r="Z369" s="10">
        <f>IF(X369=1,LOOKUP(K369,'Udvaskning nøgletal'!$C$12:$C$60,'Udvaskning nøgletal'!$E$12:$E$60)+Markniveau!Y369*Markniveau!S369/100,IF(X369=2,LOOKUP(K369,'Udvaskning nøgletal'!$C$12:$C$60,'Udvaskning nøgletal'!$F$12:$F$60)+Markniveau!Y369*Markniveau!S369/100,IF(X369=3,LOOKUP(K369,'Udvaskning nøgletal'!$C$12:$C$60,'Udvaskning nøgletal'!G379:G427)+Markniveau!Y369*Markniveau!S369/100,"")))</f>
        <v>33.723295792149436</v>
      </c>
      <c r="AA369" s="10">
        <f t="shared" si="56"/>
        <v>258.65767872578618</v>
      </c>
      <c r="AB369" s="10">
        <f t="shared" si="55"/>
        <v>1.6861647896074716</v>
      </c>
      <c r="AC369" s="10">
        <f t="shared" si="57"/>
        <v>12.932883936289308</v>
      </c>
      <c r="AD369" s="10">
        <f>IF(AND(Q369&gt;0,Q369&lt;30,K369&lt;8),Markniveau!Z369*'Udvaskning nøgletal'!$I$12/100,IF(AND(Q369&gt;0,Q369&lt;30,K369=216),Markniveau!Z369*'Udvaskning nøgletal'!$I$34/100,Markniveau!Z369))</f>
        <v>33.723295792149436</v>
      </c>
      <c r="AE369" s="10">
        <f t="shared" si="63"/>
        <v>258.65767872578618</v>
      </c>
      <c r="AF369" s="10">
        <f t="shared" si="58"/>
        <v>1.6861647896074716</v>
      </c>
      <c r="AG369" s="10">
        <f t="shared" si="64"/>
        <v>12.932883936289308</v>
      </c>
      <c r="AH369" s="10" t="str">
        <f>IF(AND(Q369&gt;0,Q369&lt;30,K369=216),'Udvaskning nøgletal'!$C$42,IF(AND(Q369&gt;0,Q369&lt;30,K369&gt;7,K369&lt;17),'Udvaskning nøgletal'!$C$61,IF(AND(Q369&gt;0,Q369&lt;30,K369&lt;7),'Udvaskning nøgletal'!$C$62,"")))</f>
        <v/>
      </c>
      <c r="AI369" s="10">
        <f t="shared" si="60"/>
        <v>260</v>
      </c>
      <c r="AJ369" s="10">
        <f>IF($X369=1,LOOKUP(AI369,'Udvaskning nøgletal'!$C$12:$C$62,'Udvaskning nøgletal'!$E$12:$E$62)+Markniveau!$Y369*Markniveau!$S369/100,IF($X369=2,LOOKUP(AI369,'Udvaskning nøgletal'!$C$12:$C$62,'Udvaskning nøgletal'!$F$12:$F$62)+Markniveau!$Y369*Markniveau!$S369/100,IF($X369=3,LOOKUP(AI369,'Udvaskning nøgletal'!$C$12:$C$62,'Udvaskning nøgletal'!Q379:Q429)+Markniveau!$Y369*Markniveau!$S369/100,"")))</f>
        <v>33.723295792149436</v>
      </c>
      <c r="AK369" s="10">
        <f t="shared" si="59"/>
        <v>258.65767872578618</v>
      </c>
      <c r="AL369" s="10">
        <f t="shared" si="61"/>
        <v>1.6861647896074716</v>
      </c>
      <c r="AM369" s="10">
        <f t="shared" si="62"/>
        <v>12.932883936289308</v>
      </c>
    </row>
    <row r="370" spans="1:39" x14ac:dyDescent="0.25">
      <c r="A370" s="15">
        <v>16032646</v>
      </c>
      <c r="B370" s="15">
        <v>70.69</v>
      </c>
      <c r="C370" s="15">
        <v>601530</v>
      </c>
      <c r="D370" s="15">
        <v>14644</v>
      </c>
      <c r="E370" s="15" t="s">
        <v>344</v>
      </c>
      <c r="F370" s="15">
        <v>2011</v>
      </c>
      <c r="G370" s="15">
        <v>20110329</v>
      </c>
      <c r="H370" s="15">
        <v>7394</v>
      </c>
      <c r="I370" s="15">
        <v>0.74</v>
      </c>
      <c r="J370" s="6" t="s">
        <v>1502</v>
      </c>
      <c r="K370" s="15">
        <v>260</v>
      </c>
      <c r="L370" s="15" t="s">
        <v>45</v>
      </c>
      <c r="M370" s="15" t="s">
        <v>5</v>
      </c>
      <c r="N370" s="11" t="s">
        <v>1384</v>
      </c>
      <c r="O370" s="11" t="s">
        <v>28</v>
      </c>
      <c r="P370" s="11" t="s">
        <v>29</v>
      </c>
      <c r="Q370" s="15">
        <v>95</v>
      </c>
      <c r="R370" s="11" t="s">
        <v>3</v>
      </c>
      <c r="S370" s="10">
        <v>162.68514544588001</v>
      </c>
      <c r="T370" s="15">
        <v>80</v>
      </c>
      <c r="U370" s="15">
        <v>1</v>
      </c>
      <c r="V370" s="15">
        <v>1</v>
      </c>
      <c r="W370" s="15">
        <v>0</v>
      </c>
      <c r="X370" s="15">
        <f>IF(O370='Udvaskning nøgletal'!$D$65,1,IF(O370='Udvaskning nøgletal'!$D$66,2,IF(O370='Udvaskning nøgletal'!$D$67,3,IF(O370='Udvaskning nøgletal'!$D$68,2,""))))</f>
        <v>1</v>
      </c>
      <c r="Y370" s="15">
        <f>LOOKUP(K370,'Udvaskning nøgletal'!$C$12:$C$60,'Udvaskning nøgletal'!$H$12:$H$60)</f>
        <v>0</v>
      </c>
      <c r="Z370" s="10">
        <f>IF(X370=1,LOOKUP(K370,'Udvaskning nøgletal'!$C$12:$C$60,'Udvaskning nøgletal'!$E$12:$E$60)+Markniveau!Y370*Markniveau!S370/100,IF(X370=2,LOOKUP(K370,'Udvaskning nøgletal'!$C$12:$C$60,'Udvaskning nøgletal'!$F$12:$F$60)+Markniveau!Y370*Markniveau!S370/100,IF(X370=3,LOOKUP(K370,'Udvaskning nøgletal'!$C$12:$C$60,'Udvaskning nøgletal'!G380:G428)+Markniveau!Y370*Markniveau!S370/100,"")))</f>
        <v>33.723295792149436</v>
      </c>
      <c r="AA370" s="10">
        <f t="shared" si="56"/>
        <v>24.955238886190582</v>
      </c>
      <c r="AB370" s="10">
        <f t="shared" si="55"/>
        <v>1.6861647896074716</v>
      </c>
      <c r="AC370" s="10">
        <f t="shared" si="57"/>
        <v>1.2477619443095289</v>
      </c>
      <c r="AD370" s="10">
        <f>IF(AND(Q370&gt;0,Q370&lt;30,K370&lt;8),Markniveau!Z370*'Udvaskning nøgletal'!$I$12/100,IF(AND(Q370&gt;0,Q370&lt;30,K370=216),Markniveau!Z370*'Udvaskning nøgletal'!$I$34/100,Markniveau!Z370))</f>
        <v>33.723295792149436</v>
      </c>
      <c r="AE370" s="10">
        <f t="shared" si="63"/>
        <v>24.955238886190582</v>
      </c>
      <c r="AF370" s="10">
        <f t="shared" si="58"/>
        <v>1.6861647896074716</v>
      </c>
      <c r="AG370" s="10">
        <f t="shared" si="64"/>
        <v>1.2477619443095289</v>
      </c>
      <c r="AH370" s="10" t="str">
        <f>IF(AND(Q370&gt;0,Q370&lt;30,K370=216),'Udvaskning nøgletal'!$C$42,IF(AND(Q370&gt;0,Q370&lt;30,K370&gt;7,K370&lt;17),'Udvaskning nøgletal'!$C$61,IF(AND(Q370&gt;0,Q370&lt;30,K370&lt;7),'Udvaskning nøgletal'!$C$62,"")))</f>
        <v/>
      </c>
      <c r="AI370" s="10">
        <f t="shared" si="60"/>
        <v>260</v>
      </c>
      <c r="AJ370" s="10">
        <f>IF($X370=1,LOOKUP(AI370,'Udvaskning nøgletal'!$C$12:$C$62,'Udvaskning nøgletal'!$E$12:$E$62)+Markniveau!$Y370*Markniveau!$S370/100,IF($X370=2,LOOKUP(AI370,'Udvaskning nøgletal'!$C$12:$C$62,'Udvaskning nøgletal'!$F$12:$F$62)+Markniveau!$Y370*Markniveau!$S370/100,IF($X370=3,LOOKUP(AI370,'Udvaskning nøgletal'!$C$12:$C$62,'Udvaskning nøgletal'!Q380:Q430)+Markniveau!$Y370*Markniveau!$S370/100,"")))</f>
        <v>33.723295792149436</v>
      </c>
      <c r="AK370" s="10">
        <f t="shared" si="59"/>
        <v>24.955238886190582</v>
      </c>
      <c r="AL370" s="10">
        <f t="shared" si="61"/>
        <v>1.6861647896074716</v>
      </c>
      <c r="AM370" s="10">
        <f t="shared" si="62"/>
        <v>1.2477619443095289</v>
      </c>
    </row>
    <row r="371" spans="1:39" x14ac:dyDescent="0.25">
      <c r="A371" s="15">
        <v>16032646</v>
      </c>
      <c r="B371" s="15">
        <v>70.69</v>
      </c>
      <c r="C371" s="15">
        <v>295746</v>
      </c>
      <c r="D371" s="15">
        <v>14644</v>
      </c>
      <c r="E371" s="15" t="s">
        <v>335</v>
      </c>
      <c r="F371" s="15">
        <v>2011</v>
      </c>
      <c r="G371" s="15">
        <v>20110202</v>
      </c>
      <c r="H371" s="15">
        <v>111421</v>
      </c>
      <c r="I371" s="15">
        <v>11.14</v>
      </c>
      <c r="J371" s="6" t="s">
        <v>1503</v>
      </c>
      <c r="K371" s="15">
        <v>216</v>
      </c>
      <c r="L371" s="15" t="s">
        <v>116</v>
      </c>
      <c r="M371" s="15" t="s">
        <v>5</v>
      </c>
      <c r="N371" s="11" t="s">
        <v>1384</v>
      </c>
      <c r="O371" s="11" t="s">
        <v>28</v>
      </c>
      <c r="P371" s="11" t="s">
        <v>29</v>
      </c>
      <c r="Q371" s="15">
        <v>95</v>
      </c>
      <c r="R371" s="11" t="s">
        <v>3</v>
      </c>
      <c r="S371" s="10">
        <v>162.68514544588001</v>
      </c>
      <c r="T371" s="15">
        <v>80</v>
      </c>
      <c r="U371" s="15">
        <v>1</v>
      </c>
      <c r="V371" s="15">
        <v>1</v>
      </c>
      <c r="W371" s="15">
        <v>0</v>
      </c>
      <c r="X371" s="15">
        <f>IF(O371='Udvaskning nøgletal'!$D$65,1,IF(O371='Udvaskning nøgletal'!$D$66,2,IF(O371='Udvaskning nøgletal'!$D$67,3,IF(O371='Udvaskning nøgletal'!$D$68,2,""))))</f>
        <v>1</v>
      </c>
      <c r="Y371" s="15">
        <f>LOOKUP(K371,'Udvaskning nøgletal'!$C$12:$C$60,'Udvaskning nøgletal'!$H$12:$H$60)</f>
        <v>0</v>
      </c>
      <c r="Z371" s="10">
        <f>IF(X371=1,LOOKUP(K371,'Udvaskning nøgletal'!$C$12:$C$60,'Udvaskning nøgletal'!$E$12:$E$60)+Markniveau!Y371*Markniveau!S371/100,IF(X371=2,LOOKUP(K371,'Udvaskning nøgletal'!$C$12:$C$60,'Udvaskning nøgletal'!$F$12:$F$60)+Markniveau!Y371*Markniveau!S371/100,IF(X371=3,LOOKUP(K371,'Udvaskning nøgletal'!$C$12:$C$60,'Udvaskning nøgletal'!G381:G429)+Markniveau!Y371*Markniveau!S371/100,"")))</f>
        <v>125.85383557148924</v>
      </c>
      <c r="AA371" s="10">
        <f t="shared" si="56"/>
        <v>1402.0117282663903</v>
      </c>
      <c r="AB371" s="10">
        <f t="shared" si="55"/>
        <v>6.2926917785744623</v>
      </c>
      <c r="AC371" s="10">
        <f t="shared" si="57"/>
        <v>70.100586413319519</v>
      </c>
      <c r="AD371" s="10">
        <f>IF(AND(Q371&gt;0,Q371&lt;30,K371&lt;8),Markniveau!Z371*'Udvaskning nøgletal'!$I$12/100,IF(AND(Q371&gt;0,Q371&lt;30,K371=216),Markniveau!Z371*'Udvaskning nøgletal'!$I$34/100,Markniveau!Z371))</f>
        <v>125.85383557148924</v>
      </c>
      <c r="AE371" s="10">
        <f t="shared" si="63"/>
        <v>1402.0117282663903</v>
      </c>
      <c r="AF371" s="10">
        <f t="shared" si="58"/>
        <v>6.2926917785744623</v>
      </c>
      <c r="AG371" s="10">
        <f t="shared" si="64"/>
        <v>70.100586413319519</v>
      </c>
      <c r="AH371" s="10" t="str">
        <f>IF(AND(Q371&gt;0,Q371&lt;30,K371=216),'Udvaskning nøgletal'!$C$42,IF(AND(Q371&gt;0,Q371&lt;30,K371&gt;7,K371&lt;17),'Udvaskning nøgletal'!$C$61,IF(AND(Q371&gt;0,Q371&lt;30,K371&lt;7),'Udvaskning nøgletal'!$C$62,"")))</f>
        <v/>
      </c>
      <c r="AI371" s="10">
        <f t="shared" si="60"/>
        <v>216</v>
      </c>
      <c r="AJ371" s="10">
        <f>IF($X371=1,LOOKUP(AI371,'Udvaskning nøgletal'!$C$12:$C$62,'Udvaskning nøgletal'!$E$12:$E$62)+Markniveau!$Y371*Markniveau!$S371/100,IF($X371=2,LOOKUP(AI371,'Udvaskning nøgletal'!$C$12:$C$62,'Udvaskning nøgletal'!$F$12:$F$62)+Markniveau!$Y371*Markniveau!$S371/100,IF($X371=3,LOOKUP(AI371,'Udvaskning nøgletal'!$C$12:$C$62,'Udvaskning nøgletal'!Q381:Q431)+Markniveau!$Y371*Markniveau!$S371/100,"")))</f>
        <v>125.85383557148924</v>
      </c>
      <c r="AK371" s="10">
        <f t="shared" si="59"/>
        <v>1402.0117282663903</v>
      </c>
      <c r="AL371" s="10">
        <f t="shared" si="61"/>
        <v>6.2926917785744623</v>
      </c>
      <c r="AM371" s="10">
        <f t="shared" si="62"/>
        <v>70.100586413319519</v>
      </c>
    </row>
    <row r="372" spans="1:39" x14ac:dyDescent="0.25">
      <c r="A372" s="15">
        <v>16032646</v>
      </c>
      <c r="B372" s="15">
        <v>70.69</v>
      </c>
      <c r="C372" s="15">
        <v>296625</v>
      </c>
      <c r="D372" s="15">
        <v>14644</v>
      </c>
      <c r="E372" s="15" t="s">
        <v>151</v>
      </c>
      <c r="F372" s="15">
        <v>2011</v>
      </c>
      <c r="G372" s="15">
        <v>20110202</v>
      </c>
      <c r="H372" s="15">
        <v>48858</v>
      </c>
      <c r="I372" s="15">
        <v>4.8899999999999997</v>
      </c>
      <c r="J372" s="6" t="s">
        <v>1504</v>
      </c>
      <c r="K372" s="15">
        <v>260</v>
      </c>
      <c r="L372" s="15" t="s">
        <v>45</v>
      </c>
      <c r="M372" s="15" t="s">
        <v>5</v>
      </c>
      <c r="N372" s="11" t="s">
        <v>1384</v>
      </c>
      <c r="O372" s="11" t="s">
        <v>28</v>
      </c>
      <c r="P372" s="11" t="s">
        <v>33</v>
      </c>
      <c r="Q372" s="15">
        <v>0</v>
      </c>
      <c r="R372" s="11" t="s">
        <v>1386</v>
      </c>
      <c r="S372" s="10">
        <v>162.68514544588001</v>
      </c>
      <c r="T372" s="15">
        <v>80</v>
      </c>
      <c r="U372" s="15">
        <v>1</v>
      </c>
      <c r="V372" s="15">
        <v>1</v>
      </c>
      <c r="W372" s="15">
        <v>0</v>
      </c>
      <c r="X372" s="15">
        <f>IF(O372='Udvaskning nøgletal'!$D$65,1,IF(O372='Udvaskning nøgletal'!$D$66,2,IF(O372='Udvaskning nøgletal'!$D$67,3,IF(O372='Udvaskning nøgletal'!$D$68,2,""))))</f>
        <v>1</v>
      </c>
      <c r="Y372" s="15">
        <f>LOOKUP(K372,'Udvaskning nøgletal'!$C$12:$C$60,'Udvaskning nøgletal'!$H$12:$H$60)</f>
        <v>0</v>
      </c>
      <c r="Z372" s="10">
        <f>IF(X372=1,LOOKUP(K372,'Udvaskning nøgletal'!$C$12:$C$60,'Udvaskning nøgletal'!$E$12:$E$60)+Markniveau!Y372*Markniveau!S372/100,IF(X372=2,LOOKUP(K372,'Udvaskning nøgletal'!$C$12:$C$60,'Udvaskning nøgletal'!$F$12:$F$60)+Markniveau!Y372*Markniveau!S372/100,IF(X372=3,LOOKUP(K372,'Udvaskning nøgletal'!$C$12:$C$60,'Udvaskning nøgletal'!G382:G430)+Markniveau!Y372*Markniveau!S372/100,"")))</f>
        <v>33.723295792149436</v>
      </c>
      <c r="AA372" s="10">
        <f t="shared" si="56"/>
        <v>164.90691642361074</v>
      </c>
      <c r="AB372" s="10" t="str">
        <f t="shared" si="55"/>
        <v/>
      </c>
      <c r="AC372" s="10" t="str">
        <f t="shared" si="57"/>
        <v/>
      </c>
      <c r="AD372" s="10">
        <f>IF(AND(Q372&gt;0,Q372&lt;30,K372&lt;8),Markniveau!Z372*'Udvaskning nøgletal'!$I$12/100,IF(AND(Q372&gt;0,Q372&lt;30,K372=216),Markniveau!Z372*'Udvaskning nøgletal'!$I$34/100,Markniveau!Z372))</f>
        <v>33.723295792149436</v>
      </c>
      <c r="AE372" s="10">
        <f t="shared" si="63"/>
        <v>164.90691642361074</v>
      </c>
      <c r="AF372" s="10" t="str">
        <f t="shared" si="58"/>
        <v/>
      </c>
      <c r="AG372" s="10" t="str">
        <f t="shared" si="64"/>
        <v/>
      </c>
      <c r="AH372" s="10" t="str">
        <f>IF(AND(Q372&gt;0,Q372&lt;30,K372=216),'Udvaskning nøgletal'!$C$42,IF(AND(Q372&gt;0,Q372&lt;30,K372&gt;7,K372&lt;17),'Udvaskning nøgletal'!$C$61,IF(AND(Q372&gt;0,Q372&lt;30,K372&lt;7),'Udvaskning nøgletal'!$C$62,"")))</f>
        <v/>
      </c>
      <c r="AI372" s="10">
        <f t="shared" si="60"/>
        <v>260</v>
      </c>
      <c r="AJ372" s="10">
        <f>IF($X372=1,LOOKUP(AI372,'Udvaskning nøgletal'!$C$12:$C$62,'Udvaskning nøgletal'!$E$12:$E$62)+Markniveau!$Y372*Markniveau!$S372/100,IF($X372=2,LOOKUP(AI372,'Udvaskning nøgletal'!$C$12:$C$62,'Udvaskning nøgletal'!$F$12:$F$62)+Markniveau!$Y372*Markniveau!$S372/100,IF($X372=3,LOOKUP(AI372,'Udvaskning nøgletal'!$C$12:$C$62,'Udvaskning nøgletal'!Q382:Q432)+Markniveau!$Y372*Markniveau!$S372/100,"")))</f>
        <v>33.723295792149436</v>
      </c>
      <c r="AK372" s="10">
        <f t="shared" si="59"/>
        <v>164.90691642361074</v>
      </c>
      <c r="AL372" s="10" t="str">
        <f t="shared" si="61"/>
        <v/>
      </c>
      <c r="AM372" s="10" t="str">
        <f t="shared" si="62"/>
        <v/>
      </c>
    </row>
    <row r="373" spans="1:39" x14ac:dyDescent="0.25">
      <c r="A373" s="15">
        <v>16523895</v>
      </c>
      <c r="B373" s="15">
        <v>20.350000000000001</v>
      </c>
      <c r="C373" s="15">
        <v>582308</v>
      </c>
      <c r="D373" s="15">
        <v>101849</v>
      </c>
      <c r="E373" s="15" t="s">
        <v>345</v>
      </c>
      <c r="F373" s="15">
        <v>2011</v>
      </c>
      <c r="G373" s="15">
        <v>20110318</v>
      </c>
      <c r="H373" s="15">
        <v>32703</v>
      </c>
      <c r="I373" s="15">
        <v>3.27</v>
      </c>
      <c r="J373" s="6" t="s">
        <v>37</v>
      </c>
      <c r="K373" s="15">
        <v>216</v>
      </c>
      <c r="L373" s="15" t="s">
        <v>116</v>
      </c>
      <c r="M373" s="15" t="s">
        <v>5</v>
      </c>
      <c r="N373" s="11" t="s">
        <v>1406</v>
      </c>
      <c r="O373" s="11" t="s">
        <v>46</v>
      </c>
      <c r="P373" s="11" t="s">
        <v>29</v>
      </c>
      <c r="Q373" s="15">
        <v>95</v>
      </c>
      <c r="R373" s="11" t="s">
        <v>3</v>
      </c>
      <c r="S373" s="10">
        <v>212.03133159269001</v>
      </c>
      <c r="T373" s="15">
        <v>80</v>
      </c>
      <c r="U373" s="15">
        <v>1</v>
      </c>
      <c r="V373" s="15">
        <v>0</v>
      </c>
      <c r="W373" s="15">
        <v>0</v>
      </c>
      <c r="X373" s="15">
        <f>IF(O373='Udvaskning nøgletal'!$D$65,1,IF(O373='Udvaskning nøgletal'!$D$66,2,IF(O373='Udvaskning nøgletal'!$D$67,3,IF(O373='Udvaskning nøgletal'!$D$68,2,""))))</f>
        <v>2</v>
      </c>
      <c r="Y373" s="15">
        <f>LOOKUP(K373,'Udvaskning nøgletal'!$C$12:$C$60,'Udvaskning nøgletal'!$H$12:$H$60)</f>
        <v>0</v>
      </c>
      <c r="Z373" s="10">
        <f>IF(X373=1,LOOKUP(K373,'Udvaskning nøgletal'!$C$12:$C$60,'Udvaskning nøgletal'!$E$12:$E$60)+Markniveau!Y373*Markniveau!S373/100,IF(X373=2,LOOKUP(K373,'Udvaskning nøgletal'!$C$12:$C$60,'Udvaskning nøgletal'!$F$12:$F$60)+Markniveau!Y373*Markniveau!S373/100,IF(X373=3,LOOKUP(K373,'Udvaskning nøgletal'!$C$12:$C$60,'Udvaskning nøgletal'!G383:G431)+Markniveau!Y373*Markniveau!S373/100,"")))</f>
        <v>101.66744640811392</v>
      </c>
      <c r="AA373" s="10">
        <f t="shared" si="56"/>
        <v>332.45254975453253</v>
      </c>
      <c r="AB373" s="10">
        <f t="shared" si="55"/>
        <v>5.0833723204056955</v>
      </c>
      <c r="AC373" s="10">
        <f t="shared" si="57"/>
        <v>16.622627487726625</v>
      </c>
      <c r="AD373" s="10">
        <f>IF(AND(Q373&gt;0,Q373&lt;30,K373&lt;8),Markniveau!Z373*'Udvaskning nøgletal'!$I$12/100,IF(AND(Q373&gt;0,Q373&lt;30,K373=216),Markniveau!Z373*'Udvaskning nøgletal'!$I$34/100,Markniveau!Z373))</f>
        <v>101.66744640811392</v>
      </c>
      <c r="AE373" s="10">
        <f t="shared" si="63"/>
        <v>332.45254975453253</v>
      </c>
      <c r="AF373" s="10">
        <f t="shared" si="58"/>
        <v>5.0833723204056955</v>
      </c>
      <c r="AG373" s="10">
        <f t="shared" si="64"/>
        <v>16.622627487726625</v>
      </c>
      <c r="AH373" s="10" t="str">
        <f>IF(AND(Q373&gt;0,Q373&lt;30,K373=216),'Udvaskning nøgletal'!$C$42,IF(AND(Q373&gt;0,Q373&lt;30,K373&gt;7,K373&lt;17),'Udvaskning nøgletal'!$C$61,IF(AND(Q373&gt;0,Q373&lt;30,K373&lt;7),'Udvaskning nøgletal'!$C$62,"")))</f>
        <v/>
      </c>
      <c r="AI373" s="10">
        <f t="shared" si="60"/>
        <v>216</v>
      </c>
      <c r="AJ373" s="10">
        <f>IF($X373=1,LOOKUP(AI373,'Udvaskning nøgletal'!$C$12:$C$62,'Udvaskning nøgletal'!$E$12:$E$62)+Markniveau!$Y373*Markniveau!$S373/100,IF($X373=2,LOOKUP(AI373,'Udvaskning nøgletal'!$C$12:$C$62,'Udvaskning nøgletal'!$F$12:$F$62)+Markniveau!$Y373*Markniveau!$S373/100,IF($X373=3,LOOKUP(AI373,'Udvaskning nøgletal'!$C$12:$C$62,'Udvaskning nøgletal'!Q383:Q433)+Markniveau!$Y373*Markniveau!$S373/100,"")))</f>
        <v>101.66744640811392</v>
      </c>
      <c r="AK373" s="10">
        <f t="shared" si="59"/>
        <v>332.45254975453253</v>
      </c>
      <c r="AL373" s="10">
        <f t="shared" si="61"/>
        <v>5.0833723204056955</v>
      </c>
      <c r="AM373" s="10">
        <f t="shared" si="62"/>
        <v>16.622627487726625</v>
      </c>
    </row>
    <row r="374" spans="1:39" x14ac:dyDescent="0.25">
      <c r="A374" s="15">
        <v>16523895</v>
      </c>
      <c r="B374" s="15">
        <v>20.350000000000001</v>
      </c>
      <c r="C374" s="15">
        <v>582310</v>
      </c>
      <c r="D374" s="15">
        <v>101849</v>
      </c>
      <c r="E374" s="15" t="s">
        <v>346</v>
      </c>
      <c r="F374" s="15">
        <v>2011</v>
      </c>
      <c r="G374" s="15">
        <v>20110318</v>
      </c>
      <c r="H374" s="15">
        <v>35173</v>
      </c>
      <c r="I374" s="15">
        <v>3.52</v>
      </c>
      <c r="J374" s="6" t="s">
        <v>97</v>
      </c>
      <c r="K374" s="15">
        <v>216</v>
      </c>
      <c r="L374" s="15" t="s">
        <v>116</v>
      </c>
      <c r="M374" s="15" t="s">
        <v>5</v>
      </c>
      <c r="N374" s="11" t="s">
        <v>1406</v>
      </c>
      <c r="O374" s="11" t="s">
        <v>46</v>
      </c>
      <c r="P374" s="11" t="s">
        <v>29</v>
      </c>
      <c r="Q374" s="15">
        <v>95</v>
      </c>
      <c r="R374" s="11" t="s">
        <v>3</v>
      </c>
      <c r="S374" s="10">
        <v>212.03133159269001</v>
      </c>
      <c r="T374" s="15">
        <v>80</v>
      </c>
      <c r="U374" s="15">
        <v>1</v>
      </c>
      <c r="V374" s="15">
        <v>0</v>
      </c>
      <c r="W374" s="15">
        <v>0</v>
      </c>
      <c r="X374" s="15">
        <f>IF(O374='Udvaskning nøgletal'!$D$65,1,IF(O374='Udvaskning nøgletal'!$D$66,2,IF(O374='Udvaskning nøgletal'!$D$67,3,IF(O374='Udvaskning nøgletal'!$D$68,2,""))))</f>
        <v>2</v>
      </c>
      <c r="Y374" s="15">
        <f>LOOKUP(K374,'Udvaskning nøgletal'!$C$12:$C$60,'Udvaskning nøgletal'!$H$12:$H$60)</f>
        <v>0</v>
      </c>
      <c r="Z374" s="10">
        <f>IF(X374=1,LOOKUP(K374,'Udvaskning nøgletal'!$C$12:$C$60,'Udvaskning nøgletal'!$E$12:$E$60)+Markniveau!Y374*Markniveau!S374/100,IF(X374=2,LOOKUP(K374,'Udvaskning nøgletal'!$C$12:$C$60,'Udvaskning nøgletal'!$F$12:$F$60)+Markniveau!Y374*Markniveau!S374/100,IF(X374=3,LOOKUP(K374,'Udvaskning nøgletal'!$C$12:$C$60,'Udvaskning nøgletal'!G384:G432)+Markniveau!Y374*Markniveau!S374/100,"")))</f>
        <v>101.66744640811392</v>
      </c>
      <c r="AA374" s="10">
        <f t="shared" si="56"/>
        <v>357.86941135656099</v>
      </c>
      <c r="AB374" s="10">
        <f t="shared" si="55"/>
        <v>5.0833723204056955</v>
      </c>
      <c r="AC374" s="10">
        <f t="shared" si="57"/>
        <v>17.89347056782805</v>
      </c>
      <c r="AD374" s="10">
        <f>IF(AND(Q374&gt;0,Q374&lt;30,K374&lt;8),Markniveau!Z374*'Udvaskning nøgletal'!$I$12/100,IF(AND(Q374&gt;0,Q374&lt;30,K374=216),Markniveau!Z374*'Udvaskning nøgletal'!$I$34/100,Markniveau!Z374))</f>
        <v>101.66744640811392</v>
      </c>
      <c r="AE374" s="10">
        <f t="shared" si="63"/>
        <v>357.86941135656099</v>
      </c>
      <c r="AF374" s="10">
        <f t="shared" si="58"/>
        <v>5.0833723204056955</v>
      </c>
      <c r="AG374" s="10">
        <f t="shared" si="64"/>
        <v>17.89347056782805</v>
      </c>
      <c r="AH374" s="10" t="str">
        <f>IF(AND(Q374&gt;0,Q374&lt;30,K374=216),'Udvaskning nøgletal'!$C$42,IF(AND(Q374&gt;0,Q374&lt;30,K374&gt;7,K374&lt;17),'Udvaskning nøgletal'!$C$61,IF(AND(Q374&gt;0,Q374&lt;30,K374&lt;7),'Udvaskning nøgletal'!$C$62,"")))</f>
        <v/>
      </c>
      <c r="AI374" s="10">
        <f t="shared" si="60"/>
        <v>216</v>
      </c>
      <c r="AJ374" s="10">
        <f>IF($X374=1,LOOKUP(AI374,'Udvaskning nøgletal'!$C$12:$C$62,'Udvaskning nøgletal'!$E$12:$E$62)+Markniveau!$Y374*Markniveau!$S374/100,IF($X374=2,LOOKUP(AI374,'Udvaskning nøgletal'!$C$12:$C$62,'Udvaskning nøgletal'!$F$12:$F$62)+Markniveau!$Y374*Markniveau!$S374/100,IF($X374=3,LOOKUP(AI374,'Udvaskning nøgletal'!$C$12:$C$62,'Udvaskning nøgletal'!Q384:Q434)+Markniveau!$Y374*Markniveau!$S374/100,"")))</f>
        <v>101.66744640811392</v>
      </c>
      <c r="AK374" s="10">
        <f t="shared" si="59"/>
        <v>357.86941135656099</v>
      </c>
      <c r="AL374" s="10">
        <f t="shared" si="61"/>
        <v>5.0833723204056955</v>
      </c>
      <c r="AM374" s="10">
        <f t="shared" si="62"/>
        <v>17.89347056782805</v>
      </c>
    </row>
    <row r="375" spans="1:39" x14ac:dyDescent="0.25">
      <c r="A375" s="15">
        <v>16523895</v>
      </c>
      <c r="B375" s="15">
        <v>20.350000000000001</v>
      </c>
      <c r="C375" s="15">
        <v>582861</v>
      </c>
      <c r="D375" s="15">
        <v>101849</v>
      </c>
      <c r="E375" s="15" t="s">
        <v>347</v>
      </c>
      <c r="F375" s="15">
        <v>2011</v>
      </c>
      <c r="G375" s="15">
        <v>20110318</v>
      </c>
      <c r="H375" s="15">
        <v>3669</v>
      </c>
      <c r="I375" s="15">
        <v>0.37</v>
      </c>
      <c r="J375" s="6" t="s">
        <v>69</v>
      </c>
      <c r="K375" s="15">
        <v>264</v>
      </c>
      <c r="L375" s="15" t="s">
        <v>207</v>
      </c>
      <c r="M375" s="15" t="s">
        <v>4</v>
      </c>
      <c r="N375" s="11" t="s">
        <v>1406</v>
      </c>
      <c r="O375" s="11" t="s">
        <v>46</v>
      </c>
      <c r="P375" s="11" t="s">
        <v>29</v>
      </c>
      <c r="Q375" s="15">
        <v>95</v>
      </c>
      <c r="R375" s="11" t="s">
        <v>3</v>
      </c>
      <c r="S375" s="10">
        <v>212.03133159269001</v>
      </c>
      <c r="T375" s="15">
        <v>80</v>
      </c>
      <c r="U375" s="15">
        <v>1</v>
      </c>
      <c r="V375" s="15">
        <v>0</v>
      </c>
      <c r="W375" s="15">
        <v>0</v>
      </c>
      <c r="X375" s="15">
        <f>IF(O375='Udvaskning nøgletal'!$D$65,1,IF(O375='Udvaskning nøgletal'!$D$66,2,IF(O375='Udvaskning nøgletal'!$D$67,3,IF(O375='Udvaskning nøgletal'!$D$68,2,""))))</f>
        <v>2</v>
      </c>
      <c r="Y375" s="15">
        <f>LOOKUP(K375,'Udvaskning nøgletal'!$C$12:$C$60,'Udvaskning nøgletal'!$H$12:$H$60)</f>
        <v>0</v>
      </c>
      <c r="Z375" s="10">
        <f>IF(X375=1,LOOKUP(K375,'Udvaskning nøgletal'!$C$12:$C$60,'Udvaskning nøgletal'!$E$12:$E$60)+Markniveau!Y375*Markniveau!S375/100,IF(X375=2,LOOKUP(K375,'Udvaskning nøgletal'!$C$12:$C$60,'Udvaskning nøgletal'!$F$12:$F$60)+Markniveau!Y375*Markniveau!S375/100,IF(X375=3,LOOKUP(K375,'Udvaskning nøgletal'!$C$12:$C$60,'Udvaskning nøgletal'!G385:G433)+Markniveau!Y375*Markniveau!S375/100,"")))</f>
        <v>10.6</v>
      </c>
      <c r="AA375" s="10">
        <f t="shared" si="56"/>
        <v>3.9219999999999997</v>
      </c>
      <c r="AB375" s="10">
        <f t="shared" si="55"/>
        <v>0.53</v>
      </c>
      <c r="AC375" s="10">
        <f t="shared" si="57"/>
        <v>0.1961</v>
      </c>
      <c r="AD375" s="10">
        <f>IF(AND(Q375&gt;0,Q375&lt;30,K375&lt;8),Markniveau!Z375*'Udvaskning nøgletal'!$I$12/100,IF(AND(Q375&gt;0,Q375&lt;30,K375=216),Markniveau!Z375*'Udvaskning nøgletal'!$I$34/100,Markniveau!Z375))</f>
        <v>10.6</v>
      </c>
      <c r="AE375" s="10">
        <f t="shared" si="63"/>
        <v>3.9219999999999997</v>
      </c>
      <c r="AF375" s="10">
        <f t="shared" si="58"/>
        <v>0.53</v>
      </c>
      <c r="AG375" s="10">
        <f t="shared" si="64"/>
        <v>0.1961</v>
      </c>
      <c r="AH375" s="10" t="str">
        <f>IF(AND(Q375&gt;0,Q375&lt;30,K375=216),'Udvaskning nøgletal'!$C$42,IF(AND(Q375&gt;0,Q375&lt;30,K375&gt;7,K375&lt;17),'Udvaskning nøgletal'!$C$61,IF(AND(Q375&gt;0,Q375&lt;30,K375&lt;7),'Udvaskning nøgletal'!$C$62,"")))</f>
        <v/>
      </c>
      <c r="AI375" s="10">
        <f t="shared" si="60"/>
        <v>264</v>
      </c>
      <c r="AJ375" s="10">
        <f>IF($X375=1,LOOKUP(AI375,'Udvaskning nøgletal'!$C$12:$C$62,'Udvaskning nøgletal'!$E$12:$E$62)+Markniveau!$Y375*Markniveau!$S375/100,IF($X375=2,LOOKUP(AI375,'Udvaskning nøgletal'!$C$12:$C$62,'Udvaskning nøgletal'!$F$12:$F$62)+Markniveau!$Y375*Markniveau!$S375/100,IF($X375=3,LOOKUP(AI375,'Udvaskning nøgletal'!$C$12:$C$62,'Udvaskning nøgletal'!Q385:Q435)+Markniveau!$Y375*Markniveau!$S375/100,"")))</f>
        <v>10.6</v>
      </c>
      <c r="AK375" s="10">
        <f t="shared" si="59"/>
        <v>3.9219999999999997</v>
      </c>
      <c r="AL375" s="10">
        <f t="shared" si="61"/>
        <v>0.53</v>
      </c>
      <c r="AM375" s="10">
        <f t="shared" si="62"/>
        <v>0.1961</v>
      </c>
    </row>
    <row r="376" spans="1:39" x14ac:dyDescent="0.25">
      <c r="A376" s="15">
        <v>16523895</v>
      </c>
      <c r="B376" s="15">
        <v>20.350000000000001</v>
      </c>
      <c r="C376" s="15">
        <v>582862</v>
      </c>
      <c r="D376" s="15">
        <v>101849</v>
      </c>
      <c r="E376" s="15" t="s">
        <v>348</v>
      </c>
      <c r="F376" s="15">
        <v>2011</v>
      </c>
      <c r="G376" s="15">
        <v>20110318</v>
      </c>
      <c r="H376" s="15">
        <v>8289</v>
      </c>
      <c r="I376" s="15">
        <v>0.83</v>
      </c>
      <c r="J376" s="6" t="s">
        <v>34</v>
      </c>
      <c r="K376" s="15">
        <v>264</v>
      </c>
      <c r="L376" s="15" t="s">
        <v>207</v>
      </c>
      <c r="M376" s="15" t="s">
        <v>4</v>
      </c>
      <c r="N376" s="11" t="s">
        <v>1406</v>
      </c>
      <c r="O376" s="11" t="s">
        <v>46</v>
      </c>
      <c r="P376" s="11" t="s">
        <v>29</v>
      </c>
      <c r="Q376" s="15">
        <v>95</v>
      </c>
      <c r="R376" s="11" t="s">
        <v>3</v>
      </c>
      <c r="S376" s="10">
        <v>212.03133159269001</v>
      </c>
      <c r="T376" s="15">
        <v>80</v>
      </c>
      <c r="U376" s="15">
        <v>1</v>
      </c>
      <c r="V376" s="15">
        <v>0</v>
      </c>
      <c r="W376" s="15">
        <v>0</v>
      </c>
      <c r="X376" s="15">
        <f>IF(O376='Udvaskning nøgletal'!$D$65,1,IF(O376='Udvaskning nøgletal'!$D$66,2,IF(O376='Udvaskning nøgletal'!$D$67,3,IF(O376='Udvaskning nøgletal'!$D$68,2,""))))</f>
        <v>2</v>
      </c>
      <c r="Y376" s="15">
        <f>LOOKUP(K376,'Udvaskning nøgletal'!$C$12:$C$60,'Udvaskning nøgletal'!$H$12:$H$60)</f>
        <v>0</v>
      </c>
      <c r="Z376" s="10">
        <f>IF(X376=1,LOOKUP(K376,'Udvaskning nøgletal'!$C$12:$C$60,'Udvaskning nøgletal'!$E$12:$E$60)+Markniveau!Y376*Markniveau!S376/100,IF(X376=2,LOOKUP(K376,'Udvaskning nøgletal'!$C$12:$C$60,'Udvaskning nøgletal'!$F$12:$F$60)+Markniveau!Y376*Markniveau!S376/100,IF(X376=3,LOOKUP(K376,'Udvaskning nøgletal'!$C$12:$C$60,'Udvaskning nøgletal'!G386:G434)+Markniveau!Y376*Markniveau!S376/100,"")))</f>
        <v>10.6</v>
      </c>
      <c r="AA376" s="10">
        <f t="shared" si="56"/>
        <v>8.798</v>
      </c>
      <c r="AB376" s="10">
        <f t="shared" si="55"/>
        <v>0.53</v>
      </c>
      <c r="AC376" s="10">
        <f t="shared" si="57"/>
        <v>0.43990000000000001</v>
      </c>
      <c r="AD376" s="10">
        <f>IF(AND(Q376&gt;0,Q376&lt;30,K376&lt;8),Markniveau!Z376*'Udvaskning nøgletal'!$I$12/100,IF(AND(Q376&gt;0,Q376&lt;30,K376=216),Markniveau!Z376*'Udvaskning nøgletal'!$I$34/100,Markniveau!Z376))</f>
        <v>10.6</v>
      </c>
      <c r="AE376" s="10">
        <f t="shared" si="63"/>
        <v>8.798</v>
      </c>
      <c r="AF376" s="10">
        <f t="shared" si="58"/>
        <v>0.53</v>
      </c>
      <c r="AG376" s="10">
        <f t="shared" si="64"/>
        <v>0.43990000000000001</v>
      </c>
      <c r="AH376" s="10" t="str">
        <f>IF(AND(Q376&gt;0,Q376&lt;30,K376=216),'Udvaskning nøgletal'!$C$42,IF(AND(Q376&gt;0,Q376&lt;30,K376&gt;7,K376&lt;17),'Udvaskning nøgletal'!$C$61,IF(AND(Q376&gt;0,Q376&lt;30,K376&lt;7),'Udvaskning nøgletal'!$C$62,"")))</f>
        <v/>
      </c>
      <c r="AI376" s="10">
        <f t="shared" si="60"/>
        <v>264</v>
      </c>
      <c r="AJ376" s="10">
        <f>IF($X376=1,LOOKUP(AI376,'Udvaskning nøgletal'!$C$12:$C$62,'Udvaskning nøgletal'!$E$12:$E$62)+Markniveau!$Y376*Markniveau!$S376/100,IF($X376=2,LOOKUP(AI376,'Udvaskning nøgletal'!$C$12:$C$62,'Udvaskning nøgletal'!$F$12:$F$62)+Markniveau!$Y376*Markniveau!$S376/100,IF($X376=3,LOOKUP(AI376,'Udvaskning nøgletal'!$C$12:$C$62,'Udvaskning nøgletal'!Q386:Q436)+Markniveau!$Y376*Markniveau!$S376/100,"")))</f>
        <v>10.6</v>
      </c>
      <c r="AK376" s="10">
        <f t="shared" si="59"/>
        <v>8.798</v>
      </c>
      <c r="AL376" s="10">
        <f t="shared" si="61"/>
        <v>0.53</v>
      </c>
      <c r="AM376" s="10">
        <f t="shared" si="62"/>
        <v>0.43990000000000001</v>
      </c>
    </row>
    <row r="377" spans="1:39" x14ac:dyDescent="0.25">
      <c r="A377" s="15">
        <v>16523895</v>
      </c>
      <c r="B377" s="15">
        <v>20.350000000000001</v>
      </c>
      <c r="C377" s="15">
        <v>581786</v>
      </c>
      <c r="D377" s="15">
        <v>101849</v>
      </c>
      <c r="E377" s="15" t="s">
        <v>345</v>
      </c>
      <c r="F377" s="15">
        <v>2011</v>
      </c>
      <c r="G377" s="15">
        <v>20110318</v>
      </c>
      <c r="H377" s="15">
        <v>109147</v>
      </c>
      <c r="I377" s="15">
        <v>10.91</v>
      </c>
      <c r="J377" s="6" t="s">
        <v>61</v>
      </c>
      <c r="K377" s="15">
        <v>216</v>
      </c>
      <c r="L377" s="15" t="s">
        <v>116</v>
      </c>
      <c r="M377" s="15" t="s">
        <v>5</v>
      </c>
      <c r="N377" s="11" t="s">
        <v>1406</v>
      </c>
      <c r="O377" s="11" t="s">
        <v>46</v>
      </c>
      <c r="P377" s="11" t="s">
        <v>29</v>
      </c>
      <c r="Q377" s="15">
        <v>95</v>
      </c>
      <c r="R377" s="11" t="s">
        <v>3</v>
      </c>
      <c r="S377" s="10">
        <v>212.03133159269001</v>
      </c>
      <c r="T377" s="15">
        <v>80</v>
      </c>
      <c r="U377" s="15">
        <v>1</v>
      </c>
      <c r="V377" s="15">
        <v>0</v>
      </c>
      <c r="W377" s="15">
        <v>0</v>
      </c>
      <c r="X377" s="15">
        <f>IF(O377='Udvaskning nøgletal'!$D$65,1,IF(O377='Udvaskning nøgletal'!$D$66,2,IF(O377='Udvaskning nøgletal'!$D$67,3,IF(O377='Udvaskning nøgletal'!$D$68,2,""))))</f>
        <v>2</v>
      </c>
      <c r="Y377" s="15">
        <f>LOOKUP(K377,'Udvaskning nøgletal'!$C$12:$C$60,'Udvaskning nøgletal'!$H$12:$H$60)</f>
        <v>0</v>
      </c>
      <c r="Z377" s="10">
        <f>IF(X377=1,LOOKUP(K377,'Udvaskning nøgletal'!$C$12:$C$60,'Udvaskning nøgletal'!$E$12:$E$60)+Markniveau!Y377*Markniveau!S377/100,IF(X377=2,LOOKUP(K377,'Udvaskning nøgletal'!$C$12:$C$60,'Udvaskning nøgletal'!$F$12:$F$60)+Markniveau!Y377*Markniveau!S377/100,IF(X377=3,LOOKUP(K377,'Udvaskning nøgletal'!$C$12:$C$60,'Udvaskning nøgletal'!G387:G435)+Markniveau!Y377*Markniveau!S377/100,"")))</f>
        <v>101.66744640811392</v>
      </c>
      <c r="AA377" s="10">
        <f t="shared" si="56"/>
        <v>1109.1918403125228</v>
      </c>
      <c r="AB377" s="10">
        <f t="shared" si="55"/>
        <v>5.0833723204056955</v>
      </c>
      <c r="AC377" s="10">
        <f t="shared" si="57"/>
        <v>55.459592015626136</v>
      </c>
      <c r="AD377" s="10">
        <f>IF(AND(Q377&gt;0,Q377&lt;30,K377&lt;8),Markniveau!Z377*'Udvaskning nøgletal'!$I$12/100,IF(AND(Q377&gt;0,Q377&lt;30,K377=216),Markniveau!Z377*'Udvaskning nøgletal'!$I$34/100,Markniveau!Z377))</f>
        <v>101.66744640811392</v>
      </c>
      <c r="AE377" s="10">
        <f t="shared" si="63"/>
        <v>1109.1918403125228</v>
      </c>
      <c r="AF377" s="10">
        <f t="shared" si="58"/>
        <v>5.0833723204056955</v>
      </c>
      <c r="AG377" s="10">
        <f t="shared" si="64"/>
        <v>55.459592015626136</v>
      </c>
      <c r="AH377" s="10" t="str">
        <f>IF(AND(Q377&gt;0,Q377&lt;30,K377=216),'Udvaskning nøgletal'!$C$42,IF(AND(Q377&gt;0,Q377&lt;30,K377&gt;7,K377&lt;17),'Udvaskning nøgletal'!$C$61,IF(AND(Q377&gt;0,Q377&lt;30,K377&lt;7),'Udvaskning nøgletal'!$C$62,"")))</f>
        <v/>
      </c>
      <c r="AI377" s="10">
        <f t="shared" si="60"/>
        <v>216</v>
      </c>
      <c r="AJ377" s="10">
        <f>IF($X377=1,LOOKUP(AI377,'Udvaskning nøgletal'!$C$12:$C$62,'Udvaskning nøgletal'!$E$12:$E$62)+Markniveau!$Y377*Markniveau!$S377/100,IF($X377=2,LOOKUP(AI377,'Udvaskning nøgletal'!$C$12:$C$62,'Udvaskning nøgletal'!$F$12:$F$62)+Markniveau!$Y377*Markniveau!$S377/100,IF($X377=3,LOOKUP(AI377,'Udvaskning nøgletal'!$C$12:$C$62,'Udvaskning nøgletal'!Q387:Q437)+Markniveau!$Y377*Markniveau!$S377/100,"")))</f>
        <v>101.66744640811392</v>
      </c>
      <c r="AK377" s="10">
        <f t="shared" si="59"/>
        <v>1109.1918403125228</v>
      </c>
      <c r="AL377" s="10">
        <f t="shared" si="61"/>
        <v>5.0833723204056955</v>
      </c>
      <c r="AM377" s="10">
        <f t="shared" si="62"/>
        <v>55.459592015626136</v>
      </c>
    </row>
    <row r="378" spans="1:39" x14ac:dyDescent="0.25">
      <c r="A378" s="15">
        <v>16523895</v>
      </c>
      <c r="B378" s="15">
        <v>20.350000000000001</v>
      </c>
      <c r="C378" s="15">
        <v>582307</v>
      </c>
      <c r="D378" s="15">
        <v>101849</v>
      </c>
      <c r="E378" s="15" t="s">
        <v>345</v>
      </c>
      <c r="F378" s="15">
        <v>2011</v>
      </c>
      <c r="G378" s="15">
        <v>20110318</v>
      </c>
      <c r="H378" s="15">
        <v>14463</v>
      </c>
      <c r="I378" s="15">
        <v>1.45</v>
      </c>
      <c r="J378" s="6" t="s">
        <v>1505</v>
      </c>
      <c r="K378" s="15">
        <v>230</v>
      </c>
      <c r="L378" s="15" t="s">
        <v>120</v>
      </c>
      <c r="M378" s="15" t="s">
        <v>5</v>
      </c>
      <c r="N378" s="11" t="s">
        <v>1384</v>
      </c>
      <c r="O378" s="11" t="s">
        <v>28</v>
      </c>
      <c r="P378" s="11" t="s">
        <v>29</v>
      </c>
      <c r="Q378" s="15">
        <v>95</v>
      </c>
      <c r="R378" s="11" t="s">
        <v>3</v>
      </c>
      <c r="S378" s="10">
        <v>212.03133159269001</v>
      </c>
      <c r="T378" s="15">
        <v>80</v>
      </c>
      <c r="U378" s="15">
        <v>1</v>
      </c>
      <c r="V378" s="15">
        <v>0</v>
      </c>
      <c r="W378" s="15">
        <v>0</v>
      </c>
      <c r="X378" s="15">
        <f>IF(O378='Udvaskning nøgletal'!$D$65,1,IF(O378='Udvaskning nøgletal'!$D$66,2,IF(O378='Udvaskning nøgletal'!$D$67,3,IF(O378='Udvaskning nøgletal'!$D$68,2,""))))</f>
        <v>1</v>
      </c>
      <c r="Y378" s="15">
        <f>LOOKUP(K378,'Udvaskning nøgletal'!$C$12:$C$60,'Udvaskning nøgletal'!$H$12:$H$60)</f>
        <v>0</v>
      </c>
      <c r="Z378" s="10">
        <f>IF(X378=1,LOOKUP(K378,'Udvaskning nøgletal'!$C$12:$C$60,'Udvaskning nøgletal'!$E$12:$E$60)+Markniveau!Y378*Markniveau!S378/100,IF(X378=2,LOOKUP(K378,'Udvaskning nøgletal'!$C$12:$C$60,'Udvaskning nøgletal'!$F$12:$F$60)+Markniveau!Y378*Markniveau!S378/100,IF(X378=3,LOOKUP(K378,'Udvaskning nøgletal'!$C$12:$C$60,'Udvaskning nøgletal'!G388:G436)+Markniveau!Y378*Markniveau!S378/100,"")))</f>
        <v>38.620385460262987</v>
      </c>
      <c r="AA378" s="10">
        <f t="shared" si="56"/>
        <v>55.999558917381329</v>
      </c>
      <c r="AB378" s="10">
        <f t="shared" si="55"/>
        <v>1.9310192730131492</v>
      </c>
      <c r="AC378" s="10">
        <f t="shared" si="57"/>
        <v>2.7999779458690663</v>
      </c>
      <c r="AD378" s="10">
        <f>IF(AND(Q378&gt;0,Q378&lt;30,K378&lt;8),Markniveau!Z378*'Udvaskning nøgletal'!$I$12/100,IF(AND(Q378&gt;0,Q378&lt;30,K378=216),Markniveau!Z378*'Udvaskning nøgletal'!$I$34/100,Markniveau!Z378))</f>
        <v>38.620385460262987</v>
      </c>
      <c r="AE378" s="10">
        <f t="shared" si="63"/>
        <v>55.999558917381329</v>
      </c>
      <c r="AF378" s="10">
        <f t="shared" si="58"/>
        <v>1.9310192730131492</v>
      </c>
      <c r="AG378" s="10">
        <f t="shared" si="64"/>
        <v>2.7999779458690663</v>
      </c>
      <c r="AH378" s="10" t="str">
        <f>IF(AND(Q378&gt;0,Q378&lt;30,K378=216),'Udvaskning nøgletal'!$C$42,IF(AND(Q378&gt;0,Q378&lt;30,K378&gt;7,K378&lt;17),'Udvaskning nøgletal'!$C$61,IF(AND(Q378&gt;0,Q378&lt;30,K378&lt;7),'Udvaskning nøgletal'!$C$62,"")))</f>
        <v/>
      </c>
      <c r="AI378" s="10">
        <f t="shared" si="60"/>
        <v>230</v>
      </c>
      <c r="AJ378" s="10">
        <f>IF($X378=1,LOOKUP(AI378,'Udvaskning nøgletal'!$C$12:$C$62,'Udvaskning nøgletal'!$E$12:$E$62)+Markniveau!$Y378*Markniveau!$S378/100,IF($X378=2,LOOKUP(AI378,'Udvaskning nøgletal'!$C$12:$C$62,'Udvaskning nøgletal'!$F$12:$F$62)+Markniveau!$Y378*Markniveau!$S378/100,IF($X378=3,LOOKUP(AI378,'Udvaskning nøgletal'!$C$12:$C$62,'Udvaskning nøgletal'!Q388:Q438)+Markniveau!$Y378*Markniveau!$S378/100,"")))</f>
        <v>38.620385460262987</v>
      </c>
      <c r="AK378" s="10">
        <f t="shared" si="59"/>
        <v>55.999558917381329</v>
      </c>
      <c r="AL378" s="10">
        <f t="shared" si="61"/>
        <v>1.9310192730131492</v>
      </c>
      <c r="AM378" s="10">
        <f t="shared" si="62"/>
        <v>2.7999779458690663</v>
      </c>
    </row>
    <row r="379" spans="1:39" x14ac:dyDescent="0.25">
      <c r="A379" s="15">
        <v>16543349</v>
      </c>
      <c r="B379" s="15">
        <v>3.26</v>
      </c>
      <c r="C379" s="15">
        <v>270411</v>
      </c>
      <c r="D379" s="15">
        <v>23612</v>
      </c>
      <c r="E379" s="15" t="s">
        <v>349</v>
      </c>
      <c r="F379" s="15">
        <v>2011</v>
      </c>
      <c r="G379" s="15">
        <v>20110506</v>
      </c>
      <c r="H379" s="15">
        <v>54902</v>
      </c>
      <c r="I379" s="15">
        <v>5.49</v>
      </c>
      <c r="J379" s="6" t="s">
        <v>1384</v>
      </c>
      <c r="K379" s="15">
        <v>10</v>
      </c>
      <c r="L379" s="15" t="s">
        <v>107</v>
      </c>
      <c r="M379" s="15" t="s">
        <v>5</v>
      </c>
      <c r="N379" s="11" t="s">
        <v>1391</v>
      </c>
      <c r="O379" s="11" t="s">
        <v>46</v>
      </c>
      <c r="P379" s="11" t="s">
        <v>33</v>
      </c>
      <c r="Q379" s="15">
        <v>0</v>
      </c>
      <c r="R379" s="11" t="s">
        <v>1386</v>
      </c>
      <c r="S379" s="10">
        <v>84.266525166768005</v>
      </c>
      <c r="T379" s="15">
        <v>80</v>
      </c>
      <c r="U379" s="15">
        <v>0</v>
      </c>
      <c r="V379" s="15">
        <v>0</v>
      </c>
      <c r="W379" s="15">
        <v>0</v>
      </c>
      <c r="X379" s="15">
        <f>IF(O379='Udvaskning nøgletal'!$D$65,1,IF(O379='Udvaskning nøgletal'!$D$66,2,IF(O379='Udvaskning nøgletal'!$D$67,3,IF(O379='Udvaskning nøgletal'!$D$68,2,""))))</f>
        <v>2</v>
      </c>
      <c r="Y379" s="15">
        <f>LOOKUP(K379,'Udvaskning nøgletal'!$C$12:$C$60,'Udvaskning nøgletal'!$H$12:$H$60)</f>
        <v>5</v>
      </c>
      <c r="Z379" s="10">
        <f>IF(X379=1,LOOKUP(K379,'Udvaskning nøgletal'!$C$12:$C$60,'Udvaskning nøgletal'!$E$12:$E$60)+Markniveau!Y379*Markniveau!S379/100,IF(X379=2,LOOKUP(K379,'Udvaskning nøgletal'!$C$12:$C$60,'Udvaskning nøgletal'!$F$12:$F$60)+Markniveau!Y379*Markniveau!S379/100,IF(X379=3,LOOKUP(K379,'Udvaskning nøgletal'!$C$12:$C$60,'Udvaskning nøgletal'!G389:G437)+Markniveau!Y379*Markniveau!S379/100,"")))</f>
        <v>55.093326258338401</v>
      </c>
      <c r="AA379" s="10">
        <f t="shared" si="56"/>
        <v>302.46236115827782</v>
      </c>
      <c r="AB379" s="10" t="str">
        <f t="shared" si="55"/>
        <v/>
      </c>
      <c r="AC379" s="10" t="str">
        <f t="shared" si="57"/>
        <v/>
      </c>
      <c r="AD379" s="10">
        <f>IF(AND(Q379&gt;0,Q379&lt;30,K379&lt;8),Markniveau!Z379*'Udvaskning nøgletal'!$I$12/100,IF(AND(Q379&gt;0,Q379&lt;30,K379=216),Markniveau!Z379*'Udvaskning nøgletal'!$I$34/100,Markniveau!Z379))</f>
        <v>55.093326258338401</v>
      </c>
      <c r="AE379" s="10">
        <f t="shared" si="63"/>
        <v>302.46236115827782</v>
      </c>
      <c r="AF379" s="10" t="str">
        <f t="shared" si="58"/>
        <v/>
      </c>
      <c r="AG379" s="10" t="str">
        <f t="shared" si="64"/>
        <v/>
      </c>
      <c r="AH379" s="10" t="str">
        <f>IF(AND(Q379&gt;0,Q379&lt;30,K379=216),'Udvaskning nøgletal'!$C$42,IF(AND(Q379&gt;0,Q379&lt;30,K379&gt;7,K379&lt;17),'Udvaskning nøgletal'!$C$61,IF(AND(Q379&gt;0,Q379&lt;30,K379&lt;7),'Udvaskning nøgletal'!$C$62,"")))</f>
        <v/>
      </c>
      <c r="AI379" s="10">
        <f t="shared" si="60"/>
        <v>10</v>
      </c>
      <c r="AJ379" s="10">
        <f>IF($X379=1,LOOKUP(AI379,'Udvaskning nøgletal'!$C$12:$C$62,'Udvaskning nøgletal'!$E$12:$E$62)+Markniveau!$Y379*Markniveau!$S379/100,IF($X379=2,LOOKUP(AI379,'Udvaskning nøgletal'!$C$12:$C$62,'Udvaskning nøgletal'!$F$12:$F$62)+Markniveau!$Y379*Markniveau!$S379/100,IF($X379=3,LOOKUP(AI379,'Udvaskning nøgletal'!$C$12:$C$62,'Udvaskning nøgletal'!Q389:Q439)+Markniveau!$Y379*Markniveau!$S379/100,"")))</f>
        <v>55.093326258338401</v>
      </c>
      <c r="AK379" s="10">
        <f t="shared" si="59"/>
        <v>302.46236115827782</v>
      </c>
      <c r="AL379" s="10" t="str">
        <f t="shared" si="61"/>
        <v/>
      </c>
      <c r="AM379" s="10" t="str">
        <f t="shared" si="62"/>
        <v/>
      </c>
    </row>
    <row r="380" spans="1:39" x14ac:dyDescent="0.25">
      <c r="A380" s="15">
        <v>16543349</v>
      </c>
      <c r="B380" s="15">
        <v>3.26</v>
      </c>
      <c r="C380" s="15">
        <v>272324</v>
      </c>
      <c r="D380" s="15">
        <v>23612</v>
      </c>
      <c r="E380" s="15" t="s">
        <v>350</v>
      </c>
      <c r="F380" s="15">
        <v>2011</v>
      </c>
      <c r="G380" s="15">
        <v>20110506</v>
      </c>
      <c r="H380" s="15">
        <v>51211</v>
      </c>
      <c r="I380" s="15">
        <v>5.12</v>
      </c>
      <c r="J380" s="6" t="s">
        <v>1467</v>
      </c>
      <c r="K380" s="15">
        <v>1</v>
      </c>
      <c r="L380" s="15" t="s">
        <v>32</v>
      </c>
      <c r="M380" s="15" t="s">
        <v>5</v>
      </c>
      <c r="N380" s="11" t="s">
        <v>1391</v>
      </c>
      <c r="O380" s="11" t="s">
        <v>46</v>
      </c>
      <c r="P380" s="11" t="s">
        <v>33</v>
      </c>
      <c r="Q380" s="15">
        <v>0</v>
      </c>
      <c r="R380" s="11" t="s">
        <v>1386</v>
      </c>
      <c r="S380" s="10">
        <v>84.266525166768005</v>
      </c>
      <c r="T380" s="15">
        <v>80</v>
      </c>
      <c r="U380" s="15">
        <v>0</v>
      </c>
      <c r="V380" s="15">
        <v>0</v>
      </c>
      <c r="W380" s="15">
        <v>0</v>
      </c>
      <c r="X380" s="15">
        <f>IF(O380='Udvaskning nøgletal'!$D$65,1,IF(O380='Udvaskning nøgletal'!$D$66,2,IF(O380='Udvaskning nøgletal'!$D$67,3,IF(O380='Udvaskning nøgletal'!$D$68,2,""))))</f>
        <v>2</v>
      </c>
      <c r="Y380" s="15">
        <f>LOOKUP(K380,'Udvaskning nøgletal'!$C$12:$C$60,'Udvaskning nøgletal'!$H$12:$H$60)</f>
        <v>5</v>
      </c>
      <c r="Z380" s="10">
        <f>IF(X380=1,LOOKUP(K380,'Udvaskning nøgletal'!$C$12:$C$60,'Udvaskning nøgletal'!$E$12:$E$60)+Markniveau!Y380*Markniveau!S380/100,IF(X380=2,LOOKUP(K380,'Udvaskning nøgletal'!$C$12:$C$60,'Udvaskning nøgletal'!$F$12:$F$60)+Markniveau!Y380*Markniveau!S380/100,IF(X380=3,LOOKUP(K380,'Udvaskning nøgletal'!$C$12:$C$60,'Udvaskning nøgletal'!G390:G438)+Markniveau!Y380*Markniveau!S380/100,"")))</f>
        <v>55.093326258338401</v>
      </c>
      <c r="AA380" s="10">
        <f t="shared" si="56"/>
        <v>282.07783044269263</v>
      </c>
      <c r="AB380" s="10" t="str">
        <f t="shared" si="55"/>
        <v/>
      </c>
      <c r="AC380" s="10" t="str">
        <f t="shared" si="57"/>
        <v/>
      </c>
      <c r="AD380" s="10">
        <f>IF(AND(Q380&gt;0,Q380&lt;30,K380&lt;8),Markniveau!Z380*'Udvaskning nøgletal'!$I$12/100,IF(AND(Q380&gt;0,Q380&lt;30,K380=216),Markniveau!Z380*'Udvaskning nøgletal'!$I$34/100,Markniveau!Z380))</f>
        <v>55.093326258338401</v>
      </c>
      <c r="AE380" s="10">
        <f t="shared" si="63"/>
        <v>282.07783044269263</v>
      </c>
      <c r="AF380" s="10" t="str">
        <f t="shared" si="58"/>
        <v/>
      </c>
      <c r="AG380" s="10" t="str">
        <f t="shared" si="64"/>
        <v/>
      </c>
      <c r="AH380" s="10" t="str">
        <f>IF(AND(Q380&gt;0,Q380&lt;30,K380=216),'Udvaskning nøgletal'!$C$42,IF(AND(Q380&gt;0,Q380&lt;30,K380&gt;7,K380&lt;17),'Udvaskning nøgletal'!$C$61,IF(AND(Q380&gt;0,Q380&lt;30,K380&lt;7),'Udvaskning nøgletal'!$C$62,"")))</f>
        <v/>
      </c>
      <c r="AI380" s="10">
        <f t="shared" si="60"/>
        <v>1</v>
      </c>
      <c r="AJ380" s="10">
        <f>IF($X380=1,LOOKUP(AI380,'Udvaskning nøgletal'!$C$12:$C$62,'Udvaskning nøgletal'!$E$12:$E$62)+Markniveau!$Y380*Markniveau!$S380/100,IF($X380=2,LOOKUP(AI380,'Udvaskning nøgletal'!$C$12:$C$62,'Udvaskning nøgletal'!$F$12:$F$62)+Markniveau!$Y380*Markniveau!$S380/100,IF($X380=3,LOOKUP(AI380,'Udvaskning nøgletal'!$C$12:$C$62,'Udvaskning nøgletal'!Q390:Q440)+Markniveau!$Y380*Markniveau!$S380/100,"")))</f>
        <v>55.093326258338401</v>
      </c>
      <c r="AK380" s="10">
        <f t="shared" si="59"/>
        <v>282.07783044269263</v>
      </c>
      <c r="AL380" s="10" t="str">
        <f t="shared" si="61"/>
        <v/>
      </c>
      <c r="AM380" s="10" t="str">
        <f t="shared" si="62"/>
        <v/>
      </c>
    </row>
    <row r="381" spans="1:39" x14ac:dyDescent="0.25">
      <c r="A381" s="15">
        <v>16543349</v>
      </c>
      <c r="B381" s="15">
        <v>3.26</v>
      </c>
      <c r="C381" s="15">
        <v>272325</v>
      </c>
      <c r="D381" s="15">
        <v>23612</v>
      </c>
      <c r="E381" s="15" t="s">
        <v>351</v>
      </c>
      <c r="F381" s="15">
        <v>2011</v>
      </c>
      <c r="G381" s="15">
        <v>20110506</v>
      </c>
      <c r="H381" s="15">
        <v>9863</v>
      </c>
      <c r="I381" s="15">
        <v>0.99</v>
      </c>
      <c r="J381" s="6" t="s">
        <v>1471</v>
      </c>
      <c r="K381" s="15">
        <v>252</v>
      </c>
      <c r="L381" s="15" t="s">
        <v>41</v>
      </c>
      <c r="M381" s="15" t="s">
        <v>4</v>
      </c>
      <c r="N381" s="11" t="s">
        <v>1390</v>
      </c>
      <c r="O381" s="11" t="s">
        <v>42</v>
      </c>
      <c r="P381" s="11" t="s">
        <v>33</v>
      </c>
      <c r="Q381" s="15">
        <v>0</v>
      </c>
      <c r="R381" s="11" t="s">
        <v>1386</v>
      </c>
      <c r="S381" s="10">
        <v>84.266525166768005</v>
      </c>
      <c r="T381" s="15">
        <v>80</v>
      </c>
      <c r="U381" s="15">
        <v>0</v>
      </c>
      <c r="V381" s="15">
        <v>0</v>
      </c>
      <c r="W381" s="15">
        <v>0</v>
      </c>
      <c r="X381" s="15">
        <f>IF(O381='Udvaskning nøgletal'!$D$65,1,IF(O381='Udvaskning nøgletal'!$D$66,2,IF(O381='Udvaskning nøgletal'!$D$67,3,IF(O381='Udvaskning nøgletal'!$D$68,2,""))))</f>
        <v>2</v>
      </c>
      <c r="Y381" s="15">
        <f>LOOKUP(K381,'Udvaskning nøgletal'!$C$12:$C$60,'Udvaskning nøgletal'!$H$12:$H$60)</f>
        <v>0</v>
      </c>
      <c r="Z381" s="10">
        <f>IF(X381=1,LOOKUP(K381,'Udvaskning nøgletal'!$C$12:$C$60,'Udvaskning nøgletal'!$E$12:$E$60)+Markniveau!Y381*Markniveau!S381/100,IF(X381=2,LOOKUP(K381,'Udvaskning nøgletal'!$C$12:$C$60,'Udvaskning nøgletal'!$F$12:$F$60)+Markniveau!Y381*Markniveau!S381/100,IF(X381=3,LOOKUP(K381,'Udvaskning nøgletal'!$C$12:$C$60,'Udvaskning nøgletal'!G391:G439)+Markniveau!Y381*Markniveau!S381/100,"")))</f>
        <v>21.2</v>
      </c>
      <c r="AA381" s="10">
        <f t="shared" si="56"/>
        <v>20.988</v>
      </c>
      <c r="AB381" s="10" t="str">
        <f t="shared" si="55"/>
        <v/>
      </c>
      <c r="AC381" s="10" t="str">
        <f t="shared" si="57"/>
        <v/>
      </c>
      <c r="AD381" s="10">
        <f>IF(AND(Q381&gt;0,Q381&lt;30,K381&lt;8),Markniveau!Z381*'Udvaskning nøgletal'!$I$12/100,IF(AND(Q381&gt;0,Q381&lt;30,K381=216),Markniveau!Z381*'Udvaskning nøgletal'!$I$34/100,Markniveau!Z381))</f>
        <v>21.2</v>
      </c>
      <c r="AE381" s="10">
        <f t="shared" si="63"/>
        <v>20.988</v>
      </c>
      <c r="AF381" s="10" t="str">
        <f t="shared" si="58"/>
        <v/>
      </c>
      <c r="AG381" s="10" t="str">
        <f t="shared" si="64"/>
        <v/>
      </c>
      <c r="AH381" s="10" t="str">
        <f>IF(AND(Q381&gt;0,Q381&lt;30,K381=216),'Udvaskning nøgletal'!$C$42,IF(AND(Q381&gt;0,Q381&lt;30,K381&gt;7,K381&lt;17),'Udvaskning nøgletal'!$C$61,IF(AND(Q381&gt;0,Q381&lt;30,K381&lt;7),'Udvaskning nøgletal'!$C$62,"")))</f>
        <v/>
      </c>
      <c r="AI381" s="10">
        <f t="shared" si="60"/>
        <v>252</v>
      </c>
      <c r="AJ381" s="10">
        <f>IF($X381=1,LOOKUP(AI381,'Udvaskning nøgletal'!$C$12:$C$62,'Udvaskning nøgletal'!$E$12:$E$62)+Markniveau!$Y381*Markniveau!$S381/100,IF($X381=2,LOOKUP(AI381,'Udvaskning nøgletal'!$C$12:$C$62,'Udvaskning nøgletal'!$F$12:$F$62)+Markniveau!$Y381*Markniveau!$S381/100,IF($X381=3,LOOKUP(AI381,'Udvaskning nøgletal'!$C$12:$C$62,'Udvaskning nøgletal'!Q391:Q441)+Markniveau!$Y381*Markniveau!$S381/100,"")))</f>
        <v>21.2</v>
      </c>
      <c r="AK381" s="10">
        <f t="shared" si="59"/>
        <v>20.988</v>
      </c>
      <c r="AL381" s="10" t="str">
        <f t="shared" si="61"/>
        <v/>
      </c>
      <c r="AM381" s="10" t="str">
        <f t="shared" si="62"/>
        <v/>
      </c>
    </row>
    <row r="382" spans="1:39" x14ac:dyDescent="0.25">
      <c r="A382" s="15">
        <v>16543349</v>
      </c>
      <c r="B382" s="15">
        <v>3.26</v>
      </c>
      <c r="C382" s="15">
        <v>275078</v>
      </c>
      <c r="D382" s="15">
        <v>23612</v>
      </c>
      <c r="E382" s="15" t="s">
        <v>350</v>
      </c>
      <c r="F382" s="15">
        <v>2011</v>
      </c>
      <c r="G382" s="15">
        <v>20110506</v>
      </c>
      <c r="H382" s="15">
        <v>29538</v>
      </c>
      <c r="I382" s="15">
        <v>2.95</v>
      </c>
      <c r="J382" s="6" t="s">
        <v>1466</v>
      </c>
      <c r="K382" s="15">
        <v>260</v>
      </c>
      <c r="L382" s="15" t="s">
        <v>45</v>
      </c>
      <c r="M382" s="15" t="s">
        <v>5</v>
      </c>
      <c r="N382" s="11" t="s">
        <v>1391</v>
      </c>
      <c r="O382" s="11" t="s">
        <v>46</v>
      </c>
      <c r="P382" s="11" t="s">
        <v>33</v>
      </c>
      <c r="Q382" s="15">
        <v>0</v>
      </c>
      <c r="R382" s="11" t="s">
        <v>1386</v>
      </c>
      <c r="S382" s="10">
        <v>84.266525166768005</v>
      </c>
      <c r="T382" s="15">
        <v>80</v>
      </c>
      <c r="U382" s="15">
        <v>0</v>
      </c>
      <c r="V382" s="15">
        <v>0</v>
      </c>
      <c r="W382" s="15">
        <v>0</v>
      </c>
      <c r="X382" s="15">
        <f>IF(O382='Udvaskning nøgletal'!$D$65,1,IF(O382='Udvaskning nøgletal'!$D$66,2,IF(O382='Udvaskning nøgletal'!$D$67,3,IF(O382='Udvaskning nøgletal'!$D$68,2,""))))</f>
        <v>2</v>
      </c>
      <c r="Y382" s="15">
        <f>LOOKUP(K382,'Udvaskning nøgletal'!$C$12:$C$60,'Udvaskning nøgletal'!$H$12:$H$60)</f>
        <v>0</v>
      </c>
      <c r="Z382" s="10">
        <f>IF(X382=1,LOOKUP(K382,'Udvaskning nøgletal'!$C$12:$C$60,'Udvaskning nøgletal'!$E$12:$E$60)+Markniveau!Y382*Markniveau!S382/100,IF(X382=2,LOOKUP(K382,'Udvaskning nøgletal'!$C$12:$C$60,'Udvaskning nøgletal'!$F$12:$F$60)+Markniveau!Y382*Markniveau!S382/100,IF(X382=3,LOOKUP(K382,'Udvaskning nøgletal'!$C$12:$C$60,'Udvaskning nøgletal'!G392:G440)+Markniveau!Y382*Markniveau!S382/100,"")))</f>
        <v>27.331185321443094</v>
      </c>
      <c r="AA382" s="10">
        <f t="shared" si="56"/>
        <v>80.62699669825713</v>
      </c>
      <c r="AB382" s="10" t="str">
        <f t="shared" si="55"/>
        <v/>
      </c>
      <c r="AC382" s="10" t="str">
        <f t="shared" si="57"/>
        <v/>
      </c>
      <c r="AD382" s="10">
        <f>IF(AND(Q382&gt;0,Q382&lt;30,K382&lt;8),Markniveau!Z382*'Udvaskning nøgletal'!$I$12/100,IF(AND(Q382&gt;0,Q382&lt;30,K382=216),Markniveau!Z382*'Udvaskning nøgletal'!$I$34/100,Markniveau!Z382))</f>
        <v>27.331185321443094</v>
      </c>
      <c r="AE382" s="10">
        <f t="shared" si="63"/>
        <v>80.62699669825713</v>
      </c>
      <c r="AF382" s="10" t="str">
        <f t="shared" si="58"/>
        <v/>
      </c>
      <c r="AG382" s="10" t="str">
        <f t="shared" si="64"/>
        <v/>
      </c>
      <c r="AH382" s="10" t="str">
        <f>IF(AND(Q382&gt;0,Q382&lt;30,K382=216),'Udvaskning nøgletal'!$C$42,IF(AND(Q382&gt;0,Q382&lt;30,K382&gt;7,K382&lt;17),'Udvaskning nøgletal'!$C$61,IF(AND(Q382&gt;0,Q382&lt;30,K382&lt;7),'Udvaskning nøgletal'!$C$62,"")))</f>
        <v/>
      </c>
      <c r="AI382" s="10">
        <f t="shared" si="60"/>
        <v>260</v>
      </c>
      <c r="AJ382" s="10">
        <f>IF($X382=1,LOOKUP(AI382,'Udvaskning nøgletal'!$C$12:$C$62,'Udvaskning nøgletal'!$E$12:$E$62)+Markniveau!$Y382*Markniveau!$S382/100,IF($X382=2,LOOKUP(AI382,'Udvaskning nøgletal'!$C$12:$C$62,'Udvaskning nøgletal'!$F$12:$F$62)+Markniveau!$Y382*Markniveau!$S382/100,IF($X382=3,LOOKUP(AI382,'Udvaskning nøgletal'!$C$12:$C$62,'Udvaskning nøgletal'!Q392:Q442)+Markniveau!$Y382*Markniveau!$S382/100,"")))</f>
        <v>27.331185321443094</v>
      </c>
      <c r="AK382" s="10">
        <f t="shared" si="59"/>
        <v>80.62699669825713</v>
      </c>
      <c r="AL382" s="10" t="str">
        <f t="shared" si="61"/>
        <v/>
      </c>
      <c r="AM382" s="10" t="str">
        <f t="shared" si="62"/>
        <v/>
      </c>
    </row>
    <row r="383" spans="1:39" x14ac:dyDescent="0.25">
      <c r="A383" s="15">
        <v>16543349</v>
      </c>
      <c r="B383" s="15">
        <v>3.26</v>
      </c>
      <c r="C383" s="15">
        <v>277232</v>
      </c>
      <c r="D383" s="15">
        <v>23612</v>
      </c>
      <c r="E383" s="15" t="s">
        <v>352</v>
      </c>
      <c r="F383" s="15">
        <v>2011</v>
      </c>
      <c r="G383" s="15">
        <v>20110506</v>
      </c>
      <c r="H383" s="15">
        <v>9527</v>
      </c>
      <c r="I383" s="15">
        <v>0.95</v>
      </c>
      <c r="J383" s="6" t="s">
        <v>1469</v>
      </c>
      <c r="K383" s="15">
        <v>252</v>
      </c>
      <c r="L383" s="15" t="s">
        <v>41</v>
      </c>
      <c r="M383" s="15" t="s">
        <v>4</v>
      </c>
      <c r="N383" s="11" t="s">
        <v>1390</v>
      </c>
      <c r="O383" s="11" t="s">
        <v>42</v>
      </c>
      <c r="P383" s="11" t="s">
        <v>33</v>
      </c>
      <c r="Q383" s="15">
        <v>0</v>
      </c>
      <c r="R383" s="11" t="s">
        <v>1386</v>
      </c>
      <c r="S383" s="10">
        <v>84.266525166768005</v>
      </c>
      <c r="T383" s="15">
        <v>80</v>
      </c>
      <c r="U383" s="15">
        <v>0</v>
      </c>
      <c r="V383" s="15">
        <v>0</v>
      </c>
      <c r="W383" s="15">
        <v>0</v>
      </c>
      <c r="X383" s="15">
        <f>IF(O383='Udvaskning nøgletal'!$D$65,1,IF(O383='Udvaskning nøgletal'!$D$66,2,IF(O383='Udvaskning nøgletal'!$D$67,3,IF(O383='Udvaskning nøgletal'!$D$68,2,""))))</f>
        <v>2</v>
      </c>
      <c r="Y383" s="15">
        <f>LOOKUP(K383,'Udvaskning nøgletal'!$C$12:$C$60,'Udvaskning nøgletal'!$H$12:$H$60)</f>
        <v>0</v>
      </c>
      <c r="Z383" s="10">
        <f>IF(X383=1,LOOKUP(K383,'Udvaskning nøgletal'!$C$12:$C$60,'Udvaskning nøgletal'!$E$12:$E$60)+Markniveau!Y383*Markniveau!S383/100,IF(X383=2,LOOKUP(K383,'Udvaskning nøgletal'!$C$12:$C$60,'Udvaskning nøgletal'!$F$12:$F$60)+Markniveau!Y383*Markniveau!S383/100,IF(X383=3,LOOKUP(K383,'Udvaskning nøgletal'!$C$12:$C$60,'Udvaskning nøgletal'!G393:G441)+Markniveau!Y383*Markniveau!S383/100,"")))</f>
        <v>21.2</v>
      </c>
      <c r="AA383" s="10">
        <f t="shared" si="56"/>
        <v>20.139999999999997</v>
      </c>
      <c r="AB383" s="10" t="str">
        <f t="shared" si="55"/>
        <v/>
      </c>
      <c r="AC383" s="10" t="str">
        <f t="shared" si="57"/>
        <v/>
      </c>
      <c r="AD383" s="10">
        <f>IF(AND(Q383&gt;0,Q383&lt;30,K383&lt;8),Markniveau!Z383*'Udvaskning nøgletal'!$I$12/100,IF(AND(Q383&gt;0,Q383&lt;30,K383=216),Markniveau!Z383*'Udvaskning nøgletal'!$I$34/100,Markniveau!Z383))</f>
        <v>21.2</v>
      </c>
      <c r="AE383" s="10">
        <f t="shared" si="63"/>
        <v>20.139999999999997</v>
      </c>
      <c r="AF383" s="10" t="str">
        <f t="shared" si="58"/>
        <v/>
      </c>
      <c r="AG383" s="10" t="str">
        <f t="shared" si="64"/>
        <v/>
      </c>
      <c r="AH383" s="10" t="str">
        <f>IF(AND(Q383&gt;0,Q383&lt;30,K383=216),'Udvaskning nøgletal'!$C$42,IF(AND(Q383&gt;0,Q383&lt;30,K383&gt;7,K383&lt;17),'Udvaskning nøgletal'!$C$61,IF(AND(Q383&gt;0,Q383&lt;30,K383&lt;7),'Udvaskning nøgletal'!$C$62,"")))</f>
        <v/>
      </c>
      <c r="AI383" s="10">
        <f t="shared" si="60"/>
        <v>252</v>
      </c>
      <c r="AJ383" s="10">
        <f>IF($X383=1,LOOKUP(AI383,'Udvaskning nøgletal'!$C$12:$C$62,'Udvaskning nøgletal'!$E$12:$E$62)+Markniveau!$Y383*Markniveau!$S383/100,IF($X383=2,LOOKUP(AI383,'Udvaskning nøgletal'!$C$12:$C$62,'Udvaskning nøgletal'!$F$12:$F$62)+Markniveau!$Y383*Markniveau!$S383/100,IF($X383=3,LOOKUP(AI383,'Udvaskning nøgletal'!$C$12:$C$62,'Udvaskning nøgletal'!Q393:Q443)+Markniveau!$Y383*Markniveau!$S383/100,"")))</f>
        <v>21.2</v>
      </c>
      <c r="AK383" s="10">
        <f t="shared" si="59"/>
        <v>20.139999999999997</v>
      </c>
      <c r="AL383" s="10" t="str">
        <f t="shared" si="61"/>
        <v/>
      </c>
      <c r="AM383" s="10" t="str">
        <f t="shared" si="62"/>
        <v/>
      </c>
    </row>
    <row r="384" spans="1:39" x14ac:dyDescent="0.25">
      <c r="A384" s="15">
        <v>16543349</v>
      </c>
      <c r="B384" s="15">
        <v>3.26</v>
      </c>
      <c r="C384" s="15">
        <v>278297</v>
      </c>
      <c r="D384" s="15">
        <v>23612</v>
      </c>
      <c r="E384" s="15" t="s">
        <v>353</v>
      </c>
      <c r="F384" s="15">
        <v>2011</v>
      </c>
      <c r="G384" s="15">
        <v>20110614</v>
      </c>
      <c r="H384" s="15">
        <v>32616</v>
      </c>
      <c r="I384" s="15">
        <v>3.26</v>
      </c>
      <c r="J384" s="6" t="s">
        <v>1506</v>
      </c>
      <c r="K384" s="15">
        <v>260</v>
      </c>
      <c r="L384" s="15" t="s">
        <v>45</v>
      </c>
      <c r="M384" s="15" t="s">
        <v>5</v>
      </c>
      <c r="N384" s="11" t="s">
        <v>1406</v>
      </c>
      <c r="O384" s="11" t="s">
        <v>46</v>
      </c>
      <c r="P384" s="11" t="s">
        <v>29</v>
      </c>
      <c r="Q384" s="15">
        <v>2</v>
      </c>
      <c r="R384" s="11" t="s">
        <v>11</v>
      </c>
      <c r="S384" s="10">
        <v>84.266525166768005</v>
      </c>
      <c r="T384" s="15">
        <v>80</v>
      </c>
      <c r="U384" s="15">
        <v>0</v>
      </c>
      <c r="V384" s="15">
        <v>0</v>
      </c>
      <c r="W384" s="15">
        <v>0</v>
      </c>
      <c r="X384" s="15">
        <f>IF(O384='Udvaskning nøgletal'!$D$65,1,IF(O384='Udvaskning nøgletal'!$D$66,2,IF(O384='Udvaskning nøgletal'!$D$67,3,IF(O384='Udvaskning nøgletal'!$D$68,2,""))))</f>
        <v>2</v>
      </c>
      <c r="Y384" s="15">
        <f>LOOKUP(K384,'Udvaskning nøgletal'!$C$12:$C$60,'Udvaskning nøgletal'!$H$12:$H$60)</f>
        <v>0</v>
      </c>
      <c r="Z384" s="10">
        <f>IF(X384=1,LOOKUP(K384,'Udvaskning nøgletal'!$C$12:$C$60,'Udvaskning nøgletal'!$E$12:$E$60)+Markniveau!Y384*Markniveau!S384/100,IF(X384=2,LOOKUP(K384,'Udvaskning nøgletal'!$C$12:$C$60,'Udvaskning nøgletal'!$F$12:$F$60)+Markniveau!Y384*Markniveau!S384/100,IF(X384=3,LOOKUP(K384,'Udvaskning nøgletal'!$C$12:$C$60,'Udvaskning nøgletal'!G394:G442)+Markniveau!Y384*Markniveau!S384/100,"")))</f>
        <v>27.331185321443094</v>
      </c>
      <c r="AA384" s="10">
        <f t="shared" si="56"/>
        <v>89.099664147904477</v>
      </c>
      <c r="AB384" s="10">
        <f t="shared" si="55"/>
        <v>26.78456161501423</v>
      </c>
      <c r="AC384" s="10">
        <f t="shared" si="57"/>
        <v>87.317670864946379</v>
      </c>
      <c r="AD384" s="10">
        <f>IF(AND(Q384&gt;0,Q384&lt;30,K384&lt;8),Markniveau!Z384*'Udvaskning nøgletal'!$I$12/100,IF(AND(Q384&gt;0,Q384&lt;30,K384=216),Markniveau!Z384*'Udvaskning nøgletal'!$I$34/100,Markniveau!Z384))</f>
        <v>27.331185321443094</v>
      </c>
      <c r="AE384" s="10">
        <f t="shared" si="63"/>
        <v>89.099664147904477</v>
      </c>
      <c r="AF384" s="10">
        <f t="shared" si="58"/>
        <v>26.78456161501423</v>
      </c>
      <c r="AG384" s="10">
        <f t="shared" si="64"/>
        <v>87.317670864946379</v>
      </c>
      <c r="AH384" s="10" t="str">
        <f>IF(AND(Q384&gt;0,Q384&lt;30,K384=216),'Udvaskning nøgletal'!$C$42,IF(AND(Q384&gt;0,Q384&lt;30,K384&gt;7,K384&lt;17),'Udvaskning nøgletal'!$C$61,IF(AND(Q384&gt;0,Q384&lt;30,K384&lt;7),'Udvaskning nøgletal'!$C$62,"")))</f>
        <v/>
      </c>
      <c r="AI384" s="10">
        <f t="shared" si="60"/>
        <v>260</v>
      </c>
      <c r="AJ384" s="10">
        <f>IF($X384=1,LOOKUP(AI384,'Udvaskning nøgletal'!$C$12:$C$62,'Udvaskning nøgletal'!$E$12:$E$62)+Markniveau!$Y384*Markniveau!$S384/100,IF($X384=2,LOOKUP(AI384,'Udvaskning nøgletal'!$C$12:$C$62,'Udvaskning nøgletal'!$F$12:$F$62)+Markniveau!$Y384*Markniveau!$S384/100,IF($X384=3,LOOKUP(AI384,'Udvaskning nøgletal'!$C$12:$C$62,'Udvaskning nøgletal'!Q394:Q444)+Markniveau!$Y384*Markniveau!$S384/100,"")))</f>
        <v>27.331185321443094</v>
      </c>
      <c r="AK384" s="10">
        <f t="shared" si="59"/>
        <v>89.099664147904477</v>
      </c>
      <c r="AL384" s="10">
        <f t="shared" si="61"/>
        <v>26.78456161501423</v>
      </c>
      <c r="AM384" s="10">
        <f t="shared" si="62"/>
        <v>87.317670864946379</v>
      </c>
    </row>
    <row r="385" spans="1:39" x14ac:dyDescent="0.25">
      <c r="A385" s="15">
        <v>16543349</v>
      </c>
      <c r="B385" s="15">
        <v>3.26</v>
      </c>
      <c r="C385" s="15">
        <v>279312</v>
      </c>
      <c r="D385" s="15">
        <v>23612</v>
      </c>
      <c r="E385" s="15" t="s">
        <v>350</v>
      </c>
      <c r="F385" s="15">
        <v>2011</v>
      </c>
      <c r="G385" s="15">
        <v>20110506</v>
      </c>
      <c r="H385" s="15">
        <v>24705</v>
      </c>
      <c r="I385" s="15">
        <v>2.4700000000000002</v>
      </c>
      <c r="J385" s="6" t="s">
        <v>1391</v>
      </c>
      <c r="K385" s="15">
        <v>1</v>
      </c>
      <c r="L385" s="15" t="s">
        <v>32</v>
      </c>
      <c r="M385" s="15" t="s">
        <v>5</v>
      </c>
      <c r="N385" s="11" t="s">
        <v>1391</v>
      </c>
      <c r="O385" s="11" t="s">
        <v>46</v>
      </c>
      <c r="P385" s="11" t="s">
        <v>33</v>
      </c>
      <c r="Q385" s="15">
        <v>0</v>
      </c>
      <c r="R385" s="11" t="s">
        <v>1386</v>
      </c>
      <c r="S385" s="10">
        <v>84.266525166768005</v>
      </c>
      <c r="T385" s="15">
        <v>80</v>
      </c>
      <c r="U385" s="15">
        <v>0</v>
      </c>
      <c r="V385" s="15">
        <v>0</v>
      </c>
      <c r="W385" s="15">
        <v>0</v>
      </c>
      <c r="X385" s="15">
        <f>IF(O385='Udvaskning nøgletal'!$D$65,1,IF(O385='Udvaskning nøgletal'!$D$66,2,IF(O385='Udvaskning nøgletal'!$D$67,3,IF(O385='Udvaskning nøgletal'!$D$68,2,""))))</f>
        <v>2</v>
      </c>
      <c r="Y385" s="15">
        <f>LOOKUP(K385,'Udvaskning nøgletal'!$C$12:$C$60,'Udvaskning nøgletal'!$H$12:$H$60)</f>
        <v>5</v>
      </c>
      <c r="Z385" s="10">
        <f>IF(X385=1,LOOKUP(K385,'Udvaskning nøgletal'!$C$12:$C$60,'Udvaskning nøgletal'!$E$12:$E$60)+Markniveau!Y385*Markniveau!S385/100,IF(X385=2,LOOKUP(K385,'Udvaskning nøgletal'!$C$12:$C$60,'Udvaskning nøgletal'!$F$12:$F$60)+Markniveau!Y385*Markniveau!S385/100,IF(X385=3,LOOKUP(K385,'Udvaskning nøgletal'!$C$12:$C$60,'Udvaskning nøgletal'!G395:G443)+Markniveau!Y385*Markniveau!S385/100,"")))</f>
        <v>55.093326258338401</v>
      </c>
      <c r="AA385" s="10">
        <f t="shared" si="56"/>
        <v>136.08051585809585</v>
      </c>
      <c r="AB385" s="10" t="str">
        <f t="shared" si="55"/>
        <v/>
      </c>
      <c r="AC385" s="10" t="str">
        <f t="shared" si="57"/>
        <v/>
      </c>
      <c r="AD385" s="10">
        <f>IF(AND(Q385&gt;0,Q385&lt;30,K385&lt;8),Markniveau!Z385*'Udvaskning nøgletal'!$I$12/100,IF(AND(Q385&gt;0,Q385&lt;30,K385=216),Markniveau!Z385*'Udvaskning nøgletal'!$I$34/100,Markniveau!Z385))</f>
        <v>55.093326258338401</v>
      </c>
      <c r="AE385" s="10">
        <f t="shared" si="63"/>
        <v>136.08051585809585</v>
      </c>
      <c r="AF385" s="10" t="str">
        <f t="shared" si="58"/>
        <v/>
      </c>
      <c r="AG385" s="10" t="str">
        <f t="shared" si="64"/>
        <v/>
      </c>
      <c r="AH385" s="10" t="str">
        <f>IF(AND(Q385&gt;0,Q385&lt;30,K385=216),'Udvaskning nøgletal'!$C$42,IF(AND(Q385&gt;0,Q385&lt;30,K385&gt;7,K385&lt;17),'Udvaskning nøgletal'!$C$61,IF(AND(Q385&gt;0,Q385&lt;30,K385&lt;7),'Udvaskning nøgletal'!$C$62,"")))</f>
        <v/>
      </c>
      <c r="AI385" s="10">
        <f t="shared" si="60"/>
        <v>1</v>
      </c>
      <c r="AJ385" s="10">
        <f>IF($X385=1,LOOKUP(AI385,'Udvaskning nøgletal'!$C$12:$C$62,'Udvaskning nøgletal'!$E$12:$E$62)+Markniveau!$Y385*Markniveau!$S385/100,IF($X385=2,LOOKUP(AI385,'Udvaskning nøgletal'!$C$12:$C$62,'Udvaskning nøgletal'!$F$12:$F$62)+Markniveau!$Y385*Markniveau!$S385/100,IF($X385=3,LOOKUP(AI385,'Udvaskning nøgletal'!$C$12:$C$62,'Udvaskning nøgletal'!Q395:Q445)+Markniveau!$Y385*Markniveau!$S385/100,"")))</f>
        <v>55.093326258338401</v>
      </c>
      <c r="AK385" s="10">
        <f t="shared" si="59"/>
        <v>136.08051585809585</v>
      </c>
      <c r="AL385" s="10" t="str">
        <f t="shared" si="61"/>
        <v/>
      </c>
      <c r="AM385" s="10" t="str">
        <f t="shared" si="62"/>
        <v/>
      </c>
    </row>
    <row r="386" spans="1:39" x14ac:dyDescent="0.25">
      <c r="A386" s="15">
        <v>16543349</v>
      </c>
      <c r="B386" s="15">
        <v>3.26</v>
      </c>
      <c r="C386" s="15">
        <v>286501</v>
      </c>
      <c r="D386" s="15">
        <v>23612</v>
      </c>
      <c r="E386" s="15" t="s">
        <v>350</v>
      </c>
      <c r="F386" s="15">
        <v>2011</v>
      </c>
      <c r="G386" s="15">
        <v>20110506</v>
      </c>
      <c r="H386" s="15">
        <v>29333</v>
      </c>
      <c r="I386" s="15">
        <v>2.93</v>
      </c>
      <c r="J386" s="6" t="s">
        <v>1410</v>
      </c>
      <c r="K386" s="15">
        <v>260</v>
      </c>
      <c r="L386" s="15" t="s">
        <v>45</v>
      </c>
      <c r="M386" s="15" t="s">
        <v>5</v>
      </c>
      <c r="N386" s="11" t="s">
        <v>1391</v>
      </c>
      <c r="O386" s="11" t="s">
        <v>46</v>
      </c>
      <c r="P386" s="11" t="s">
        <v>33</v>
      </c>
      <c r="Q386" s="15">
        <v>0</v>
      </c>
      <c r="R386" s="11" t="s">
        <v>1386</v>
      </c>
      <c r="S386" s="10">
        <v>84.266525166768005</v>
      </c>
      <c r="T386" s="15">
        <v>80</v>
      </c>
      <c r="U386" s="15">
        <v>0</v>
      </c>
      <c r="V386" s="15">
        <v>0</v>
      </c>
      <c r="W386" s="15">
        <v>0</v>
      </c>
      <c r="X386" s="15">
        <f>IF(O386='Udvaskning nøgletal'!$D$65,1,IF(O386='Udvaskning nøgletal'!$D$66,2,IF(O386='Udvaskning nøgletal'!$D$67,3,IF(O386='Udvaskning nøgletal'!$D$68,2,""))))</f>
        <v>2</v>
      </c>
      <c r="Y386" s="15">
        <f>LOOKUP(K386,'Udvaskning nøgletal'!$C$12:$C$60,'Udvaskning nøgletal'!$H$12:$H$60)</f>
        <v>0</v>
      </c>
      <c r="Z386" s="10">
        <f>IF(X386=1,LOOKUP(K386,'Udvaskning nøgletal'!$C$12:$C$60,'Udvaskning nøgletal'!$E$12:$E$60)+Markniveau!Y386*Markniveau!S386/100,IF(X386=2,LOOKUP(K386,'Udvaskning nøgletal'!$C$12:$C$60,'Udvaskning nøgletal'!$F$12:$F$60)+Markniveau!Y386*Markniveau!S386/100,IF(X386=3,LOOKUP(K386,'Udvaskning nøgletal'!$C$12:$C$60,'Udvaskning nøgletal'!G396:G444)+Markniveau!Y386*Markniveau!S386/100,"")))</f>
        <v>27.331185321443094</v>
      </c>
      <c r="AA386" s="10">
        <f t="shared" si="56"/>
        <v>80.08037299182827</v>
      </c>
      <c r="AB386" s="10" t="str">
        <f t="shared" ref="AB386:AB449" si="65">IF(Q386&gt;0,(100-Q386)*Z386/100,"")</f>
        <v/>
      </c>
      <c r="AC386" s="10" t="str">
        <f t="shared" si="57"/>
        <v/>
      </c>
      <c r="AD386" s="10">
        <f>IF(AND(Q386&gt;0,Q386&lt;30,K386&lt;8),Markniveau!Z386*'Udvaskning nøgletal'!$I$12/100,IF(AND(Q386&gt;0,Q386&lt;30,K386=216),Markniveau!Z386*'Udvaskning nøgletal'!$I$34/100,Markniveau!Z386))</f>
        <v>27.331185321443094</v>
      </c>
      <c r="AE386" s="10">
        <f t="shared" si="63"/>
        <v>80.08037299182827</v>
      </c>
      <c r="AF386" s="10" t="str">
        <f t="shared" si="58"/>
        <v/>
      </c>
      <c r="AG386" s="10" t="str">
        <f t="shared" si="64"/>
        <v/>
      </c>
      <c r="AH386" s="10" t="str">
        <f>IF(AND(Q386&gt;0,Q386&lt;30,K386=216),'Udvaskning nøgletal'!$C$42,IF(AND(Q386&gt;0,Q386&lt;30,K386&gt;7,K386&lt;17),'Udvaskning nøgletal'!$C$61,IF(AND(Q386&gt;0,Q386&lt;30,K386&lt;7),'Udvaskning nøgletal'!$C$62,"")))</f>
        <v/>
      </c>
      <c r="AI386" s="10">
        <f t="shared" si="60"/>
        <v>260</v>
      </c>
      <c r="AJ386" s="10">
        <f>IF($X386=1,LOOKUP(AI386,'Udvaskning nøgletal'!$C$12:$C$62,'Udvaskning nøgletal'!$E$12:$E$62)+Markniveau!$Y386*Markniveau!$S386/100,IF($X386=2,LOOKUP(AI386,'Udvaskning nøgletal'!$C$12:$C$62,'Udvaskning nøgletal'!$F$12:$F$62)+Markniveau!$Y386*Markniveau!$S386/100,IF($X386=3,LOOKUP(AI386,'Udvaskning nøgletal'!$C$12:$C$62,'Udvaskning nøgletal'!Q396:Q446)+Markniveau!$Y386*Markniveau!$S386/100,"")))</f>
        <v>27.331185321443094</v>
      </c>
      <c r="AK386" s="10">
        <f t="shared" si="59"/>
        <v>80.08037299182827</v>
      </c>
      <c r="AL386" s="10" t="str">
        <f t="shared" si="61"/>
        <v/>
      </c>
      <c r="AM386" s="10" t="str">
        <f t="shared" si="62"/>
        <v/>
      </c>
    </row>
    <row r="387" spans="1:39" x14ac:dyDescent="0.25">
      <c r="A387" s="15">
        <v>16543349</v>
      </c>
      <c r="B387" s="15">
        <v>3.26</v>
      </c>
      <c r="C387" s="15">
        <v>287186</v>
      </c>
      <c r="D387" s="15">
        <v>23612</v>
      </c>
      <c r="E387" s="15" t="s">
        <v>350</v>
      </c>
      <c r="F387" s="15">
        <v>2011</v>
      </c>
      <c r="G387" s="15">
        <v>20110506</v>
      </c>
      <c r="H387" s="15">
        <v>61516</v>
      </c>
      <c r="I387" s="15">
        <v>6.15</v>
      </c>
      <c r="J387" s="6" t="s">
        <v>1406</v>
      </c>
      <c r="K387" s="15">
        <v>11</v>
      </c>
      <c r="L387" s="15" t="s">
        <v>102</v>
      </c>
      <c r="M387" s="15" t="s">
        <v>5</v>
      </c>
      <c r="N387" s="11" t="s">
        <v>1391</v>
      </c>
      <c r="O387" s="11" t="s">
        <v>46</v>
      </c>
      <c r="P387" s="11" t="s">
        <v>33</v>
      </c>
      <c r="Q387" s="15">
        <v>0</v>
      </c>
      <c r="R387" s="11" t="s">
        <v>1386</v>
      </c>
      <c r="S387" s="10">
        <v>84.266525166768005</v>
      </c>
      <c r="T387" s="15">
        <v>80</v>
      </c>
      <c r="U387" s="15">
        <v>0</v>
      </c>
      <c r="V387" s="15">
        <v>0</v>
      </c>
      <c r="W387" s="15">
        <v>0</v>
      </c>
      <c r="X387" s="15">
        <f>IF(O387='Udvaskning nøgletal'!$D$65,1,IF(O387='Udvaskning nøgletal'!$D$66,2,IF(O387='Udvaskning nøgletal'!$D$67,3,IF(O387='Udvaskning nøgletal'!$D$68,2,""))))</f>
        <v>2</v>
      </c>
      <c r="Y387" s="15">
        <f>LOOKUP(K387,'Udvaskning nøgletal'!$C$12:$C$60,'Udvaskning nøgletal'!$H$12:$H$60)</f>
        <v>5</v>
      </c>
      <c r="Z387" s="10">
        <f>IF(X387=1,LOOKUP(K387,'Udvaskning nøgletal'!$C$12:$C$60,'Udvaskning nøgletal'!$E$12:$E$60)+Markniveau!Y387*Markniveau!S387/100,IF(X387=2,LOOKUP(K387,'Udvaskning nøgletal'!$C$12:$C$60,'Udvaskning nøgletal'!$F$12:$F$60)+Markniveau!Y387*Markniveau!S387/100,IF(X387=3,LOOKUP(K387,'Udvaskning nøgletal'!$C$12:$C$60,'Udvaskning nøgletal'!G397:G445)+Markniveau!Y387*Markniveau!S387/100,"")))</f>
        <v>55.093326258338401</v>
      </c>
      <c r="AA387" s="10">
        <f t="shared" ref="AA387:AA450" si="66">Z387*I387</f>
        <v>338.82395648878116</v>
      </c>
      <c r="AB387" s="10" t="str">
        <f t="shared" si="65"/>
        <v/>
      </c>
      <c r="AC387" s="10" t="str">
        <f t="shared" ref="AC387:AC450" si="67">IF(Q387&gt;0,AB387*I387,"")</f>
        <v/>
      </c>
      <c r="AD387" s="10">
        <f>IF(AND(Q387&gt;0,Q387&lt;30,K387&lt;8),Markniveau!Z387*'Udvaskning nøgletal'!$I$12/100,IF(AND(Q387&gt;0,Q387&lt;30,K387=216),Markniveau!Z387*'Udvaskning nøgletal'!$I$34/100,Markniveau!Z387))</f>
        <v>55.093326258338401</v>
      </c>
      <c r="AE387" s="10">
        <f t="shared" si="63"/>
        <v>338.82395648878116</v>
      </c>
      <c r="AF387" s="10" t="str">
        <f t="shared" ref="AF387:AF450" si="68">IF($Q387&gt;0,(100-$Q387)*$AD387/100,"")</f>
        <v/>
      </c>
      <c r="AG387" s="10" t="str">
        <f t="shared" si="64"/>
        <v/>
      </c>
      <c r="AH387" s="10" t="str">
        <f>IF(AND(Q387&gt;0,Q387&lt;30,K387=216),'Udvaskning nøgletal'!$C$42,IF(AND(Q387&gt;0,Q387&lt;30,K387&gt;7,K387&lt;17),'Udvaskning nøgletal'!$C$61,IF(AND(Q387&gt;0,Q387&lt;30,K387&lt;7),'Udvaskning nøgletal'!$C$62,"")))</f>
        <v/>
      </c>
      <c r="AI387" s="10">
        <f t="shared" si="60"/>
        <v>11</v>
      </c>
      <c r="AJ387" s="10">
        <f>IF($X387=1,LOOKUP(AI387,'Udvaskning nøgletal'!$C$12:$C$62,'Udvaskning nøgletal'!$E$12:$E$62)+Markniveau!$Y387*Markniveau!$S387/100,IF($X387=2,LOOKUP(AI387,'Udvaskning nøgletal'!$C$12:$C$62,'Udvaskning nøgletal'!$F$12:$F$62)+Markniveau!$Y387*Markniveau!$S387/100,IF($X387=3,LOOKUP(AI387,'Udvaskning nøgletal'!$C$12:$C$62,'Udvaskning nøgletal'!Q397:Q447)+Markniveau!$Y387*Markniveau!$S387/100,"")))</f>
        <v>55.093326258338401</v>
      </c>
      <c r="AK387" s="10">
        <f t="shared" ref="AK387:AK450" si="69">AJ387*$I387</f>
        <v>338.82395648878116</v>
      </c>
      <c r="AL387" s="10" t="str">
        <f t="shared" si="61"/>
        <v/>
      </c>
      <c r="AM387" s="10" t="str">
        <f t="shared" si="62"/>
        <v/>
      </c>
    </row>
    <row r="388" spans="1:39" x14ac:dyDescent="0.25">
      <c r="A388" s="15">
        <v>16543349</v>
      </c>
      <c r="B388" s="15">
        <v>3.26</v>
      </c>
      <c r="C388" s="15">
        <v>287188</v>
      </c>
      <c r="D388" s="15">
        <v>23612</v>
      </c>
      <c r="E388" s="15" t="s">
        <v>354</v>
      </c>
      <c r="F388" s="15">
        <v>2011</v>
      </c>
      <c r="G388" s="15">
        <v>20110506</v>
      </c>
      <c r="H388" s="15">
        <v>23098</v>
      </c>
      <c r="I388" s="15">
        <v>2.31</v>
      </c>
      <c r="J388" s="6" t="s">
        <v>1470</v>
      </c>
      <c r="K388" s="15">
        <v>260</v>
      </c>
      <c r="L388" s="15" t="s">
        <v>45</v>
      </c>
      <c r="M388" s="15" t="s">
        <v>5</v>
      </c>
      <c r="N388" s="11" t="s">
        <v>1384</v>
      </c>
      <c r="O388" s="11" t="s">
        <v>28</v>
      </c>
      <c r="P388" s="11" t="s">
        <v>33</v>
      </c>
      <c r="Q388" s="15">
        <v>0</v>
      </c>
      <c r="R388" s="11" t="s">
        <v>1386</v>
      </c>
      <c r="S388" s="10">
        <v>84.266525166768005</v>
      </c>
      <c r="T388" s="15">
        <v>80</v>
      </c>
      <c r="U388" s="15">
        <v>0</v>
      </c>
      <c r="V388" s="15">
        <v>0</v>
      </c>
      <c r="W388" s="15">
        <v>0</v>
      </c>
      <c r="X388" s="15">
        <f>IF(O388='Udvaskning nøgletal'!$D$65,1,IF(O388='Udvaskning nøgletal'!$D$66,2,IF(O388='Udvaskning nøgletal'!$D$67,3,IF(O388='Udvaskning nøgletal'!$D$68,2,""))))</f>
        <v>1</v>
      </c>
      <c r="Y388" s="15">
        <f>LOOKUP(K388,'Udvaskning nøgletal'!$C$12:$C$60,'Udvaskning nøgletal'!$H$12:$H$60)</f>
        <v>0</v>
      </c>
      <c r="Z388" s="10">
        <f>IF(X388=1,LOOKUP(K388,'Udvaskning nøgletal'!$C$12:$C$60,'Udvaskning nøgletal'!$E$12:$E$60)+Markniveau!Y388*Markniveau!S388/100,IF(X388=2,LOOKUP(K388,'Udvaskning nøgletal'!$C$12:$C$60,'Udvaskning nøgletal'!$F$12:$F$60)+Markniveau!Y388*Markniveau!S388/100,IF(X388=3,LOOKUP(K388,'Udvaskning nøgletal'!$C$12:$C$60,'Udvaskning nøgletal'!G398:G446)+Markniveau!Y388*Markniveau!S388/100,"")))</f>
        <v>33.723295792149436</v>
      </c>
      <c r="AA388" s="10">
        <f t="shared" si="66"/>
        <v>77.900813279865204</v>
      </c>
      <c r="AB388" s="10" t="str">
        <f t="shared" si="65"/>
        <v/>
      </c>
      <c r="AC388" s="10" t="str">
        <f t="shared" si="67"/>
        <v/>
      </c>
      <c r="AD388" s="10">
        <f>IF(AND(Q388&gt;0,Q388&lt;30,K388&lt;8),Markniveau!Z388*'Udvaskning nøgletal'!$I$12/100,IF(AND(Q388&gt;0,Q388&lt;30,K388=216),Markniveau!Z388*'Udvaskning nøgletal'!$I$34/100,Markniveau!Z388))</f>
        <v>33.723295792149436</v>
      </c>
      <c r="AE388" s="10">
        <f t="shared" si="63"/>
        <v>77.900813279865204</v>
      </c>
      <c r="AF388" s="10" t="str">
        <f t="shared" si="68"/>
        <v/>
      </c>
      <c r="AG388" s="10" t="str">
        <f t="shared" si="64"/>
        <v/>
      </c>
      <c r="AH388" s="10" t="str">
        <f>IF(AND(Q388&gt;0,Q388&lt;30,K388=216),'Udvaskning nøgletal'!$C$42,IF(AND(Q388&gt;0,Q388&lt;30,K388&gt;7,K388&lt;17),'Udvaskning nøgletal'!$C$61,IF(AND(Q388&gt;0,Q388&lt;30,K388&lt;7),'Udvaskning nøgletal'!$C$62,"")))</f>
        <v/>
      </c>
      <c r="AI388" s="10">
        <f t="shared" si="60"/>
        <v>260</v>
      </c>
      <c r="AJ388" s="10">
        <f>IF($X388=1,LOOKUP(AI388,'Udvaskning nøgletal'!$C$12:$C$62,'Udvaskning nøgletal'!$E$12:$E$62)+Markniveau!$Y388*Markniveau!$S388/100,IF($X388=2,LOOKUP(AI388,'Udvaskning nøgletal'!$C$12:$C$62,'Udvaskning nøgletal'!$F$12:$F$62)+Markniveau!$Y388*Markniveau!$S388/100,IF($X388=3,LOOKUP(AI388,'Udvaskning nøgletal'!$C$12:$C$62,'Udvaskning nøgletal'!Q398:Q448)+Markniveau!$Y388*Markniveau!$S388/100,"")))</f>
        <v>33.723295792149436</v>
      </c>
      <c r="AK388" s="10">
        <f t="shared" si="69"/>
        <v>77.900813279865204</v>
      </c>
      <c r="AL388" s="10" t="str">
        <f t="shared" si="61"/>
        <v/>
      </c>
      <c r="AM388" s="10" t="str">
        <f t="shared" si="62"/>
        <v/>
      </c>
    </row>
    <row r="389" spans="1:39" x14ac:dyDescent="0.25">
      <c r="A389" s="15">
        <v>16543349</v>
      </c>
      <c r="B389" s="15">
        <v>3.26</v>
      </c>
      <c r="C389" s="15">
        <v>265122</v>
      </c>
      <c r="D389" s="15">
        <v>23612</v>
      </c>
      <c r="E389" s="15" t="s">
        <v>354</v>
      </c>
      <c r="F389" s="15">
        <v>2011</v>
      </c>
      <c r="G389" s="15">
        <v>20110506</v>
      </c>
      <c r="H389" s="15">
        <v>22999</v>
      </c>
      <c r="I389" s="15">
        <v>2.2999999999999998</v>
      </c>
      <c r="J389" s="6" t="s">
        <v>1468</v>
      </c>
      <c r="K389" s="15">
        <v>260</v>
      </c>
      <c r="L389" s="15" t="s">
        <v>45</v>
      </c>
      <c r="M389" s="15" t="s">
        <v>5</v>
      </c>
      <c r="N389" s="11" t="s">
        <v>1391</v>
      </c>
      <c r="O389" s="11" t="s">
        <v>46</v>
      </c>
      <c r="P389" s="11" t="s">
        <v>33</v>
      </c>
      <c r="Q389" s="15">
        <v>0</v>
      </c>
      <c r="R389" s="11" t="s">
        <v>1386</v>
      </c>
      <c r="S389" s="10">
        <v>84.266525166768005</v>
      </c>
      <c r="T389" s="15">
        <v>80</v>
      </c>
      <c r="U389" s="15">
        <v>0</v>
      </c>
      <c r="V389" s="15">
        <v>0</v>
      </c>
      <c r="W389" s="15">
        <v>0</v>
      </c>
      <c r="X389" s="15">
        <f>IF(O389='Udvaskning nøgletal'!$D$65,1,IF(O389='Udvaskning nøgletal'!$D$66,2,IF(O389='Udvaskning nøgletal'!$D$67,3,IF(O389='Udvaskning nøgletal'!$D$68,2,""))))</f>
        <v>2</v>
      </c>
      <c r="Y389" s="15">
        <f>LOOKUP(K389,'Udvaskning nøgletal'!$C$12:$C$60,'Udvaskning nøgletal'!$H$12:$H$60)</f>
        <v>0</v>
      </c>
      <c r="Z389" s="10">
        <f>IF(X389=1,LOOKUP(K389,'Udvaskning nøgletal'!$C$12:$C$60,'Udvaskning nøgletal'!$E$12:$E$60)+Markniveau!Y389*Markniveau!S389/100,IF(X389=2,LOOKUP(K389,'Udvaskning nøgletal'!$C$12:$C$60,'Udvaskning nøgletal'!$F$12:$F$60)+Markniveau!Y389*Markniveau!S389/100,IF(X389=3,LOOKUP(K389,'Udvaskning nøgletal'!$C$12:$C$60,'Udvaskning nøgletal'!G399:G447)+Markniveau!Y389*Markniveau!S389/100,"")))</f>
        <v>27.331185321443094</v>
      </c>
      <c r="AA389" s="10">
        <f t="shared" si="66"/>
        <v>62.861726239319111</v>
      </c>
      <c r="AB389" s="10" t="str">
        <f t="shared" si="65"/>
        <v/>
      </c>
      <c r="AC389" s="10" t="str">
        <f t="shared" si="67"/>
        <v/>
      </c>
      <c r="AD389" s="10">
        <f>IF(AND(Q389&gt;0,Q389&lt;30,K389&lt;8),Markniveau!Z389*'Udvaskning nøgletal'!$I$12/100,IF(AND(Q389&gt;0,Q389&lt;30,K389=216),Markniveau!Z389*'Udvaskning nøgletal'!$I$34/100,Markniveau!Z389))</f>
        <v>27.331185321443094</v>
      </c>
      <c r="AE389" s="10">
        <f t="shared" si="63"/>
        <v>62.861726239319111</v>
      </c>
      <c r="AF389" s="10" t="str">
        <f t="shared" si="68"/>
        <v/>
      </c>
      <c r="AG389" s="10" t="str">
        <f t="shared" si="64"/>
        <v/>
      </c>
      <c r="AH389" s="10" t="str">
        <f>IF(AND(Q389&gt;0,Q389&lt;30,K389=216),'Udvaskning nøgletal'!$C$42,IF(AND(Q389&gt;0,Q389&lt;30,K389&gt;7,K389&lt;17),'Udvaskning nøgletal'!$C$61,IF(AND(Q389&gt;0,Q389&lt;30,K389&lt;7),'Udvaskning nøgletal'!$C$62,"")))</f>
        <v/>
      </c>
      <c r="AI389" s="10">
        <f t="shared" si="60"/>
        <v>260</v>
      </c>
      <c r="AJ389" s="10">
        <f>IF($X389=1,LOOKUP(AI389,'Udvaskning nøgletal'!$C$12:$C$62,'Udvaskning nøgletal'!$E$12:$E$62)+Markniveau!$Y389*Markniveau!$S389/100,IF($X389=2,LOOKUP(AI389,'Udvaskning nøgletal'!$C$12:$C$62,'Udvaskning nøgletal'!$F$12:$F$62)+Markniveau!$Y389*Markniveau!$S389/100,IF($X389=3,LOOKUP(AI389,'Udvaskning nøgletal'!$C$12:$C$62,'Udvaskning nøgletal'!Q399:Q449)+Markniveau!$Y389*Markniveau!$S389/100,"")))</f>
        <v>27.331185321443094</v>
      </c>
      <c r="AK389" s="10">
        <f t="shared" si="69"/>
        <v>62.861726239319111</v>
      </c>
      <c r="AL389" s="10" t="str">
        <f t="shared" si="61"/>
        <v/>
      </c>
      <c r="AM389" s="10" t="str">
        <f t="shared" si="62"/>
        <v/>
      </c>
    </row>
    <row r="390" spans="1:39" x14ac:dyDescent="0.25">
      <c r="A390" s="15">
        <v>16543349</v>
      </c>
      <c r="B390" s="15">
        <v>3.26</v>
      </c>
      <c r="C390" s="15">
        <v>266398</v>
      </c>
      <c r="D390" s="15">
        <v>23612</v>
      </c>
      <c r="E390" s="15" t="s">
        <v>354</v>
      </c>
      <c r="F390" s="15">
        <v>2011</v>
      </c>
      <c r="G390" s="15">
        <v>20110506</v>
      </c>
      <c r="H390" s="15">
        <v>3396</v>
      </c>
      <c r="I390" s="15">
        <v>0.34</v>
      </c>
      <c r="J390" s="6" t="s">
        <v>1472</v>
      </c>
      <c r="K390" s="15">
        <v>251</v>
      </c>
      <c r="L390" s="15" t="s">
        <v>355</v>
      </c>
      <c r="M390" s="15" t="s">
        <v>4</v>
      </c>
      <c r="N390" s="11" t="s">
        <v>1384</v>
      </c>
      <c r="O390" s="11" t="s">
        <v>28</v>
      </c>
      <c r="P390" s="11" t="s">
        <v>33</v>
      </c>
      <c r="Q390" s="15">
        <v>0</v>
      </c>
      <c r="R390" s="11" t="s">
        <v>1386</v>
      </c>
      <c r="S390" s="10">
        <v>84.266525166768005</v>
      </c>
      <c r="T390" s="15">
        <v>80</v>
      </c>
      <c r="U390" s="15">
        <v>0</v>
      </c>
      <c r="V390" s="15">
        <v>0</v>
      </c>
      <c r="W390" s="15">
        <v>0</v>
      </c>
      <c r="X390" s="15">
        <f>IF(O390='Udvaskning nøgletal'!$D$65,1,IF(O390='Udvaskning nøgletal'!$D$66,2,IF(O390='Udvaskning nøgletal'!$D$67,3,IF(O390='Udvaskning nøgletal'!$D$68,2,""))))</f>
        <v>1</v>
      </c>
      <c r="Y390" s="15">
        <f>LOOKUP(K390,'Udvaskning nøgletal'!$C$12:$C$60,'Udvaskning nøgletal'!$H$12:$H$60)</f>
        <v>0</v>
      </c>
      <c r="Z390" s="10">
        <f>IF(X390=1,LOOKUP(K390,'Udvaskning nøgletal'!$C$12:$C$60,'Udvaskning nøgletal'!$E$12:$E$60)+Markniveau!Y390*Markniveau!S390/100,IF(X390=2,LOOKUP(K390,'Udvaskning nøgletal'!$C$12:$C$60,'Udvaskning nøgletal'!$F$12:$F$60)+Markniveau!Y390*Markniveau!S390/100,IF(X390=3,LOOKUP(K390,'Udvaskning nøgletal'!$C$12:$C$60,'Udvaskning nøgletal'!G400:G448)+Markniveau!Y390*Markniveau!S390/100,"")))</f>
        <v>21.2</v>
      </c>
      <c r="AA390" s="10">
        <f t="shared" si="66"/>
        <v>7.2080000000000002</v>
      </c>
      <c r="AB390" s="10" t="str">
        <f t="shared" si="65"/>
        <v/>
      </c>
      <c r="AC390" s="10" t="str">
        <f t="shared" si="67"/>
        <v/>
      </c>
      <c r="AD390" s="10">
        <f>IF(AND(Q390&gt;0,Q390&lt;30,K390&lt;8),Markniveau!Z390*'Udvaskning nøgletal'!$I$12/100,IF(AND(Q390&gt;0,Q390&lt;30,K390=216),Markniveau!Z390*'Udvaskning nøgletal'!$I$34/100,Markniveau!Z390))</f>
        <v>21.2</v>
      </c>
      <c r="AE390" s="10">
        <f t="shared" si="63"/>
        <v>7.2080000000000002</v>
      </c>
      <c r="AF390" s="10" t="str">
        <f t="shared" si="68"/>
        <v/>
      </c>
      <c r="AG390" s="10" t="str">
        <f t="shared" si="64"/>
        <v/>
      </c>
      <c r="AH390" s="10" t="str">
        <f>IF(AND(Q390&gt;0,Q390&lt;30,K390=216),'Udvaskning nøgletal'!$C$42,IF(AND(Q390&gt;0,Q390&lt;30,K390&gt;7,K390&lt;17),'Udvaskning nøgletal'!$C$61,IF(AND(Q390&gt;0,Q390&lt;30,K390&lt;7),'Udvaskning nøgletal'!$C$62,"")))</f>
        <v/>
      </c>
      <c r="AI390" s="10">
        <f t="shared" si="60"/>
        <v>251</v>
      </c>
      <c r="AJ390" s="10">
        <f>IF($X390=1,LOOKUP(AI390,'Udvaskning nøgletal'!$C$12:$C$62,'Udvaskning nøgletal'!$E$12:$E$62)+Markniveau!$Y390*Markniveau!$S390/100,IF($X390=2,LOOKUP(AI390,'Udvaskning nøgletal'!$C$12:$C$62,'Udvaskning nøgletal'!$F$12:$F$62)+Markniveau!$Y390*Markniveau!$S390/100,IF($X390=3,LOOKUP(AI390,'Udvaskning nøgletal'!$C$12:$C$62,'Udvaskning nøgletal'!Q400:Q450)+Markniveau!$Y390*Markniveau!$S390/100,"")))</f>
        <v>21.2</v>
      </c>
      <c r="AK390" s="10">
        <f t="shared" si="69"/>
        <v>7.2080000000000002</v>
      </c>
      <c r="AL390" s="10" t="str">
        <f t="shared" si="61"/>
        <v/>
      </c>
      <c r="AM390" s="10" t="str">
        <f t="shared" si="62"/>
        <v/>
      </c>
    </row>
    <row r="391" spans="1:39" x14ac:dyDescent="0.25">
      <c r="A391" s="15">
        <v>16560243</v>
      </c>
      <c r="B391" s="15">
        <v>7.16</v>
      </c>
      <c r="C391" s="15">
        <v>393269</v>
      </c>
      <c r="D391" s="15">
        <v>46000</v>
      </c>
      <c r="E391" s="15" t="s">
        <v>356</v>
      </c>
      <c r="F391" s="15">
        <v>2011</v>
      </c>
      <c r="G391" s="15">
        <v>20110310</v>
      </c>
      <c r="H391" s="15">
        <v>94737</v>
      </c>
      <c r="I391" s="15">
        <v>9.4700000000000006</v>
      </c>
      <c r="J391" s="6" t="s">
        <v>34</v>
      </c>
      <c r="K391" s="15">
        <v>102</v>
      </c>
      <c r="L391" s="15" t="s">
        <v>357</v>
      </c>
      <c r="M391" s="15" t="s">
        <v>5</v>
      </c>
      <c r="N391" s="11" t="s">
        <v>1384</v>
      </c>
      <c r="O391" s="11" t="s">
        <v>28</v>
      </c>
      <c r="P391" s="11" t="s">
        <v>33</v>
      </c>
      <c r="Q391" s="15">
        <v>0</v>
      </c>
      <c r="R391" s="11" t="s">
        <v>1386</v>
      </c>
      <c r="S391" s="10">
        <v>83.678550668474998</v>
      </c>
      <c r="T391" s="15">
        <v>80</v>
      </c>
      <c r="U391" s="15">
        <v>0</v>
      </c>
      <c r="V391" s="15">
        <v>0</v>
      </c>
      <c r="W391" s="15">
        <v>0</v>
      </c>
      <c r="X391" s="15">
        <f>IF(O391='Udvaskning nøgletal'!$D$65,1,IF(O391='Udvaskning nøgletal'!$D$66,2,IF(O391='Udvaskning nøgletal'!$D$67,3,IF(O391='Udvaskning nøgletal'!$D$68,2,""))))</f>
        <v>1</v>
      </c>
      <c r="Y391" s="15">
        <f>LOOKUP(K391,'Udvaskning nøgletal'!$C$12:$C$60,'Udvaskning nøgletal'!$H$12:$H$60)</f>
        <v>5</v>
      </c>
      <c r="Z391" s="10">
        <f>IF(X391=1,LOOKUP(K391,'Udvaskning nøgletal'!$C$12:$C$60,'Udvaskning nøgletal'!$E$12:$E$60)+Markniveau!Y391*Markniveau!S391/100,IF(X391=2,LOOKUP(K391,'Udvaskning nøgletal'!$C$12:$C$60,'Udvaskning nøgletal'!$F$12:$F$60)+Markniveau!Y391*Markniveau!S391/100,IF(X391=3,LOOKUP(K391,'Udvaskning nøgletal'!$C$12:$C$60,'Udvaskning nøgletal'!G401:G449)+Markniveau!Y391*Markniveau!S391/100,"")))</f>
        <v>30.683927533423748</v>
      </c>
      <c r="AA391" s="10">
        <f t="shared" si="66"/>
        <v>290.57679374152292</v>
      </c>
      <c r="AB391" s="10" t="str">
        <f t="shared" si="65"/>
        <v/>
      </c>
      <c r="AC391" s="10" t="str">
        <f t="shared" si="67"/>
        <v/>
      </c>
      <c r="AD391" s="10">
        <f>IF(AND(Q391&gt;0,Q391&lt;30,K391&lt;8),Markniveau!Z391*'Udvaskning nøgletal'!$I$12/100,IF(AND(Q391&gt;0,Q391&lt;30,K391=216),Markniveau!Z391*'Udvaskning nøgletal'!$I$34/100,Markniveau!Z391))</f>
        <v>30.683927533423748</v>
      </c>
      <c r="AE391" s="10">
        <f t="shared" si="63"/>
        <v>290.57679374152292</v>
      </c>
      <c r="AF391" s="10" t="str">
        <f t="shared" si="68"/>
        <v/>
      </c>
      <c r="AG391" s="10" t="str">
        <f t="shared" si="64"/>
        <v/>
      </c>
      <c r="AH391" s="10" t="str">
        <f>IF(AND(Q391&gt;0,Q391&lt;30,K391=216),'Udvaskning nøgletal'!$C$42,IF(AND(Q391&gt;0,Q391&lt;30,K391&gt;7,K391&lt;17),'Udvaskning nøgletal'!$C$61,IF(AND(Q391&gt;0,Q391&lt;30,K391&lt;7),'Udvaskning nøgletal'!$C$62,"")))</f>
        <v/>
      </c>
      <c r="AI391" s="10">
        <f t="shared" si="60"/>
        <v>102</v>
      </c>
      <c r="AJ391" s="10">
        <f>IF($X391=1,LOOKUP(AI391,'Udvaskning nøgletal'!$C$12:$C$62,'Udvaskning nøgletal'!$E$12:$E$62)+Markniveau!$Y391*Markniveau!$S391/100,IF($X391=2,LOOKUP(AI391,'Udvaskning nøgletal'!$C$12:$C$62,'Udvaskning nøgletal'!$F$12:$F$62)+Markniveau!$Y391*Markniveau!$S391/100,IF($X391=3,LOOKUP(AI391,'Udvaskning nøgletal'!$C$12:$C$62,'Udvaskning nøgletal'!Q401:Q451)+Markniveau!$Y391*Markniveau!$S391/100,"")))</f>
        <v>30.683927533423748</v>
      </c>
      <c r="AK391" s="10">
        <f t="shared" si="69"/>
        <v>290.57679374152292</v>
      </c>
      <c r="AL391" s="10" t="str">
        <f t="shared" si="61"/>
        <v/>
      </c>
      <c r="AM391" s="10" t="str">
        <f t="shared" si="62"/>
        <v/>
      </c>
    </row>
    <row r="392" spans="1:39" x14ac:dyDescent="0.25">
      <c r="A392" s="15">
        <v>16560243</v>
      </c>
      <c r="B392" s="15">
        <v>7.16</v>
      </c>
      <c r="C392" s="15">
        <v>393271</v>
      </c>
      <c r="D392" s="15">
        <v>46000</v>
      </c>
      <c r="E392" s="15" t="s">
        <v>358</v>
      </c>
      <c r="F392" s="15">
        <v>2011</v>
      </c>
      <c r="G392" s="15">
        <v>20110310</v>
      </c>
      <c r="H392" s="15">
        <v>4912</v>
      </c>
      <c r="I392" s="15">
        <v>0.49</v>
      </c>
      <c r="J392" s="6" t="s">
        <v>1507</v>
      </c>
      <c r="K392" s="15">
        <v>10</v>
      </c>
      <c r="L392" s="15" t="s">
        <v>107</v>
      </c>
      <c r="M392" s="15" t="s">
        <v>5</v>
      </c>
      <c r="N392" s="11" t="s">
        <v>1384</v>
      </c>
      <c r="O392" s="11" t="s">
        <v>28</v>
      </c>
      <c r="P392" s="11" t="s">
        <v>33</v>
      </c>
      <c r="Q392" s="15">
        <v>0</v>
      </c>
      <c r="R392" s="11" t="s">
        <v>1386</v>
      </c>
      <c r="S392" s="10">
        <v>83.678550668474998</v>
      </c>
      <c r="T392" s="15">
        <v>80</v>
      </c>
      <c r="U392" s="15">
        <v>0</v>
      </c>
      <c r="V392" s="15">
        <v>0</v>
      </c>
      <c r="W392" s="15">
        <v>0</v>
      </c>
      <c r="X392" s="15">
        <f>IF(O392='Udvaskning nøgletal'!$D$65,1,IF(O392='Udvaskning nøgletal'!$D$66,2,IF(O392='Udvaskning nøgletal'!$D$67,3,IF(O392='Udvaskning nøgletal'!$D$68,2,""))))</f>
        <v>1</v>
      </c>
      <c r="Y392" s="15">
        <f>LOOKUP(K392,'Udvaskning nøgletal'!$C$12:$C$60,'Udvaskning nøgletal'!$H$12:$H$60)</f>
        <v>5</v>
      </c>
      <c r="Z392" s="10">
        <f>IF(X392=1,LOOKUP(K392,'Udvaskning nøgletal'!$C$12:$C$60,'Udvaskning nøgletal'!$E$12:$E$60)+Markniveau!Y392*Markniveau!S392/100,IF(X392=2,LOOKUP(K392,'Udvaskning nøgletal'!$C$12:$C$60,'Udvaskning nøgletal'!$F$12:$F$60)+Markniveau!Y392*Markniveau!S392/100,IF(X392=3,LOOKUP(K392,'Udvaskning nøgletal'!$C$12:$C$60,'Udvaskning nøgletal'!G402:G450)+Markniveau!Y392*Markniveau!S392/100,"")))</f>
        <v>68.843927533423752</v>
      </c>
      <c r="AA392" s="10">
        <f t="shared" si="66"/>
        <v>33.733524491377636</v>
      </c>
      <c r="AB392" s="10" t="str">
        <f t="shared" si="65"/>
        <v/>
      </c>
      <c r="AC392" s="10" t="str">
        <f t="shared" si="67"/>
        <v/>
      </c>
      <c r="AD392" s="10">
        <f>IF(AND(Q392&gt;0,Q392&lt;30,K392&lt;8),Markniveau!Z392*'Udvaskning nøgletal'!$I$12/100,IF(AND(Q392&gt;0,Q392&lt;30,K392=216),Markniveau!Z392*'Udvaskning nøgletal'!$I$34/100,Markniveau!Z392))</f>
        <v>68.843927533423752</v>
      </c>
      <c r="AE392" s="10">
        <f t="shared" si="63"/>
        <v>33.733524491377636</v>
      </c>
      <c r="AF392" s="10" t="str">
        <f t="shared" si="68"/>
        <v/>
      </c>
      <c r="AG392" s="10" t="str">
        <f t="shared" si="64"/>
        <v/>
      </c>
      <c r="AH392" s="10" t="str">
        <f>IF(AND(Q392&gt;0,Q392&lt;30,K392=216),'Udvaskning nøgletal'!$C$42,IF(AND(Q392&gt;0,Q392&lt;30,K392&gt;7,K392&lt;17),'Udvaskning nøgletal'!$C$61,IF(AND(Q392&gt;0,Q392&lt;30,K392&lt;7),'Udvaskning nøgletal'!$C$62,"")))</f>
        <v/>
      </c>
      <c r="AI392" s="10">
        <f t="shared" ref="AI392:AI455" si="70">IF(SUM(AH392)&gt;0,AH392,K392)</f>
        <v>10</v>
      </c>
      <c r="AJ392" s="10">
        <f>IF($X392=1,LOOKUP(AI392,'Udvaskning nøgletal'!$C$12:$C$62,'Udvaskning nøgletal'!$E$12:$E$62)+Markniveau!$Y392*Markniveau!$S392/100,IF($X392=2,LOOKUP(AI392,'Udvaskning nøgletal'!$C$12:$C$62,'Udvaskning nøgletal'!$F$12:$F$62)+Markniveau!$Y392*Markniveau!$S392/100,IF($X392=3,LOOKUP(AI392,'Udvaskning nøgletal'!$C$12:$C$62,'Udvaskning nøgletal'!Q402:Q452)+Markniveau!$Y392*Markniveau!$S392/100,"")))</f>
        <v>68.843927533423752</v>
      </c>
      <c r="AK392" s="10">
        <f t="shared" si="69"/>
        <v>33.733524491377636</v>
      </c>
      <c r="AL392" s="10" t="str">
        <f t="shared" si="61"/>
        <v/>
      </c>
      <c r="AM392" s="10" t="str">
        <f t="shared" si="62"/>
        <v/>
      </c>
    </row>
    <row r="393" spans="1:39" x14ac:dyDescent="0.25">
      <c r="A393" s="15">
        <v>16560243</v>
      </c>
      <c r="B393" s="15">
        <v>7.16</v>
      </c>
      <c r="C393" s="15">
        <v>404261</v>
      </c>
      <c r="D393" s="15">
        <v>46000</v>
      </c>
      <c r="E393" s="15" t="s">
        <v>359</v>
      </c>
      <c r="F393" s="15">
        <v>2011</v>
      </c>
      <c r="G393" s="15">
        <v>20110310</v>
      </c>
      <c r="H393" s="15">
        <v>86287</v>
      </c>
      <c r="I393" s="15">
        <v>8.6300000000000008</v>
      </c>
      <c r="J393" s="6" t="s">
        <v>97</v>
      </c>
      <c r="K393" s="15">
        <v>22</v>
      </c>
      <c r="L393" s="15" t="s">
        <v>213</v>
      </c>
      <c r="M393" s="15" t="s">
        <v>5</v>
      </c>
      <c r="N393" s="11" t="s">
        <v>1384</v>
      </c>
      <c r="O393" s="11" t="s">
        <v>28</v>
      </c>
      <c r="P393" s="11" t="s">
        <v>33</v>
      </c>
      <c r="Q393" s="15">
        <v>0</v>
      </c>
      <c r="R393" s="11" t="s">
        <v>1386</v>
      </c>
      <c r="S393" s="10">
        <v>83.678550668474998</v>
      </c>
      <c r="T393" s="15">
        <v>80</v>
      </c>
      <c r="U393" s="15">
        <v>0</v>
      </c>
      <c r="V393" s="15">
        <v>0</v>
      </c>
      <c r="W393" s="15">
        <v>0</v>
      </c>
      <c r="X393" s="15">
        <f>IF(O393='Udvaskning nøgletal'!$D$65,1,IF(O393='Udvaskning nøgletal'!$D$66,2,IF(O393='Udvaskning nøgletal'!$D$67,3,IF(O393='Udvaskning nøgletal'!$D$68,2,""))))</f>
        <v>1</v>
      </c>
      <c r="Y393" s="15">
        <f>LOOKUP(K393,'Udvaskning nøgletal'!$C$12:$C$60,'Udvaskning nøgletal'!$H$12:$H$60)</f>
        <v>5</v>
      </c>
      <c r="Z393" s="10">
        <f>IF(X393=1,LOOKUP(K393,'Udvaskning nøgletal'!$C$12:$C$60,'Udvaskning nøgletal'!$E$12:$E$60)+Markniveau!Y393*Markniveau!S393/100,IF(X393=2,LOOKUP(K393,'Udvaskning nøgletal'!$C$12:$C$60,'Udvaskning nøgletal'!$F$12:$F$60)+Markniveau!Y393*Markniveau!S393/100,IF(X393=3,LOOKUP(K393,'Udvaskning nøgletal'!$C$12:$C$60,'Udvaskning nøgletal'!G403:G451)+Markniveau!Y393*Markniveau!S393/100,"")))</f>
        <v>68.843927533423752</v>
      </c>
      <c r="AA393" s="10">
        <f t="shared" si="66"/>
        <v>594.12309461344705</v>
      </c>
      <c r="AB393" s="10" t="str">
        <f t="shared" si="65"/>
        <v/>
      </c>
      <c r="AC393" s="10" t="str">
        <f t="shared" si="67"/>
        <v/>
      </c>
      <c r="AD393" s="10">
        <f>IF(AND(Q393&gt;0,Q393&lt;30,K393&lt;8),Markniveau!Z393*'Udvaskning nøgletal'!$I$12/100,IF(AND(Q393&gt;0,Q393&lt;30,K393=216),Markniveau!Z393*'Udvaskning nøgletal'!$I$34/100,Markniveau!Z393))</f>
        <v>68.843927533423752</v>
      </c>
      <c r="AE393" s="10">
        <f t="shared" si="63"/>
        <v>594.12309461344705</v>
      </c>
      <c r="AF393" s="10" t="str">
        <f t="shared" si="68"/>
        <v/>
      </c>
      <c r="AG393" s="10" t="str">
        <f t="shared" si="64"/>
        <v/>
      </c>
      <c r="AH393" s="10" t="str">
        <f>IF(AND(Q393&gt;0,Q393&lt;30,K393=216),'Udvaskning nøgletal'!$C$42,IF(AND(Q393&gt;0,Q393&lt;30,K393&gt;7,K393&lt;17),'Udvaskning nøgletal'!$C$61,IF(AND(Q393&gt;0,Q393&lt;30,K393&lt;7),'Udvaskning nøgletal'!$C$62,"")))</f>
        <v/>
      </c>
      <c r="AI393" s="10">
        <f t="shared" si="70"/>
        <v>22</v>
      </c>
      <c r="AJ393" s="10">
        <f>IF($X393=1,LOOKUP(AI393,'Udvaskning nøgletal'!$C$12:$C$62,'Udvaskning nøgletal'!$E$12:$E$62)+Markniveau!$Y393*Markniveau!$S393/100,IF($X393=2,LOOKUP(AI393,'Udvaskning nøgletal'!$C$12:$C$62,'Udvaskning nøgletal'!$F$12:$F$62)+Markniveau!$Y393*Markniveau!$S393/100,IF($X393=3,LOOKUP(AI393,'Udvaskning nøgletal'!$C$12:$C$62,'Udvaskning nøgletal'!Q403:Q453)+Markniveau!$Y393*Markniveau!$S393/100,"")))</f>
        <v>68.843927533423752</v>
      </c>
      <c r="AK393" s="10">
        <f t="shared" si="69"/>
        <v>594.12309461344705</v>
      </c>
      <c r="AL393" s="10" t="str">
        <f t="shared" si="61"/>
        <v/>
      </c>
      <c r="AM393" s="10" t="str">
        <f t="shared" si="62"/>
        <v/>
      </c>
    </row>
    <row r="394" spans="1:39" x14ac:dyDescent="0.25">
      <c r="A394" s="15">
        <v>16560243</v>
      </c>
      <c r="B394" s="15">
        <v>7.16</v>
      </c>
      <c r="C394" s="15">
        <v>466227</v>
      </c>
      <c r="D394" s="15">
        <v>46000</v>
      </c>
      <c r="E394" s="15" t="s">
        <v>356</v>
      </c>
      <c r="F394" s="15">
        <v>2011</v>
      </c>
      <c r="G394" s="15">
        <v>20110310</v>
      </c>
      <c r="H394" s="15">
        <v>31557</v>
      </c>
      <c r="I394" s="15">
        <v>3.16</v>
      </c>
      <c r="J394" s="6" t="s">
        <v>1436</v>
      </c>
      <c r="K394" s="15">
        <v>10</v>
      </c>
      <c r="L394" s="15" t="s">
        <v>107</v>
      </c>
      <c r="M394" s="15" t="s">
        <v>5</v>
      </c>
      <c r="N394" s="11" t="s">
        <v>1384</v>
      </c>
      <c r="O394" s="11" t="s">
        <v>28</v>
      </c>
      <c r="P394" s="11" t="s">
        <v>33</v>
      </c>
      <c r="Q394" s="15">
        <v>0</v>
      </c>
      <c r="R394" s="11" t="s">
        <v>1386</v>
      </c>
      <c r="S394" s="10">
        <v>83.678550668474998</v>
      </c>
      <c r="T394" s="15">
        <v>80</v>
      </c>
      <c r="U394" s="15">
        <v>0</v>
      </c>
      <c r="V394" s="15">
        <v>0</v>
      </c>
      <c r="W394" s="15">
        <v>0</v>
      </c>
      <c r="X394" s="15">
        <f>IF(O394='Udvaskning nøgletal'!$D$65,1,IF(O394='Udvaskning nøgletal'!$D$66,2,IF(O394='Udvaskning nøgletal'!$D$67,3,IF(O394='Udvaskning nøgletal'!$D$68,2,""))))</f>
        <v>1</v>
      </c>
      <c r="Y394" s="15">
        <f>LOOKUP(K394,'Udvaskning nøgletal'!$C$12:$C$60,'Udvaskning nøgletal'!$H$12:$H$60)</f>
        <v>5</v>
      </c>
      <c r="Z394" s="10">
        <f>IF(X394=1,LOOKUP(K394,'Udvaskning nøgletal'!$C$12:$C$60,'Udvaskning nøgletal'!$E$12:$E$60)+Markniveau!Y394*Markniveau!S394/100,IF(X394=2,LOOKUP(K394,'Udvaskning nøgletal'!$C$12:$C$60,'Udvaskning nøgletal'!$F$12:$F$60)+Markniveau!Y394*Markniveau!S394/100,IF(X394=3,LOOKUP(K394,'Udvaskning nøgletal'!$C$12:$C$60,'Udvaskning nøgletal'!G404:G452)+Markniveau!Y394*Markniveau!S394/100,"")))</f>
        <v>68.843927533423752</v>
      </c>
      <c r="AA394" s="10">
        <f t="shared" si="66"/>
        <v>217.54681100561908</v>
      </c>
      <c r="AB394" s="10" t="str">
        <f t="shared" si="65"/>
        <v/>
      </c>
      <c r="AC394" s="10" t="str">
        <f t="shared" si="67"/>
        <v/>
      </c>
      <c r="AD394" s="10">
        <f>IF(AND(Q394&gt;0,Q394&lt;30,K394&lt;8),Markniveau!Z394*'Udvaskning nøgletal'!$I$12/100,IF(AND(Q394&gt;0,Q394&lt;30,K394=216),Markniveau!Z394*'Udvaskning nøgletal'!$I$34/100,Markniveau!Z394))</f>
        <v>68.843927533423752</v>
      </c>
      <c r="AE394" s="10">
        <f t="shared" si="63"/>
        <v>217.54681100561908</v>
      </c>
      <c r="AF394" s="10" t="str">
        <f t="shared" si="68"/>
        <v/>
      </c>
      <c r="AG394" s="10" t="str">
        <f t="shared" si="64"/>
        <v/>
      </c>
      <c r="AH394" s="10" t="str">
        <f>IF(AND(Q394&gt;0,Q394&lt;30,K394=216),'Udvaskning nøgletal'!$C$42,IF(AND(Q394&gt;0,Q394&lt;30,K394&gt;7,K394&lt;17),'Udvaskning nøgletal'!$C$61,IF(AND(Q394&gt;0,Q394&lt;30,K394&lt;7),'Udvaskning nøgletal'!$C$62,"")))</f>
        <v/>
      </c>
      <c r="AI394" s="10">
        <f t="shared" si="70"/>
        <v>10</v>
      </c>
      <c r="AJ394" s="10">
        <f>IF($X394=1,LOOKUP(AI394,'Udvaskning nøgletal'!$C$12:$C$62,'Udvaskning nøgletal'!$E$12:$E$62)+Markniveau!$Y394*Markniveau!$S394/100,IF($X394=2,LOOKUP(AI394,'Udvaskning nøgletal'!$C$12:$C$62,'Udvaskning nøgletal'!$F$12:$F$62)+Markniveau!$Y394*Markniveau!$S394/100,IF($X394=3,LOOKUP(AI394,'Udvaskning nøgletal'!$C$12:$C$62,'Udvaskning nøgletal'!Q404:Q454)+Markniveau!$Y394*Markniveau!$S394/100,"")))</f>
        <v>68.843927533423752</v>
      </c>
      <c r="AK394" s="10">
        <f t="shared" si="69"/>
        <v>217.54681100561908</v>
      </c>
      <c r="AL394" s="10" t="str">
        <f t="shared" si="61"/>
        <v/>
      </c>
      <c r="AM394" s="10" t="str">
        <f t="shared" si="62"/>
        <v/>
      </c>
    </row>
    <row r="395" spans="1:39" x14ac:dyDescent="0.25">
      <c r="A395" s="15">
        <v>16560243</v>
      </c>
      <c r="B395" s="15">
        <v>7.16</v>
      </c>
      <c r="C395" s="15">
        <v>467453</v>
      </c>
      <c r="D395" s="15">
        <v>46000</v>
      </c>
      <c r="E395" s="15" t="s">
        <v>360</v>
      </c>
      <c r="F395" s="15">
        <v>2011</v>
      </c>
      <c r="G395" s="15">
        <v>20110310</v>
      </c>
      <c r="H395" s="15">
        <v>15835</v>
      </c>
      <c r="I395" s="15">
        <v>1.58</v>
      </c>
      <c r="J395" s="6" t="s">
        <v>1402</v>
      </c>
      <c r="K395" s="15">
        <v>11</v>
      </c>
      <c r="L395" s="15" t="s">
        <v>102</v>
      </c>
      <c r="M395" s="15" t="s">
        <v>5</v>
      </c>
      <c r="N395" s="11" t="s">
        <v>1384</v>
      </c>
      <c r="O395" s="11" t="s">
        <v>28</v>
      </c>
      <c r="P395" s="11" t="s">
        <v>29</v>
      </c>
      <c r="Q395" s="15">
        <v>95</v>
      </c>
      <c r="R395" s="11" t="s">
        <v>3</v>
      </c>
      <c r="S395" s="10">
        <v>83.678550668474998</v>
      </c>
      <c r="T395" s="15">
        <v>80</v>
      </c>
      <c r="U395" s="15">
        <v>0</v>
      </c>
      <c r="V395" s="15">
        <v>0</v>
      </c>
      <c r="W395" s="15">
        <v>0</v>
      </c>
      <c r="X395" s="15">
        <f>IF(O395='Udvaskning nøgletal'!$D$65,1,IF(O395='Udvaskning nøgletal'!$D$66,2,IF(O395='Udvaskning nøgletal'!$D$67,3,IF(O395='Udvaskning nøgletal'!$D$68,2,""))))</f>
        <v>1</v>
      </c>
      <c r="Y395" s="15">
        <f>LOOKUP(K395,'Udvaskning nøgletal'!$C$12:$C$60,'Udvaskning nøgletal'!$H$12:$H$60)</f>
        <v>5</v>
      </c>
      <c r="Z395" s="10">
        <f>IF(X395=1,LOOKUP(K395,'Udvaskning nøgletal'!$C$12:$C$60,'Udvaskning nøgletal'!$E$12:$E$60)+Markniveau!Y395*Markniveau!S395/100,IF(X395=2,LOOKUP(K395,'Udvaskning nøgletal'!$C$12:$C$60,'Udvaskning nøgletal'!$F$12:$F$60)+Markniveau!Y395*Markniveau!S395/100,IF(X395=3,LOOKUP(K395,'Udvaskning nøgletal'!$C$12:$C$60,'Udvaskning nøgletal'!G405:G453)+Markniveau!Y395*Markniveau!S395/100,"")))</f>
        <v>68.843927533423752</v>
      </c>
      <c r="AA395" s="10">
        <f t="shared" si="66"/>
        <v>108.77340550280954</v>
      </c>
      <c r="AB395" s="10">
        <f t="shared" si="65"/>
        <v>3.4421963766711876</v>
      </c>
      <c r="AC395" s="10">
        <f t="shared" si="67"/>
        <v>5.4386702751404767</v>
      </c>
      <c r="AD395" s="10">
        <f>IF(AND(Q395&gt;0,Q395&lt;30,K395&lt;8),Markniveau!Z395*'Udvaskning nøgletal'!$I$12/100,IF(AND(Q395&gt;0,Q395&lt;30,K395=216),Markniveau!Z395*'Udvaskning nøgletal'!$I$34/100,Markniveau!Z395))</f>
        <v>68.843927533423752</v>
      </c>
      <c r="AE395" s="10">
        <f t="shared" si="63"/>
        <v>108.77340550280954</v>
      </c>
      <c r="AF395" s="10">
        <f t="shared" si="68"/>
        <v>3.4421963766711876</v>
      </c>
      <c r="AG395" s="10">
        <f t="shared" si="64"/>
        <v>5.4386702751404767</v>
      </c>
      <c r="AH395" s="10" t="str">
        <f>IF(AND(Q395&gt;0,Q395&lt;30,K395=216),'Udvaskning nøgletal'!$C$42,IF(AND(Q395&gt;0,Q395&lt;30,K395&gt;7,K395&lt;17),'Udvaskning nøgletal'!$C$61,IF(AND(Q395&gt;0,Q395&lt;30,K395&lt;7),'Udvaskning nøgletal'!$C$62,"")))</f>
        <v/>
      </c>
      <c r="AI395" s="10">
        <f t="shared" si="70"/>
        <v>11</v>
      </c>
      <c r="AJ395" s="10">
        <f>IF($X395=1,LOOKUP(AI395,'Udvaskning nøgletal'!$C$12:$C$62,'Udvaskning nøgletal'!$E$12:$E$62)+Markniveau!$Y395*Markniveau!$S395/100,IF($X395=2,LOOKUP(AI395,'Udvaskning nøgletal'!$C$12:$C$62,'Udvaskning nøgletal'!$F$12:$F$62)+Markniveau!$Y395*Markniveau!$S395/100,IF($X395=3,LOOKUP(AI395,'Udvaskning nøgletal'!$C$12:$C$62,'Udvaskning nøgletal'!Q405:Q455)+Markniveau!$Y395*Markniveau!$S395/100,"")))</f>
        <v>68.843927533423752</v>
      </c>
      <c r="AK395" s="10">
        <f t="shared" si="69"/>
        <v>108.77340550280954</v>
      </c>
      <c r="AL395" s="10">
        <f t="shared" ref="AL395:AL458" si="71">IF($Q395&gt;0,(100-$Q395)*AJ395/100,"")</f>
        <v>3.4421963766711876</v>
      </c>
      <c r="AM395" s="10">
        <f t="shared" ref="AM395:AM458" si="72">IF($Q395&gt;0,(100-$Q395)*AJ395/100*I395,"")</f>
        <v>5.4386702751404767</v>
      </c>
    </row>
    <row r="396" spans="1:39" x14ac:dyDescent="0.25">
      <c r="A396" s="15">
        <v>16560243</v>
      </c>
      <c r="B396" s="15">
        <v>7.16</v>
      </c>
      <c r="C396" s="15">
        <v>467456</v>
      </c>
      <c r="D396" s="15">
        <v>46000</v>
      </c>
      <c r="E396" s="15" t="s">
        <v>356</v>
      </c>
      <c r="F396" s="15">
        <v>2011</v>
      </c>
      <c r="G396" s="15">
        <v>20110310</v>
      </c>
      <c r="H396" s="15">
        <v>42900</v>
      </c>
      <c r="I396" s="15">
        <v>4.29</v>
      </c>
      <c r="J396" s="6" t="s">
        <v>31</v>
      </c>
      <c r="K396" s="15">
        <v>10</v>
      </c>
      <c r="L396" s="15" t="s">
        <v>107</v>
      </c>
      <c r="M396" s="15" t="s">
        <v>5</v>
      </c>
      <c r="N396" s="11" t="s">
        <v>1384</v>
      </c>
      <c r="O396" s="11" t="s">
        <v>28</v>
      </c>
      <c r="P396" s="11" t="s">
        <v>33</v>
      </c>
      <c r="Q396" s="15">
        <v>0</v>
      </c>
      <c r="R396" s="11" t="s">
        <v>1386</v>
      </c>
      <c r="S396" s="10">
        <v>83.678550668474998</v>
      </c>
      <c r="T396" s="15">
        <v>80</v>
      </c>
      <c r="U396" s="15">
        <v>0</v>
      </c>
      <c r="V396" s="15">
        <v>0</v>
      </c>
      <c r="W396" s="15">
        <v>0</v>
      </c>
      <c r="X396" s="15">
        <f>IF(O396='Udvaskning nøgletal'!$D$65,1,IF(O396='Udvaskning nøgletal'!$D$66,2,IF(O396='Udvaskning nøgletal'!$D$67,3,IF(O396='Udvaskning nøgletal'!$D$68,2,""))))</f>
        <v>1</v>
      </c>
      <c r="Y396" s="15">
        <f>LOOKUP(K396,'Udvaskning nøgletal'!$C$12:$C$60,'Udvaskning nøgletal'!$H$12:$H$60)</f>
        <v>5</v>
      </c>
      <c r="Z396" s="10">
        <f>IF(X396=1,LOOKUP(K396,'Udvaskning nøgletal'!$C$12:$C$60,'Udvaskning nøgletal'!$E$12:$E$60)+Markniveau!Y396*Markniveau!S396/100,IF(X396=2,LOOKUP(K396,'Udvaskning nøgletal'!$C$12:$C$60,'Udvaskning nøgletal'!$F$12:$F$60)+Markniveau!Y396*Markniveau!S396/100,IF(X396=3,LOOKUP(K396,'Udvaskning nøgletal'!$C$12:$C$60,'Udvaskning nøgletal'!G406:G454)+Markniveau!Y396*Markniveau!S396/100,"")))</f>
        <v>68.843927533423752</v>
      </c>
      <c r="AA396" s="10">
        <f t="shared" si="66"/>
        <v>295.34044911838788</v>
      </c>
      <c r="AB396" s="10" t="str">
        <f t="shared" si="65"/>
        <v/>
      </c>
      <c r="AC396" s="10" t="str">
        <f t="shared" si="67"/>
        <v/>
      </c>
      <c r="AD396" s="10">
        <f>IF(AND(Q396&gt;0,Q396&lt;30,K396&lt;8),Markniveau!Z396*'Udvaskning nøgletal'!$I$12/100,IF(AND(Q396&gt;0,Q396&lt;30,K396=216),Markniveau!Z396*'Udvaskning nøgletal'!$I$34/100,Markniveau!Z396))</f>
        <v>68.843927533423752</v>
      </c>
      <c r="AE396" s="10">
        <f t="shared" si="63"/>
        <v>295.34044911838788</v>
      </c>
      <c r="AF396" s="10" t="str">
        <f t="shared" si="68"/>
        <v/>
      </c>
      <c r="AG396" s="10" t="str">
        <f t="shared" si="64"/>
        <v/>
      </c>
      <c r="AH396" s="10" t="str">
        <f>IF(AND(Q396&gt;0,Q396&lt;30,K396=216),'Udvaskning nøgletal'!$C$42,IF(AND(Q396&gt;0,Q396&lt;30,K396&gt;7,K396&lt;17),'Udvaskning nøgletal'!$C$61,IF(AND(Q396&gt;0,Q396&lt;30,K396&lt;7),'Udvaskning nøgletal'!$C$62,"")))</f>
        <v/>
      </c>
      <c r="AI396" s="10">
        <f t="shared" si="70"/>
        <v>10</v>
      </c>
      <c r="AJ396" s="10">
        <f>IF($X396=1,LOOKUP(AI396,'Udvaskning nøgletal'!$C$12:$C$62,'Udvaskning nøgletal'!$E$12:$E$62)+Markniveau!$Y396*Markniveau!$S396/100,IF($X396=2,LOOKUP(AI396,'Udvaskning nøgletal'!$C$12:$C$62,'Udvaskning nøgletal'!$F$12:$F$62)+Markniveau!$Y396*Markniveau!$S396/100,IF($X396=3,LOOKUP(AI396,'Udvaskning nøgletal'!$C$12:$C$62,'Udvaskning nøgletal'!Q406:Q456)+Markniveau!$Y396*Markniveau!$S396/100,"")))</f>
        <v>68.843927533423752</v>
      </c>
      <c r="AK396" s="10">
        <f t="shared" si="69"/>
        <v>295.34044911838788</v>
      </c>
      <c r="AL396" s="10" t="str">
        <f t="shared" si="71"/>
        <v/>
      </c>
      <c r="AM396" s="10" t="str">
        <f t="shared" si="72"/>
        <v/>
      </c>
    </row>
    <row r="397" spans="1:39" x14ac:dyDescent="0.25">
      <c r="A397" s="15">
        <v>16560243</v>
      </c>
      <c r="B397" s="15">
        <v>7.16</v>
      </c>
      <c r="C397" s="15">
        <v>469593</v>
      </c>
      <c r="D397" s="15">
        <v>46000</v>
      </c>
      <c r="E397" s="15" t="s">
        <v>361</v>
      </c>
      <c r="F397" s="15">
        <v>2011</v>
      </c>
      <c r="G397" s="15">
        <v>20110310</v>
      </c>
      <c r="H397" s="15">
        <v>50577</v>
      </c>
      <c r="I397" s="15">
        <v>5.0599999999999996</v>
      </c>
      <c r="J397" s="6" t="s">
        <v>36</v>
      </c>
      <c r="K397" s="15">
        <v>15</v>
      </c>
      <c r="L397" s="15" t="s">
        <v>362</v>
      </c>
      <c r="M397" s="15" t="s">
        <v>5</v>
      </c>
      <c r="N397" s="11" t="s">
        <v>1384</v>
      </c>
      <c r="O397" s="11" t="s">
        <v>28</v>
      </c>
      <c r="P397" s="11" t="s">
        <v>33</v>
      </c>
      <c r="Q397" s="15">
        <v>25</v>
      </c>
      <c r="R397" s="11" t="s">
        <v>7</v>
      </c>
      <c r="S397" s="10">
        <v>83.678550668474998</v>
      </c>
      <c r="T397" s="15">
        <v>80</v>
      </c>
      <c r="U397" s="15">
        <v>0</v>
      </c>
      <c r="V397" s="15">
        <v>0</v>
      </c>
      <c r="W397" s="15">
        <v>0</v>
      </c>
      <c r="X397" s="15">
        <f>IF(O397='Udvaskning nøgletal'!$D$65,1,IF(O397='Udvaskning nøgletal'!$D$66,2,IF(O397='Udvaskning nøgletal'!$D$67,3,IF(O397='Udvaskning nøgletal'!$D$68,2,""))))</f>
        <v>1</v>
      </c>
      <c r="Y397" s="15">
        <f>LOOKUP(K397,'Udvaskning nøgletal'!$C$12:$C$60,'Udvaskning nøgletal'!$H$12:$H$60)</f>
        <v>5</v>
      </c>
      <c r="Z397" s="10">
        <f>IF(X397=1,LOOKUP(K397,'Udvaskning nøgletal'!$C$12:$C$60,'Udvaskning nøgletal'!$E$12:$E$60)+Markniveau!Y397*Markniveau!S397/100,IF(X397=2,LOOKUP(K397,'Udvaskning nøgletal'!$C$12:$C$60,'Udvaskning nøgletal'!$F$12:$F$60)+Markniveau!Y397*Markniveau!S397/100,IF(X397=3,LOOKUP(K397,'Udvaskning nøgletal'!$C$12:$C$60,'Udvaskning nøgletal'!G407:G455)+Markniveau!Y397*Markniveau!S397/100,"")))</f>
        <v>68.843927533423752</v>
      </c>
      <c r="AA397" s="10">
        <f t="shared" si="66"/>
        <v>348.35027331912414</v>
      </c>
      <c r="AB397" s="10">
        <f t="shared" si="65"/>
        <v>51.632945650067811</v>
      </c>
      <c r="AC397" s="10">
        <f t="shared" si="67"/>
        <v>261.26270498934309</v>
      </c>
      <c r="AD397" s="10">
        <f>IF(AND(Q397&gt;0,Q397&lt;30,K397&lt;8),Markniveau!Z397*'Udvaskning nøgletal'!$I$12/100,IF(AND(Q397&gt;0,Q397&lt;30,K397=216),Markniveau!Z397*'Udvaskning nøgletal'!$I$34/100,Markniveau!Z397))</f>
        <v>68.843927533423752</v>
      </c>
      <c r="AE397" s="10">
        <f t="shared" si="63"/>
        <v>348.35027331912414</v>
      </c>
      <c r="AF397" s="10">
        <f t="shared" si="68"/>
        <v>51.632945650067811</v>
      </c>
      <c r="AG397" s="10">
        <f t="shared" si="64"/>
        <v>261.26270498934309</v>
      </c>
      <c r="AH397" s="10">
        <f>IF(AND(Q397&gt;0,Q397&lt;30,K397=216),'Udvaskning nøgletal'!$C$42,IF(AND(Q397&gt;0,Q397&lt;30,K397&gt;7,K397&lt;17),'Udvaskning nøgletal'!$C$61,IF(AND(Q397&gt;0,Q397&lt;30,K397&lt;7),'Udvaskning nøgletal'!$C$62,"")))</f>
        <v>1001</v>
      </c>
      <c r="AI397" s="10">
        <f t="shared" si="70"/>
        <v>1001</v>
      </c>
      <c r="AJ397" s="10">
        <f>IF($X397=1,LOOKUP(AI397,'Udvaskning nøgletal'!$C$12:$C$62,'Udvaskning nøgletal'!$E$12:$E$62)+Markniveau!$Y397*Markniveau!$S397/100,IF($X397=2,LOOKUP(AI397,'Udvaskning nøgletal'!$C$12:$C$62,'Udvaskning nøgletal'!$F$12:$F$62)+Markniveau!$Y397*Markniveau!$S397/100,IF($X397=3,LOOKUP(AI397,'Udvaskning nøgletal'!$C$12:$C$62,'Udvaskning nøgletal'!Q407:Q457)+Markniveau!$Y397*Markniveau!$S397/100,"")))</f>
        <v>34.683927533423748</v>
      </c>
      <c r="AK397" s="10">
        <f t="shared" si="69"/>
        <v>175.50067331912416</v>
      </c>
      <c r="AL397" s="10">
        <f t="shared" si="71"/>
        <v>26.012945650067813</v>
      </c>
      <c r="AM397" s="10">
        <f t="shared" si="72"/>
        <v>131.62550498934311</v>
      </c>
    </row>
    <row r="398" spans="1:39" x14ac:dyDescent="0.25">
      <c r="A398" s="15">
        <v>16560243</v>
      </c>
      <c r="B398" s="15">
        <v>7.16</v>
      </c>
      <c r="C398" s="15">
        <v>482286</v>
      </c>
      <c r="D398" s="15">
        <v>46000</v>
      </c>
      <c r="E398" s="15" t="s">
        <v>359</v>
      </c>
      <c r="F398" s="15">
        <v>2011</v>
      </c>
      <c r="G398" s="15">
        <v>20110310</v>
      </c>
      <c r="H398" s="15">
        <v>26764</v>
      </c>
      <c r="I398" s="15">
        <v>2.68</v>
      </c>
      <c r="J398" s="6" t="s">
        <v>1400</v>
      </c>
      <c r="K398" s="15">
        <v>15</v>
      </c>
      <c r="L398" s="15" t="s">
        <v>362</v>
      </c>
      <c r="M398" s="15" t="s">
        <v>5</v>
      </c>
      <c r="N398" s="11" t="s">
        <v>1384</v>
      </c>
      <c r="O398" s="11" t="s">
        <v>28</v>
      </c>
      <c r="P398" s="11" t="s">
        <v>33</v>
      </c>
      <c r="Q398" s="15">
        <v>25</v>
      </c>
      <c r="R398" s="11" t="s">
        <v>7</v>
      </c>
      <c r="S398" s="10">
        <v>83.678550668474998</v>
      </c>
      <c r="T398" s="15">
        <v>80</v>
      </c>
      <c r="U398" s="15">
        <v>0</v>
      </c>
      <c r="V398" s="15">
        <v>0</v>
      </c>
      <c r="W398" s="15">
        <v>0</v>
      </c>
      <c r="X398" s="15">
        <f>IF(O398='Udvaskning nøgletal'!$D$65,1,IF(O398='Udvaskning nøgletal'!$D$66,2,IF(O398='Udvaskning nøgletal'!$D$67,3,IF(O398='Udvaskning nøgletal'!$D$68,2,""))))</f>
        <v>1</v>
      </c>
      <c r="Y398" s="15">
        <f>LOOKUP(K398,'Udvaskning nøgletal'!$C$12:$C$60,'Udvaskning nøgletal'!$H$12:$H$60)</f>
        <v>5</v>
      </c>
      <c r="Z398" s="10">
        <f>IF(X398=1,LOOKUP(K398,'Udvaskning nøgletal'!$C$12:$C$60,'Udvaskning nøgletal'!$E$12:$E$60)+Markniveau!Y398*Markniveau!S398/100,IF(X398=2,LOOKUP(K398,'Udvaskning nøgletal'!$C$12:$C$60,'Udvaskning nøgletal'!$F$12:$F$60)+Markniveau!Y398*Markniveau!S398/100,IF(X398=3,LOOKUP(K398,'Udvaskning nøgletal'!$C$12:$C$60,'Udvaskning nøgletal'!G408:G456)+Markniveau!Y398*Markniveau!S398/100,"")))</f>
        <v>68.843927533423752</v>
      </c>
      <c r="AA398" s="10">
        <f t="shared" si="66"/>
        <v>184.50172578957566</v>
      </c>
      <c r="AB398" s="10">
        <f t="shared" si="65"/>
        <v>51.632945650067811</v>
      </c>
      <c r="AC398" s="10">
        <f t="shared" si="67"/>
        <v>138.37629434218175</v>
      </c>
      <c r="AD398" s="10">
        <f>IF(AND(Q398&gt;0,Q398&lt;30,K398&lt;8),Markniveau!Z398*'Udvaskning nøgletal'!$I$12/100,IF(AND(Q398&gt;0,Q398&lt;30,K398=216),Markniveau!Z398*'Udvaskning nøgletal'!$I$34/100,Markniveau!Z398))</f>
        <v>68.843927533423752</v>
      </c>
      <c r="AE398" s="10">
        <f t="shared" si="63"/>
        <v>184.50172578957566</v>
      </c>
      <c r="AF398" s="10">
        <f t="shared" si="68"/>
        <v>51.632945650067811</v>
      </c>
      <c r="AG398" s="10">
        <f t="shared" si="64"/>
        <v>138.37629434218175</v>
      </c>
      <c r="AH398" s="10">
        <f>IF(AND(Q398&gt;0,Q398&lt;30,K398=216),'Udvaskning nøgletal'!$C$42,IF(AND(Q398&gt;0,Q398&lt;30,K398&gt;7,K398&lt;17),'Udvaskning nøgletal'!$C$61,IF(AND(Q398&gt;0,Q398&lt;30,K398&lt;7),'Udvaskning nøgletal'!$C$62,"")))</f>
        <v>1001</v>
      </c>
      <c r="AI398" s="10">
        <f t="shared" si="70"/>
        <v>1001</v>
      </c>
      <c r="AJ398" s="10">
        <f>IF($X398=1,LOOKUP(AI398,'Udvaskning nøgletal'!$C$12:$C$62,'Udvaskning nøgletal'!$E$12:$E$62)+Markniveau!$Y398*Markniveau!$S398/100,IF($X398=2,LOOKUP(AI398,'Udvaskning nøgletal'!$C$12:$C$62,'Udvaskning nøgletal'!$F$12:$F$62)+Markniveau!$Y398*Markniveau!$S398/100,IF($X398=3,LOOKUP(AI398,'Udvaskning nøgletal'!$C$12:$C$62,'Udvaskning nøgletal'!Q408:Q458)+Markniveau!$Y398*Markniveau!$S398/100,"")))</f>
        <v>34.683927533423748</v>
      </c>
      <c r="AK398" s="10">
        <f t="shared" si="69"/>
        <v>92.952925789575644</v>
      </c>
      <c r="AL398" s="10">
        <f t="shared" si="71"/>
        <v>26.012945650067813</v>
      </c>
      <c r="AM398" s="10">
        <f t="shared" si="72"/>
        <v>69.714694342181744</v>
      </c>
    </row>
    <row r="399" spans="1:39" x14ac:dyDescent="0.25">
      <c r="A399" s="15">
        <v>16560243</v>
      </c>
      <c r="B399" s="15">
        <v>7.16</v>
      </c>
      <c r="C399" s="15">
        <v>484407</v>
      </c>
      <c r="D399" s="15">
        <v>46000</v>
      </c>
      <c r="E399" s="15" t="s">
        <v>363</v>
      </c>
      <c r="F399" s="15">
        <v>2011</v>
      </c>
      <c r="G399" s="15">
        <v>20110310</v>
      </c>
      <c r="H399" s="15">
        <v>5455</v>
      </c>
      <c r="I399" s="15">
        <v>0.55000000000000004</v>
      </c>
      <c r="J399" s="6" t="s">
        <v>1398</v>
      </c>
      <c r="K399" s="15">
        <v>11</v>
      </c>
      <c r="L399" s="15" t="s">
        <v>102</v>
      </c>
      <c r="M399" s="15" t="s">
        <v>5</v>
      </c>
      <c r="N399" s="11" t="s">
        <v>1384</v>
      </c>
      <c r="O399" s="11" t="s">
        <v>28</v>
      </c>
      <c r="P399" s="11" t="s">
        <v>29</v>
      </c>
      <c r="Q399" s="15">
        <v>95</v>
      </c>
      <c r="R399" s="11" t="s">
        <v>3</v>
      </c>
      <c r="S399" s="10">
        <v>83.678550668474998</v>
      </c>
      <c r="T399" s="15">
        <v>80</v>
      </c>
      <c r="U399" s="15">
        <v>0</v>
      </c>
      <c r="V399" s="15">
        <v>0</v>
      </c>
      <c r="W399" s="15">
        <v>0</v>
      </c>
      <c r="X399" s="15">
        <f>IF(O399='Udvaskning nøgletal'!$D$65,1,IF(O399='Udvaskning nøgletal'!$D$66,2,IF(O399='Udvaskning nøgletal'!$D$67,3,IF(O399='Udvaskning nøgletal'!$D$68,2,""))))</f>
        <v>1</v>
      </c>
      <c r="Y399" s="15">
        <f>LOOKUP(K399,'Udvaskning nøgletal'!$C$12:$C$60,'Udvaskning nøgletal'!$H$12:$H$60)</f>
        <v>5</v>
      </c>
      <c r="Z399" s="10">
        <f>IF(X399=1,LOOKUP(K399,'Udvaskning nøgletal'!$C$12:$C$60,'Udvaskning nøgletal'!$E$12:$E$60)+Markniveau!Y399*Markniveau!S399/100,IF(X399=2,LOOKUP(K399,'Udvaskning nøgletal'!$C$12:$C$60,'Udvaskning nøgletal'!$F$12:$F$60)+Markniveau!Y399*Markniveau!S399/100,IF(X399=3,LOOKUP(K399,'Udvaskning nøgletal'!$C$12:$C$60,'Udvaskning nøgletal'!G409:G457)+Markniveau!Y399*Markniveau!S399/100,"")))</f>
        <v>68.843927533423752</v>
      </c>
      <c r="AA399" s="10">
        <f t="shared" si="66"/>
        <v>37.864160143383067</v>
      </c>
      <c r="AB399" s="10">
        <f t="shared" si="65"/>
        <v>3.4421963766711876</v>
      </c>
      <c r="AC399" s="10">
        <f t="shared" si="67"/>
        <v>1.8932080071691533</v>
      </c>
      <c r="AD399" s="10">
        <f>IF(AND(Q399&gt;0,Q399&lt;30,K399&lt;8),Markniveau!Z399*'Udvaskning nøgletal'!$I$12/100,IF(AND(Q399&gt;0,Q399&lt;30,K399=216),Markniveau!Z399*'Udvaskning nøgletal'!$I$34/100,Markniveau!Z399))</f>
        <v>68.843927533423752</v>
      </c>
      <c r="AE399" s="10">
        <f t="shared" si="63"/>
        <v>37.864160143383067</v>
      </c>
      <c r="AF399" s="10">
        <f t="shared" si="68"/>
        <v>3.4421963766711876</v>
      </c>
      <c r="AG399" s="10">
        <f t="shared" si="64"/>
        <v>1.8932080071691533</v>
      </c>
      <c r="AH399" s="10" t="str">
        <f>IF(AND(Q399&gt;0,Q399&lt;30,K399=216),'Udvaskning nøgletal'!$C$42,IF(AND(Q399&gt;0,Q399&lt;30,K399&gt;7,K399&lt;17),'Udvaskning nøgletal'!$C$61,IF(AND(Q399&gt;0,Q399&lt;30,K399&lt;7),'Udvaskning nøgletal'!$C$62,"")))</f>
        <v/>
      </c>
      <c r="AI399" s="10">
        <f t="shared" si="70"/>
        <v>11</v>
      </c>
      <c r="AJ399" s="10">
        <f>IF($X399=1,LOOKUP(AI399,'Udvaskning nøgletal'!$C$12:$C$62,'Udvaskning nøgletal'!$E$12:$E$62)+Markniveau!$Y399*Markniveau!$S399/100,IF($X399=2,LOOKUP(AI399,'Udvaskning nøgletal'!$C$12:$C$62,'Udvaskning nøgletal'!$F$12:$F$62)+Markniveau!$Y399*Markniveau!$S399/100,IF($X399=3,LOOKUP(AI399,'Udvaskning nøgletal'!$C$12:$C$62,'Udvaskning nøgletal'!Q409:Q459)+Markniveau!$Y399*Markniveau!$S399/100,"")))</f>
        <v>68.843927533423752</v>
      </c>
      <c r="AK399" s="10">
        <f t="shared" si="69"/>
        <v>37.864160143383067</v>
      </c>
      <c r="AL399" s="10">
        <f t="shared" si="71"/>
        <v>3.4421963766711876</v>
      </c>
      <c r="AM399" s="10">
        <f t="shared" si="72"/>
        <v>1.8932080071691533</v>
      </c>
    </row>
    <row r="400" spans="1:39" x14ac:dyDescent="0.25">
      <c r="A400" s="15">
        <v>16560243</v>
      </c>
      <c r="B400" s="15">
        <v>7.16</v>
      </c>
      <c r="C400" s="15">
        <v>488670</v>
      </c>
      <c r="D400" s="15">
        <v>46000</v>
      </c>
      <c r="E400" s="15" t="s">
        <v>364</v>
      </c>
      <c r="F400" s="15">
        <v>2011</v>
      </c>
      <c r="G400" s="15">
        <v>20110310</v>
      </c>
      <c r="H400" s="15">
        <v>52746</v>
      </c>
      <c r="I400" s="15">
        <v>5.27</v>
      </c>
      <c r="J400" s="6" t="s">
        <v>35</v>
      </c>
      <c r="K400" s="15">
        <v>1</v>
      </c>
      <c r="L400" s="15" t="s">
        <v>32</v>
      </c>
      <c r="M400" s="15" t="s">
        <v>5</v>
      </c>
      <c r="N400" s="11" t="s">
        <v>1384</v>
      </c>
      <c r="O400" s="11" t="s">
        <v>28</v>
      </c>
      <c r="P400" s="11" t="s">
        <v>33</v>
      </c>
      <c r="Q400" s="15">
        <v>1</v>
      </c>
      <c r="R400" s="11" t="s">
        <v>11</v>
      </c>
      <c r="S400" s="10">
        <v>83.678550668474998</v>
      </c>
      <c r="T400" s="15">
        <v>80</v>
      </c>
      <c r="U400" s="15">
        <v>0</v>
      </c>
      <c r="V400" s="15">
        <v>0</v>
      </c>
      <c r="W400" s="15">
        <v>0</v>
      </c>
      <c r="X400" s="15">
        <f>IF(O400='Udvaskning nøgletal'!$D$65,1,IF(O400='Udvaskning nøgletal'!$D$66,2,IF(O400='Udvaskning nøgletal'!$D$67,3,IF(O400='Udvaskning nøgletal'!$D$68,2,""))))</f>
        <v>1</v>
      </c>
      <c r="Y400" s="15">
        <f>LOOKUP(K400,'Udvaskning nøgletal'!$C$12:$C$60,'Udvaskning nøgletal'!$H$12:$H$60)</f>
        <v>5</v>
      </c>
      <c r="Z400" s="10">
        <f>IF(X400=1,LOOKUP(K400,'Udvaskning nøgletal'!$C$12:$C$60,'Udvaskning nøgletal'!$E$12:$E$60)+Markniveau!Y400*Markniveau!S400/100,IF(X400=2,LOOKUP(K400,'Udvaskning nøgletal'!$C$12:$C$60,'Udvaskning nøgletal'!$F$12:$F$60)+Markniveau!Y400*Markniveau!S400/100,IF(X400=3,LOOKUP(K400,'Udvaskning nøgletal'!$C$12:$C$60,'Udvaskning nøgletal'!G410:G458)+Markniveau!Y400*Markniveau!S400/100,"")))</f>
        <v>68.843927533423752</v>
      </c>
      <c r="AA400" s="10">
        <f t="shared" si="66"/>
        <v>362.80749810114315</v>
      </c>
      <c r="AB400" s="10">
        <f t="shared" si="65"/>
        <v>68.15548825808952</v>
      </c>
      <c r="AC400" s="10">
        <f t="shared" si="67"/>
        <v>359.17942312013173</v>
      </c>
      <c r="AD400" s="10">
        <f>IF(AND(Q400&gt;0,Q400&lt;30,K400&lt;8),Markniveau!Z400*'Udvaskning nøgletal'!$I$12/100,IF(AND(Q400&gt;0,Q400&lt;30,K400=216),Markniveau!Z400*'Udvaskning nøgletal'!$I$34/100,Markniveau!Z400))</f>
        <v>34.421963766711876</v>
      </c>
      <c r="AE400" s="10">
        <f t="shared" si="63"/>
        <v>181.40374905057158</v>
      </c>
      <c r="AF400" s="10">
        <f t="shared" si="68"/>
        <v>34.07774412904476</v>
      </c>
      <c r="AG400" s="10">
        <f t="shared" si="64"/>
        <v>179.58971156006587</v>
      </c>
      <c r="AH400" s="10">
        <f>IF(AND(Q400&gt;0,Q400&lt;30,K400=216),'Udvaskning nøgletal'!$C$42,IF(AND(Q400&gt;0,Q400&lt;30,K400&gt;7,K400&lt;17),'Udvaskning nøgletal'!$C$61,IF(AND(Q400&gt;0,Q400&lt;30,K400&lt;7),'Udvaskning nøgletal'!$C$62,"")))</f>
        <v>1002</v>
      </c>
      <c r="AI400" s="10">
        <f t="shared" si="70"/>
        <v>1002</v>
      </c>
      <c r="AJ400" s="10">
        <f>IF($X400=1,LOOKUP(AI400,'Udvaskning nøgletal'!$C$12:$C$62,'Udvaskning nøgletal'!$E$12:$E$62)+Markniveau!$Y400*Markniveau!$S400/100,IF($X400=2,LOOKUP(AI400,'Udvaskning nøgletal'!$C$12:$C$62,'Udvaskning nøgletal'!$F$12:$F$62)+Markniveau!$Y400*Markniveau!$S400/100,IF($X400=3,LOOKUP(AI400,'Udvaskning nøgletal'!$C$12:$C$62,'Udvaskning nøgletal'!Q410:Q460)+Markniveau!$Y400*Markniveau!$S400/100,"")))</f>
        <v>34.683927533423748</v>
      </c>
      <c r="AK400" s="10">
        <f t="shared" si="69"/>
        <v>182.78429810114315</v>
      </c>
      <c r="AL400" s="10">
        <f t="shared" si="71"/>
        <v>34.337088258089508</v>
      </c>
      <c r="AM400" s="10">
        <f t="shared" si="72"/>
        <v>180.95645512013169</v>
      </c>
    </row>
    <row r="401" spans="1:39" x14ac:dyDescent="0.25">
      <c r="A401" s="15">
        <v>16560243</v>
      </c>
      <c r="B401" s="15">
        <v>7.16</v>
      </c>
      <c r="C401" s="15">
        <v>392735</v>
      </c>
      <c r="D401" s="15">
        <v>46000</v>
      </c>
      <c r="E401" s="15" t="s">
        <v>365</v>
      </c>
      <c r="F401" s="15">
        <v>2011</v>
      </c>
      <c r="G401" s="15">
        <v>20110310</v>
      </c>
      <c r="H401" s="15">
        <v>54028</v>
      </c>
      <c r="I401" s="15">
        <v>5.4</v>
      </c>
      <c r="J401" s="6" t="s">
        <v>61</v>
      </c>
      <c r="K401" s="15">
        <v>11</v>
      </c>
      <c r="L401" s="15" t="s">
        <v>102</v>
      </c>
      <c r="M401" s="15" t="s">
        <v>5</v>
      </c>
      <c r="N401" s="11" t="s">
        <v>1384</v>
      </c>
      <c r="O401" s="11" t="s">
        <v>28</v>
      </c>
      <c r="P401" s="11" t="s">
        <v>33</v>
      </c>
      <c r="Q401" s="15">
        <v>95</v>
      </c>
      <c r="R401" s="11" t="s">
        <v>3</v>
      </c>
      <c r="S401" s="10">
        <v>83.678550668474998</v>
      </c>
      <c r="T401" s="15">
        <v>80</v>
      </c>
      <c r="U401" s="15">
        <v>0</v>
      </c>
      <c r="V401" s="15">
        <v>0</v>
      </c>
      <c r="W401" s="15">
        <v>0</v>
      </c>
      <c r="X401" s="15">
        <f>IF(O401='Udvaskning nøgletal'!$D$65,1,IF(O401='Udvaskning nøgletal'!$D$66,2,IF(O401='Udvaskning nøgletal'!$D$67,3,IF(O401='Udvaskning nøgletal'!$D$68,2,""))))</f>
        <v>1</v>
      </c>
      <c r="Y401" s="15">
        <f>LOOKUP(K401,'Udvaskning nøgletal'!$C$12:$C$60,'Udvaskning nøgletal'!$H$12:$H$60)</f>
        <v>5</v>
      </c>
      <c r="Z401" s="10">
        <f>IF(X401=1,LOOKUP(K401,'Udvaskning nøgletal'!$C$12:$C$60,'Udvaskning nøgletal'!$E$12:$E$60)+Markniveau!Y401*Markniveau!S401/100,IF(X401=2,LOOKUP(K401,'Udvaskning nøgletal'!$C$12:$C$60,'Udvaskning nøgletal'!$F$12:$F$60)+Markniveau!Y401*Markniveau!S401/100,IF(X401=3,LOOKUP(K401,'Udvaskning nøgletal'!$C$12:$C$60,'Udvaskning nøgletal'!G411:G459)+Markniveau!Y401*Markniveau!S401/100,"")))</f>
        <v>68.843927533423752</v>
      </c>
      <c r="AA401" s="10">
        <f t="shared" si="66"/>
        <v>371.7572086804883</v>
      </c>
      <c r="AB401" s="10">
        <f t="shared" si="65"/>
        <v>3.4421963766711876</v>
      </c>
      <c r="AC401" s="10">
        <f t="shared" si="67"/>
        <v>18.587860434024414</v>
      </c>
      <c r="AD401" s="10">
        <f>IF(AND(Q401&gt;0,Q401&lt;30,K401&lt;8),Markniveau!Z401*'Udvaskning nøgletal'!$I$12/100,IF(AND(Q401&gt;0,Q401&lt;30,K401=216),Markniveau!Z401*'Udvaskning nøgletal'!$I$34/100,Markniveau!Z401))</f>
        <v>68.843927533423752</v>
      </c>
      <c r="AE401" s="10">
        <f t="shared" ref="AE401:AE464" si="73">AD401*I401</f>
        <v>371.7572086804883</v>
      </c>
      <c r="AF401" s="10">
        <f t="shared" si="68"/>
        <v>3.4421963766711876</v>
      </c>
      <c r="AG401" s="10">
        <f t="shared" ref="AG401:AG464" si="74">IF($Q401&gt;0,(100-$Q401)*$AD401/100*I401,"")</f>
        <v>18.587860434024414</v>
      </c>
      <c r="AH401" s="10" t="str">
        <f>IF(AND(Q401&gt;0,Q401&lt;30,K401=216),'Udvaskning nøgletal'!$C$42,IF(AND(Q401&gt;0,Q401&lt;30,K401&gt;7,K401&lt;17),'Udvaskning nøgletal'!$C$61,IF(AND(Q401&gt;0,Q401&lt;30,K401&lt;7),'Udvaskning nøgletal'!$C$62,"")))</f>
        <v/>
      </c>
      <c r="AI401" s="10">
        <f t="shared" si="70"/>
        <v>11</v>
      </c>
      <c r="AJ401" s="10">
        <f>IF($X401=1,LOOKUP(AI401,'Udvaskning nøgletal'!$C$12:$C$62,'Udvaskning nøgletal'!$E$12:$E$62)+Markniveau!$Y401*Markniveau!$S401/100,IF($X401=2,LOOKUP(AI401,'Udvaskning nøgletal'!$C$12:$C$62,'Udvaskning nøgletal'!$F$12:$F$62)+Markniveau!$Y401*Markniveau!$S401/100,IF($X401=3,LOOKUP(AI401,'Udvaskning nøgletal'!$C$12:$C$62,'Udvaskning nøgletal'!Q411:Q461)+Markniveau!$Y401*Markniveau!$S401/100,"")))</f>
        <v>68.843927533423752</v>
      </c>
      <c r="AK401" s="10">
        <f t="shared" si="69"/>
        <v>371.7572086804883</v>
      </c>
      <c r="AL401" s="10">
        <f t="shared" si="71"/>
        <v>3.4421963766711876</v>
      </c>
      <c r="AM401" s="10">
        <f t="shared" si="72"/>
        <v>18.587860434024414</v>
      </c>
    </row>
    <row r="402" spans="1:39" x14ac:dyDescent="0.25">
      <c r="A402" s="15">
        <v>16560243</v>
      </c>
      <c r="B402" s="15">
        <v>7.16</v>
      </c>
      <c r="C402" s="15">
        <v>393268</v>
      </c>
      <c r="D402" s="15">
        <v>46000</v>
      </c>
      <c r="E402" s="15" t="s">
        <v>366</v>
      </c>
      <c r="F402" s="15">
        <v>2011</v>
      </c>
      <c r="G402" s="15">
        <v>20110310</v>
      </c>
      <c r="H402" s="15">
        <v>50268</v>
      </c>
      <c r="I402" s="15">
        <v>5.03</v>
      </c>
      <c r="J402" s="6" t="s">
        <v>37</v>
      </c>
      <c r="K402" s="15">
        <v>11</v>
      </c>
      <c r="L402" s="15" t="s">
        <v>102</v>
      </c>
      <c r="M402" s="15" t="s">
        <v>5</v>
      </c>
      <c r="N402" s="11" t="s">
        <v>1384</v>
      </c>
      <c r="O402" s="11" t="s">
        <v>28</v>
      </c>
      <c r="P402" s="11" t="s">
        <v>29</v>
      </c>
      <c r="Q402" s="15">
        <v>95</v>
      </c>
      <c r="R402" s="11" t="s">
        <v>3</v>
      </c>
      <c r="S402" s="10">
        <v>83.678550668474998</v>
      </c>
      <c r="T402" s="15">
        <v>80</v>
      </c>
      <c r="U402" s="15">
        <v>0</v>
      </c>
      <c r="V402" s="15">
        <v>0</v>
      </c>
      <c r="W402" s="15">
        <v>0</v>
      </c>
      <c r="X402" s="15">
        <f>IF(O402='Udvaskning nøgletal'!$D$65,1,IF(O402='Udvaskning nøgletal'!$D$66,2,IF(O402='Udvaskning nøgletal'!$D$67,3,IF(O402='Udvaskning nøgletal'!$D$68,2,""))))</f>
        <v>1</v>
      </c>
      <c r="Y402" s="15">
        <f>LOOKUP(K402,'Udvaskning nøgletal'!$C$12:$C$60,'Udvaskning nøgletal'!$H$12:$H$60)</f>
        <v>5</v>
      </c>
      <c r="Z402" s="10">
        <f>IF(X402=1,LOOKUP(K402,'Udvaskning nøgletal'!$C$12:$C$60,'Udvaskning nøgletal'!$E$12:$E$60)+Markniveau!Y402*Markniveau!S402/100,IF(X402=2,LOOKUP(K402,'Udvaskning nøgletal'!$C$12:$C$60,'Udvaskning nøgletal'!$F$12:$F$60)+Markniveau!Y402*Markniveau!S402/100,IF(X402=3,LOOKUP(K402,'Udvaskning nøgletal'!$C$12:$C$60,'Udvaskning nøgletal'!G412:G460)+Markniveau!Y402*Markniveau!S402/100,"")))</f>
        <v>68.843927533423752</v>
      </c>
      <c r="AA402" s="10">
        <f t="shared" si="66"/>
        <v>346.28495549312152</v>
      </c>
      <c r="AB402" s="10">
        <f t="shared" si="65"/>
        <v>3.4421963766711876</v>
      </c>
      <c r="AC402" s="10">
        <f t="shared" si="67"/>
        <v>17.314247774656074</v>
      </c>
      <c r="AD402" s="10">
        <f>IF(AND(Q402&gt;0,Q402&lt;30,K402&lt;8),Markniveau!Z402*'Udvaskning nøgletal'!$I$12/100,IF(AND(Q402&gt;0,Q402&lt;30,K402=216),Markniveau!Z402*'Udvaskning nøgletal'!$I$34/100,Markniveau!Z402))</f>
        <v>68.843927533423752</v>
      </c>
      <c r="AE402" s="10">
        <f t="shared" si="73"/>
        <v>346.28495549312152</v>
      </c>
      <c r="AF402" s="10">
        <f t="shared" si="68"/>
        <v>3.4421963766711876</v>
      </c>
      <c r="AG402" s="10">
        <f t="shared" si="74"/>
        <v>17.314247774656074</v>
      </c>
      <c r="AH402" s="10" t="str">
        <f>IF(AND(Q402&gt;0,Q402&lt;30,K402=216),'Udvaskning nøgletal'!$C$42,IF(AND(Q402&gt;0,Q402&lt;30,K402&gt;7,K402&lt;17),'Udvaskning nøgletal'!$C$61,IF(AND(Q402&gt;0,Q402&lt;30,K402&lt;7),'Udvaskning nøgletal'!$C$62,"")))</f>
        <v/>
      </c>
      <c r="AI402" s="10">
        <f t="shared" si="70"/>
        <v>11</v>
      </c>
      <c r="AJ402" s="10">
        <f>IF($X402=1,LOOKUP(AI402,'Udvaskning nøgletal'!$C$12:$C$62,'Udvaskning nøgletal'!$E$12:$E$62)+Markniveau!$Y402*Markniveau!$S402/100,IF($X402=2,LOOKUP(AI402,'Udvaskning nøgletal'!$C$12:$C$62,'Udvaskning nøgletal'!$F$12:$F$62)+Markniveau!$Y402*Markniveau!$S402/100,IF($X402=3,LOOKUP(AI402,'Udvaskning nøgletal'!$C$12:$C$62,'Udvaskning nøgletal'!Q412:Q462)+Markniveau!$Y402*Markniveau!$S402/100,"")))</f>
        <v>68.843927533423752</v>
      </c>
      <c r="AK402" s="10">
        <f t="shared" si="69"/>
        <v>346.28495549312152</v>
      </c>
      <c r="AL402" s="10">
        <f t="shared" si="71"/>
        <v>3.4421963766711876</v>
      </c>
      <c r="AM402" s="10">
        <f t="shared" si="72"/>
        <v>17.314247774656074</v>
      </c>
    </row>
    <row r="403" spans="1:39" x14ac:dyDescent="0.25">
      <c r="A403" s="15">
        <v>16839442</v>
      </c>
      <c r="B403" s="15">
        <v>1.73</v>
      </c>
      <c r="C403" s="15">
        <v>441698</v>
      </c>
      <c r="D403" s="15">
        <v>149759</v>
      </c>
      <c r="E403" s="15" t="s">
        <v>367</v>
      </c>
      <c r="F403" s="15">
        <v>2011</v>
      </c>
      <c r="G403" s="15">
        <v>20110304</v>
      </c>
      <c r="H403" s="15">
        <v>55239</v>
      </c>
      <c r="I403" s="15">
        <v>5.52</v>
      </c>
      <c r="J403" s="6" t="s">
        <v>97</v>
      </c>
      <c r="K403" s="15">
        <v>1</v>
      </c>
      <c r="L403" s="15" t="s">
        <v>32</v>
      </c>
      <c r="M403" s="15" t="s">
        <v>5</v>
      </c>
      <c r="N403" s="11" t="s">
        <v>1391</v>
      </c>
      <c r="O403" s="11" t="s">
        <v>46</v>
      </c>
      <c r="P403" s="11" t="s">
        <v>33</v>
      </c>
      <c r="Q403" s="15">
        <v>0</v>
      </c>
      <c r="R403" s="11" t="s">
        <v>1386</v>
      </c>
      <c r="S403" s="10">
        <v>81.261950286806993</v>
      </c>
      <c r="T403" s="15">
        <v>80</v>
      </c>
      <c r="U403" s="15">
        <v>0</v>
      </c>
      <c r="V403" s="15">
        <v>0</v>
      </c>
      <c r="W403" s="15">
        <v>0</v>
      </c>
      <c r="X403" s="15">
        <f>IF(O403='Udvaskning nøgletal'!$D$65,1,IF(O403='Udvaskning nøgletal'!$D$66,2,IF(O403='Udvaskning nøgletal'!$D$67,3,IF(O403='Udvaskning nøgletal'!$D$68,2,""))))</f>
        <v>2</v>
      </c>
      <c r="Y403" s="15">
        <f>LOOKUP(K403,'Udvaskning nøgletal'!$C$12:$C$60,'Udvaskning nøgletal'!$H$12:$H$60)</f>
        <v>5</v>
      </c>
      <c r="Z403" s="10">
        <f>IF(X403=1,LOOKUP(K403,'Udvaskning nøgletal'!$C$12:$C$60,'Udvaskning nøgletal'!$E$12:$E$60)+Markniveau!Y403*Markniveau!S403/100,IF(X403=2,LOOKUP(K403,'Udvaskning nøgletal'!$C$12:$C$60,'Udvaskning nøgletal'!$F$12:$F$60)+Markniveau!Y403*Markniveau!S403/100,IF(X403=3,LOOKUP(K403,'Udvaskning nøgletal'!$C$12:$C$60,'Udvaskning nøgletal'!G413:G461)+Markniveau!Y403*Markniveau!S403/100,"")))</f>
        <v>54.943097514340351</v>
      </c>
      <c r="AA403" s="10">
        <f t="shared" si="66"/>
        <v>303.28589827915874</v>
      </c>
      <c r="AB403" s="10" t="str">
        <f t="shared" si="65"/>
        <v/>
      </c>
      <c r="AC403" s="10" t="str">
        <f t="shared" si="67"/>
        <v/>
      </c>
      <c r="AD403" s="10">
        <f>IF(AND(Q403&gt;0,Q403&lt;30,K403&lt;8),Markniveau!Z403*'Udvaskning nøgletal'!$I$12/100,IF(AND(Q403&gt;0,Q403&lt;30,K403=216),Markniveau!Z403*'Udvaskning nøgletal'!$I$34/100,Markniveau!Z403))</f>
        <v>54.943097514340351</v>
      </c>
      <c r="AE403" s="10">
        <f t="shared" si="73"/>
        <v>303.28589827915874</v>
      </c>
      <c r="AF403" s="10" t="str">
        <f t="shared" si="68"/>
        <v/>
      </c>
      <c r="AG403" s="10" t="str">
        <f t="shared" si="74"/>
        <v/>
      </c>
      <c r="AH403" s="10" t="str">
        <f>IF(AND(Q403&gt;0,Q403&lt;30,K403=216),'Udvaskning nøgletal'!$C$42,IF(AND(Q403&gt;0,Q403&lt;30,K403&gt;7,K403&lt;17),'Udvaskning nøgletal'!$C$61,IF(AND(Q403&gt;0,Q403&lt;30,K403&lt;7),'Udvaskning nøgletal'!$C$62,"")))</f>
        <v/>
      </c>
      <c r="AI403" s="10">
        <f t="shared" si="70"/>
        <v>1</v>
      </c>
      <c r="AJ403" s="10">
        <f>IF($X403=1,LOOKUP(AI403,'Udvaskning nøgletal'!$C$12:$C$62,'Udvaskning nøgletal'!$E$12:$E$62)+Markniveau!$Y403*Markniveau!$S403/100,IF($X403=2,LOOKUP(AI403,'Udvaskning nøgletal'!$C$12:$C$62,'Udvaskning nøgletal'!$F$12:$F$62)+Markniveau!$Y403*Markniveau!$S403/100,IF($X403=3,LOOKUP(AI403,'Udvaskning nøgletal'!$C$12:$C$62,'Udvaskning nøgletal'!Q413:Q463)+Markniveau!$Y403*Markniveau!$S403/100,"")))</f>
        <v>54.943097514340351</v>
      </c>
      <c r="AK403" s="10">
        <f t="shared" si="69"/>
        <v>303.28589827915874</v>
      </c>
      <c r="AL403" s="10" t="str">
        <f t="shared" si="71"/>
        <v/>
      </c>
      <c r="AM403" s="10" t="str">
        <f t="shared" si="72"/>
        <v/>
      </c>
    </row>
    <row r="404" spans="1:39" x14ac:dyDescent="0.25">
      <c r="A404" s="15">
        <v>16839442</v>
      </c>
      <c r="B404" s="15">
        <v>1.73</v>
      </c>
      <c r="C404" s="15">
        <v>463922</v>
      </c>
      <c r="D404" s="15">
        <v>149759</v>
      </c>
      <c r="E404" s="15" t="s">
        <v>368</v>
      </c>
      <c r="F404" s="15">
        <v>2011</v>
      </c>
      <c r="G404" s="15">
        <v>20110304</v>
      </c>
      <c r="H404" s="15">
        <v>44790</v>
      </c>
      <c r="I404" s="15">
        <v>4.4800000000000004</v>
      </c>
      <c r="J404" s="6" t="s">
        <v>37</v>
      </c>
      <c r="K404" s="15">
        <v>10</v>
      </c>
      <c r="L404" s="15" t="s">
        <v>107</v>
      </c>
      <c r="M404" s="15" t="s">
        <v>5</v>
      </c>
      <c r="N404" s="11" t="s">
        <v>1391</v>
      </c>
      <c r="O404" s="11" t="s">
        <v>46</v>
      </c>
      <c r="P404" s="11" t="s">
        <v>33</v>
      </c>
      <c r="Q404" s="15">
        <v>0</v>
      </c>
      <c r="R404" s="11" t="s">
        <v>1386</v>
      </c>
      <c r="S404" s="10">
        <v>81.261950286806993</v>
      </c>
      <c r="T404" s="15">
        <v>80</v>
      </c>
      <c r="U404" s="15">
        <v>0</v>
      </c>
      <c r="V404" s="15">
        <v>0</v>
      </c>
      <c r="W404" s="15">
        <v>0</v>
      </c>
      <c r="X404" s="15">
        <f>IF(O404='Udvaskning nøgletal'!$D$65,1,IF(O404='Udvaskning nøgletal'!$D$66,2,IF(O404='Udvaskning nøgletal'!$D$67,3,IF(O404='Udvaskning nøgletal'!$D$68,2,""))))</f>
        <v>2</v>
      </c>
      <c r="Y404" s="15">
        <f>LOOKUP(K404,'Udvaskning nøgletal'!$C$12:$C$60,'Udvaskning nøgletal'!$H$12:$H$60)</f>
        <v>5</v>
      </c>
      <c r="Z404" s="10">
        <f>IF(X404=1,LOOKUP(K404,'Udvaskning nøgletal'!$C$12:$C$60,'Udvaskning nøgletal'!$E$12:$E$60)+Markniveau!Y404*Markniveau!S404/100,IF(X404=2,LOOKUP(K404,'Udvaskning nøgletal'!$C$12:$C$60,'Udvaskning nøgletal'!$F$12:$F$60)+Markniveau!Y404*Markniveau!S404/100,IF(X404=3,LOOKUP(K404,'Udvaskning nøgletal'!$C$12:$C$60,'Udvaskning nøgletal'!G414:G462)+Markniveau!Y404*Markniveau!S404/100,"")))</f>
        <v>54.943097514340351</v>
      </c>
      <c r="AA404" s="10">
        <f t="shared" si="66"/>
        <v>246.1450768642448</v>
      </c>
      <c r="AB404" s="10" t="str">
        <f t="shared" si="65"/>
        <v/>
      </c>
      <c r="AC404" s="10" t="str">
        <f t="shared" si="67"/>
        <v/>
      </c>
      <c r="AD404" s="10">
        <f>IF(AND(Q404&gt;0,Q404&lt;30,K404&lt;8),Markniveau!Z404*'Udvaskning nøgletal'!$I$12/100,IF(AND(Q404&gt;0,Q404&lt;30,K404=216),Markniveau!Z404*'Udvaskning nøgletal'!$I$34/100,Markniveau!Z404))</f>
        <v>54.943097514340351</v>
      </c>
      <c r="AE404" s="10">
        <f t="shared" si="73"/>
        <v>246.1450768642448</v>
      </c>
      <c r="AF404" s="10" t="str">
        <f t="shared" si="68"/>
        <v/>
      </c>
      <c r="AG404" s="10" t="str">
        <f t="shared" si="74"/>
        <v/>
      </c>
      <c r="AH404" s="10" t="str">
        <f>IF(AND(Q404&gt;0,Q404&lt;30,K404=216),'Udvaskning nøgletal'!$C$42,IF(AND(Q404&gt;0,Q404&lt;30,K404&gt;7,K404&lt;17),'Udvaskning nøgletal'!$C$61,IF(AND(Q404&gt;0,Q404&lt;30,K404&lt;7),'Udvaskning nøgletal'!$C$62,"")))</f>
        <v/>
      </c>
      <c r="AI404" s="10">
        <f t="shared" si="70"/>
        <v>10</v>
      </c>
      <c r="AJ404" s="10">
        <f>IF($X404=1,LOOKUP(AI404,'Udvaskning nøgletal'!$C$12:$C$62,'Udvaskning nøgletal'!$E$12:$E$62)+Markniveau!$Y404*Markniveau!$S404/100,IF($X404=2,LOOKUP(AI404,'Udvaskning nøgletal'!$C$12:$C$62,'Udvaskning nøgletal'!$F$12:$F$62)+Markniveau!$Y404*Markniveau!$S404/100,IF($X404=3,LOOKUP(AI404,'Udvaskning nøgletal'!$C$12:$C$62,'Udvaskning nøgletal'!Q414:Q464)+Markniveau!$Y404*Markniveau!$S404/100,"")))</f>
        <v>54.943097514340351</v>
      </c>
      <c r="AK404" s="10">
        <f t="shared" si="69"/>
        <v>246.1450768642448</v>
      </c>
      <c r="AL404" s="10" t="str">
        <f t="shared" si="71"/>
        <v/>
      </c>
      <c r="AM404" s="10" t="str">
        <f t="shared" si="72"/>
        <v/>
      </c>
    </row>
    <row r="405" spans="1:39" x14ac:dyDescent="0.25">
      <c r="A405" s="15">
        <v>16839442</v>
      </c>
      <c r="B405" s="15">
        <v>1.73</v>
      </c>
      <c r="C405" s="15">
        <v>292967</v>
      </c>
      <c r="D405" s="15">
        <v>149759</v>
      </c>
      <c r="E405" s="15" t="s">
        <v>369</v>
      </c>
      <c r="F405" s="15">
        <v>2011</v>
      </c>
      <c r="G405" s="15">
        <v>20110304</v>
      </c>
      <c r="H405" s="15">
        <v>17279</v>
      </c>
      <c r="I405" s="15">
        <v>1.73</v>
      </c>
      <c r="J405" s="6" t="s">
        <v>31</v>
      </c>
      <c r="K405" s="15">
        <v>1</v>
      </c>
      <c r="L405" s="15" t="s">
        <v>32</v>
      </c>
      <c r="M405" s="15" t="s">
        <v>5</v>
      </c>
      <c r="N405" s="11" t="s">
        <v>1391</v>
      </c>
      <c r="O405" s="11" t="s">
        <v>46</v>
      </c>
      <c r="P405" s="11" t="s">
        <v>29</v>
      </c>
      <c r="Q405" s="15">
        <v>0</v>
      </c>
      <c r="R405" s="11" t="s">
        <v>1386</v>
      </c>
      <c r="S405" s="10">
        <v>81.261950286806993</v>
      </c>
      <c r="T405" s="15">
        <v>80</v>
      </c>
      <c r="U405" s="15">
        <v>0</v>
      </c>
      <c r="V405" s="15">
        <v>0</v>
      </c>
      <c r="W405" s="15">
        <v>0</v>
      </c>
      <c r="X405" s="15">
        <f>IF(O405='Udvaskning nøgletal'!$D$65,1,IF(O405='Udvaskning nøgletal'!$D$66,2,IF(O405='Udvaskning nøgletal'!$D$67,3,IF(O405='Udvaskning nøgletal'!$D$68,2,""))))</f>
        <v>2</v>
      </c>
      <c r="Y405" s="15">
        <f>LOOKUP(K405,'Udvaskning nøgletal'!$C$12:$C$60,'Udvaskning nøgletal'!$H$12:$H$60)</f>
        <v>5</v>
      </c>
      <c r="Z405" s="10">
        <f>IF(X405=1,LOOKUP(K405,'Udvaskning nøgletal'!$C$12:$C$60,'Udvaskning nøgletal'!$E$12:$E$60)+Markniveau!Y405*Markniveau!S405/100,IF(X405=2,LOOKUP(K405,'Udvaskning nøgletal'!$C$12:$C$60,'Udvaskning nøgletal'!$F$12:$F$60)+Markniveau!Y405*Markniveau!S405/100,IF(X405=3,LOOKUP(K405,'Udvaskning nøgletal'!$C$12:$C$60,'Udvaskning nøgletal'!G415:G463)+Markniveau!Y405*Markniveau!S405/100,"")))</f>
        <v>54.943097514340351</v>
      </c>
      <c r="AA405" s="10">
        <f t="shared" si="66"/>
        <v>95.051558699808808</v>
      </c>
      <c r="AB405" s="10" t="str">
        <f t="shared" si="65"/>
        <v/>
      </c>
      <c r="AC405" s="10" t="str">
        <f t="shared" si="67"/>
        <v/>
      </c>
      <c r="AD405" s="10">
        <f>IF(AND(Q405&gt;0,Q405&lt;30,K405&lt;8),Markniveau!Z405*'Udvaskning nøgletal'!$I$12/100,IF(AND(Q405&gt;0,Q405&lt;30,K405=216),Markniveau!Z405*'Udvaskning nøgletal'!$I$34/100,Markniveau!Z405))</f>
        <v>54.943097514340351</v>
      </c>
      <c r="AE405" s="10">
        <f t="shared" si="73"/>
        <v>95.051558699808808</v>
      </c>
      <c r="AF405" s="10" t="str">
        <f t="shared" si="68"/>
        <v/>
      </c>
      <c r="AG405" s="10" t="str">
        <f t="shared" si="74"/>
        <v/>
      </c>
      <c r="AH405" s="10" t="str">
        <f>IF(AND(Q405&gt;0,Q405&lt;30,K405=216),'Udvaskning nøgletal'!$C$42,IF(AND(Q405&gt;0,Q405&lt;30,K405&gt;7,K405&lt;17),'Udvaskning nøgletal'!$C$61,IF(AND(Q405&gt;0,Q405&lt;30,K405&lt;7),'Udvaskning nøgletal'!$C$62,"")))</f>
        <v/>
      </c>
      <c r="AI405" s="10">
        <f t="shared" si="70"/>
        <v>1</v>
      </c>
      <c r="AJ405" s="10">
        <f>IF($X405=1,LOOKUP(AI405,'Udvaskning nøgletal'!$C$12:$C$62,'Udvaskning nøgletal'!$E$12:$E$62)+Markniveau!$Y405*Markniveau!$S405/100,IF($X405=2,LOOKUP(AI405,'Udvaskning nøgletal'!$C$12:$C$62,'Udvaskning nøgletal'!$F$12:$F$62)+Markniveau!$Y405*Markniveau!$S405/100,IF($X405=3,LOOKUP(AI405,'Udvaskning nøgletal'!$C$12:$C$62,'Udvaskning nøgletal'!Q415:Q465)+Markniveau!$Y405*Markniveau!$S405/100,"")))</f>
        <v>54.943097514340351</v>
      </c>
      <c r="AK405" s="10">
        <f t="shared" si="69"/>
        <v>95.051558699808808</v>
      </c>
      <c r="AL405" s="10" t="str">
        <f t="shared" si="71"/>
        <v/>
      </c>
      <c r="AM405" s="10" t="str">
        <f t="shared" si="72"/>
        <v/>
      </c>
    </row>
    <row r="406" spans="1:39" x14ac:dyDescent="0.25">
      <c r="A406" s="15">
        <v>16839442</v>
      </c>
      <c r="B406" s="15">
        <v>1.73</v>
      </c>
      <c r="C406" s="15">
        <v>428154</v>
      </c>
      <c r="D406" s="15">
        <v>149759</v>
      </c>
      <c r="E406" s="15" t="s">
        <v>370</v>
      </c>
      <c r="F406" s="15">
        <v>2011</v>
      </c>
      <c r="G406" s="15">
        <v>20110304</v>
      </c>
      <c r="H406" s="15">
        <v>144244</v>
      </c>
      <c r="I406" s="15">
        <v>14.42</v>
      </c>
      <c r="J406" s="6" t="s">
        <v>61</v>
      </c>
      <c r="K406" s="15">
        <v>10</v>
      </c>
      <c r="L406" s="15" t="s">
        <v>107</v>
      </c>
      <c r="M406" s="15" t="s">
        <v>5</v>
      </c>
      <c r="N406" s="11" t="s">
        <v>1391</v>
      </c>
      <c r="O406" s="11" t="s">
        <v>46</v>
      </c>
      <c r="P406" s="11" t="s">
        <v>33</v>
      </c>
      <c r="Q406" s="15">
        <v>0</v>
      </c>
      <c r="R406" s="11" t="s">
        <v>1386</v>
      </c>
      <c r="S406" s="10">
        <v>81.261950286806993</v>
      </c>
      <c r="T406" s="15">
        <v>80</v>
      </c>
      <c r="U406" s="15">
        <v>0</v>
      </c>
      <c r="V406" s="15">
        <v>0</v>
      </c>
      <c r="W406" s="15">
        <v>0</v>
      </c>
      <c r="X406" s="15">
        <f>IF(O406='Udvaskning nøgletal'!$D$65,1,IF(O406='Udvaskning nøgletal'!$D$66,2,IF(O406='Udvaskning nøgletal'!$D$67,3,IF(O406='Udvaskning nøgletal'!$D$68,2,""))))</f>
        <v>2</v>
      </c>
      <c r="Y406" s="15">
        <f>LOOKUP(K406,'Udvaskning nøgletal'!$C$12:$C$60,'Udvaskning nøgletal'!$H$12:$H$60)</f>
        <v>5</v>
      </c>
      <c r="Z406" s="10">
        <f>IF(X406=1,LOOKUP(K406,'Udvaskning nøgletal'!$C$12:$C$60,'Udvaskning nøgletal'!$E$12:$E$60)+Markniveau!Y406*Markniveau!S406/100,IF(X406=2,LOOKUP(K406,'Udvaskning nøgletal'!$C$12:$C$60,'Udvaskning nøgletal'!$F$12:$F$60)+Markniveau!Y406*Markniveau!S406/100,IF(X406=3,LOOKUP(K406,'Udvaskning nøgletal'!$C$12:$C$60,'Udvaskning nøgletal'!G416:G464)+Markniveau!Y406*Markniveau!S406/100,"")))</f>
        <v>54.943097514340351</v>
      </c>
      <c r="AA406" s="10">
        <f t="shared" si="66"/>
        <v>792.27946615678786</v>
      </c>
      <c r="AB406" s="10" t="str">
        <f t="shared" si="65"/>
        <v/>
      </c>
      <c r="AC406" s="10" t="str">
        <f t="shared" si="67"/>
        <v/>
      </c>
      <c r="AD406" s="10">
        <f>IF(AND(Q406&gt;0,Q406&lt;30,K406&lt;8),Markniveau!Z406*'Udvaskning nøgletal'!$I$12/100,IF(AND(Q406&gt;0,Q406&lt;30,K406=216),Markniveau!Z406*'Udvaskning nøgletal'!$I$34/100,Markniveau!Z406))</f>
        <v>54.943097514340351</v>
      </c>
      <c r="AE406" s="10">
        <f t="shared" si="73"/>
        <v>792.27946615678786</v>
      </c>
      <c r="AF406" s="10" t="str">
        <f t="shared" si="68"/>
        <v/>
      </c>
      <c r="AG406" s="10" t="str">
        <f t="shared" si="74"/>
        <v/>
      </c>
      <c r="AH406" s="10" t="str">
        <f>IF(AND(Q406&gt;0,Q406&lt;30,K406=216),'Udvaskning nøgletal'!$C$42,IF(AND(Q406&gt;0,Q406&lt;30,K406&gt;7,K406&lt;17),'Udvaskning nøgletal'!$C$61,IF(AND(Q406&gt;0,Q406&lt;30,K406&lt;7),'Udvaskning nøgletal'!$C$62,"")))</f>
        <v/>
      </c>
      <c r="AI406" s="10">
        <f t="shared" si="70"/>
        <v>10</v>
      </c>
      <c r="AJ406" s="10">
        <f>IF($X406=1,LOOKUP(AI406,'Udvaskning nøgletal'!$C$12:$C$62,'Udvaskning nøgletal'!$E$12:$E$62)+Markniveau!$Y406*Markniveau!$S406/100,IF($X406=2,LOOKUP(AI406,'Udvaskning nøgletal'!$C$12:$C$62,'Udvaskning nøgletal'!$F$12:$F$62)+Markniveau!$Y406*Markniveau!$S406/100,IF($X406=3,LOOKUP(AI406,'Udvaskning nøgletal'!$C$12:$C$62,'Udvaskning nøgletal'!Q416:Q466)+Markniveau!$Y406*Markniveau!$S406/100,"")))</f>
        <v>54.943097514340351</v>
      </c>
      <c r="AK406" s="10">
        <f t="shared" si="69"/>
        <v>792.27946615678786</v>
      </c>
      <c r="AL406" s="10" t="str">
        <f t="shared" si="71"/>
        <v/>
      </c>
      <c r="AM406" s="10" t="str">
        <f t="shared" si="72"/>
        <v/>
      </c>
    </row>
    <row r="407" spans="1:39" x14ac:dyDescent="0.25">
      <c r="A407" s="15">
        <v>17200275</v>
      </c>
      <c r="B407" s="15">
        <v>8.42</v>
      </c>
      <c r="C407" s="15">
        <v>504278</v>
      </c>
      <c r="D407" s="15">
        <v>115603</v>
      </c>
      <c r="E407" s="15" t="s">
        <v>371</v>
      </c>
      <c r="F407" s="15">
        <v>2011</v>
      </c>
      <c r="G407" s="15">
        <v>20110325</v>
      </c>
      <c r="H407" s="15">
        <v>54690</v>
      </c>
      <c r="I407" s="15">
        <v>5.47</v>
      </c>
      <c r="J407" s="6" t="s">
        <v>61</v>
      </c>
      <c r="K407" s="15">
        <v>230</v>
      </c>
      <c r="L407" s="15" t="s">
        <v>120</v>
      </c>
      <c r="M407" s="15" t="s">
        <v>5</v>
      </c>
      <c r="N407" s="11" t="s">
        <v>1391</v>
      </c>
      <c r="O407" s="11" t="s">
        <v>46</v>
      </c>
      <c r="P407" s="11" t="s">
        <v>29</v>
      </c>
      <c r="Q407" s="15">
        <v>95</v>
      </c>
      <c r="R407" s="11" t="s">
        <v>3</v>
      </c>
      <c r="S407" s="10">
        <v>183.81710213777001</v>
      </c>
      <c r="T407" s="15">
        <v>80</v>
      </c>
      <c r="U407" s="15">
        <v>0</v>
      </c>
      <c r="V407" s="15">
        <v>0</v>
      </c>
      <c r="W407" s="15">
        <v>0</v>
      </c>
      <c r="X407" s="15">
        <f>IF(O407='Udvaskning nøgletal'!$D$65,1,IF(O407='Udvaskning nøgletal'!$D$66,2,IF(O407='Udvaskning nøgletal'!$D$67,3,IF(O407='Udvaskning nøgletal'!$D$68,2,""))))</f>
        <v>2</v>
      </c>
      <c r="Y407" s="15">
        <f>LOOKUP(K407,'Udvaskning nøgletal'!$C$12:$C$60,'Udvaskning nøgletal'!$H$12:$H$60)</f>
        <v>0</v>
      </c>
      <c r="Z407" s="10">
        <f>IF(X407=1,LOOKUP(K407,'Udvaskning nøgletal'!$C$12:$C$60,'Udvaskning nøgletal'!$E$12:$E$60)+Markniveau!Y407*Markniveau!S407/100,IF(X407=2,LOOKUP(K407,'Udvaskning nøgletal'!$C$12:$C$60,'Udvaskning nøgletal'!$F$12:$F$60)+Markniveau!Y407*Markniveau!S407/100,IF(X407=3,LOOKUP(K407,'Udvaskning nøgletal'!$C$12:$C$60,'Udvaskning nøgletal'!G417:G465)+Markniveau!Y407*Markniveau!S407/100,"")))</f>
        <v>31.161328188970323</v>
      </c>
      <c r="AA407" s="10">
        <f t="shared" si="66"/>
        <v>170.45246519366765</v>
      </c>
      <c r="AB407" s="10">
        <f t="shared" si="65"/>
        <v>1.5580664094485162</v>
      </c>
      <c r="AC407" s="10">
        <f t="shared" si="67"/>
        <v>8.5226232596833835</v>
      </c>
      <c r="AD407" s="10">
        <f>IF(AND(Q407&gt;0,Q407&lt;30,K407&lt;8),Markniveau!Z407*'Udvaskning nøgletal'!$I$12/100,IF(AND(Q407&gt;0,Q407&lt;30,K407=216),Markniveau!Z407*'Udvaskning nøgletal'!$I$34/100,Markniveau!Z407))</f>
        <v>31.161328188970323</v>
      </c>
      <c r="AE407" s="10">
        <f t="shared" si="73"/>
        <v>170.45246519366765</v>
      </c>
      <c r="AF407" s="10">
        <f t="shared" si="68"/>
        <v>1.5580664094485162</v>
      </c>
      <c r="AG407" s="10">
        <f t="shared" si="74"/>
        <v>8.5226232596833835</v>
      </c>
      <c r="AH407" s="10" t="str">
        <f>IF(AND(Q407&gt;0,Q407&lt;30,K407=216),'Udvaskning nøgletal'!$C$42,IF(AND(Q407&gt;0,Q407&lt;30,K407&gt;7,K407&lt;17),'Udvaskning nøgletal'!$C$61,IF(AND(Q407&gt;0,Q407&lt;30,K407&lt;7),'Udvaskning nøgletal'!$C$62,"")))</f>
        <v/>
      </c>
      <c r="AI407" s="10">
        <f t="shared" si="70"/>
        <v>230</v>
      </c>
      <c r="AJ407" s="10">
        <f>IF($X407=1,LOOKUP(AI407,'Udvaskning nøgletal'!$C$12:$C$62,'Udvaskning nøgletal'!$E$12:$E$62)+Markniveau!$Y407*Markniveau!$S407/100,IF($X407=2,LOOKUP(AI407,'Udvaskning nøgletal'!$C$12:$C$62,'Udvaskning nøgletal'!$F$12:$F$62)+Markniveau!$Y407*Markniveau!$S407/100,IF($X407=3,LOOKUP(AI407,'Udvaskning nøgletal'!$C$12:$C$62,'Udvaskning nøgletal'!Q417:Q467)+Markniveau!$Y407*Markniveau!$S407/100,"")))</f>
        <v>31.161328188970323</v>
      </c>
      <c r="AK407" s="10">
        <f t="shared" si="69"/>
        <v>170.45246519366765</v>
      </c>
      <c r="AL407" s="10">
        <f t="shared" si="71"/>
        <v>1.5580664094485162</v>
      </c>
      <c r="AM407" s="10">
        <f t="shared" si="72"/>
        <v>8.5226232596833835</v>
      </c>
    </row>
    <row r="408" spans="1:39" x14ac:dyDescent="0.25">
      <c r="A408" s="15">
        <v>17200275</v>
      </c>
      <c r="B408" s="15">
        <v>8.42</v>
      </c>
      <c r="C408" s="15">
        <v>504279</v>
      </c>
      <c r="D408" s="15">
        <v>115603</v>
      </c>
      <c r="E408" s="15" t="s">
        <v>371</v>
      </c>
      <c r="F408" s="15">
        <v>2011</v>
      </c>
      <c r="G408" s="15">
        <v>20110325</v>
      </c>
      <c r="H408" s="15">
        <v>29494</v>
      </c>
      <c r="I408" s="15">
        <v>2.95</v>
      </c>
      <c r="J408" s="6" t="s">
        <v>37</v>
      </c>
      <c r="K408" s="15">
        <v>230</v>
      </c>
      <c r="L408" s="15" t="s">
        <v>120</v>
      </c>
      <c r="M408" s="15" t="s">
        <v>5</v>
      </c>
      <c r="N408" s="11" t="s">
        <v>1391</v>
      </c>
      <c r="O408" s="11" t="s">
        <v>46</v>
      </c>
      <c r="P408" s="11" t="s">
        <v>29</v>
      </c>
      <c r="Q408" s="15">
        <v>95</v>
      </c>
      <c r="R408" s="11" t="s">
        <v>3</v>
      </c>
      <c r="S408" s="10">
        <v>183.81710213777001</v>
      </c>
      <c r="T408" s="15">
        <v>80</v>
      </c>
      <c r="U408" s="15">
        <v>0</v>
      </c>
      <c r="V408" s="15">
        <v>0</v>
      </c>
      <c r="W408" s="15">
        <v>0</v>
      </c>
      <c r="X408" s="15">
        <f>IF(O408='Udvaskning nøgletal'!$D$65,1,IF(O408='Udvaskning nøgletal'!$D$66,2,IF(O408='Udvaskning nøgletal'!$D$67,3,IF(O408='Udvaskning nøgletal'!$D$68,2,""))))</f>
        <v>2</v>
      </c>
      <c r="Y408" s="15">
        <f>LOOKUP(K408,'Udvaskning nøgletal'!$C$12:$C$60,'Udvaskning nøgletal'!$H$12:$H$60)</f>
        <v>0</v>
      </c>
      <c r="Z408" s="10">
        <f>IF(X408=1,LOOKUP(K408,'Udvaskning nøgletal'!$C$12:$C$60,'Udvaskning nøgletal'!$E$12:$E$60)+Markniveau!Y408*Markniveau!S408/100,IF(X408=2,LOOKUP(K408,'Udvaskning nøgletal'!$C$12:$C$60,'Udvaskning nøgletal'!$F$12:$F$60)+Markniveau!Y408*Markniveau!S408/100,IF(X408=3,LOOKUP(K408,'Udvaskning nøgletal'!$C$12:$C$60,'Udvaskning nøgletal'!G418:G466)+Markniveau!Y408*Markniveau!S408/100,"")))</f>
        <v>31.161328188970323</v>
      </c>
      <c r="AA408" s="10">
        <f t="shared" si="66"/>
        <v>91.925918157462462</v>
      </c>
      <c r="AB408" s="10">
        <f t="shared" si="65"/>
        <v>1.5580664094485162</v>
      </c>
      <c r="AC408" s="10">
        <f t="shared" si="67"/>
        <v>4.5962959078731229</v>
      </c>
      <c r="AD408" s="10">
        <f>IF(AND(Q408&gt;0,Q408&lt;30,K408&lt;8),Markniveau!Z408*'Udvaskning nøgletal'!$I$12/100,IF(AND(Q408&gt;0,Q408&lt;30,K408=216),Markniveau!Z408*'Udvaskning nøgletal'!$I$34/100,Markniveau!Z408))</f>
        <v>31.161328188970323</v>
      </c>
      <c r="AE408" s="10">
        <f t="shared" si="73"/>
        <v>91.925918157462462</v>
      </c>
      <c r="AF408" s="10">
        <f t="shared" si="68"/>
        <v>1.5580664094485162</v>
      </c>
      <c r="AG408" s="10">
        <f t="shared" si="74"/>
        <v>4.5962959078731229</v>
      </c>
      <c r="AH408" s="10" t="str">
        <f>IF(AND(Q408&gt;0,Q408&lt;30,K408=216),'Udvaskning nøgletal'!$C$42,IF(AND(Q408&gt;0,Q408&lt;30,K408&gt;7,K408&lt;17),'Udvaskning nøgletal'!$C$61,IF(AND(Q408&gt;0,Q408&lt;30,K408&lt;7),'Udvaskning nøgletal'!$C$62,"")))</f>
        <v/>
      </c>
      <c r="AI408" s="10">
        <f t="shared" si="70"/>
        <v>230</v>
      </c>
      <c r="AJ408" s="10">
        <f>IF($X408=1,LOOKUP(AI408,'Udvaskning nøgletal'!$C$12:$C$62,'Udvaskning nøgletal'!$E$12:$E$62)+Markniveau!$Y408*Markniveau!$S408/100,IF($X408=2,LOOKUP(AI408,'Udvaskning nøgletal'!$C$12:$C$62,'Udvaskning nøgletal'!$F$12:$F$62)+Markniveau!$Y408*Markniveau!$S408/100,IF($X408=3,LOOKUP(AI408,'Udvaskning nøgletal'!$C$12:$C$62,'Udvaskning nøgletal'!Q418:Q468)+Markniveau!$Y408*Markniveau!$S408/100,"")))</f>
        <v>31.161328188970323</v>
      </c>
      <c r="AK408" s="10">
        <f t="shared" si="69"/>
        <v>91.925918157462462</v>
      </c>
      <c r="AL408" s="10">
        <f t="shared" si="71"/>
        <v>1.5580664094485162</v>
      </c>
      <c r="AM408" s="10">
        <f t="shared" si="72"/>
        <v>4.5962959078731229</v>
      </c>
    </row>
    <row r="409" spans="1:39" x14ac:dyDescent="0.25">
      <c r="A409" s="15">
        <v>17987682</v>
      </c>
      <c r="B409" s="15">
        <v>102.85</v>
      </c>
      <c r="C409" s="15">
        <v>171805</v>
      </c>
      <c r="D409" s="15">
        <v>70205</v>
      </c>
      <c r="E409" s="15" t="s">
        <v>372</v>
      </c>
      <c r="F409" s="15">
        <v>2011</v>
      </c>
      <c r="G409" s="15">
        <v>20110420</v>
      </c>
      <c r="H409" s="15">
        <v>52917</v>
      </c>
      <c r="I409" s="15">
        <v>5.29</v>
      </c>
      <c r="J409" s="6" t="s">
        <v>137</v>
      </c>
      <c r="K409" s="15">
        <v>216</v>
      </c>
      <c r="L409" s="15" t="s">
        <v>116</v>
      </c>
      <c r="M409" s="15" t="s">
        <v>5</v>
      </c>
      <c r="N409" s="11" t="s">
        <v>1384</v>
      </c>
      <c r="O409" s="11" t="s">
        <v>28</v>
      </c>
      <c r="P409" s="11" t="s">
        <v>29</v>
      </c>
      <c r="Q409" s="15">
        <v>95</v>
      </c>
      <c r="R409" s="11" t="s">
        <v>3</v>
      </c>
      <c r="S409" s="10">
        <v>215.31330793305</v>
      </c>
      <c r="T409" s="15">
        <v>80</v>
      </c>
      <c r="U409" s="15">
        <v>1</v>
      </c>
      <c r="V409" s="15">
        <v>1</v>
      </c>
      <c r="W409" s="15">
        <v>0</v>
      </c>
      <c r="X409" s="15">
        <f>IF(O409='Udvaskning nøgletal'!$D$65,1,IF(O409='Udvaskning nøgletal'!$D$66,2,IF(O409='Udvaskning nøgletal'!$D$67,3,IF(O409='Udvaskning nøgletal'!$D$68,2,""))))</f>
        <v>1</v>
      </c>
      <c r="Y409" s="15">
        <f>LOOKUP(K409,'Udvaskning nøgletal'!$C$12:$C$60,'Udvaskning nøgletal'!$H$12:$H$60)</f>
        <v>0</v>
      </c>
      <c r="Z409" s="10">
        <f>IF(X409=1,LOOKUP(K409,'Udvaskning nøgletal'!$C$12:$C$60,'Udvaskning nøgletal'!$E$12:$E$60)+Markniveau!Y409*Markniveau!S409/100,IF(X409=2,LOOKUP(K409,'Udvaskning nøgletal'!$C$12:$C$60,'Udvaskning nøgletal'!$F$12:$F$60)+Markniveau!Y409*Markniveau!S409/100,IF(X409=3,LOOKUP(K409,'Udvaskning nøgletal'!$C$12:$C$60,'Udvaskning nøgletal'!G419:G467)+Markniveau!Y409*Markniveau!S409/100,"")))</f>
        <v>125.85383557148924</v>
      </c>
      <c r="AA409" s="10">
        <f t="shared" si="66"/>
        <v>665.76679017317804</v>
      </c>
      <c r="AB409" s="10">
        <f t="shared" si="65"/>
        <v>6.2926917785744623</v>
      </c>
      <c r="AC409" s="10">
        <f t="shared" si="67"/>
        <v>33.288339508658908</v>
      </c>
      <c r="AD409" s="10">
        <f>IF(AND(Q409&gt;0,Q409&lt;30,K409&lt;8),Markniveau!Z409*'Udvaskning nøgletal'!$I$12/100,IF(AND(Q409&gt;0,Q409&lt;30,K409=216),Markniveau!Z409*'Udvaskning nøgletal'!$I$34/100,Markniveau!Z409))</f>
        <v>125.85383557148924</v>
      </c>
      <c r="AE409" s="10">
        <f t="shared" si="73"/>
        <v>665.76679017317804</v>
      </c>
      <c r="AF409" s="10">
        <f t="shared" si="68"/>
        <v>6.2926917785744623</v>
      </c>
      <c r="AG409" s="10">
        <f t="shared" si="74"/>
        <v>33.288339508658908</v>
      </c>
      <c r="AH409" s="10" t="str">
        <f>IF(AND(Q409&gt;0,Q409&lt;30,K409=216),'Udvaskning nøgletal'!$C$42,IF(AND(Q409&gt;0,Q409&lt;30,K409&gt;7,K409&lt;17),'Udvaskning nøgletal'!$C$61,IF(AND(Q409&gt;0,Q409&lt;30,K409&lt;7),'Udvaskning nøgletal'!$C$62,"")))</f>
        <v/>
      </c>
      <c r="AI409" s="10">
        <f t="shared" si="70"/>
        <v>216</v>
      </c>
      <c r="AJ409" s="10">
        <f>IF($X409=1,LOOKUP(AI409,'Udvaskning nøgletal'!$C$12:$C$62,'Udvaskning nøgletal'!$E$12:$E$62)+Markniveau!$Y409*Markniveau!$S409/100,IF($X409=2,LOOKUP(AI409,'Udvaskning nøgletal'!$C$12:$C$62,'Udvaskning nøgletal'!$F$12:$F$62)+Markniveau!$Y409*Markniveau!$S409/100,IF($X409=3,LOOKUP(AI409,'Udvaskning nøgletal'!$C$12:$C$62,'Udvaskning nøgletal'!Q419:Q469)+Markniveau!$Y409*Markniveau!$S409/100,"")))</f>
        <v>125.85383557148924</v>
      </c>
      <c r="AK409" s="10">
        <f t="shared" si="69"/>
        <v>665.76679017317804</v>
      </c>
      <c r="AL409" s="10">
        <f t="shared" si="71"/>
        <v>6.2926917785744623</v>
      </c>
      <c r="AM409" s="10">
        <f t="shared" si="72"/>
        <v>33.288339508658908</v>
      </c>
    </row>
    <row r="410" spans="1:39" x14ac:dyDescent="0.25">
      <c r="A410" s="15">
        <v>17987682</v>
      </c>
      <c r="B410" s="15">
        <v>102.85</v>
      </c>
      <c r="C410" s="15">
        <v>171806</v>
      </c>
      <c r="D410" s="15">
        <v>70205</v>
      </c>
      <c r="E410" s="15" t="s">
        <v>373</v>
      </c>
      <c r="F410" s="15">
        <v>2011</v>
      </c>
      <c r="G410" s="15">
        <v>20110420</v>
      </c>
      <c r="H410" s="15">
        <v>61477</v>
      </c>
      <c r="I410" s="15">
        <v>6.15</v>
      </c>
      <c r="J410" s="6" t="s">
        <v>1396</v>
      </c>
      <c r="K410" s="15">
        <v>216</v>
      </c>
      <c r="L410" s="15" t="s">
        <v>116</v>
      </c>
      <c r="M410" s="15" t="s">
        <v>5</v>
      </c>
      <c r="N410" s="11" t="s">
        <v>1406</v>
      </c>
      <c r="O410" s="11" t="s">
        <v>46</v>
      </c>
      <c r="P410" s="11" t="s">
        <v>29</v>
      </c>
      <c r="Q410" s="15">
        <v>25</v>
      </c>
      <c r="R410" s="11" t="s">
        <v>7</v>
      </c>
      <c r="S410" s="10">
        <v>215.31330793305</v>
      </c>
      <c r="T410" s="15">
        <v>80</v>
      </c>
      <c r="U410" s="15">
        <v>1</v>
      </c>
      <c r="V410" s="15">
        <v>1</v>
      </c>
      <c r="W410" s="15">
        <v>0</v>
      </c>
      <c r="X410" s="15">
        <f>IF(O410='Udvaskning nøgletal'!$D$65,1,IF(O410='Udvaskning nøgletal'!$D$66,2,IF(O410='Udvaskning nøgletal'!$D$67,3,IF(O410='Udvaskning nøgletal'!$D$68,2,""))))</f>
        <v>2</v>
      </c>
      <c r="Y410" s="15">
        <f>LOOKUP(K410,'Udvaskning nøgletal'!$C$12:$C$60,'Udvaskning nøgletal'!$H$12:$H$60)</f>
        <v>0</v>
      </c>
      <c r="Z410" s="10">
        <f>IF(X410=1,LOOKUP(K410,'Udvaskning nøgletal'!$C$12:$C$60,'Udvaskning nøgletal'!$E$12:$E$60)+Markniveau!Y410*Markniveau!S410/100,IF(X410=2,LOOKUP(K410,'Udvaskning nøgletal'!$C$12:$C$60,'Udvaskning nøgletal'!$F$12:$F$60)+Markniveau!Y410*Markniveau!S410/100,IF(X410=3,LOOKUP(K410,'Udvaskning nøgletal'!$C$12:$C$60,'Udvaskning nøgletal'!G420:G468)+Markniveau!Y410*Markniveau!S410/100,"")))</f>
        <v>101.66744640811392</v>
      </c>
      <c r="AA410" s="10">
        <f t="shared" si="66"/>
        <v>625.25479540990068</v>
      </c>
      <c r="AB410" s="10">
        <f t="shared" si="65"/>
        <v>76.250584806085442</v>
      </c>
      <c r="AC410" s="10">
        <f t="shared" si="67"/>
        <v>468.94109655742551</v>
      </c>
      <c r="AD410" s="10">
        <f>IF(AND(Q410&gt;0,Q410&lt;30,K410&lt;8),Markniveau!Z410*'Udvaskning nøgletal'!$I$12/100,IF(AND(Q410&gt;0,Q410&lt;30,K410=216),Markniveau!Z410*'Udvaskning nøgletal'!$I$34/100,Markniveau!Z410))</f>
        <v>71.167212485679741</v>
      </c>
      <c r="AE410" s="10">
        <f t="shared" si="73"/>
        <v>437.67835678693041</v>
      </c>
      <c r="AF410" s="10">
        <f t="shared" si="68"/>
        <v>53.375409364259802</v>
      </c>
      <c r="AG410" s="10">
        <f t="shared" si="74"/>
        <v>328.25876759019781</v>
      </c>
      <c r="AH410" s="10">
        <f>IF(AND(Q410&gt;0,Q410&lt;30,K410=216),'Udvaskning nøgletal'!$C$42,IF(AND(Q410&gt;0,Q410&lt;30,K410&gt;7,K410&lt;17),'Udvaskning nøgletal'!$C$61,IF(AND(Q410&gt;0,Q410&lt;30,K410&lt;7),'Udvaskning nøgletal'!$C$62,"")))</f>
        <v>260</v>
      </c>
      <c r="AI410" s="10">
        <f t="shared" si="70"/>
        <v>260</v>
      </c>
      <c r="AJ410" s="10">
        <f>IF($X410=1,LOOKUP(AI410,'Udvaskning nøgletal'!$C$12:$C$62,'Udvaskning nøgletal'!$E$12:$E$62)+Markniveau!$Y410*Markniveau!$S410/100,IF($X410=2,LOOKUP(AI410,'Udvaskning nøgletal'!$C$12:$C$62,'Udvaskning nøgletal'!$F$12:$F$62)+Markniveau!$Y410*Markniveau!$S410/100,IF($X410=3,LOOKUP(AI410,'Udvaskning nøgletal'!$C$12:$C$62,'Udvaskning nøgletal'!Q420:Q470)+Markniveau!$Y410*Markniveau!$S410/100,"")))</f>
        <v>27.331185321443094</v>
      </c>
      <c r="AK410" s="10">
        <f t="shared" si="69"/>
        <v>168.08678972687503</v>
      </c>
      <c r="AL410" s="10">
        <f t="shared" si="71"/>
        <v>20.498388991082319</v>
      </c>
      <c r="AM410" s="10">
        <f t="shared" si="72"/>
        <v>126.06509229515626</v>
      </c>
    </row>
    <row r="411" spans="1:39" x14ac:dyDescent="0.25">
      <c r="A411" s="15">
        <v>17987682</v>
      </c>
      <c r="B411" s="15">
        <v>102.85</v>
      </c>
      <c r="C411" s="15">
        <v>171807</v>
      </c>
      <c r="D411" s="15">
        <v>70205</v>
      </c>
      <c r="E411" s="15" t="s">
        <v>149</v>
      </c>
      <c r="F411" s="15">
        <v>2011</v>
      </c>
      <c r="G411" s="15">
        <v>20110420</v>
      </c>
      <c r="H411" s="15">
        <v>6032</v>
      </c>
      <c r="I411" s="15">
        <v>0.6</v>
      </c>
      <c r="J411" s="6" t="s">
        <v>1439</v>
      </c>
      <c r="K411" s="15">
        <v>902</v>
      </c>
      <c r="L411" s="15" t="s">
        <v>160</v>
      </c>
      <c r="M411" s="15" t="s">
        <v>81</v>
      </c>
      <c r="N411" s="11" t="s">
        <v>1406</v>
      </c>
      <c r="O411" s="11" t="s">
        <v>46</v>
      </c>
      <c r="P411" s="11" t="s">
        <v>29</v>
      </c>
      <c r="Q411" s="15">
        <v>25</v>
      </c>
      <c r="R411" s="11" t="s">
        <v>7</v>
      </c>
      <c r="S411" s="10">
        <v>215.31330793305</v>
      </c>
      <c r="T411" s="15">
        <v>80</v>
      </c>
      <c r="U411" s="15">
        <v>1</v>
      </c>
      <c r="V411" s="15">
        <v>1</v>
      </c>
      <c r="W411" s="15">
        <v>0</v>
      </c>
      <c r="X411" s="15">
        <f>IF(O411='Udvaskning nøgletal'!$D$65,1,IF(O411='Udvaskning nøgletal'!$D$66,2,IF(O411='Udvaskning nøgletal'!$D$67,3,IF(O411='Udvaskning nøgletal'!$D$68,2,""))))</f>
        <v>2</v>
      </c>
      <c r="Y411" s="15">
        <f>LOOKUP(K411,'Udvaskning nøgletal'!$C$12:$C$60,'Udvaskning nøgletal'!$H$12:$H$60)</f>
        <v>0</v>
      </c>
      <c r="Z411" s="10">
        <f>IF(X411=1,LOOKUP(K411,'Udvaskning nøgletal'!$C$12:$C$60,'Udvaskning nøgletal'!$E$12:$E$60)+Markniveau!Y411*Markniveau!S411/100,IF(X411=2,LOOKUP(K411,'Udvaskning nøgletal'!$C$12:$C$60,'Udvaskning nøgletal'!$F$12:$F$60)+Markniveau!Y411*Markniveau!S411/100,IF(X411=3,LOOKUP(K411,'Udvaskning nøgletal'!$C$12:$C$60,'Udvaskning nøgletal'!G421:G469)+Markniveau!Y411*Markniveau!S411/100,"")))</f>
        <v>10</v>
      </c>
      <c r="AA411" s="10">
        <f t="shared" si="66"/>
        <v>6</v>
      </c>
      <c r="AB411" s="10">
        <f t="shared" si="65"/>
        <v>7.5</v>
      </c>
      <c r="AC411" s="10">
        <f t="shared" si="67"/>
        <v>4.5</v>
      </c>
      <c r="AD411" s="10">
        <f>IF(AND(Q411&gt;0,Q411&lt;30,K411&lt;8),Markniveau!Z411*'Udvaskning nøgletal'!$I$12/100,IF(AND(Q411&gt;0,Q411&lt;30,K411=216),Markniveau!Z411*'Udvaskning nøgletal'!$I$34/100,Markniveau!Z411))</f>
        <v>10</v>
      </c>
      <c r="AE411" s="10">
        <f t="shared" si="73"/>
        <v>6</v>
      </c>
      <c r="AF411" s="10">
        <f t="shared" si="68"/>
        <v>7.5</v>
      </c>
      <c r="AG411" s="10">
        <f t="shared" si="74"/>
        <v>4.5</v>
      </c>
      <c r="AH411" s="10" t="str">
        <f>IF(AND(Q411&gt;0,Q411&lt;30,K411=216),'Udvaskning nøgletal'!$C$42,IF(AND(Q411&gt;0,Q411&lt;30,K411&gt;7,K411&lt;17),'Udvaskning nøgletal'!$C$61,IF(AND(Q411&gt;0,Q411&lt;30,K411&lt;7),'Udvaskning nøgletal'!$C$62,"")))</f>
        <v/>
      </c>
      <c r="AI411" s="10">
        <f t="shared" si="70"/>
        <v>902</v>
      </c>
      <c r="AJ411" s="10">
        <f>IF($X411=1,LOOKUP(AI411,'Udvaskning nøgletal'!$C$12:$C$62,'Udvaskning nøgletal'!$E$12:$E$62)+Markniveau!$Y411*Markniveau!$S411/100,IF($X411=2,LOOKUP(AI411,'Udvaskning nøgletal'!$C$12:$C$62,'Udvaskning nøgletal'!$F$12:$F$62)+Markniveau!$Y411*Markniveau!$S411/100,IF($X411=3,LOOKUP(AI411,'Udvaskning nøgletal'!$C$12:$C$62,'Udvaskning nøgletal'!Q421:Q471)+Markniveau!$Y411*Markniveau!$S411/100,"")))</f>
        <v>10</v>
      </c>
      <c r="AK411" s="10">
        <f t="shared" si="69"/>
        <v>6</v>
      </c>
      <c r="AL411" s="10">
        <f t="shared" si="71"/>
        <v>7.5</v>
      </c>
      <c r="AM411" s="10">
        <f t="shared" si="72"/>
        <v>4.5</v>
      </c>
    </row>
    <row r="412" spans="1:39" x14ac:dyDescent="0.25">
      <c r="A412" s="15">
        <v>17987682</v>
      </c>
      <c r="B412" s="15">
        <v>102.85</v>
      </c>
      <c r="C412" s="15">
        <v>171808</v>
      </c>
      <c r="D412" s="15">
        <v>70205</v>
      </c>
      <c r="E412" s="15" t="s">
        <v>264</v>
      </c>
      <c r="F412" s="15">
        <v>2011</v>
      </c>
      <c r="G412" s="15">
        <v>20110420</v>
      </c>
      <c r="H412" s="15">
        <v>30725</v>
      </c>
      <c r="I412" s="15">
        <v>3.07</v>
      </c>
      <c r="J412" s="6" t="s">
        <v>1415</v>
      </c>
      <c r="K412" s="15">
        <v>216</v>
      </c>
      <c r="L412" s="15" t="s">
        <v>116</v>
      </c>
      <c r="M412" s="15" t="s">
        <v>5</v>
      </c>
      <c r="N412" s="11" t="s">
        <v>1406</v>
      </c>
      <c r="O412" s="11" t="s">
        <v>46</v>
      </c>
      <c r="P412" s="11" t="s">
        <v>29</v>
      </c>
      <c r="Q412" s="15">
        <v>25</v>
      </c>
      <c r="R412" s="11" t="s">
        <v>7</v>
      </c>
      <c r="S412" s="10">
        <v>215.31330793305</v>
      </c>
      <c r="T412" s="15">
        <v>80</v>
      </c>
      <c r="U412" s="15">
        <v>1</v>
      </c>
      <c r="V412" s="15">
        <v>1</v>
      </c>
      <c r="W412" s="15">
        <v>0</v>
      </c>
      <c r="X412" s="15">
        <f>IF(O412='Udvaskning nøgletal'!$D$65,1,IF(O412='Udvaskning nøgletal'!$D$66,2,IF(O412='Udvaskning nøgletal'!$D$67,3,IF(O412='Udvaskning nøgletal'!$D$68,2,""))))</f>
        <v>2</v>
      </c>
      <c r="Y412" s="15">
        <f>LOOKUP(K412,'Udvaskning nøgletal'!$C$12:$C$60,'Udvaskning nøgletal'!$H$12:$H$60)</f>
        <v>0</v>
      </c>
      <c r="Z412" s="10">
        <f>IF(X412=1,LOOKUP(K412,'Udvaskning nøgletal'!$C$12:$C$60,'Udvaskning nøgletal'!$E$12:$E$60)+Markniveau!Y412*Markniveau!S412/100,IF(X412=2,LOOKUP(K412,'Udvaskning nøgletal'!$C$12:$C$60,'Udvaskning nøgletal'!$F$12:$F$60)+Markniveau!Y412*Markniveau!S412/100,IF(X412=3,LOOKUP(K412,'Udvaskning nøgletal'!$C$12:$C$60,'Udvaskning nøgletal'!G422:G470)+Markniveau!Y412*Markniveau!S412/100,"")))</f>
        <v>101.66744640811392</v>
      </c>
      <c r="AA412" s="10">
        <f t="shared" si="66"/>
        <v>312.11906047290972</v>
      </c>
      <c r="AB412" s="10">
        <f t="shared" si="65"/>
        <v>76.250584806085442</v>
      </c>
      <c r="AC412" s="10">
        <f t="shared" si="67"/>
        <v>234.08929535468229</v>
      </c>
      <c r="AD412" s="10">
        <f>IF(AND(Q412&gt;0,Q412&lt;30,K412&lt;8),Markniveau!Z412*'Udvaskning nøgletal'!$I$12/100,IF(AND(Q412&gt;0,Q412&lt;30,K412=216),Markniveau!Z412*'Udvaskning nøgletal'!$I$34/100,Markniveau!Z412))</f>
        <v>71.167212485679741</v>
      </c>
      <c r="AE412" s="10">
        <f t="shared" si="73"/>
        <v>218.48334233103679</v>
      </c>
      <c r="AF412" s="10">
        <f t="shared" si="68"/>
        <v>53.375409364259802</v>
      </c>
      <c r="AG412" s="10">
        <f t="shared" si="74"/>
        <v>163.86250674827758</v>
      </c>
      <c r="AH412" s="10">
        <f>IF(AND(Q412&gt;0,Q412&lt;30,K412=216),'Udvaskning nøgletal'!$C$42,IF(AND(Q412&gt;0,Q412&lt;30,K412&gt;7,K412&lt;17),'Udvaskning nøgletal'!$C$61,IF(AND(Q412&gt;0,Q412&lt;30,K412&lt;7),'Udvaskning nøgletal'!$C$62,"")))</f>
        <v>260</v>
      </c>
      <c r="AI412" s="10">
        <f t="shared" si="70"/>
        <v>260</v>
      </c>
      <c r="AJ412" s="10">
        <f>IF($X412=1,LOOKUP(AI412,'Udvaskning nøgletal'!$C$12:$C$62,'Udvaskning nøgletal'!$E$12:$E$62)+Markniveau!$Y412*Markniveau!$S412/100,IF($X412=2,LOOKUP(AI412,'Udvaskning nøgletal'!$C$12:$C$62,'Udvaskning nøgletal'!$F$12:$F$62)+Markniveau!$Y412*Markniveau!$S412/100,IF($X412=3,LOOKUP(AI412,'Udvaskning nøgletal'!$C$12:$C$62,'Udvaskning nøgletal'!Q422:Q472)+Markniveau!$Y412*Markniveau!$S412/100,"")))</f>
        <v>27.331185321443094</v>
      </c>
      <c r="AK412" s="10">
        <f t="shared" si="69"/>
        <v>83.906738936830294</v>
      </c>
      <c r="AL412" s="10">
        <f t="shared" si="71"/>
        <v>20.498388991082319</v>
      </c>
      <c r="AM412" s="10">
        <f t="shared" si="72"/>
        <v>62.930054202622713</v>
      </c>
    </row>
    <row r="413" spans="1:39" x14ac:dyDescent="0.25">
      <c r="A413" s="15">
        <v>17987682</v>
      </c>
      <c r="B413" s="15">
        <v>102.85</v>
      </c>
      <c r="C413" s="15">
        <v>171809</v>
      </c>
      <c r="D413" s="15">
        <v>70205</v>
      </c>
      <c r="E413" s="15" t="s">
        <v>149</v>
      </c>
      <c r="F413" s="15">
        <v>2011</v>
      </c>
      <c r="G413" s="15">
        <v>20110420</v>
      </c>
      <c r="H413" s="15">
        <v>38836</v>
      </c>
      <c r="I413" s="15">
        <v>3.88</v>
      </c>
      <c r="J413" s="6" t="s">
        <v>1438</v>
      </c>
      <c r="K413" s="15">
        <v>216</v>
      </c>
      <c r="L413" s="15" t="s">
        <v>116</v>
      </c>
      <c r="M413" s="15" t="s">
        <v>5</v>
      </c>
      <c r="N413" s="11" t="s">
        <v>1406</v>
      </c>
      <c r="O413" s="11" t="s">
        <v>46</v>
      </c>
      <c r="P413" s="11" t="s">
        <v>29</v>
      </c>
      <c r="Q413" s="15">
        <v>25</v>
      </c>
      <c r="R413" s="11" t="s">
        <v>7</v>
      </c>
      <c r="S413" s="10">
        <v>215.31330793305</v>
      </c>
      <c r="T413" s="15">
        <v>80</v>
      </c>
      <c r="U413" s="15">
        <v>1</v>
      </c>
      <c r="V413" s="15">
        <v>1</v>
      </c>
      <c r="W413" s="15">
        <v>0</v>
      </c>
      <c r="X413" s="15">
        <f>IF(O413='Udvaskning nøgletal'!$D$65,1,IF(O413='Udvaskning nøgletal'!$D$66,2,IF(O413='Udvaskning nøgletal'!$D$67,3,IF(O413='Udvaskning nøgletal'!$D$68,2,""))))</f>
        <v>2</v>
      </c>
      <c r="Y413" s="15">
        <f>LOOKUP(K413,'Udvaskning nøgletal'!$C$12:$C$60,'Udvaskning nøgletal'!$H$12:$H$60)</f>
        <v>0</v>
      </c>
      <c r="Z413" s="10">
        <f>IF(X413=1,LOOKUP(K413,'Udvaskning nøgletal'!$C$12:$C$60,'Udvaskning nøgletal'!$E$12:$E$60)+Markniveau!Y413*Markniveau!S413/100,IF(X413=2,LOOKUP(K413,'Udvaskning nøgletal'!$C$12:$C$60,'Udvaskning nøgletal'!$F$12:$F$60)+Markniveau!Y413*Markniveau!S413/100,IF(X413=3,LOOKUP(K413,'Udvaskning nøgletal'!$C$12:$C$60,'Udvaskning nøgletal'!G423:G471)+Markniveau!Y413*Markniveau!S413/100,"")))</f>
        <v>101.66744640811392</v>
      </c>
      <c r="AA413" s="10">
        <f t="shared" si="66"/>
        <v>394.469692063482</v>
      </c>
      <c r="AB413" s="10">
        <f t="shared" si="65"/>
        <v>76.250584806085442</v>
      </c>
      <c r="AC413" s="10">
        <f t="shared" si="67"/>
        <v>295.85226904761151</v>
      </c>
      <c r="AD413" s="10">
        <f>IF(AND(Q413&gt;0,Q413&lt;30,K413&lt;8),Markniveau!Z413*'Udvaskning nøgletal'!$I$12/100,IF(AND(Q413&gt;0,Q413&lt;30,K413=216),Markniveau!Z413*'Udvaskning nøgletal'!$I$34/100,Markniveau!Z413))</f>
        <v>71.167212485679741</v>
      </c>
      <c r="AE413" s="10">
        <f t="shared" si="73"/>
        <v>276.12878444443737</v>
      </c>
      <c r="AF413" s="10">
        <f t="shared" si="68"/>
        <v>53.375409364259802</v>
      </c>
      <c r="AG413" s="10">
        <f t="shared" si="74"/>
        <v>207.09658833332801</v>
      </c>
      <c r="AH413" s="10">
        <f>IF(AND(Q413&gt;0,Q413&lt;30,K413=216),'Udvaskning nøgletal'!$C$42,IF(AND(Q413&gt;0,Q413&lt;30,K413&gt;7,K413&lt;17),'Udvaskning nøgletal'!$C$61,IF(AND(Q413&gt;0,Q413&lt;30,K413&lt;7),'Udvaskning nøgletal'!$C$62,"")))</f>
        <v>260</v>
      </c>
      <c r="AI413" s="10">
        <f t="shared" si="70"/>
        <v>260</v>
      </c>
      <c r="AJ413" s="10">
        <f>IF($X413=1,LOOKUP(AI413,'Udvaskning nøgletal'!$C$12:$C$62,'Udvaskning nøgletal'!$E$12:$E$62)+Markniveau!$Y413*Markniveau!$S413/100,IF($X413=2,LOOKUP(AI413,'Udvaskning nøgletal'!$C$12:$C$62,'Udvaskning nøgletal'!$F$12:$F$62)+Markniveau!$Y413*Markniveau!$S413/100,IF($X413=3,LOOKUP(AI413,'Udvaskning nøgletal'!$C$12:$C$62,'Udvaskning nøgletal'!Q423:Q473)+Markniveau!$Y413*Markniveau!$S413/100,"")))</f>
        <v>27.331185321443094</v>
      </c>
      <c r="AK413" s="10">
        <f t="shared" si="69"/>
        <v>106.0449990471992</v>
      </c>
      <c r="AL413" s="10">
        <f t="shared" si="71"/>
        <v>20.498388991082319</v>
      </c>
      <c r="AM413" s="10">
        <f t="shared" si="72"/>
        <v>79.533749285399395</v>
      </c>
    </row>
    <row r="414" spans="1:39" x14ac:dyDescent="0.25">
      <c r="A414" s="15">
        <v>17987682</v>
      </c>
      <c r="B414" s="15">
        <v>102.85</v>
      </c>
      <c r="C414" s="15">
        <v>171810</v>
      </c>
      <c r="D414" s="15">
        <v>70205</v>
      </c>
      <c r="E414" s="15" t="s">
        <v>280</v>
      </c>
      <c r="F414" s="15">
        <v>2011</v>
      </c>
      <c r="G414" s="15">
        <v>20110420</v>
      </c>
      <c r="H414" s="15">
        <v>32558</v>
      </c>
      <c r="I414" s="15">
        <v>3.26</v>
      </c>
      <c r="J414" s="6" t="s">
        <v>1437</v>
      </c>
      <c r="K414" s="15">
        <v>216</v>
      </c>
      <c r="L414" s="15" t="s">
        <v>116</v>
      </c>
      <c r="M414" s="15" t="s">
        <v>5</v>
      </c>
      <c r="N414" s="11" t="s">
        <v>1406</v>
      </c>
      <c r="O414" s="11" t="s">
        <v>46</v>
      </c>
      <c r="P414" s="11" t="s">
        <v>29</v>
      </c>
      <c r="Q414" s="15">
        <v>25</v>
      </c>
      <c r="R414" s="11" t="s">
        <v>7</v>
      </c>
      <c r="S414" s="10">
        <v>215.31330793305</v>
      </c>
      <c r="T414" s="15">
        <v>80</v>
      </c>
      <c r="U414" s="15">
        <v>1</v>
      </c>
      <c r="V414" s="15">
        <v>1</v>
      </c>
      <c r="W414" s="15">
        <v>0</v>
      </c>
      <c r="X414" s="15">
        <f>IF(O414='Udvaskning nøgletal'!$D$65,1,IF(O414='Udvaskning nøgletal'!$D$66,2,IF(O414='Udvaskning nøgletal'!$D$67,3,IF(O414='Udvaskning nøgletal'!$D$68,2,""))))</f>
        <v>2</v>
      </c>
      <c r="Y414" s="15">
        <f>LOOKUP(K414,'Udvaskning nøgletal'!$C$12:$C$60,'Udvaskning nøgletal'!$H$12:$H$60)</f>
        <v>0</v>
      </c>
      <c r="Z414" s="10">
        <f>IF(X414=1,LOOKUP(K414,'Udvaskning nøgletal'!$C$12:$C$60,'Udvaskning nøgletal'!$E$12:$E$60)+Markniveau!Y414*Markniveau!S414/100,IF(X414=2,LOOKUP(K414,'Udvaskning nøgletal'!$C$12:$C$60,'Udvaskning nøgletal'!$F$12:$F$60)+Markniveau!Y414*Markniveau!S414/100,IF(X414=3,LOOKUP(K414,'Udvaskning nøgletal'!$C$12:$C$60,'Udvaskning nøgletal'!G424:G472)+Markniveau!Y414*Markniveau!S414/100,"")))</f>
        <v>101.66744640811392</v>
      </c>
      <c r="AA414" s="10">
        <f t="shared" si="66"/>
        <v>331.43587529045135</v>
      </c>
      <c r="AB414" s="10">
        <f t="shared" si="65"/>
        <v>76.250584806085442</v>
      </c>
      <c r="AC414" s="10">
        <f t="shared" si="67"/>
        <v>248.57690646783851</v>
      </c>
      <c r="AD414" s="10">
        <f>IF(AND(Q414&gt;0,Q414&lt;30,K414&lt;8),Markniveau!Z414*'Udvaskning nøgletal'!$I$12/100,IF(AND(Q414&gt;0,Q414&lt;30,K414=216),Markniveau!Z414*'Udvaskning nøgletal'!$I$34/100,Markniveau!Z414))</f>
        <v>71.167212485679741</v>
      </c>
      <c r="AE414" s="10">
        <f t="shared" si="73"/>
        <v>232.00511270331594</v>
      </c>
      <c r="AF414" s="10">
        <f t="shared" si="68"/>
        <v>53.375409364259802</v>
      </c>
      <c r="AG414" s="10">
        <f t="shared" si="74"/>
        <v>174.00383452748693</v>
      </c>
      <c r="AH414" s="10">
        <f>IF(AND(Q414&gt;0,Q414&lt;30,K414=216),'Udvaskning nøgletal'!$C$42,IF(AND(Q414&gt;0,Q414&lt;30,K414&gt;7,K414&lt;17),'Udvaskning nøgletal'!$C$61,IF(AND(Q414&gt;0,Q414&lt;30,K414&lt;7),'Udvaskning nøgletal'!$C$62,"")))</f>
        <v>260</v>
      </c>
      <c r="AI414" s="10">
        <f t="shared" si="70"/>
        <v>260</v>
      </c>
      <c r="AJ414" s="10">
        <f>IF($X414=1,LOOKUP(AI414,'Udvaskning nøgletal'!$C$12:$C$62,'Udvaskning nøgletal'!$E$12:$E$62)+Markniveau!$Y414*Markniveau!$S414/100,IF($X414=2,LOOKUP(AI414,'Udvaskning nøgletal'!$C$12:$C$62,'Udvaskning nøgletal'!$F$12:$F$62)+Markniveau!$Y414*Markniveau!$S414/100,IF($X414=3,LOOKUP(AI414,'Udvaskning nøgletal'!$C$12:$C$62,'Udvaskning nøgletal'!Q424:Q474)+Markniveau!$Y414*Markniveau!$S414/100,"")))</f>
        <v>27.331185321443094</v>
      </c>
      <c r="AK414" s="10">
        <f t="shared" si="69"/>
        <v>89.099664147904477</v>
      </c>
      <c r="AL414" s="10">
        <f t="shared" si="71"/>
        <v>20.498388991082319</v>
      </c>
      <c r="AM414" s="10">
        <f t="shared" si="72"/>
        <v>66.824748110928354</v>
      </c>
    </row>
    <row r="415" spans="1:39" x14ac:dyDescent="0.25">
      <c r="A415" s="15">
        <v>17987682</v>
      </c>
      <c r="B415" s="15">
        <v>102.85</v>
      </c>
      <c r="C415" s="15">
        <v>171811</v>
      </c>
      <c r="D415" s="15">
        <v>70205</v>
      </c>
      <c r="E415" s="15" t="s">
        <v>280</v>
      </c>
      <c r="F415" s="15">
        <v>2011</v>
      </c>
      <c r="G415" s="15">
        <v>20110420</v>
      </c>
      <c r="H415" s="15">
        <v>72200</v>
      </c>
      <c r="I415" s="15">
        <v>7.22</v>
      </c>
      <c r="J415" s="6" t="s">
        <v>35</v>
      </c>
      <c r="K415" s="15">
        <v>263</v>
      </c>
      <c r="L415" s="15" t="s">
        <v>39</v>
      </c>
      <c r="M415" s="15" t="s">
        <v>5</v>
      </c>
      <c r="N415" s="11" t="s">
        <v>1384</v>
      </c>
      <c r="O415" s="11" t="s">
        <v>28</v>
      </c>
      <c r="P415" s="11" t="s">
        <v>33</v>
      </c>
      <c r="Q415" s="15">
        <v>1</v>
      </c>
      <c r="R415" s="11" t="s">
        <v>11</v>
      </c>
      <c r="S415" s="10">
        <v>215.31330793305</v>
      </c>
      <c r="T415" s="15">
        <v>80</v>
      </c>
      <c r="U415" s="15">
        <v>1</v>
      </c>
      <c r="V415" s="15">
        <v>1</v>
      </c>
      <c r="W415" s="15">
        <v>0</v>
      </c>
      <c r="X415" s="15">
        <f>IF(O415='Udvaskning nøgletal'!$D$65,1,IF(O415='Udvaskning nøgletal'!$D$66,2,IF(O415='Udvaskning nøgletal'!$D$67,3,IF(O415='Udvaskning nøgletal'!$D$68,2,""))))</f>
        <v>1</v>
      </c>
      <c r="Y415" s="15">
        <f>LOOKUP(K415,'Udvaskning nøgletal'!$C$12:$C$60,'Udvaskning nøgletal'!$H$12:$H$60)</f>
        <v>0</v>
      </c>
      <c r="Z415" s="10">
        <f>IF(X415=1,LOOKUP(K415,'Udvaskning nøgletal'!$C$12:$C$60,'Udvaskning nøgletal'!$E$12:$E$60)+Markniveau!Y415*Markniveau!S415/100,IF(X415=2,LOOKUP(K415,'Udvaskning nøgletal'!$C$12:$C$60,'Udvaskning nøgletal'!$F$12:$F$60)+Markniveau!Y415*Markniveau!S415/100,IF(X415=3,LOOKUP(K415,'Udvaskning nøgletal'!$C$12:$C$60,'Udvaskning nøgletal'!G425:G473)+Markniveau!Y415*Markniveau!S415/100,"")))</f>
        <v>33.723295792149436</v>
      </c>
      <c r="AA415" s="10">
        <f t="shared" si="66"/>
        <v>243.48219561931893</v>
      </c>
      <c r="AB415" s="10">
        <f t="shared" si="65"/>
        <v>33.386062834227943</v>
      </c>
      <c r="AC415" s="10">
        <f t="shared" si="67"/>
        <v>241.04737366312574</v>
      </c>
      <c r="AD415" s="10">
        <f>IF(AND(Q415&gt;0,Q415&lt;30,K415&lt;8),Markniveau!Z415*'Udvaskning nøgletal'!$I$12/100,IF(AND(Q415&gt;0,Q415&lt;30,K415=216),Markniveau!Z415*'Udvaskning nøgletal'!$I$34/100,Markniveau!Z415))</f>
        <v>33.723295792149436</v>
      </c>
      <c r="AE415" s="10">
        <f t="shared" si="73"/>
        <v>243.48219561931893</v>
      </c>
      <c r="AF415" s="10">
        <f t="shared" si="68"/>
        <v>33.386062834227943</v>
      </c>
      <c r="AG415" s="10">
        <f t="shared" si="74"/>
        <v>241.04737366312574</v>
      </c>
      <c r="AH415" s="10" t="str">
        <f>IF(AND(Q415&gt;0,Q415&lt;30,K415=216),'Udvaskning nøgletal'!$C$42,IF(AND(Q415&gt;0,Q415&lt;30,K415&gt;7,K415&lt;17),'Udvaskning nøgletal'!$C$61,IF(AND(Q415&gt;0,Q415&lt;30,K415&lt;7),'Udvaskning nøgletal'!$C$62,"")))</f>
        <v/>
      </c>
      <c r="AI415" s="10">
        <f t="shared" si="70"/>
        <v>263</v>
      </c>
      <c r="AJ415" s="10">
        <f>IF($X415=1,LOOKUP(AI415,'Udvaskning nøgletal'!$C$12:$C$62,'Udvaskning nøgletal'!$E$12:$E$62)+Markniveau!$Y415*Markniveau!$S415/100,IF($X415=2,LOOKUP(AI415,'Udvaskning nøgletal'!$C$12:$C$62,'Udvaskning nøgletal'!$F$12:$F$62)+Markniveau!$Y415*Markniveau!$S415/100,IF($X415=3,LOOKUP(AI415,'Udvaskning nøgletal'!$C$12:$C$62,'Udvaskning nøgletal'!Q425:Q475)+Markniveau!$Y415*Markniveau!$S415/100,"")))</f>
        <v>33.723295792149436</v>
      </c>
      <c r="AK415" s="10">
        <f t="shared" si="69"/>
        <v>243.48219561931893</v>
      </c>
      <c r="AL415" s="10">
        <f t="shared" si="71"/>
        <v>33.386062834227943</v>
      </c>
      <c r="AM415" s="10">
        <f t="shared" si="72"/>
        <v>241.04737366312574</v>
      </c>
    </row>
    <row r="416" spans="1:39" x14ac:dyDescent="0.25">
      <c r="A416" s="15">
        <v>17987682</v>
      </c>
      <c r="B416" s="15">
        <v>102.85</v>
      </c>
      <c r="C416" s="15">
        <v>172338</v>
      </c>
      <c r="D416" s="15">
        <v>70205</v>
      </c>
      <c r="E416" s="15" t="s">
        <v>374</v>
      </c>
      <c r="F416" s="15">
        <v>2011</v>
      </c>
      <c r="G416" s="15">
        <v>20110420</v>
      </c>
      <c r="H416" s="15">
        <v>109568</v>
      </c>
      <c r="I416" s="15">
        <v>10.96</v>
      </c>
      <c r="J416" s="6" t="s">
        <v>36</v>
      </c>
      <c r="K416" s="15">
        <v>263</v>
      </c>
      <c r="L416" s="15" t="s">
        <v>39</v>
      </c>
      <c r="M416" s="15" t="s">
        <v>5</v>
      </c>
      <c r="N416" s="11" t="s">
        <v>1406</v>
      </c>
      <c r="O416" s="11" t="s">
        <v>46</v>
      </c>
      <c r="P416" s="11" t="s">
        <v>29</v>
      </c>
      <c r="Q416" s="15">
        <v>1</v>
      </c>
      <c r="R416" s="11" t="s">
        <v>11</v>
      </c>
      <c r="S416" s="10">
        <v>215.31330793305</v>
      </c>
      <c r="T416" s="15">
        <v>80</v>
      </c>
      <c r="U416" s="15">
        <v>1</v>
      </c>
      <c r="V416" s="15">
        <v>1</v>
      </c>
      <c r="W416" s="15">
        <v>0</v>
      </c>
      <c r="X416" s="15">
        <f>IF(O416='Udvaskning nøgletal'!$D$65,1,IF(O416='Udvaskning nøgletal'!$D$66,2,IF(O416='Udvaskning nøgletal'!$D$67,3,IF(O416='Udvaskning nøgletal'!$D$68,2,""))))</f>
        <v>2</v>
      </c>
      <c r="Y416" s="15">
        <f>LOOKUP(K416,'Udvaskning nøgletal'!$C$12:$C$60,'Udvaskning nøgletal'!$H$12:$H$60)</f>
        <v>0</v>
      </c>
      <c r="Z416" s="10">
        <f>IF(X416=1,LOOKUP(K416,'Udvaskning nøgletal'!$C$12:$C$60,'Udvaskning nøgletal'!$E$12:$E$60)+Markniveau!Y416*Markniveau!S416/100,IF(X416=2,LOOKUP(K416,'Udvaskning nøgletal'!$C$12:$C$60,'Udvaskning nøgletal'!$F$12:$F$60)+Markniveau!Y416*Markniveau!S416/100,IF(X416=3,LOOKUP(K416,'Udvaskning nøgletal'!$C$12:$C$60,'Udvaskning nøgletal'!G426:G474)+Markniveau!Y416*Markniveau!S416/100,"")))</f>
        <v>27.331185321443094</v>
      </c>
      <c r="AA416" s="10">
        <f t="shared" si="66"/>
        <v>299.54979112301635</v>
      </c>
      <c r="AB416" s="10">
        <f t="shared" si="65"/>
        <v>27.057873468228664</v>
      </c>
      <c r="AC416" s="10">
        <f t="shared" si="67"/>
        <v>296.55429321178616</v>
      </c>
      <c r="AD416" s="10">
        <f>IF(AND(Q416&gt;0,Q416&lt;30,K416&lt;8),Markniveau!Z416*'Udvaskning nøgletal'!$I$12/100,IF(AND(Q416&gt;0,Q416&lt;30,K416=216),Markniveau!Z416*'Udvaskning nøgletal'!$I$34/100,Markniveau!Z416))</f>
        <v>27.331185321443094</v>
      </c>
      <c r="AE416" s="10">
        <f t="shared" si="73"/>
        <v>299.54979112301635</v>
      </c>
      <c r="AF416" s="10">
        <f t="shared" si="68"/>
        <v>27.057873468228664</v>
      </c>
      <c r="AG416" s="10">
        <f t="shared" si="74"/>
        <v>296.55429321178616</v>
      </c>
      <c r="AH416" s="10" t="str">
        <f>IF(AND(Q416&gt;0,Q416&lt;30,K416=216),'Udvaskning nøgletal'!$C$42,IF(AND(Q416&gt;0,Q416&lt;30,K416&gt;7,K416&lt;17),'Udvaskning nøgletal'!$C$61,IF(AND(Q416&gt;0,Q416&lt;30,K416&lt;7),'Udvaskning nøgletal'!$C$62,"")))</f>
        <v/>
      </c>
      <c r="AI416" s="10">
        <f t="shared" si="70"/>
        <v>263</v>
      </c>
      <c r="AJ416" s="10">
        <f>IF($X416=1,LOOKUP(AI416,'Udvaskning nøgletal'!$C$12:$C$62,'Udvaskning nøgletal'!$E$12:$E$62)+Markniveau!$Y416*Markniveau!$S416/100,IF($X416=2,LOOKUP(AI416,'Udvaskning nøgletal'!$C$12:$C$62,'Udvaskning nøgletal'!$F$12:$F$62)+Markniveau!$Y416*Markniveau!$S416/100,IF($X416=3,LOOKUP(AI416,'Udvaskning nøgletal'!$C$12:$C$62,'Udvaskning nøgletal'!Q426:Q476)+Markniveau!$Y416*Markniveau!$S416/100,"")))</f>
        <v>27.331185321443094</v>
      </c>
      <c r="AK416" s="10">
        <f t="shared" si="69"/>
        <v>299.54979112301635</v>
      </c>
      <c r="AL416" s="10">
        <f t="shared" si="71"/>
        <v>27.057873468228664</v>
      </c>
      <c r="AM416" s="10">
        <f t="shared" si="72"/>
        <v>296.55429321178616</v>
      </c>
    </row>
    <row r="417" spans="1:39" x14ac:dyDescent="0.25">
      <c r="A417" s="15">
        <v>17987682</v>
      </c>
      <c r="B417" s="15">
        <v>102.85</v>
      </c>
      <c r="C417" s="15">
        <v>172828</v>
      </c>
      <c r="D417" s="15">
        <v>70205</v>
      </c>
      <c r="E417" s="15" t="s">
        <v>374</v>
      </c>
      <c r="F417" s="15">
        <v>2011</v>
      </c>
      <c r="G417" s="15">
        <v>20110420</v>
      </c>
      <c r="H417" s="15">
        <v>104831</v>
      </c>
      <c r="I417" s="15">
        <v>10.48</v>
      </c>
      <c r="J417" s="6" t="s">
        <v>38</v>
      </c>
      <c r="K417" s="15">
        <v>263</v>
      </c>
      <c r="L417" s="15" t="s">
        <v>39</v>
      </c>
      <c r="M417" s="15" t="s">
        <v>5</v>
      </c>
      <c r="N417" s="11" t="s">
        <v>1406</v>
      </c>
      <c r="O417" s="11" t="s">
        <v>46</v>
      </c>
      <c r="P417" s="11" t="s">
        <v>33</v>
      </c>
      <c r="Q417" s="15">
        <v>1</v>
      </c>
      <c r="R417" s="11" t="s">
        <v>11</v>
      </c>
      <c r="S417" s="10">
        <v>215.31330793305</v>
      </c>
      <c r="T417" s="15">
        <v>80</v>
      </c>
      <c r="U417" s="15">
        <v>1</v>
      </c>
      <c r="V417" s="15">
        <v>1</v>
      </c>
      <c r="W417" s="15">
        <v>0</v>
      </c>
      <c r="X417" s="15">
        <f>IF(O417='Udvaskning nøgletal'!$D$65,1,IF(O417='Udvaskning nøgletal'!$D$66,2,IF(O417='Udvaskning nøgletal'!$D$67,3,IF(O417='Udvaskning nøgletal'!$D$68,2,""))))</f>
        <v>2</v>
      </c>
      <c r="Y417" s="15">
        <f>LOOKUP(K417,'Udvaskning nøgletal'!$C$12:$C$60,'Udvaskning nøgletal'!$H$12:$H$60)</f>
        <v>0</v>
      </c>
      <c r="Z417" s="10">
        <f>IF(X417=1,LOOKUP(K417,'Udvaskning nøgletal'!$C$12:$C$60,'Udvaskning nøgletal'!$E$12:$E$60)+Markniveau!Y417*Markniveau!S417/100,IF(X417=2,LOOKUP(K417,'Udvaskning nøgletal'!$C$12:$C$60,'Udvaskning nøgletal'!$F$12:$F$60)+Markniveau!Y417*Markniveau!S417/100,IF(X417=3,LOOKUP(K417,'Udvaskning nøgletal'!$C$12:$C$60,'Udvaskning nøgletal'!G427:G475)+Markniveau!Y417*Markniveau!S417/100,"")))</f>
        <v>27.331185321443094</v>
      </c>
      <c r="AA417" s="10">
        <f t="shared" si="66"/>
        <v>286.43082216872364</v>
      </c>
      <c r="AB417" s="10">
        <f t="shared" si="65"/>
        <v>27.057873468228664</v>
      </c>
      <c r="AC417" s="10">
        <f t="shared" si="67"/>
        <v>283.56651394703641</v>
      </c>
      <c r="AD417" s="10">
        <f>IF(AND(Q417&gt;0,Q417&lt;30,K417&lt;8),Markniveau!Z417*'Udvaskning nøgletal'!$I$12/100,IF(AND(Q417&gt;0,Q417&lt;30,K417=216),Markniveau!Z417*'Udvaskning nøgletal'!$I$34/100,Markniveau!Z417))</f>
        <v>27.331185321443094</v>
      </c>
      <c r="AE417" s="10">
        <f t="shared" si="73"/>
        <v>286.43082216872364</v>
      </c>
      <c r="AF417" s="10">
        <f t="shared" si="68"/>
        <v>27.057873468228664</v>
      </c>
      <c r="AG417" s="10">
        <f t="shared" si="74"/>
        <v>283.56651394703641</v>
      </c>
      <c r="AH417" s="10" t="str">
        <f>IF(AND(Q417&gt;0,Q417&lt;30,K417=216),'Udvaskning nøgletal'!$C$42,IF(AND(Q417&gt;0,Q417&lt;30,K417&gt;7,K417&lt;17),'Udvaskning nøgletal'!$C$61,IF(AND(Q417&gt;0,Q417&lt;30,K417&lt;7),'Udvaskning nøgletal'!$C$62,"")))</f>
        <v/>
      </c>
      <c r="AI417" s="10">
        <f t="shared" si="70"/>
        <v>263</v>
      </c>
      <c r="AJ417" s="10">
        <f>IF($X417=1,LOOKUP(AI417,'Udvaskning nøgletal'!$C$12:$C$62,'Udvaskning nøgletal'!$E$12:$E$62)+Markniveau!$Y417*Markniveau!$S417/100,IF($X417=2,LOOKUP(AI417,'Udvaskning nøgletal'!$C$12:$C$62,'Udvaskning nøgletal'!$F$12:$F$62)+Markniveau!$Y417*Markniveau!$S417/100,IF($X417=3,LOOKUP(AI417,'Udvaskning nøgletal'!$C$12:$C$62,'Udvaskning nøgletal'!Q427:Q477)+Markniveau!$Y417*Markniveau!$S417/100,"")))</f>
        <v>27.331185321443094</v>
      </c>
      <c r="AK417" s="10">
        <f t="shared" si="69"/>
        <v>286.43082216872364</v>
      </c>
      <c r="AL417" s="10">
        <f t="shared" si="71"/>
        <v>27.057873468228664</v>
      </c>
      <c r="AM417" s="10">
        <f t="shared" si="72"/>
        <v>283.56651394703641</v>
      </c>
    </row>
    <row r="418" spans="1:39" x14ac:dyDescent="0.25">
      <c r="A418" s="15">
        <v>17987682</v>
      </c>
      <c r="B418" s="15">
        <v>102.85</v>
      </c>
      <c r="C418" s="15">
        <v>172829</v>
      </c>
      <c r="D418" s="15">
        <v>70205</v>
      </c>
      <c r="E418" s="15" t="s">
        <v>374</v>
      </c>
      <c r="F418" s="15">
        <v>2011</v>
      </c>
      <c r="G418" s="15">
        <v>20110420</v>
      </c>
      <c r="H418" s="15">
        <v>25431</v>
      </c>
      <c r="I418" s="15">
        <v>2.54</v>
      </c>
      <c r="J418" s="6" t="s">
        <v>1389</v>
      </c>
      <c r="K418" s="15">
        <v>263</v>
      </c>
      <c r="L418" s="15" t="s">
        <v>39</v>
      </c>
      <c r="M418" s="15" t="s">
        <v>5</v>
      </c>
      <c r="N418" s="11" t="s">
        <v>1384</v>
      </c>
      <c r="O418" s="11" t="s">
        <v>28</v>
      </c>
      <c r="P418" s="11" t="s">
        <v>33</v>
      </c>
      <c r="Q418" s="15">
        <v>25</v>
      </c>
      <c r="R418" s="11" t="s">
        <v>7</v>
      </c>
      <c r="S418" s="10">
        <v>215.31330793305</v>
      </c>
      <c r="T418" s="15">
        <v>80</v>
      </c>
      <c r="U418" s="15">
        <v>1</v>
      </c>
      <c r="V418" s="15">
        <v>1</v>
      </c>
      <c r="W418" s="15">
        <v>0</v>
      </c>
      <c r="X418" s="15">
        <f>IF(O418='Udvaskning nøgletal'!$D$65,1,IF(O418='Udvaskning nøgletal'!$D$66,2,IF(O418='Udvaskning nøgletal'!$D$67,3,IF(O418='Udvaskning nøgletal'!$D$68,2,""))))</f>
        <v>1</v>
      </c>
      <c r="Y418" s="15">
        <f>LOOKUP(K418,'Udvaskning nøgletal'!$C$12:$C$60,'Udvaskning nøgletal'!$H$12:$H$60)</f>
        <v>0</v>
      </c>
      <c r="Z418" s="10">
        <f>IF(X418=1,LOOKUP(K418,'Udvaskning nøgletal'!$C$12:$C$60,'Udvaskning nøgletal'!$E$12:$E$60)+Markniveau!Y418*Markniveau!S418/100,IF(X418=2,LOOKUP(K418,'Udvaskning nøgletal'!$C$12:$C$60,'Udvaskning nøgletal'!$F$12:$F$60)+Markniveau!Y418*Markniveau!S418/100,IF(X418=3,LOOKUP(K418,'Udvaskning nøgletal'!$C$12:$C$60,'Udvaskning nøgletal'!G428:G476)+Markniveau!Y418*Markniveau!S418/100,"")))</f>
        <v>33.723295792149436</v>
      </c>
      <c r="AA418" s="10">
        <f t="shared" si="66"/>
        <v>85.657171312059575</v>
      </c>
      <c r="AB418" s="10">
        <f t="shared" si="65"/>
        <v>25.292471844112079</v>
      </c>
      <c r="AC418" s="10">
        <f t="shared" si="67"/>
        <v>64.242878484044681</v>
      </c>
      <c r="AD418" s="10">
        <f>IF(AND(Q418&gt;0,Q418&lt;30,K418&lt;8),Markniveau!Z418*'Udvaskning nøgletal'!$I$12/100,IF(AND(Q418&gt;0,Q418&lt;30,K418=216),Markniveau!Z418*'Udvaskning nøgletal'!$I$34/100,Markniveau!Z418))</f>
        <v>33.723295792149436</v>
      </c>
      <c r="AE418" s="10">
        <f t="shared" si="73"/>
        <v>85.657171312059575</v>
      </c>
      <c r="AF418" s="10">
        <f t="shared" si="68"/>
        <v>25.292471844112079</v>
      </c>
      <c r="AG418" s="10">
        <f t="shared" si="74"/>
        <v>64.242878484044681</v>
      </c>
      <c r="AH418" s="10" t="str">
        <f>IF(AND(Q418&gt;0,Q418&lt;30,K418=216),'Udvaskning nøgletal'!$C$42,IF(AND(Q418&gt;0,Q418&lt;30,K418&gt;7,K418&lt;17),'Udvaskning nøgletal'!$C$61,IF(AND(Q418&gt;0,Q418&lt;30,K418&lt;7),'Udvaskning nøgletal'!$C$62,"")))</f>
        <v/>
      </c>
      <c r="AI418" s="10">
        <f t="shared" si="70"/>
        <v>263</v>
      </c>
      <c r="AJ418" s="10">
        <f>IF($X418=1,LOOKUP(AI418,'Udvaskning nøgletal'!$C$12:$C$62,'Udvaskning nøgletal'!$E$12:$E$62)+Markniveau!$Y418*Markniveau!$S418/100,IF($X418=2,LOOKUP(AI418,'Udvaskning nøgletal'!$C$12:$C$62,'Udvaskning nøgletal'!$F$12:$F$62)+Markniveau!$Y418*Markniveau!$S418/100,IF($X418=3,LOOKUP(AI418,'Udvaskning nøgletal'!$C$12:$C$62,'Udvaskning nøgletal'!Q428:Q478)+Markniveau!$Y418*Markniveau!$S418/100,"")))</f>
        <v>33.723295792149436</v>
      </c>
      <c r="AK418" s="10">
        <f t="shared" si="69"/>
        <v>85.657171312059575</v>
      </c>
      <c r="AL418" s="10">
        <f t="shared" si="71"/>
        <v>25.292471844112079</v>
      </c>
      <c r="AM418" s="10">
        <f t="shared" si="72"/>
        <v>64.242878484044681</v>
      </c>
    </row>
    <row r="419" spans="1:39" x14ac:dyDescent="0.25">
      <c r="A419" s="15">
        <v>17987682</v>
      </c>
      <c r="B419" s="15">
        <v>102.85</v>
      </c>
      <c r="C419" s="15">
        <v>172830</v>
      </c>
      <c r="D419" s="15">
        <v>70205</v>
      </c>
      <c r="E419" s="15" t="s">
        <v>375</v>
      </c>
      <c r="F419" s="15">
        <v>2011</v>
      </c>
      <c r="G419" s="15">
        <v>20110420</v>
      </c>
      <c r="H419" s="15">
        <v>54462</v>
      </c>
      <c r="I419" s="15">
        <v>5.45</v>
      </c>
      <c r="J419" s="6" t="s">
        <v>97</v>
      </c>
      <c r="K419" s="15">
        <v>263</v>
      </c>
      <c r="L419" s="15" t="s">
        <v>39</v>
      </c>
      <c r="M419" s="15" t="s">
        <v>5</v>
      </c>
      <c r="N419" s="11" t="s">
        <v>1406</v>
      </c>
      <c r="O419" s="11" t="s">
        <v>46</v>
      </c>
      <c r="P419" s="11" t="s">
        <v>29</v>
      </c>
      <c r="Q419" s="15">
        <v>90</v>
      </c>
      <c r="R419" s="11" t="s">
        <v>8</v>
      </c>
      <c r="S419" s="10">
        <v>215.31330793305</v>
      </c>
      <c r="T419" s="15">
        <v>80</v>
      </c>
      <c r="U419" s="15">
        <v>1</v>
      </c>
      <c r="V419" s="15">
        <v>1</v>
      </c>
      <c r="W419" s="15">
        <v>0</v>
      </c>
      <c r="X419" s="15">
        <f>IF(O419='Udvaskning nøgletal'!$D$65,1,IF(O419='Udvaskning nøgletal'!$D$66,2,IF(O419='Udvaskning nøgletal'!$D$67,3,IF(O419='Udvaskning nøgletal'!$D$68,2,""))))</f>
        <v>2</v>
      </c>
      <c r="Y419" s="15">
        <f>LOOKUP(K419,'Udvaskning nøgletal'!$C$12:$C$60,'Udvaskning nøgletal'!$H$12:$H$60)</f>
        <v>0</v>
      </c>
      <c r="Z419" s="10">
        <f>IF(X419=1,LOOKUP(K419,'Udvaskning nøgletal'!$C$12:$C$60,'Udvaskning nøgletal'!$E$12:$E$60)+Markniveau!Y419*Markniveau!S419/100,IF(X419=2,LOOKUP(K419,'Udvaskning nøgletal'!$C$12:$C$60,'Udvaskning nøgletal'!$F$12:$F$60)+Markniveau!Y419*Markniveau!S419/100,IF(X419=3,LOOKUP(K419,'Udvaskning nøgletal'!$C$12:$C$60,'Udvaskning nøgletal'!G429:G477)+Markniveau!Y419*Markniveau!S419/100,"")))</f>
        <v>27.331185321443094</v>
      </c>
      <c r="AA419" s="10">
        <f t="shared" si="66"/>
        <v>148.95496000186486</v>
      </c>
      <c r="AB419" s="10">
        <f t="shared" si="65"/>
        <v>2.7331185321443092</v>
      </c>
      <c r="AC419" s="10">
        <f t="shared" si="67"/>
        <v>14.895496000186485</v>
      </c>
      <c r="AD419" s="10">
        <f>IF(AND(Q419&gt;0,Q419&lt;30,K419&lt;8),Markniveau!Z419*'Udvaskning nøgletal'!$I$12/100,IF(AND(Q419&gt;0,Q419&lt;30,K419=216),Markniveau!Z419*'Udvaskning nøgletal'!$I$34/100,Markniveau!Z419))</f>
        <v>27.331185321443094</v>
      </c>
      <c r="AE419" s="10">
        <f t="shared" si="73"/>
        <v>148.95496000186486</v>
      </c>
      <c r="AF419" s="10">
        <f t="shared" si="68"/>
        <v>2.7331185321443092</v>
      </c>
      <c r="AG419" s="10">
        <f t="shared" si="74"/>
        <v>14.895496000186485</v>
      </c>
      <c r="AH419" s="10" t="str">
        <f>IF(AND(Q419&gt;0,Q419&lt;30,K419=216),'Udvaskning nøgletal'!$C$42,IF(AND(Q419&gt;0,Q419&lt;30,K419&gt;7,K419&lt;17),'Udvaskning nøgletal'!$C$61,IF(AND(Q419&gt;0,Q419&lt;30,K419&lt;7),'Udvaskning nøgletal'!$C$62,"")))</f>
        <v/>
      </c>
      <c r="AI419" s="10">
        <f t="shared" si="70"/>
        <v>263</v>
      </c>
      <c r="AJ419" s="10">
        <f>IF($X419=1,LOOKUP(AI419,'Udvaskning nøgletal'!$C$12:$C$62,'Udvaskning nøgletal'!$E$12:$E$62)+Markniveau!$Y419*Markniveau!$S419/100,IF($X419=2,LOOKUP(AI419,'Udvaskning nøgletal'!$C$12:$C$62,'Udvaskning nøgletal'!$F$12:$F$62)+Markniveau!$Y419*Markniveau!$S419/100,IF($X419=3,LOOKUP(AI419,'Udvaskning nøgletal'!$C$12:$C$62,'Udvaskning nøgletal'!Q429:Q479)+Markniveau!$Y419*Markniveau!$S419/100,"")))</f>
        <v>27.331185321443094</v>
      </c>
      <c r="AK419" s="10">
        <f t="shared" si="69"/>
        <v>148.95496000186486</v>
      </c>
      <c r="AL419" s="10">
        <f t="shared" si="71"/>
        <v>2.7331185321443092</v>
      </c>
      <c r="AM419" s="10">
        <f t="shared" si="72"/>
        <v>14.895496000186485</v>
      </c>
    </row>
    <row r="420" spans="1:39" x14ac:dyDescent="0.25">
      <c r="A420" s="15">
        <v>17987682</v>
      </c>
      <c r="B420" s="15">
        <v>102.85</v>
      </c>
      <c r="C420" s="15">
        <v>172831</v>
      </c>
      <c r="D420" s="15">
        <v>70205</v>
      </c>
      <c r="E420" s="15" t="s">
        <v>375</v>
      </c>
      <c r="F420" s="15">
        <v>2011</v>
      </c>
      <c r="G420" s="15">
        <v>20110420</v>
      </c>
      <c r="H420" s="15">
        <v>101890</v>
      </c>
      <c r="I420" s="15">
        <v>10.19</v>
      </c>
      <c r="J420" s="6" t="s">
        <v>37</v>
      </c>
      <c r="K420" s="15">
        <v>263</v>
      </c>
      <c r="L420" s="15" t="s">
        <v>39</v>
      </c>
      <c r="M420" s="15" t="s">
        <v>5</v>
      </c>
      <c r="N420" s="11" t="s">
        <v>1406</v>
      </c>
      <c r="O420" s="11" t="s">
        <v>46</v>
      </c>
      <c r="P420" s="11" t="s">
        <v>29</v>
      </c>
      <c r="Q420" s="15">
        <v>90</v>
      </c>
      <c r="R420" s="11" t="s">
        <v>8</v>
      </c>
      <c r="S420" s="10">
        <v>215.31330793305</v>
      </c>
      <c r="T420" s="15">
        <v>80</v>
      </c>
      <c r="U420" s="15">
        <v>1</v>
      </c>
      <c r="V420" s="15">
        <v>1</v>
      </c>
      <c r="W420" s="15">
        <v>0</v>
      </c>
      <c r="X420" s="15">
        <f>IF(O420='Udvaskning nøgletal'!$D$65,1,IF(O420='Udvaskning nøgletal'!$D$66,2,IF(O420='Udvaskning nøgletal'!$D$67,3,IF(O420='Udvaskning nøgletal'!$D$68,2,""))))</f>
        <v>2</v>
      </c>
      <c r="Y420" s="15">
        <f>LOOKUP(K420,'Udvaskning nøgletal'!$C$12:$C$60,'Udvaskning nøgletal'!$H$12:$H$60)</f>
        <v>0</v>
      </c>
      <c r="Z420" s="10">
        <f>IF(X420=1,LOOKUP(K420,'Udvaskning nøgletal'!$C$12:$C$60,'Udvaskning nøgletal'!$E$12:$E$60)+Markniveau!Y420*Markniveau!S420/100,IF(X420=2,LOOKUP(K420,'Udvaskning nøgletal'!$C$12:$C$60,'Udvaskning nøgletal'!$F$12:$F$60)+Markniveau!Y420*Markniveau!S420/100,IF(X420=3,LOOKUP(K420,'Udvaskning nøgletal'!$C$12:$C$60,'Udvaskning nøgletal'!G430:G478)+Markniveau!Y420*Markniveau!S420/100,"")))</f>
        <v>27.331185321443094</v>
      </c>
      <c r="AA420" s="10">
        <f t="shared" si="66"/>
        <v>278.50477842550509</v>
      </c>
      <c r="AB420" s="10">
        <f t="shared" si="65"/>
        <v>2.7331185321443092</v>
      </c>
      <c r="AC420" s="10">
        <f t="shared" si="67"/>
        <v>27.850477842550511</v>
      </c>
      <c r="AD420" s="10">
        <f>IF(AND(Q420&gt;0,Q420&lt;30,K420&lt;8),Markniveau!Z420*'Udvaskning nøgletal'!$I$12/100,IF(AND(Q420&gt;0,Q420&lt;30,K420=216),Markniveau!Z420*'Udvaskning nøgletal'!$I$34/100,Markniveau!Z420))</f>
        <v>27.331185321443094</v>
      </c>
      <c r="AE420" s="10">
        <f t="shared" si="73"/>
        <v>278.50477842550509</v>
      </c>
      <c r="AF420" s="10">
        <f t="shared" si="68"/>
        <v>2.7331185321443092</v>
      </c>
      <c r="AG420" s="10">
        <f t="shared" si="74"/>
        <v>27.850477842550511</v>
      </c>
      <c r="AH420" s="10" t="str">
        <f>IF(AND(Q420&gt;0,Q420&lt;30,K420=216),'Udvaskning nøgletal'!$C$42,IF(AND(Q420&gt;0,Q420&lt;30,K420&gt;7,K420&lt;17),'Udvaskning nøgletal'!$C$61,IF(AND(Q420&gt;0,Q420&lt;30,K420&lt;7),'Udvaskning nøgletal'!$C$62,"")))</f>
        <v/>
      </c>
      <c r="AI420" s="10">
        <f t="shared" si="70"/>
        <v>263</v>
      </c>
      <c r="AJ420" s="10">
        <f>IF($X420=1,LOOKUP(AI420,'Udvaskning nøgletal'!$C$12:$C$62,'Udvaskning nøgletal'!$E$12:$E$62)+Markniveau!$Y420*Markniveau!$S420/100,IF($X420=2,LOOKUP(AI420,'Udvaskning nøgletal'!$C$12:$C$62,'Udvaskning nøgletal'!$F$12:$F$62)+Markniveau!$Y420*Markniveau!$S420/100,IF($X420=3,LOOKUP(AI420,'Udvaskning nøgletal'!$C$12:$C$62,'Udvaskning nøgletal'!Q430:Q480)+Markniveau!$Y420*Markniveau!$S420/100,"")))</f>
        <v>27.331185321443094</v>
      </c>
      <c r="AK420" s="10">
        <f t="shared" si="69"/>
        <v>278.50477842550509</v>
      </c>
      <c r="AL420" s="10">
        <f t="shared" si="71"/>
        <v>2.7331185321443092</v>
      </c>
      <c r="AM420" s="10">
        <f t="shared" si="72"/>
        <v>27.850477842550511</v>
      </c>
    </row>
    <row r="421" spans="1:39" x14ac:dyDescent="0.25">
      <c r="A421" s="15">
        <v>17987682</v>
      </c>
      <c r="B421" s="15">
        <v>102.85</v>
      </c>
      <c r="C421" s="15">
        <v>172832</v>
      </c>
      <c r="D421" s="15">
        <v>70205</v>
      </c>
      <c r="E421" s="15" t="s">
        <v>375</v>
      </c>
      <c r="F421" s="15">
        <v>2011</v>
      </c>
      <c r="G421" s="15">
        <v>20110420</v>
      </c>
      <c r="H421" s="15">
        <v>75178</v>
      </c>
      <c r="I421" s="15">
        <v>7.52</v>
      </c>
      <c r="J421" s="6" t="s">
        <v>61</v>
      </c>
      <c r="K421" s="15">
        <v>216</v>
      </c>
      <c r="L421" s="15" t="s">
        <v>116</v>
      </c>
      <c r="M421" s="15" t="s">
        <v>5</v>
      </c>
      <c r="N421" s="11" t="s">
        <v>1384</v>
      </c>
      <c r="O421" s="11" t="s">
        <v>28</v>
      </c>
      <c r="P421" s="11" t="s">
        <v>29</v>
      </c>
      <c r="Q421" s="15">
        <v>90</v>
      </c>
      <c r="R421" s="11" t="s">
        <v>8</v>
      </c>
      <c r="S421" s="10">
        <v>215.31330793305</v>
      </c>
      <c r="T421" s="15">
        <v>80</v>
      </c>
      <c r="U421" s="15">
        <v>1</v>
      </c>
      <c r="V421" s="15">
        <v>1</v>
      </c>
      <c r="W421" s="15">
        <v>0</v>
      </c>
      <c r="X421" s="15">
        <f>IF(O421='Udvaskning nøgletal'!$D$65,1,IF(O421='Udvaskning nøgletal'!$D$66,2,IF(O421='Udvaskning nøgletal'!$D$67,3,IF(O421='Udvaskning nøgletal'!$D$68,2,""))))</f>
        <v>1</v>
      </c>
      <c r="Y421" s="15">
        <f>LOOKUP(K421,'Udvaskning nøgletal'!$C$12:$C$60,'Udvaskning nøgletal'!$H$12:$H$60)</f>
        <v>0</v>
      </c>
      <c r="Z421" s="10">
        <f>IF(X421=1,LOOKUP(K421,'Udvaskning nøgletal'!$C$12:$C$60,'Udvaskning nøgletal'!$E$12:$E$60)+Markniveau!Y421*Markniveau!S421/100,IF(X421=2,LOOKUP(K421,'Udvaskning nøgletal'!$C$12:$C$60,'Udvaskning nøgletal'!$F$12:$F$60)+Markniveau!Y421*Markniveau!S421/100,IF(X421=3,LOOKUP(K421,'Udvaskning nøgletal'!$C$12:$C$60,'Udvaskning nøgletal'!G431:G479)+Markniveau!Y421*Markniveau!S421/100,"")))</f>
        <v>125.85383557148924</v>
      </c>
      <c r="AA421" s="10">
        <f t="shared" si="66"/>
        <v>946.42084349759909</v>
      </c>
      <c r="AB421" s="10">
        <f t="shared" si="65"/>
        <v>12.585383557148925</v>
      </c>
      <c r="AC421" s="10">
        <f t="shared" si="67"/>
        <v>94.642084349759912</v>
      </c>
      <c r="AD421" s="10">
        <f>IF(AND(Q421&gt;0,Q421&lt;30,K421&lt;8),Markniveau!Z421*'Udvaskning nøgletal'!$I$12/100,IF(AND(Q421&gt;0,Q421&lt;30,K421=216),Markniveau!Z421*'Udvaskning nøgletal'!$I$34/100,Markniveau!Z421))</f>
        <v>125.85383557148924</v>
      </c>
      <c r="AE421" s="10">
        <f t="shared" si="73"/>
        <v>946.42084349759909</v>
      </c>
      <c r="AF421" s="10">
        <f t="shared" si="68"/>
        <v>12.585383557148925</v>
      </c>
      <c r="AG421" s="10">
        <f t="shared" si="74"/>
        <v>94.642084349759912</v>
      </c>
      <c r="AH421" s="10" t="str">
        <f>IF(AND(Q421&gt;0,Q421&lt;30,K421=216),'Udvaskning nøgletal'!$C$42,IF(AND(Q421&gt;0,Q421&lt;30,K421&gt;7,K421&lt;17),'Udvaskning nøgletal'!$C$61,IF(AND(Q421&gt;0,Q421&lt;30,K421&lt;7),'Udvaskning nøgletal'!$C$62,"")))</f>
        <v/>
      </c>
      <c r="AI421" s="10">
        <f t="shared" si="70"/>
        <v>216</v>
      </c>
      <c r="AJ421" s="10">
        <f>IF($X421=1,LOOKUP(AI421,'Udvaskning nøgletal'!$C$12:$C$62,'Udvaskning nøgletal'!$E$12:$E$62)+Markniveau!$Y421*Markniveau!$S421/100,IF($X421=2,LOOKUP(AI421,'Udvaskning nøgletal'!$C$12:$C$62,'Udvaskning nøgletal'!$F$12:$F$62)+Markniveau!$Y421*Markniveau!$S421/100,IF($X421=3,LOOKUP(AI421,'Udvaskning nøgletal'!$C$12:$C$62,'Udvaskning nøgletal'!Q431:Q481)+Markniveau!$Y421*Markniveau!$S421/100,"")))</f>
        <v>125.85383557148924</v>
      </c>
      <c r="AK421" s="10">
        <f t="shared" si="69"/>
        <v>946.42084349759909</v>
      </c>
      <c r="AL421" s="10">
        <f t="shared" si="71"/>
        <v>12.585383557148925</v>
      </c>
      <c r="AM421" s="10">
        <f t="shared" si="72"/>
        <v>94.642084349759912</v>
      </c>
    </row>
    <row r="422" spans="1:39" x14ac:dyDescent="0.25">
      <c r="A422" s="15">
        <v>17987682</v>
      </c>
      <c r="B422" s="15">
        <v>102.85</v>
      </c>
      <c r="C422" s="15">
        <v>172833</v>
      </c>
      <c r="D422" s="15">
        <v>70205</v>
      </c>
      <c r="E422" s="15" t="s">
        <v>376</v>
      </c>
      <c r="F422" s="15">
        <v>2011</v>
      </c>
      <c r="G422" s="15">
        <v>20110420</v>
      </c>
      <c r="H422" s="15">
        <v>72374</v>
      </c>
      <c r="I422" s="15">
        <v>7.24</v>
      </c>
      <c r="J422" s="6" t="s">
        <v>91</v>
      </c>
      <c r="K422" s="15">
        <v>216</v>
      </c>
      <c r="L422" s="15" t="s">
        <v>116</v>
      </c>
      <c r="M422" s="15" t="s">
        <v>5</v>
      </c>
      <c r="N422" s="11" t="s">
        <v>1384</v>
      </c>
      <c r="O422" s="11" t="s">
        <v>28</v>
      </c>
      <c r="P422" s="11" t="s">
        <v>29</v>
      </c>
      <c r="Q422" s="15">
        <v>95</v>
      </c>
      <c r="R422" s="11" t="s">
        <v>3</v>
      </c>
      <c r="S422" s="10">
        <v>215.31330793305</v>
      </c>
      <c r="T422" s="15">
        <v>80</v>
      </c>
      <c r="U422" s="15">
        <v>1</v>
      </c>
      <c r="V422" s="15">
        <v>1</v>
      </c>
      <c r="W422" s="15">
        <v>0</v>
      </c>
      <c r="X422" s="15">
        <f>IF(O422='Udvaskning nøgletal'!$D$65,1,IF(O422='Udvaskning nøgletal'!$D$66,2,IF(O422='Udvaskning nøgletal'!$D$67,3,IF(O422='Udvaskning nøgletal'!$D$68,2,""))))</f>
        <v>1</v>
      </c>
      <c r="Y422" s="15">
        <f>LOOKUP(K422,'Udvaskning nøgletal'!$C$12:$C$60,'Udvaskning nøgletal'!$H$12:$H$60)</f>
        <v>0</v>
      </c>
      <c r="Z422" s="10">
        <f>IF(X422=1,LOOKUP(K422,'Udvaskning nøgletal'!$C$12:$C$60,'Udvaskning nøgletal'!$E$12:$E$60)+Markniveau!Y422*Markniveau!S422/100,IF(X422=2,LOOKUP(K422,'Udvaskning nøgletal'!$C$12:$C$60,'Udvaskning nøgletal'!$F$12:$F$60)+Markniveau!Y422*Markniveau!S422/100,IF(X422=3,LOOKUP(K422,'Udvaskning nøgletal'!$C$12:$C$60,'Udvaskning nøgletal'!G432:G480)+Markniveau!Y422*Markniveau!S422/100,"")))</f>
        <v>125.85383557148924</v>
      </c>
      <c r="AA422" s="10">
        <f t="shared" si="66"/>
        <v>911.18176953758211</v>
      </c>
      <c r="AB422" s="10">
        <f t="shared" si="65"/>
        <v>6.2926917785744623</v>
      </c>
      <c r="AC422" s="10">
        <f t="shared" si="67"/>
        <v>45.559088476879111</v>
      </c>
      <c r="AD422" s="10">
        <f>IF(AND(Q422&gt;0,Q422&lt;30,K422&lt;8),Markniveau!Z422*'Udvaskning nøgletal'!$I$12/100,IF(AND(Q422&gt;0,Q422&lt;30,K422=216),Markniveau!Z422*'Udvaskning nøgletal'!$I$34/100,Markniveau!Z422))</f>
        <v>125.85383557148924</v>
      </c>
      <c r="AE422" s="10">
        <f t="shared" si="73"/>
        <v>911.18176953758211</v>
      </c>
      <c r="AF422" s="10">
        <f t="shared" si="68"/>
        <v>6.2926917785744623</v>
      </c>
      <c r="AG422" s="10">
        <f t="shared" si="74"/>
        <v>45.559088476879111</v>
      </c>
      <c r="AH422" s="10" t="str">
        <f>IF(AND(Q422&gt;0,Q422&lt;30,K422=216),'Udvaskning nøgletal'!$C$42,IF(AND(Q422&gt;0,Q422&lt;30,K422&gt;7,K422&lt;17),'Udvaskning nøgletal'!$C$61,IF(AND(Q422&gt;0,Q422&lt;30,K422&lt;7),'Udvaskning nøgletal'!$C$62,"")))</f>
        <v/>
      </c>
      <c r="AI422" s="10">
        <f t="shared" si="70"/>
        <v>216</v>
      </c>
      <c r="AJ422" s="10">
        <f>IF($X422=1,LOOKUP(AI422,'Udvaskning nøgletal'!$C$12:$C$62,'Udvaskning nøgletal'!$E$12:$E$62)+Markniveau!$Y422*Markniveau!$S422/100,IF($X422=2,LOOKUP(AI422,'Udvaskning nøgletal'!$C$12:$C$62,'Udvaskning nøgletal'!$F$12:$F$62)+Markniveau!$Y422*Markniveau!$S422/100,IF($X422=3,LOOKUP(AI422,'Udvaskning nøgletal'!$C$12:$C$62,'Udvaskning nøgletal'!Q432:Q482)+Markniveau!$Y422*Markniveau!$S422/100,"")))</f>
        <v>125.85383557148924</v>
      </c>
      <c r="AK422" s="10">
        <f t="shared" si="69"/>
        <v>911.18176953758211</v>
      </c>
      <c r="AL422" s="10">
        <f t="shared" si="71"/>
        <v>6.2926917785744623</v>
      </c>
      <c r="AM422" s="10">
        <f t="shared" si="72"/>
        <v>45.559088476879111</v>
      </c>
    </row>
    <row r="423" spans="1:39" x14ac:dyDescent="0.25">
      <c r="A423" s="15">
        <v>17987682</v>
      </c>
      <c r="B423" s="15">
        <v>102.85</v>
      </c>
      <c r="C423" s="15">
        <v>173342</v>
      </c>
      <c r="D423" s="15">
        <v>70205</v>
      </c>
      <c r="E423" s="15" t="s">
        <v>377</v>
      </c>
      <c r="F423" s="15">
        <v>2011</v>
      </c>
      <c r="G423" s="15">
        <v>20110420</v>
      </c>
      <c r="H423" s="15">
        <v>42270</v>
      </c>
      <c r="I423" s="15">
        <v>4.2300000000000004</v>
      </c>
      <c r="J423" s="6" t="s">
        <v>53</v>
      </c>
      <c r="K423" s="15">
        <v>216</v>
      </c>
      <c r="L423" s="15" t="s">
        <v>116</v>
      </c>
      <c r="M423" s="15" t="s">
        <v>5</v>
      </c>
      <c r="N423" s="11" t="s">
        <v>1384</v>
      </c>
      <c r="O423" s="11" t="s">
        <v>28</v>
      </c>
      <c r="P423" s="11" t="s">
        <v>29</v>
      </c>
      <c r="Q423" s="15">
        <v>40</v>
      </c>
      <c r="R423" s="11" t="s">
        <v>6</v>
      </c>
      <c r="S423" s="10">
        <v>215.31330793305</v>
      </c>
      <c r="T423" s="15">
        <v>80</v>
      </c>
      <c r="U423" s="15">
        <v>1</v>
      </c>
      <c r="V423" s="15">
        <v>1</v>
      </c>
      <c r="W423" s="15">
        <v>0</v>
      </c>
      <c r="X423" s="15">
        <f>IF(O423='Udvaskning nøgletal'!$D$65,1,IF(O423='Udvaskning nøgletal'!$D$66,2,IF(O423='Udvaskning nøgletal'!$D$67,3,IF(O423='Udvaskning nøgletal'!$D$68,2,""))))</f>
        <v>1</v>
      </c>
      <c r="Y423" s="15">
        <f>LOOKUP(K423,'Udvaskning nøgletal'!$C$12:$C$60,'Udvaskning nøgletal'!$H$12:$H$60)</f>
        <v>0</v>
      </c>
      <c r="Z423" s="10">
        <f>IF(X423=1,LOOKUP(K423,'Udvaskning nøgletal'!$C$12:$C$60,'Udvaskning nøgletal'!$E$12:$E$60)+Markniveau!Y423*Markniveau!S423/100,IF(X423=2,LOOKUP(K423,'Udvaskning nøgletal'!$C$12:$C$60,'Udvaskning nøgletal'!$F$12:$F$60)+Markniveau!Y423*Markniveau!S423/100,IF(X423=3,LOOKUP(K423,'Udvaskning nøgletal'!$C$12:$C$60,'Udvaskning nøgletal'!G433:G481)+Markniveau!Y423*Markniveau!S423/100,"")))</f>
        <v>125.85383557148924</v>
      </c>
      <c r="AA423" s="10">
        <f t="shared" si="66"/>
        <v>532.36172446739954</v>
      </c>
      <c r="AB423" s="10">
        <f t="shared" si="65"/>
        <v>75.512301342893537</v>
      </c>
      <c r="AC423" s="10">
        <f t="shared" si="67"/>
        <v>319.41703468043971</v>
      </c>
      <c r="AD423" s="10">
        <f>IF(AND(Q423&gt;0,Q423&lt;30,K423&lt;8),Markniveau!Z423*'Udvaskning nøgletal'!$I$12/100,IF(AND(Q423&gt;0,Q423&lt;30,K423=216),Markniveau!Z423*'Udvaskning nøgletal'!$I$34/100,Markniveau!Z423))</f>
        <v>125.85383557148924</v>
      </c>
      <c r="AE423" s="10">
        <f t="shared" si="73"/>
        <v>532.36172446739954</v>
      </c>
      <c r="AF423" s="10">
        <f t="shared" si="68"/>
        <v>75.512301342893537</v>
      </c>
      <c r="AG423" s="10">
        <f t="shared" si="74"/>
        <v>319.41703468043971</v>
      </c>
      <c r="AH423" s="10" t="str">
        <f>IF(AND(Q423&gt;0,Q423&lt;30,K423=216),'Udvaskning nøgletal'!$C$42,IF(AND(Q423&gt;0,Q423&lt;30,K423&gt;7,K423&lt;17),'Udvaskning nøgletal'!$C$61,IF(AND(Q423&gt;0,Q423&lt;30,K423&lt;7),'Udvaskning nøgletal'!$C$62,"")))</f>
        <v/>
      </c>
      <c r="AI423" s="10">
        <f t="shared" si="70"/>
        <v>216</v>
      </c>
      <c r="AJ423" s="10">
        <f>IF($X423=1,LOOKUP(AI423,'Udvaskning nøgletal'!$C$12:$C$62,'Udvaskning nøgletal'!$E$12:$E$62)+Markniveau!$Y423*Markniveau!$S423/100,IF($X423=2,LOOKUP(AI423,'Udvaskning nøgletal'!$C$12:$C$62,'Udvaskning nøgletal'!$F$12:$F$62)+Markniveau!$Y423*Markniveau!$S423/100,IF($X423=3,LOOKUP(AI423,'Udvaskning nøgletal'!$C$12:$C$62,'Udvaskning nøgletal'!Q433:Q483)+Markniveau!$Y423*Markniveau!$S423/100,"")))</f>
        <v>125.85383557148924</v>
      </c>
      <c r="AK423" s="10">
        <f t="shared" si="69"/>
        <v>532.36172446739954</v>
      </c>
      <c r="AL423" s="10">
        <f t="shared" si="71"/>
        <v>75.512301342893537</v>
      </c>
      <c r="AM423" s="10">
        <f t="shared" si="72"/>
        <v>319.41703468043971</v>
      </c>
    </row>
    <row r="424" spans="1:39" x14ac:dyDescent="0.25">
      <c r="A424" s="15">
        <v>17987682</v>
      </c>
      <c r="B424" s="15">
        <v>102.85</v>
      </c>
      <c r="C424" s="15">
        <v>173343</v>
      </c>
      <c r="D424" s="15">
        <v>70205</v>
      </c>
      <c r="E424" s="15" t="s">
        <v>378</v>
      </c>
      <c r="F424" s="15">
        <v>2011</v>
      </c>
      <c r="G424" s="15">
        <v>20110420</v>
      </c>
      <c r="H424" s="15">
        <v>13565</v>
      </c>
      <c r="I424" s="15">
        <v>1.36</v>
      </c>
      <c r="J424" s="6" t="s">
        <v>87</v>
      </c>
      <c r="K424" s="15">
        <v>216</v>
      </c>
      <c r="L424" s="15" t="s">
        <v>116</v>
      </c>
      <c r="M424" s="15" t="s">
        <v>5</v>
      </c>
      <c r="N424" s="11" t="s">
        <v>1384</v>
      </c>
      <c r="O424" s="11" t="s">
        <v>28</v>
      </c>
      <c r="P424" s="11" t="s">
        <v>29</v>
      </c>
      <c r="Q424" s="15">
        <v>40</v>
      </c>
      <c r="R424" s="11" t="s">
        <v>6</v>
      </c>
      <c r="S424" s="10">
        <v>215.31330793305</v>
      </c>
      <c r="T424" s="15">
        <v>80</v>
      </c>
      <c r="U424" s="15">
        <v>1</v>
      </c>
      <c r="V424" s="15">
        <v>1</v>
      </c>
      <c r="W424" s="15">
        <v>0</v>
      </c>
      <c r="X424" s="15">
        <f>IF(O424='Udvaskning nøgletal'!$D$65,1,IF(O424='Udvaskning nøgletal'!$D$66,2,IF(O424='Udvaskning nøgletal'!$D$67,3,IF(O424='Udvaskning nøgletal'!$D$68,2,""))))</f>
        <v>1</v>
      </c>
      <c r="Y424" s="15">
        <f>LOOKUP(K424,'Udvaskning nøgletal'!$C$12:$C$60,'Udvaskning nøgletal'!$H$12:$H$60)</f>
        <v>0</v>
      </c>
      <c r="Z424" s="10">
        <f>IF(X424=1,LOOKUP(K424,'Udvaskning nøgletal'!$C$12:$C$60,'Udvaskning nøgletal'!$E$12:$E$60)+Markniveau!Y424*Markniveau!S424/100,IF(X424=2,LOOKUP(K424,'Udvaskning nøgletal'!$C$12:$C$60,'Udvaskning nøgletal'!$F$12:$F$60)+Markniveau!Y424*Markniveau!S424/100,IF(X424=3,LOOKUP(K424,'Udvaskning nøgletal'!$C$12:$C$60,'Udvaskning nøgletal'!G434:G482)+Markniveau!Y424*Markniveau!S424/100,"")))</f>
        <v>125.85383557148924</v>
      </c>
      <c r="AA424" s="10">
        <f t="shared" si="66"/>
        <v>171.16121637722537</v>
      </c>
      <c r="AB424" s="10">
        <f t="shared" si="65"/>
        <v>75.512301342893537</v>
      </c>
      <c r="AC424" s="10">
        <f t="shared" si="67"/>
        <v>102.69672982633521</v>
      </c>
      <c r="AD424" s="10">
        <f>IF(AND(Q424&gt;0,Q424&lt;30,K424&lt;8),Markniveau!Z424*'Udvaskning nøgletal'!$I$12/100,IF(AND(Q424&gt;0,Q424&lt;30,K424=216),Markniveau!Z424*'Udvaskning nøgletal'!$I$34/100,Markniveau!Z424))</f>
        <v>125.85383557148924</v>
      </c>
      <c r="AE424" s="10">
        <f t="shared" si="73"/>
        <v>171.16121637722537</v>
      </c>
      <c r="AF424" s="10">
        <f t="shared" si="68"/>
        <v>75.512301342893537</v>
      </c>
      <c r="AG424" s="10">
        <f t="shared" si="74"/>
        <v>102.69672982633521</v>
      </c>
      <c r="AH424" s="10" t="str">
        <f>IF(AND(Q424&gt;0,Q424&lt;30,K424=216),'Udvaskning nøgletal'!$C$42,IF(AND(Q424&gt;0,Q424&lt;30,K424&gt;7,K424&lt;17),'Udvaskning nøgletal'!$C$61,IF(AND(Q424&gt;0,Q424&lt;30,K424&lt;7),'Udvaskning nøgletal'!$C$62,"")))</f>
        <v/>
      </c>
      <c r="AI424" s="10">
        <f t="shared" si="70"/>
        <v>216</v>
      </c>
      <c r="AJ424" s="10">
        <f>IF($X424=1,LOOKUP(AI424,'Udvaskning nøgletal'!$C$12:$C$62,'Udvaskning nøgletal'!$E$12:$E$62)+Markniveau!$Y424*Markniveau!$S424/100,IF($X424=2,LOOKUP(AI424,'Udvaskning nøgletal'!$C$12:$C$62,'Udvaskning nøgletal'!$F$12:$F$62)+Markniveau!$Y424*Markniveau!$S424/100,IF($X424=3,LOOKUP(AI424,'Udvaskning nøgletal'!$C$12:$C$62,'Udvaskning nøgletal'!Q434:Q484)+Markniveau!$Y424*Markniveau!$S424/100,"")))</f>
        <v>125.85383557148924</v>
      </c>
      <c r="AK424" s="10">
        <f t="shared" si="69"/>
        <v>171.16121637722537</v>
      </c>
      <c r="AL424" s="10">
        <f t="shared" si="71"/>
        <v>75.512301342893537</v>
      </c>
      <c r="AM424" s="10">
        <f t="shared" si="72"/>
        <v>102.69672982633521</v>
      </c>
    </row>
    <row r="425" spans="1:39" x14ac:dyDescent="0.25">
      <c r="A425" s="15">
        <v>17987682</v>
      </c>
      <c r="B425" s="15">
        <v>102.85</v>
      </c>
      <c r="C425" s="15">
        <v>173344</v>
      </c>
      <c r="D425" s="15">
        <v>70205</v>
      </c>
      <c r="E425" s="15" t="s">
        <v>379</v>
      </c>
      <c r="F425" s="15">
        <v>2011</v>
      </c>
      <c r="G425" s="15">
        <v>20110420</v>
      </c>
      <c r="H425" s="15">
        <v>8055</v>
      </c>
      <c r="I425" s="15">
        <v>0.81</v>
      </c>
      <c r="J425" s="6" t="s">
        <v>1462</v>
      </c>
      <c r="K425" s="15">
        <v>252</v>
      </c>
      <c r="L425" s="15" t="s">
        <v>41</v>
      </c>
      <c r="M425" s="15" t="s">
        <v>4</v>
      </c>
      <c r="N425" s="11" t="s">
        <v>1384</v>
      </c>
      <c r="O425" s="11" t="s">
        <v>28</v>
      </c>
      <c r="P425" s="11" t="s">
        <v>29</v>
      </c>
      <c r="Q425" s="15">
        <v>95</v>
      </c>
      <c r="R425" s="11" t="s">
        <v>3</v>
      </c>
      <c r="S425" s="10">
        <v>215.31330793305</v>
      </c>
      <c r="T425" s="15">
        <v>80</v>
      </c>
      <c r="U425" s="15">
        <v>1</v>
      </c>
      <c r="V425" s="15">
        <v>1</v>
      </c>
      <c r="W425" s="15">
        <v>0</v>
      </c>
      <c r="X425" s="15">
        <f>IF(O425='Udvaskning nøgletal'!$D$65,1,IF(O425='Udvaskning nøgletal'!$D$66,2,IF(O425='Udvaskning nøgletal'!$D$67,3,IF(O425='Udvaskning nøgletal'!$D$68,2,""))))</f>
        <v>1</v>
      </c>
      <c r="Y425" s="15">
        <f>LOOKUP(K425,'Udvaskning nøgletal'!$C$12:$C$60,'Udvaskning nøgletal'!$H$12:$H$60)</f>
        <v>0</v>
      </c>
      <c r="Z425" s="10">
        <f>IF(X425=1,LOOKUP(K425,'Udvaskning nøgletal'!$C$12:$C$60,'Udvaskning nøgletal'!$E$12:$E$60)+Markniveau!Y425*Markniveau!S425/100,IF(X425=2,LOOKUP(K425,'Udvaskning nøgletal'!$C$12:$C$60,'Udvaskning nøgletal'!$F$12:$F$60)+Markniveau!Y425*Markniveau!S425/100,IF(X425=3,LOOKUP(K425,'Udvaskning nøgletal'!$C$12:$C$60,'Udvaskning nøgletal'!G435:G483)+Markniveau!Y425*Markniveau!S425/100,"")))</f>
        <v>21.2</v>
      </c>
      <c r="AA425" s="10">
        <f t="shared" si="66"/>
        <v>17.172000000000001</v>
      </c>
      <c r="AB425" s="10">
        <f t="shared" si="65"/>
        <v>1.06</v>
      </c>
      <c r="AC425" s="10">
        <f t="shared" si="67"/>
        <v>0.85860000000000014</v>
      </c>
      <c r="AD425" s="10">
        <f>IF(AND(Q425&gt;0,Q425&lt;30,K425&lt;8),Markniveau!Z425*'Udvaskning nøgletal'!$I$12/100,IF(AND(Q425&gt;0,Q425&lt;30,K425=216),Markniveau!Z425*'Udvaskning nøgletal'!$I$34/100,Markniveau!Z425))</f>
        <v>21.2</v>
      </c>
      <c r="AE425" s="10">
        <f t="shared" si="73"/>
        <v>17.172000000000001</v>
      </c>
      <c r="AF425" s="10">
        <f t="shared" si="68"/>
        <v>1.06</v>
      </c>
      <c r="AG425" s="10">
        <f t="shared" si="74"/>
        <v>0.85860000000000014</v>
      </c>
      <c r="AH425" s="10" t="str">
        <f>IF(AND(Q425&gt;0,Q425&lt;30,K425=216),'Udvaskning nøgletal'!$C$42,IF(AND(Q425&gt;0,Q425&lt;30,K425&gt;7,K425&lt;17),'Udvaskning nøgletal'!$C$61,IF(AND(Q425&gt;0,Q425&lt;30,K425&lt;7),'Udvaskning nøgletal'!$C$62,"")))</f>
        <v/>
      </c>
      <c r="AI425" s="10">
        <f t="shared" si="70"/>
        <v>252</v>
      </c>
      <c r="AJ425" s="10">
        <f>IF($X425=1,LOOKUP(AI425,'Udvaskning nøgletal'!$C$12:$C$62,'Udvaskning nøgletal'!$E$12:$E$62)+Markniveau!$Y425*Markniveau!$S425/100,IF($X425=2,LOOKUP(AI425,'Udvaskning nøgletal'!$C$12:$C$62,'Udvaskning nøgletal'!$F$12:$F$62)+Markniveau!$Y425*Markniveau!$S425/100,IF($X425=3,LOOKUP(AI425,'Udvaskning nøgletal'!$C$12:$C$62,'Udvaskning nøgletal'!Q435:Q485)+Markniveau!$Y425*Markniveau!$S425/100,"")))</f>
        <v>21.2</v>
      </c>
      <c r="AK425" s="10">
        <f t="shared" si="69"/>
        <v>17.172000000000001</v>
      </c>
      <c r="AL425" s="10">
        <f t="shared" si="71"/>
        <v>1.06</v>
      </c>
      <c r="AM425" s="10">
        <f t="shared" si="72"/>
        <v>0.85860000000000014</v>
      </c>
    </row>
    <row r="426" spans="1:39" x14ac:dyDescent="0.25">
      <c r="A426" s="15">
        <v>17987682</v>
      </c>
      <c r="B426" s="15">
        <v>102.85</v>
      </c>
      <c r="C426" s="15">
        <v>178017</v>
      </c>
      <c r="D426" s="15">
        <v>70205</v>
      </c>
      <c r="E426" s="15" t="s">
        <v>306</v>
      </c>
      <c r="F426" s="15">
        <v>2011</v>
      </c>
      <c r="G426" s="15">
        <v>20110420</v>
      </c>
      <c r="H426" s="15">
        <v>82659</v>
      </c>
      <c r="I426" s="15">
        <v>8.27</v>
      </c>
      <c r="J426" s="6" t="s">
        <v>164</v>
      </c>
      <c r="K426" s="15">
        <v>263</v>
      </c>
      <c r="L426" s="15" t="s">
        <v>39</v>
      </c>
      <c r="M426" s="15" t="s">
        <v>5</v>
      </c>
      <c r="N426" s="11" t="s">
        <v>1384</v>
      </c>
      <c r="O426" s="11" t="s">
        <v>28</v>
      </c>
      <c r="P426" s="11" t="s">
        <v>33</v>
      </c>
      <c r="Q426" s="15">
        <v>90</v>
      </c>
      <c r="R426" s="11" t="s">
        <v>8</v>
      </c>
      <c r="S426" s="10">
        <v>215.31330793305</v>
      </c>
      <c r="T426" s="15">
        <v>80</v>
      </c>
      <c r="U426" s="15">
        <v>1</v>
      </c>
      <c r="V426" s="15">
        <v>1</v>
      </c>
      <c r="W426" s="15">
        <v>0</v>
      </c>
      <c r="X426" s="15">
        <f>IF(O426='Udvaskning nøgletal'!$D$65,1,IF(O426='Udvaskning nøgletal'!$D$66,2,IF(O426='Udvaskning nøgletal'!$D$67,3,IF(O426='Udvaskning nøgletal'!$D$68,2,""))))</f>
        <v>1</v>
      </c>
      <c r="Y426" s="15">
        <f>LOOKUP(K426,'Udvaskning nøgletal'!$C$12:$C$60,'Udvaskning nøgletal'!$H$12:$H$60)</f>
        <v>0</v>
      </c>
      <c r="Z426" s="10">
        <f>IF(X426=1,LOOKUP(K426,'Udvaskning nøgletal'!$C$12:$C$60,'Udvaskning nøgletal'!$E$12:$E$60)+Markniveau!Y426*Markniveau!S426/100,IF(X426=2,LOOKUP(K426,'Udvaskning nøgletal'!$C$12:$C$60,'Udvaskning nøgletal'!$F$12:$F$60)+Markniveau!Y426*Markniveau!S426/100,IF(X426=3,LOOKUP(K426,'Udvaskning nøgletal'!$C$12:$C$60,'Udvaskning nøgletal'!G436:G484)+Markniveau!Y426*Markniveau!S426/100,"")))</f>
        <v>33.723295792149436</v>
      </c>
      <c r="AA426" s="10">
        <f t="shared" si="66"/>
        <v>278.89165620107582</v>
      </c>
      <c r="AB426" s="10">
        <f t="shared" si="65"/>
        <v>3.3723295792149433</v>
      </c>
      <c r="AC426" s="10">
        <f t="shared" si="67"/>
        <v>27.88916562010758</v>
      </c>
      <c r="AD426" s="10">
        <f>IF(AND(Q426&gt;0,Q426&lt;30,K426&lt;8),Markniveau!Z426*'Udvaskning nøgletal'!$I$12/100,IF(AND(Q426&gt;0,Q426&lt;30,K426=216),Markniveau!Z426*'Udvaskning nøgletal'!$I$34/100,Markniveau!Z426))</f>
        <v>33.723295792149436</v>
      </c>
      <c r="AE426" s="10">
        <f t="shared" si="73"/>
        <v>278.89165620107582</v>
      </c>
      <c r="AF426" s="10">
        <f t="shared" si="68"/>
        <v>3.3723295792149433</v>
      </c>
      <c r="AG426" s="10">
        <f t="shared" si="74"/>
        <v>27.88916562010758</v>
      </c>
      <c r="AH426" s="10" t="str">
        <f>IF(AND(Q426&gt;0,Q426&lt;30,K426=216),'Udvaskning nøgletal'!$C$42,IF(AND(Q426&gt;0,Q426&lt;30,K426&gt;7,K426&lt;17),'Udvaskning nøgletal'!$C$61,IF(AND(Q426&gt;0,Q426&lt;30,K426&lt;7),'Udvaskning nøgletal'!$C$62,"")))</f>
        <v/>
      </c>
      <c r="AI426" s="10">
        <f t="shared" si="70"/>
        <v>263</v>
      </c>
      <c r="AJ426" s="10">
        <f>IF($X426=1,LOOKUP(AI426,'Udvaskning nøgletal'!$C$12:$C$62,'Udvaskning nøgletal'!$E$12:$E$62)+Markniveau!$Y426*Markniveau!$S426/100,IF($X426=2,LOOKUP(AI426,'Udvaskning nøgletal'!$C$12:$C$62,'Udvaskning nøgletal'!$F$12:$F$62)+Markniveau!$Y426*Markniveau!$S426/100,IF($X426=3,LOOKUP(AI426,'Udvaskning nøgletal'!$C$12:$C$62,'Udvaskning nøgletal'!Q436:Q486)+Markniveau!$Y426*Markniveau!$S426/100,"")))</f>
        <v>33.723295792149436</v>
      </c>
      <c r="AK426" s="10">
        <f t="shared" si="69"/>
        <v>278.89165620107582</v>
      </c>
      <c r="AL426" s="10">
        <f t="shared" si="71"/>
        <v>3.3723295792149433</v>
      </c>
      <c r="AM426" s="10">
        <f t="shared" si="72"/>
        <v>27.88916562010758</v>
      </c>
    </row>
    <row r="427" spans="1:39" x14ac:dyDescent="0.25">
      <c r="A427" s="15">
        <v>17987682</v>
      </c>
      <c r="B427" s="15">
        <v>102.85</v>
      </c>
      <c r="C427" s="15">
        <v>178018</v>
      </c>
      <c r="D427" s="15">
        <v>70205</v>
      </c>
      <c r="E427" s="15" t="s">
        <v>380</v>
      </c>
      <c r="F427" s="15">
        <v>2011</v>
      </c>
      <c r="G427" s="15">
        <v>20110420</v>
      </c>
      <c r="H427" s="15">
        <v>57111</v>
      </c>
      <c r="I427" s="15">
        <v>5.71</v>
      </c>
      <c r="J427" s="6" t="s">
        <v>144</v>
      </c>
      <c r="K427" s="15">
        <v>263</v>
      </c>
      <c r="L427" s="15" t="s">
        <v>39</v>
      </c>
      <c r="M427" s="15" t="s">
        <v>5</v>
      </c>
      <c r="N427" s="11" t="s">
        <v>1384</v>
      </c>
      <c r="O427" s="11" t="s">
        <v>28</v>
      </c>
      <c r="P427" s="11" t="s">
        <v>33</v>
      </c>
      <c r="Q427" s="15">
        <v>90</v>
      </c>
      <c r="R427" s="11" t="s">
        <v>8</v>
      </c>
      <c r="S427" s="10">
        <v>215.31330793305</v>
      </c>
      <c r="T427" s="15">
        <v>80</v>
      </c>
      <c r="U427" s="15">
        <v>1</v>
      </c>
      <c r="V427" s="15">
        <v>1</v>
      </c>
      <c r="W427" s="15">
        <v>0</v>
      </c>
      <c r="X427" s="15">
        <f>IF(O427='Udvaskning nøgletal'!$D$65,1,IF(O427='Udvaskning nøgletal'!$D$66,2,IF(O427='Udvaskning nøgletal'!$D$67,3,IF(O427='Udvaskning nøgletal'!$D$68,2,""))))</f>
        <v>1</v>
      </c>
      <c r="Y427" s="15">
        <f>LOOKUP(K427,'Udvaskning nøgletal'!$C$12:$C$60,'Udvaskning nøgletal'!$H$12:$H$60)</f>
        <v>0</v>
      </c>
      <c r="Z427" s="10">
        <f>IF(X427=1,LOOKUP(K427,'Udvaskning nøgletal'!$C$12:$C$60,'Udvaskning nøgletal'!$E$12:$E$60)+Markniveau!Y427*Markniveau!S427/100,IF(X427=2,LOOKUP(K427,'Udvaskning nøgletal'!$C$12:$C$60,'Udvaskning nøgletal'!$F$12:$F$60)+Markniveau!Y427*Markniveau!S427/100,IF(X427=3,LOOKUP(K427,'Udvaskning nøgletal'!$C$12:$C$60,'Udvaskning nøgletal'!G437:G485)+Markniveau!Y427*Markniveau!S427/100,"")))</f>
        <v>33.723295792149436</v>
      </c>
      <c r="AA427" s="10">
        <f t="shared" si="66"/>
        <v>192.56001897317327</v>
      </c>
      <c r="AB427" s="10">
        <f t="shared" si="65"/>
        <v>3.3723295792149433</v>
      </c>
      <c r="AC427" s="10">
        <f t="shared" si="67"/>
        <v>19.256001897317326</v>
      </c>
      <c r="AD427" s="10">
        <f>IF(AND(Q427&gt;0,Q427&lt;30,K427&lt;8),Markniveau!Z427*'Udvaskning nøgletal'!$I$12/100,IF(AND(Q427&gt;0,Q427&lt;30,K427=216),Markniveau!Z427*'Udvaskning nøgletal'!$I$34/100,Markniveau!Z427))</f>
        <v>33.723295792149436</v>
      </c>
      <c r="AE427" s="10">
        <f t="shared" si="73"/>
        <v>192.56001897317327</v>
      </c>
      <c r="AF427" s="10">
        <f t="shared" si="68"/>
        <v>3.3723295792149433</v>
      </c>
      <c r="AG427" s="10">
        <f t="shared" si="74"/>
        <v>19.256001897317326</v>
      </c>
      <c r="AH427" s="10" t="str">
        <f>IF(AND(Q427&gt;0,Q427&lt;30,K427=216),'Udvaskning nøgletal'!$C$42,IF(AND(Q427&gt;0,Q427&lt;30,K427&gt;7,K427&lt;17),'Udvaskning nøgletal'!$C$61,IF(AND(Q427&gt;0,Q427&lt;30,K427&lt;7),'Udvaskning nøgletal'!$C$62,"")))</f>
        <v/>
      </c>
      <c r="AI427" s="10">
        <f t="shared" si="70"/>
        <v>263</v>
      </c>
      <c r="AJ427" s="10">
        <f>IF($X427=1,LOOKUP(AI427,'Udvaskning nøgletal'!$C$12:$C$62,'Udvaskning nøgletal'!$E$12:$E$62)+Markniveau!$Y427*Markniveau!$S427/100,IF($X427=2,LOOKUP(AI427,'Udvaskning nøgletal'!$C$12:$C$62,'Udvaskning nøgletal'!$F$12:$F$62)+Markniveau!$Y427*Markniveau!$S427/100,IF($X427=3,LOOKUP(AI427,'Udvaskning nøgletal'!$C$12:$C$62,'Udvaskning nøgletal'!Q437:Q487)+Markniveau!$Y427*Markniveau!$S427/100,"")))</f>
        <v>33.723295792149436</v>
      </c>
      <c r="AK427" s="10">
        <f t="shared" si="69"/>
        <v>192.56001897317327</v>
      </c>
      <c r="AL427" s="10">
        <f t="shared" si="71"/>
        <v>3.3723295792149433</v>
      </c>
      <c r="AM427" s="10">
        <f t="shared" si="72"/>
        <v>19.256001897317326</v>
      </c>
    </row>
    <row r="428" spans="1:39" x14ac:dyDescent="0.25">
      <c r="A428" s="15">
        <v>17987682</v>
      </c>
      <c r="B428" s="15">
        <v>102.85</v>
      </c>
      <c r="C428" s="15">
        <v>179664</v>
      </c>
      <c r="D428" s="15">
        <v>70205</v>
      </c>
      <c r="E428" s="15" t="s">
        <v>381</v>
      </c>
      <c r="F428" s="15">
        <v>2011</v>
      </c>
      <c r="G428" s="15">
        <v>20110420</v>
      </c>
      <c r="H428" s="15">
        <v>177661</v>
      </c>
      <c r="I428" s="15">
        <v>17.77</v>
      </c>
      <c r="J428" s="6" t="s">
        <v>58</v>
      </c>
      <c r="K428" s="15">
        <v>216</v>
      </c>
      <c r="L428" s="15" t="s">
        <v>116</v>
      </c>
      <c r="M428" s="15" t="s">
        <v>5</v>
      </c>
      <c r="N428" s="11" t="s">
        <v>1384</v>
      </c>
      <c r="O428" s="11" t="s">
        <v>28</v>
      </c>
      <c r="P428" s="11" t="s">
        <v>29</v>
      </c>
      <c r="Q428" s="15">
        <v>90</v>
      </c>
      <c r="R428" s="11" t="s">
        <v>8</v>
      </c>
      <c r="S428" s="10">
        <v>215.31330793305</v>
      </c>
      <c r="T428" s="15">
        <v>80</v>
      </c>
      <c r="U428" s="15">
        <v>1</v>
      </c>
      <c r="V428" s="15">
        <v>1</v>
      </c>
      <c r="W428" s="15">
        <v>0</v>
      </c>
      <c r="X428" s="15">
        <f>IF(O428='Udvaskning nøgletal'!$D$65,1,IF(O428='Udvaskning nøgletal'!$D$66,2,IF(O428='Udvaskning nøgletal'!$D$67,3,IF(O428='Udvaskning nøgletal'!$D$68,2,""))))</f>
        <v>1</v>
      </c>
      <c r="Y428" s="15">
        <f>LOOKUP(K428,'Udvaskning nøgletal'!$C$12:$C$60,'Udvaskning nøgletal'!$H$12:$H$60)</f>
        <v>0</v>
      </c>
      <c r="Z428" s="10">
        <f>IF(X428=1,LOOKUP(K428,'Udvaskning nøgletal'!$C$12:$C$60,'Udvaskning nøgletal'!$E$12:$E$60)+Markniveau!Y428*Markniveau!S428/100,IF(X428=2,LOOKUP(K428,'Udvaskning nøgletal'!$C$12:$C$60,'Udvaskning nøgletal'!$F$12:$F$60)+Markniveau!Y428*Markniveau!S428/100,IF(X428=3,LOOKUP(K428,'Udvaskning nøgletal'!$C$12:$C$60,'Udvaskning nøgletal'!G438:G486)+Markniveau!Y428*Markniveau!S428/100,"")))</f>
        <v>125.85383557148924</v>
      </c>
      <c r="AA428" s="10">
        <f t="shared" si="66"/>
        <v>2236.4226581053636</v>
      </c>
      <c r="AB428" s="10">
        <f t="shared" si="65"/>
        <v>12.585383557148925</v>
      </c>
      <c r="AC428" s="10">
        <f t="shared" si="67"/>
        <v>223.64226581053637</v>
      </c>
      <c r="AD428" s="10">
        <f>IF(AND(Q428&gt;0,Q428&lt;30,K428&lt;8),Markniveau!Z428*'Udvaskning nøgletal'!$I$12/100,IF(AND(Q428&gt;0,Q428&lt;30,K428=216),Markniveau!Z428*'Udvaskning nøgletal'!$I$34/100,Markniveau!Z428))</f>
        <v>125.85383557148924</v>
      </c>
      <c r="AE428" s="10">
        <f t="shared" si="73"/>
        <v>2236.4226581053636</v>
      </c>
      <c r="AF428" s="10">
        <f t="shared" si="68"/>
        <v>12.585383557148925</v>
      </c>
      <c r="AG428" s="10">
        <f t="shared" si="74"/>
        <v>223.64226581053637</v>
      </c>
      <c r="AH428" s="10" t="str">
        <f>IF(AND(Q428&gt;0,Q428&lt;30,K428=216),'Udvaskning nøgletal'!$C$42,IF(AND(Q428&gt;0,Q428&lt;30,K428&gt;7,K428&lt;17),'Udvaskning nøgletal'!$C$61,IF(AND(Q428&gt;0,Q428&lt;30,K428&lt;7),'Udvaskning nøgletal'!$C$62,"")))</f>
        <v/>
      </c>
      <c r="AI428" s="10">
        <f t="shared" si="70"/>
        <v>216</v>
      </c>
      <c r="AJ428" s="10">
        <f>IF($X428=1,LOOKUP(AI428,'Udvaskning nøgletal'!$C$12:$C$62,'Udvaskning nøgletal'!$E$12:$E$62)+Markniveau!$Y428*Markniveau!$S428/100,IF($X428=2,LOOKUP(AI428,'Udvaskning nøgletal'!$C$12:$C$62,'Udvaskning nøgletal'!$F$12:$F$62)+Markniveau!$Y428*Markniveau!$S428/100,IF($X428=3,LOOKUP(AI428,'Udvaskning nøgletal'!$C$12:$C$62,'Udvaskning nøgletal'!Q438:Q488)+Markniveau!$Y428*Markniveau!$S428/100,"")))</f>
        <v>125.85383557148924</v>
      </c>
      <c r="AK428" s="10">
        <f t="shared" si="69"/>
        <v>2236.4226581053636</v>
      </c>
      <c r="AL428" s="10">
        <f t="shared" si="71"/>
        <v>12.585383557148925</v>
      </c>
      <c r="AM428" s="10">
        <f t="shared" si="72"/>
        <v>223.64226581053637</v>
      </c>
    </row>
    <row r="429" spans="1:39" x14ac:dyDescent="0.25">
      <c r="A429" s="15">
        <v>17987682</v>
      </c>
      <c r="B429" s="15">
        <v>102.85</v>
      </c>
      <c r="C429" s="15">
        <v>179665</v>
      </c>
      <c r="D429" s="15">
        <v>70205</v>
      </c>
      <c r="E429" s="15" t="s">
        <v>381</v>
      </c>
      <c r="F429" s="15">
        <v>2011</v>
      </c>
      <c r="G429" s="15">
        <v>20110420</v>
      </c>
      <c r="H429" s="15">
        <v>123890</v>
      </c>
      <c r="I429" s="15">
        <v>12.39</v>
      </c>
      <c r="J429" s="6" t="s">
        <v>92</v>
      </c>
      <c r="K429" s="15">
        <v>263</v>
      </c>
      <c r="L429" s="15" t="s">
        <v>39</v>
      </c>
      <c r="M429" s="15" t="s">
        <v>5</v>
      </c>
      <c r="N429" s="11" t="s">
        <v>1384</v>
      </c>
      <c r="O429" s="11" t="s">
        <v>28</v>
      </c>
      <c r="P429" s="11" t="s">
        <v>29</v>
      </c>
      <c r="Q429" s="15">
        <v>95</v>
      </c>
      <c r="R429" s="11" t="s">
        <v>3</v>
      </c>
      <c r="S429" s="10">
        <v>215.31330793305</v>
      </c>
      <c r="T429" s="15">
        <v>80</v>
      </c>
      <c r="U429" s="15">
        <v>1</v>
      </c>
      <c r="V429" s="15">
        <v>1</v>
      </c>
      <c r="W429" s="15">
        <v>0</v>
      </c>
      <c r="X429" s="15">
        <f>IF(O429='Udvaskning nøgletal'!$D$65,1,IF(O429='Udvaskning nøgletal'!$D$66,2,IF(O429='Udvaskning nøgletal'!$D$67,3,IF(O429='Udvaskning nøgletal'!$D$68,2,""))))</f>
        <v>1</v>
      </c>
      <c r="Y429" s="15">
        <f>LOOKUP(K429,'Udvaskning nøgletal'!$C$12:$C$60,'Udvaskning nøgletal'!$H$12:$H$60)</f>
        <v>0</v>
      </c>
      <c r="Z429" s="10">
        <f>IF(X429=1,LOOKUP(K429,'Udvaskning nøgletal'!$C$12:$C$60,'Udvaskning nøgletal'!$E$12:$E$60)+Markniveau!Y429*Markniveau!S429/100,IF(X429=2,LOOKUP(K429,'Udvaskning nøgletal'!$C$12:$C$60,'Udvaskning nøgletal'!$F$12:$F$60)+Markniveau!Y429*Markniveau!S429/100,IF(X429=3,LOOKUP(K429,'Udvaskning nøgletal'!$C$12:$C$60,'Udvaskning nøgletal'!G439:G487)+Markniveau!Y429*Markniveau!S429/100,"")))</f>
        <v>33.723295792149436</v>
      </c>
      <c r="AA429" s="10">
        <f t="shared" si="66"/>
        <v>417.83163486473154</v>
      </c>
      <c r="AB429" s="10">
        <f t="shared" si="65"/>
        <v>1.6861647896074716</v>
      </c>
      <c r="AC429" s="10">
        <f t="shared" si="67"/>
        <v>20.891581743236575</v>
      </c>
      <c r="AD429" s="10">
        <f>IF(AND(Q429&gt;0,Q429&lt;30,K429&lt;8),Markniveau!Z429*'Udvaskning nøgletal'!$I$12/100,IF(AND(Q429&gt;0,Q429&lt;30,K429=216),Markniveau!Z429*'Udvaskning nøgletal'!$I$34/100,Markniveau!Z429))</f>
        <v>33.723295792149436</v>
      </c>
      <c r="AE429" s="10">
        <f t="shared" si="73"/>
        <v>417.83163486473154</v>
      </c>
      <c r="AF429" s="10">
        <f t="shared" si="68"/>
        <v>1.6861647896074716</v>
      </c>
      <c r="AG429" s="10">
        <f t="shared" si="74"/>
        <v>20.891581743236575</v>
      </c>
      <c r="AH429" s="10" t="str">
        <f>IF(AND(Q429&gt;0,Q429&lt;30,K429=216),'Udvaskning nøgletal'!$C$42,IF(AND(Q429&gt;0,Q429&lt;30,K429&gt;7,K429&lt;17),'Udvaskning nøgletal'!$C$61,IF(AND(Q429&gt;0,Q429&lt;30,K429&lt;7),'Udvaskning nøgletal'!$C$62,"")))</f>
        <v/>
      </c>
      <c r="AI429" s="10">
        <f t="shared" si="70"/>
        <v>263</v>
      </c>
      <c r="AJ429" s="10">
        <f>IF($X429=1,LOOKUP(AI429,'Udvaskning nøgletal'!$C$12:$C$62,'Udvaskning nøgletal'!$E$12:$E$62)+Markniveau!$Y429*Markniveau!$S429/100,IF($X429=2,LOOKUP(AI429,'Udvaskning nøgletal'!$C$12:$C$62,'Udvaskning nøgletal'!$F$12:$F$62)+Markniveau!$Y429*Markniveau!$S429/100,IF($X429=3,LOOKUP(AI429,'Udvaskning nøgletal'!$C$12:$C$62,'Udvaskning nøgletal'!Q439:Q489)+Markniveau!$Y429*Markniveau!$S429/100,"")))</f>
        <v>33.723295792149436</v>
      </c>
      <c r="AK429" s="10">
        <f t="shared" si="69"/>
        <v>417.83163486473154</v>
      </c>
      <c r="AL429" s="10">
        <f t="shared" si="71"/>
        <v>1.6861647896074716</v>
      </c>
      <c r="AM429" s="10">
        <f t="shared" si="72"/>
        <v>20.891581743236575</v>
      </c>
    </row>
    <row r="430" spans="1:39" x14ac:dyDescent="0.25">
      <c r="A430" s="15">
        <v>17987682</v>
      </c>
      <c r="B430" s="15">
        <v>102.85</v>
      </c>
      <c r="C430" s="15">
        <v>179666</v>
      </c>
      <c r="D430" s="15">
        <v>70205</v>
      </c>
      <c r="E430" s="15" t="s">
        <v>381</v>
      </c>
      <c r="F430" s="15">
        <v>2011</v>
      </c>
      <c r="G430" s="15">
        <v>20110420</v>
      </c>
      <c r="H430" s="15">
        <v>16533</v>
      </c>
      <c r="I430" s="15">
        <v>1.65</v>
      </c>
      <c r="J430" s="6" t="s">
        <v>1393</v>
      </c>
      <c r="K430" s="15">
        <v>263</v>
      </c>
      <c r="L430" s="15" t="s">
        <v>39</v>
      </c>
      <c r="M430" s="15" t="s">
        <v>5</v>
      </c>
      <c r="N430" s="11" t="s">
        <v>1384</v>
      </c>
      <c r="O430" s="11" t="s">
        <v>28</v>
      </c>
      <c r="P430" s="11" t="s">
        <v>29</v>
      </c>
      <c r="Q430" s="15">
        <v>95</v>
      </c>
      <c r="R430" s="11" t="s">
        <v>3</v>
      </c>
      <c r="S430" s="10">
        <v>215.31330793305</v>
      </c>
      <c r="T430" s="15">
        <v>80</v>
      </c>
      <c r="U430" s="15">
        <v>1</v>
      </c>
      <c r="V430" s="15">
        <v>1</v>
      </c>
      <c r="W430" s="15">
        <v>0</v>
      </c>
      <c r="X430" s="15">
        <f>IF(O430='Udvaskning nøgletal'!$D$65,1,IF(O430='Udvaskning nøgletal'!$D$66,2,IF(O430='Udvaskning nøgletal'!$D$67,3,IF(O430='Udvaskning nøgletal'!$D$68,2,""))))</f>
        <v>1</v>
      </c>
      <c r="Y430" s="15">
        <f>LOOKUP(K430,'Udvaskning nøgletal'!$C$12:$C$60,'Udvaskning nøgletal'!$H$12:$H$60)</f>
        <v>0</v>
      </c>
      <c r="Z430" s="10">
        <f>IF(X430=1,LOOKUP(K430,'Udvaskning nøgletal'!$C$12:$C$60,'Udvaskning nøgletal'!$E$12:$E$60)+Markniveau!Y430*Markniveau!S430/100,IF(X430=2,LOOKUP(K430,'Udvaskning nøgletal'!$C$12:$C$60,'Udvaskning nøgletal'!$F$12:$F$60)+Markniveau!Y430*Markniveau!S430/100,IF(X430=3,LOOKUP(K430,'Udvaskning nøgletal'!$C$12:$C$60,'Udvaskning nøgletal'!G440:G488)+Markniveau!Y430*Markniveau!S430/100,"")))</f>
        <v>33.723295792149436</v>
      </c>
      <c r="AA430" s="10">
        <f t="shared" si="66"/>
        <v>55.643438057046566</v>
      </c>
      <c r="AB430" s="10">
        <f t="shared" si="65"/>
        <v>1.6861647896074716</v>
      </c>
      <c r="AC430" s="10">
        <f t="shared" si="67"/>
        <v>2.782171902852328</v>
      </c>
      <c r="AD430" s="10">
        <f>IF(AND(Q430&gt;0,Q430&lt;30,K430&lt;8),Markniveau!Z430*'Udvaskning nøgletal'!$I$12/100,IF(AND(Q430&gt;0,Q430&lt;30,K430=216),Markniveau!Z430*'Udvaskning nøgletal'!$I$34/100,Markniveau!Z430))</f>
        <v>33.723295792149436</v>
      </c>
      <c r="AE430" s="10">
        <f t="shared" si="73"/>
        <v>55.643438057046566</v>
      </c>
      <c r="AF430" s="10">
        <f t="shared" si="68"/>
        <v>1.6861647896074716</v>
      </c>
      <c r="AG430" s="10">
        <f t="shared" si="74"/>
        <v>2.782171902852328</v>
      </c>
      <c r="AH430" s="10" t="str">
        <f>IF(AND(Q430&gt;0,Q430&lt;30,K430=216),'Udvaskning nøgletal'!$C$42,IF(AND(Q430&gt;0,Q430&lt;30,K430&gt;7,K430&lt;17),'Udvaskning nøgletal'!$C$61,IF(AND(Q430&gt;0,Q430&lt;30,K430&lt;7),'Udvaskning nøgletal'!$C$62,"")))</f>
        <v/>
      </c>
      <c r="AI430" s="10">
        <f t="shared" si="70"/>
        <v>263</v>
      </c>
      <c r="AJ430" s="10">
        <f>IF($X430=1,LOOKUP(AI430,'Udvaskning nøgletal'!$C$12:$C$62,'Udvaskning nøgletal'!$E$12:$E$62)+Markniveau!$Y430*Markniveau!$S430/100,IF($X430=2,LOOKUP(AI430,'Udvaskning nøgletal'!$C$12:$C$62,'Udvaskning nøgletal'!$F$12:$F$62)+Markniveau!$Y430*Markniveau!$S430/100,IF($X430=3,LOOKUP(AI430,'Udvaskning nøgletal'!$C$12:$C$62,'Udvaskning nøgletal'!Q440:Q490)+Markniveau!$Y430*Markniveau!$S430/100,"")))</f>
        <v>33.723295792149436</v>
      </c>
      <c r="AK430" s="10">
        <f t="shared" si="69"/>
        <v>55.643438057046566</v>
      </c>
      <c r="AL430" s="10">
        <f t="shared" si="71"/>
        <v>1.6861647896074716</v>
      </c>
      <c r="AM430" s="10">
        <f t="shared" si="72"/>
        <v>2.782171902852328</v>
      </c>
    </row>
    <row r="431" spans="1:39" x14ac:dyDescent="0.25">
      <c r="A431" s="15">
        <v>17987682</v>
      </c>
      <c r="B431" s="15">
        <v>102.85</v>
      </c>
      <c r="C431" s="15">
        <v>214606</v>
      </c>
      <c r="D431" s="15">
        <v>70205</v>
      </c>
      <c r="E431" s="15" t="s">
        <v>280</v>
      </c>
      <c r="F431" s="15">
        <v>2011</v>
      </c>
      <c r="G431" s="15">
        <v>20110420</v>
      </c>
      <c r="H431" s="15">
        <v>82323</v>
      </c>
      <c r="I431" s="15">
        <v>8.23</v>
      </c>
      <c r="J431" s="6" t="s">
        <v>69</v>
      </c>
      <c r="K431" s="15">
        <v>252</v>
      </c>
      <c r="L431" s="15" t="s">
        <v>41</v>
      </c>
      <c r="M431" s="15" t="s">
        <v>4</v>
      </c>
      <c r="N431" s="11" t="s">
        <v>1384</v>
      </c>
      <c r="O431" s="11" t="s">
        <v>28</v>
      </c>
      <c r="P431" s="11" t="s">
        <v>33</v>
      </c>
      <c r="Q431" s="15">
        <v>25</v>
      </c>
      <c r="R431" s="11" t="s">
        <v>7</v>
      </c>
      <c r="S431" s="10">
        <v>215.31330793305</v>
      </c>
      <c r="T431" s="15">
        <v>80</v>
      </c>
      <c r="U431" s="15">
        <v>1</v>
      </c>
      <c r="V431" s="15">
        <v>1</v>
      </c>
      <c r="W431" s="15">
        <v>0</v>
      </c>
      <c r="X431" s="15">
        <f>IF(O431='Udvaskning nøgletal'!$D$65,1,IF(O431='Udvaskning nøgletal'!$D$66,2,IF(O431='Udvaskning nøgletal'!$D$67,3,IF(O431='Udvaskning nøgletal'!$D$68,2,""))))</f>
        <v>1</v>
      </c>
      <c r="Y431" s="15">
        <f>LOOKUP(K431,'Udvaskning nøgletal'!$C$12:$C$60,'Udvaskning nøgletal'!$H$12:$H$60)</f>
        <v>0</v>
      </c>
      <c r="Z431" s="10">
        <f>IF(X431=1,LOOKUP(K431,'Udvaskning nøgletal'!$C$12:$C$60,'Udvaskning nøgletal'!$E$12:$E$60)+Markniveau!Y431*Markniveau!S431/100,IF(X431=2,LOOKUP(K431,'Udvaskning nøgletal'!$C$12:$C$60,'Udvaskning nøgletal'!$F$12:$F$60)+Markniveau!Y431*Markniveau!S431/100,IF(X431=3,LOOKUP(K431,'Udvaskning nøgletal'!$C$12:$C$60,'Udvaskning nøgletal'!G441:G489)+Markniveau!Y431*Markniveau!S431/100,"")))</f>
        <v>21.2</v>
      </c>
      <c r="AA431" s="10">
        <f t="shared" si="66"/>
        <v>174.476</v>
      </c>
      <c r="AB431" s="10">
        <f t="shared" si="65"/>
        <v>15.9</v>
      </c>
      <c r="AC431" s="10">
        <f t="shared" si="67"/>
        <v>130.857</v>
      </c>
      <c r="AD431" s="10">
        <f>IF(AND(Q431&gt;0,Q431&lt;30,K431&lt;8),Markniveau!Z431*'Udvaskning nøgletal'!$I$12/100,IF(AND(Q431&gt;0,Q431&lt;30,K431=216),Markniveau!Z431*'Udvaskning nøgletal'!$I$34/100,Markniveau!Z431))</f>
        <v>21.2</v>
      </c>
      <c r="AE431" s="10">
        <f t="shared" si="73"/>
        <v>174.476</v>
      </c>
      <c r="AF431" s="10">
        <f t="shared" si="68"/>
        <v>15.9</v>
      </c>
      <c r="AG431" s="10">
        <f t="shared" si="74"/>
        <v>130.857</v>
      </c>
      <c r="AH431" s="10" t="str">
        <f>IF(AND(Q431&gt;0,Q431&lt;30,K431=216),'Udvaskning nøgletal'!$C$42,IF(AND(Q431&gt;0,Q431&lt;30,K431&gt;7,K431&lt;17),'Udvaskning nøgletal'!$C$61,IF(AND(Q431&gt;0,Q431&lt;30,K431&lt;7),'Udvaskning nøgletal'!$C$62,"")))</f>
        <v/>
      </c>
      <c r="AI431" s="10">
        <f t="shared" si="70"/>
        <v>252</v>
      </c>
      <c r="AJ431" s="10">
        <f>IF($X431=1,LOOKUP(AI431,'Udvaskning nøgletal'!$C$12:$C$62,'Udvaskning nøgletal'!$E$12:$E$62)+Markniveau!$Y431*Markniveau!$S431/100,IF($X431=2,LOOKUP(AI431,'Udvaskning nøgletal'!$C$12:$C$62,'Udvaskning nøgletal'!$F$12:$F$62)+Markniveau!$Y431*Markniveau!$S431/100,IF($X431=3,LOOKUP(AI431,'Udvaskning nøgletal'!$C$12:$C$62,'Udvaskning nøgletal'!Q441:Q491)+Markniveau!$Y431*Markniveau!$S431/100,"")))</f>
        <v>21.2</v>
      </c>
      <c r="AK431" s="10">
        <f t="shared" si="69"/>
        <v>174.476</v>
      </c>
      <c r="AL431" s="10">
        <f t="shared" si="71"/>
        <v>15.9</v>
      </c>
      <c r="AM431" s="10">
        <f t="shared" si="72"/>
        <v>130.857</v>
      </c>
    </row>
    <row r="432" spans="1:39" x14ac:dyDescent="0.25">
      <c r="A432" s="15">
        <v>17987682</v>
      </c>
      <c r="B432" s="15">
        <v>102.85</v>
      </c>
      <c r="C432" s="15">
        <v>379211</v>
      </c>
      <c r="D432" s="15">
        <v>70205</v>
      </c>
      <c r="E432" s="15" t="s">
        <v>280</v>
      </c>
      <c r="F432" s="15">
        <v>2011</v>
      </c>
      <c r="G432" s="15">
        <v>20110420</v>
      </c>
      <c r="H432" s="15">
        <v>46136</v>
      </c>
      <c r="I432" s="15">
        <v>4.6100000000000003</v>
      </c>
      <c r="J432" s="6" t="s">
        <v>1465</v>
      </c>
      <c r="K432" s="15">
        <v>902</v>
      </c>
      <c r="L432" s="15" t="s">
        <v>160</v>
      </c>
      <c r="M432" s="15" t="s">
        <v>81</v>
      </c>
      <c r="N432" s="11" t="s">
        <v>1384</v>
      </c>
      <c r="O432" s="11" t="s">
        <v>28</v>
      </c>
      <c r="P432" s="11" t="s">
        <v>33</v>
      </c>
      <c r="Q432" s="15">
        <v>25</v>
      </c>
      <c r="R432" s="11" t="s">
        <v>7</v>
      </c>
      <c r="S432" s="10">
        <v>215.31330793305</v>
      </c>
      <c r="T432" s="15">
        <v>80</v>
      </c>
      <c r="U432" s="15">
        <v>1</v>
      </c>
      <c r="V432" s="15">
        <v>1</v>
      </c>
      <c r="W432" s="15">
        <v>0</v>
      </c>
      <c r="X432" s="15">
        <f>IF(O432='Udvaskning nøgletal'!$D$65,1,IF(O432='Udvaskning nøgletal'!$D$66,2,IF(O432='Udvaskning nøgletal'!$D$67,3,IF(O432='Udvaskning nøgletal'!$D$68,2,""))))</f>
        <v>1</v>
      </c>
      <c r="Y432" s="15">
        <f>LOOKUP(K432,'Udvaskning nøgletal'!$C$12:$C$60,'Udvaskning nøgletal'!$H$12:$H$60)</f>
        <v>0</v>
      </c>
      <c r="Z432" s="10">
        <f>IF(X432=1,LOOKUP(K432,'Udvaskning nøgletal'!$C$12:$C$60,'Udvaskning nøgletal'!$E$12:$E$60)+Markniveau!Y432*Markniveau!S432/100,IF(X432=2,LOOKUP(K432,'Udvaskning nøgletal'!$C$12:$C$60,'Udvaskning nøgletal'!$F$12:$F$60)+Markniveau!Y432*Markniveau!S432/100,IF(X432=3,LOOKUP(K432,'Udvaskning nøgletal'!$C$12:$C$60,'Udvaskning nøgletal'!G442:G490)+Markniveau!Y432*Markniveau!S432/100,"")))</f>
        <v>10</v>
      </c>
      <c r="AA432" s="10">
        <f t="shared" si="66"/>
        <v>46.1</v>
      </c>
      <c r="AB432" s="10">
        <f t="shared" si="65"/>
        <v>7.5</v>
      </c>
      <c r="AC432" s="10">
        <f t="shared" si="67"/>
        <v>34.575000000000003</v>
      </c>
      <c r="AD432" s="10">
        <f>IF(AND(Q432&gt;0,Q432&lt;30,K432&lt;8),Markniveau!Z432*'Udvaskning nøgletal'!$I$12/100,IF(AND(Q432&gt;0,Q432&lt;30,K432=216),Markniveau!Z432*'Udvaskning nøgletal'!$I$34/100,Markniveau!Z432))</f>
        <v>10</v>
      </c>
      <c r="AE432" s="10">
        <f t="shared" si="73"/>
        <v>46.1</v>
      </c>
      <c r="AF432" s="10">
        <f t="shared" si="68"/>
        <v>7.5</v>
      </c>
      <c r="AG432" s="10">
        <f t="shared" si="74"/>
        <v>34.575000000000003</v>
      </c>
      <c r="AH432" s="10" t="str">
        <f>IF(AND(Q432&gt;0,Q432&lt;30,K432=216),'Udvaskning nøgletal'!$C$42,IF(AND(Q432&gt;0,Q432&lt;30,K432&gt;7,K432&lt;17),'Udvaskning nøgletal'!$C$61,IF(AND(Q432&gt;0,Q432&lt;30,K432&lt;7),'Udvaskning nøgletal'!$C$62,"")))</f>
        <v/>
      </c>
      <c r="AI432" s="10">
        <f t="shared" si="70"/>
        <v>902</v>
      </c>
      <c r="AJ432" s="10">
        <f>IF($X432=1,LOOKUP(AI432,'Udvaskning nøgletal'!$C$12:$C$62,'Udvaskning nøgletal'!$E$12:$E$62)+Markniveau!$Y432*Markniveau!$S432/100,IF($X432=2,LOOKUP(AI432,'Udvaskning nøgletal'!$C$12:$C$62,'Udvaskning nøgletal'!$F$12:$F$62)+Markniveau!$Y432*Markniveau!$S432/100,IF($X432=3,LOOKUP(AI432,'Udvaskning nøgletal'!$C$12:$C$62,'Udvaskning nøgletal'!Q442:Q492)+Markniveau!$Y432*Markniveau!$S432/100,"")))</f>
        <v>10</v>
      </c>
      <c r="AK432" s="10">
        <f t="shared" si="69"/>
        <v>46.1</v>
      </c>
      <c r="AL432" s="10">
        <f t="shared" si="71"/>
        <v>7.5</v>
      </c>
      <c r="AM432" s="10">
        <f t="shared" si="72"/>
        <v>34.575000000000003</v>
      </c>
    </row>
    <row r="433" spans="1:39" x14ac:dyDescent="0.25">
      <c r="A433" s="15">
        <v>17987682</v>
      </c>
      <c r="B433" s="15">
        <v>102.85</v>
      </c>
      <c r="C433" s="15">
        <v>163381</v>
      </c>
      <c r="D433" s="15">
        <v>70205</v>
      </c>
      <c r="E433" s="15" t="s">
        <v>280</v>
      </c>
      <c r="F433" s="15">
        <v>2011</v>
      </c>
      <c r="G433" s="15">
        <v>20110420</v>
      </c>
      <c r="H433" s="15">
        <v>123476</v>
      </c>
      <c r="I433" s="15">
        <v>12.35</v>
      </c>
      <c r="J433" s="6" t="s">
        <v>31</v>
      </c>
      <c r="K433" s="15">
        <v>263</v>
      </c>
      <c r="L433" s="15" t="s">
        <v>39</v>
      </c>
      <c r="M433" s="15" t="s">
        <v>5</v>
      </c>
      <c r="N433" s="11" t="s">
        <v>1384</v>
      </c>
      <c r="O433" s="11" t="s">
        <v>28</v>
      </c>
      <c r="P433" s="11" t="s">
        <v>33</v>
      </c>
      <c r="Q433" s="15">
        <v>25</v>
      </c>
      <c r="R433" s="11" t="s">
        <v>7</v>
      </c>
      <c r="S433" s="10">
        <v>215.31330793305</v>
      </c>
      <c r="T433" s="15">
        <v>80</v>
      </c>
      <c r="U433" s="15">
        <v>1</v>
      </c>
      <c r="V433" s="15">
        <v>1</v>
      </c>
      <c r="W433" s="15">
        <v>0</v>
      </c>
      <c r="X433" s="15">
        <f>IF(O433='Udvaskning nøgletal'!$D$65,1,IF(O433='Udvaskning nøgletal'!$D$66,2,IF(O433='Udvaskning nøgletal'!$D$67,3,IF(O433='Udvaskning nøgletal'!$D$68,2,""))))</f>
        <v>1</v>
      </c>
      <c r="Y433" s="15">
        <f>LOOKUP(K433,'Udvaskning nøgletal'!$C$12:$C$60,'Udvaskning nøgletal'!$H$12:$H$60)</f>
        <v>0</v>
      </c>
      <c r="Z433" s="10">
        <f>IF(X433=1,LOOKUP(K433,'Udvaskning nøgletal'!$C$12:$C$60,'Udvaskning nøgletal'!$E$12:$E$60)+Markniveau!Y433*Markniveau!S433/100,IF(X433=2,LOOKUP(K433,'Udvaskning nøgletal'!$C$12:$C$60,'Udvaskning nøgletal'!$F$12:$F$60)+Markniveau!Y433*Markniveau!S433/100,IF(X433=3,LOOKUP(K433,'Udvaskning nøgletal'!$C$12:$C$60,'Udvaskning nøgletal'!G443:G491)+Markniveau!Y433*Markniveau!S433/100,"")))</f>
        <v>33.723295792149436</v>
      </c>
      <c r="AA433" s="10">
        <f t="shared" si="66"/>
        <v>416.48270303304554</v>
      </c>
      <c r="AB433" s="10">
        <f t="shared" si="65"/>
        <v>25.292471844112079</v>
      </c>
      <c r="AC433" s="10">
        <f t="shared" si="67"/>
        <v>312.36202727478417</v>
      </c>
      <c r="AD433" s="10">
        <f>IF(AND(Q433&gt;0,Q433&lt;30,K433&lt;8),Markniveau!Z433*'Udvaskning nøgletal'!$I$12/100,IF(AND(Q433&gt;0,Q433&lt;30,K433=216),Markniveau!Z433*'Udvaskning nøgletal'!$I$34/100,Markniveau!Z433))</f>
        <v>33.723295792149436</v>
      </c>
      <c r="AE433" s="10">
        <f t="shared" si="73"/>
        <v>416.48270303304554</v>
      </c>
      <c r="AF433" s="10">
        <f t="shared" si="68"/>
        <v>25.292471844112079</v>
      </c>
      <c r="AG433" s="10">
        <f t="shared" si="74"/>
        <v>312.36202727478417</v>
      </c>
      <c r="AH433" s="10" t="str">
        <f>IF(AND(Q433&gt;0,Q433&lt;30,K433=216),'Udvaskning nøgletal'!$C$42,IF(AND(Q433&gt;0,Q433&lt;30,K433&gt;7,K433&lt;17),'Udvaskning nøgletal'!$C$61,IF(AND(Q433&gt;0,Q433&lt;30,K433&lt;7),'Udvaskning nøgletal'!$C$62,"")))</f>
        <v/>
      </c>
      <c r="AI433" s="10">
        <f t="shared" si="70"/>
        <v>263</v>
      </c>
      <c r="AJ433" s="10">
        <f>IF($X433=1,LOOKUP(AI433,'Udvaskning nøgletal'!$C$12:$C$62,'Udvaskning nøgletal'!$E$12:$E$62)+Markniveau!$Y433*Markniveau!$S433/100,IF($X433=2,LOOKUP(AI433,'Udvaskning nøgletal'!$C$12:$C$62,'Udvaskning nøgletal'!$F$12:$F$62)+Markniveau!$Y433*Markniveau!$S433/100,IF($X433=3,LOOKUP(AI433,'Udvaskning nøgletal'!$C$12:$C$62,'Udvaskning nøgletal'!Q443:Q493)+Markniveau!$Y433*Markniveau!$S433/100,"")))</f>
        <v>33.723295792149436</v>
      </c>
      <c r="AK433" s="10">
        <f t="shared" si="69"/>
        <v>416.48270303304554</v>
      </c>
      <c r="AL433" s="10">
        <f t="shared" si="71"/>
        <v>25.292471844112079</v>
      </c>
      <c r="AM433" s="10">
        <f t="shared" si="72"/>
        <v>312.36202727478417</v>
      </c>
    </row>
    <row r="434" spans="1:39" x14ac:dyDescent="0.25">
      <c r="A434" s="15">
        <v>17987682</v>
      </c>
      <c r="B434" s="15">
        <v>102.85</v>
      </c>
      <c r="C434" s="15">
        <v>171804</v>
      </c>
      <c r="D434" s="15">
        <v>70205</v>
      </c>
      <c r="E434" s="15" t="s">
        <v>185</v>
      </c>
      <c r="F434" s="15">
        <v>2011</v>
      </c>
      <c r="G434" s="15">
        <v>20110420</v>
      </c>
      <c r="H434" s="15">
        <v>10309</v>
      </c>
      <c r="I434" s="15">
        <v>1.03</v>
      </c>
      <c r="J434" s="6" t="s">
        <v>1412</v>
      </c>
      <c r="K434" s="15">
        <v>902</v>
      </c>
      <c r="L434" s="15" t="s">
        <v>160</v>
      </c>
      <c r="M434" s="15" t="s">
        <v>81</v>
      </c>
      <c r="N434" s="11" t="s">
        <v>1384</v>
      </c>
      <c r="O434" s="11" t="s">
        <v>28</v>
      </c>
      <c r="P434" s="11" t="s">
        <v>29</v>
      </c>
      <c r="Q434" s="15">
        <v>95</v>
      </c>
      <c r="R434" s="11" t="s">
        <v>3</v>
      </c>
      <c r="S434" s="10">
        <v>215.31330793305</v>
      </c>
      <c r="T434" s="15">
        <v>80</v>
      </c>
      <c r="U434" s="15">
        <v>1</v>
      </c>
      <c r="V434" s="15">
        <v>1</v>
      </c>
      <c r="W434" s="15">
        <v>0</v>
      </c>
      <c r="X434" s="15">
        <f>IF(O434='Udvaskning nøgletal'!$D$65,1,IF(O434='Udvaskning nøgletal'!$D$66,2,IF(O434='Udvaskning nøgletal'!$D$67,3,IF(O434='Udvaskning nøgletal'!$D$68,2,""))))</f>
        <v>1</v>
      </c>
      <c r="Y434" s="15">
        <f>LOOKUP(K434,'Udvaskning nøgletal'!$C$12:$C$60,'Udvaskning nøgletal'!$H$12:$H$60)</f>
        <v>0</v>
      </c>
      <c r="Z434" s="10">
        <f>IF(X434=1,LOOKUP(K434,'Udvaskning nøgletal'!$C$12:$C$60,'Udvaskning nøgletal'!$E$12:$E$60)+Markniveau!Y434*Markniveau!S434/100,IF(X434=2,LOOKUP(K434,'Udvaskning nøgletal'!$C$12:$C$60,'Udvaskning nøgletal'!$F$12:$F$60)+Markniveau!Y434*Markniveau!S434/100,IF(X434=3,LOOKUP(K434,'Udvaskning nøgletal'!$C$12:$C$60,'Udvaskning nøgletal'!G444:G492)+Markniveau!Y434*Markniveau!S434/100,"")))</f>
        <v>10</v>
      </c>
      <c r="AA434" s="10">
        <f t="shared" si="66"/>
        <v>10.3</v>
      </c>
      <c r="AB434" s="10">
        <f t="shared" si="65"/>
        <v>0.5</v>
      </c>
      <c r="AC434" s="10">
        <f t="shared" si="67"/>
        <v>0.51500000000000001</v>
      </c>
      <c r="AD434" s="10">
        <f>IF(AND(Q434&gt;0,Q434&lt;30,K434&lt;8),Markniveau!Z434*'Udvaskning nøgletal'!$I$12/100,IF(AND(Q434&gt;0,Q434&lt;30,K434=216),Markniveau!Z434*'Udvaskning nøgletal'!$I$34/100,Markniveau!Z434))</f>
        <v>10</v>
      </c>
      <c r="AE434" s="10">
        <f t="shared" si="73"/>
        <v>10.3</v>
      </c>
      <c r="AF434" s="10">
        <f t="shared" si="68"/>
        <v>0.5</v>
      </c>
      <c r="AG434" s="10">
        <f t="shared" si="74"/>
        <v>0.51500000000000001</v>
      </c>
      <c r="AH434" s="10" t="str">
        <f>IF(AND(Q434&gt;0,Q434&lt;30,K434=216),'Udvaskning nøgletal'!$C$42,IF(AND(Q434&gt;0,Q434&lt;30,K434&gt;7,K434&lt;17),'Udvaskning nøgletal'!$C$61,IF(AND(Q434&gt;0,Q434&lt;30,K434&lt;7),'Udvaskning nøgletal'!$C$62,"")))</f>
        <v/>
      </c>
      <c r="AI434" s="10">
        <f t="shared" si="70"/>
        <v>902</v>
      </c>
      <c r="AJ434" s="10">
        <f>IF($X434=1,LOOKUP(AI434,'Udvaskning nøgletal'!$C$12:$C$62,'Udvaskning nøgletal'!$E$12:$E$62)+Markniveau!$Y434*Markniveau!$S434/100,IF($X434=2,LOOKUP(AI434,'Udvaskning nøgletal'!$C$12:$C$62,'Udvaskning nøgletal'!$F$12:$F$62)+Markniveau!$Y434*Markniveau!$S434/100,IF($X434=3,LOOKUP(AI434,'Udvaskning nøgletal'!$C$12:$C$62,'Udvaskning nøgletal'!Q444:Q494)+Markniveau!$Y434*Markniveau!$S434/100,"")))</f>
        <v>10</v>
      </c>
      <c r="AK434" s="10">
        <f t="shared" si="69"/>
        <v>10.3</v>
      </c>
      <c r="AL434" s="10">
        <f t="shared" si="71"/>
        <v>0.5</v>
      </c>
      <c r="AM434" s="10">
        <f t="shared" si="72"/>
        <v>0.51500000000000001</v>
      </c>
    </row>
    <row r="435" spans="1:39" x14ac:dyDescent="0.25">
      <c r="A435" s="15">
        <v>18249308</v>
      </c>
      <c r="B435" s="15">
        <v>15.66</v>
      </c>
      <c r="C435" s="15">
        <v>180456</v>
      </c>
      <c r="D435" s="15">
        <v>146640</v>
      </c>
      <c r="E435" s="15" t="s">
        <v>382</v>
      </c>
      <c r="F435" s="15">
        <v>2011</v>
      </c>
      <c r="G435" s="15">
        <v>20110418</v>
      </c>
      <c r="H435" s="15">
        <v>16019</v>
      </c>
      <c r="I435" s="15">
        <v>1.6</v>
      </c>
      <c r="J435" s="6" t="s">
        <v>31</v>
      </c>
      <c r="K435" s="15">
        <v>1</v>
      </c>
      <c r="L435" s="15" t="s">
        <v>32</v>
      </c>
      <c r="M435" s="15" t="s">
        <v>5</v>
      </c>
      <c r="N435" s="11" t="s">
        <v>1391</v>
      </c>
      <c r="O435" s="11" t="s">
        <v>46</v>
      </c>
      <c r="P435" s="11" t="s">
        <v>29</v>
      </c>
      <c r="Q435" s="15">
        <v>95</v>
      </c>
      <c r="R435" s="11" t="s">
        <v>3</v>
      </c>
      <c r="S435" s="10">
        <v>0</v>
      </c>
      <c r="T435" s="15">
        <v>80</v>
      </c>
      <c r="U435" s="15">
        <v>0</v>
      </c>
      <c r="V435" s="15">
        <v>0</v>
      </c>
      <c r="W435" s="15">
        <v>0</v>
      </c>
      <c r="X435" s="15">
        <f>IF(O435='Udvaskning nøgletal'!$D$65,1,IF(O435='Udvaskning nøgletal'!$D$66,2,IF(O435='Udvaskning nøgletal'!$D$67,3,IF(O435='Udvaskning nøgletal'!$D$68,2,""))))</f>
        <v>2</v>
      </c>
      <c r="Y435" s="15">
        <f>LOOKUP(K435,'Udvaskning nøgletal'!$C$12:$C$60,'Udvaskning nøgletal'!$H$12:$H$60)</f>
        <v>5</v>
      </c>
      <c r="Z435" s="10">
        <f>IF(X435=1,LOOKUP(K435,'Udvaskning nøgletal'!$C$12:$C$60,'Udvaskning nøgletal'!$E$12:$E$60)+Markniveau!Y435*Markniveau!S435/100,IF(X435=2,LOOKUP(K435,'Udvaskning nøgletal'!$C$12:$C$60,'Udvaskning nøgletal'!$F$12:$F$60)+Markniveau!Y435*Markniveau!S435/100,IF(X435=3,LOOKUP(K435,'Udvaskning nøgletal'!$C$12:$C$60,'Udvaskning nøgletal'!G445:G493)+Markniveau!Y435*Markniveau!S435/100,"")))</f>
        <v>50.88</v>
      </c>
      <c r="AA435" s="10">
        <f t="shared" si="66"/>
        <v>81.408000000000015</v>
      </c>
      <c r="AB435" s="10">
        <f t="shared" si="65"/>
        <v>2.544</v>
      </c>
      <c r="AC435" s="10">
        <f t="shared" si="67"/>
        <v>4.0704000000000002</v>
      </c>
      <c r="AD435" s="10">
        <f>IF(AND(Q435&gt;0,Q435&lt;30,K435&lt;8),Markniveau!Z435*'Udvaskning nøgletal'!$I$12/100,IF(AND(Q435&gt;0,Q435&lt;30,K435=216),Markniveau!Z435*'Udvaskning nøgletal'!$I$34/100,Markniveau!Z435))</f>
        <v>50.88</v>
      </c>
      <c r="AE435" s="10">
        <f t="shared" si="73"/>
        <v>81.408000000000015</v>
      </c>
      <c r="AF435" s="10">
        <f t="shared" si="68"/>
        <v>2.544</v>
      </c>
      <c r="AG435" s="10">
        <f t="shared" si="74"/>
        <v>4.0704000000000002</v>
      </c>
      <c r="AH435" s="10" t="str">
        <f>IF(AND(Q435&gt;0,Q435&lt;30,K435=216),'Udvaskning nøgletal'!$C$42,IF(AND(Q435&gt;0,Q435&lt;30,K435&gt;7,K435&lt;17),'Udvaskning nøgletal'!$C$61,IF(AND(Q435&gt;0,Q435&lt;30,K435&lt;7),'Udvaskning nøgletal'!$C$62,"")))</f>
        <v/>
      </c>
      <c r="AI435" s="10">
        <f t="shared" si="70"/>
        <v>1</v>
      </c>
      <c r="AJ435" s="10">
        <f>IF($X435=1,LOOKUP(AI435,'Udvaskning nøgletal'!$C$12:$C$62,'Udvaskning nøgletal'!$E$12:$E$62)+Markniveau!$Y435*Markniveau!$S435/100,IF($X435=2,LOOKUP(AI435,'Udvaskning nøgletal'!$C$12:$C$62,'Udvaskning nøgletal'!$F$12:$F$62)+Markniveau!$Y435*Markniveau!$S435/100,IF($X435=3,LOOKUP(AI435,'Udvaskning nøgletal'!$C$12:$C$62,'Udvaskning nøgletal'!Q445:Q495)+Markniveau!$Y435*Markniveau!$S435/100,"")))</f>
        <v>50.88</v>
      </c>
      <c r="AK435" s="10">
        <f t="shared" si="69"/>
        <v>81.408000000000015</v>
      </c>
      <c r="AL435" s="10">
        <f t="shared" si="71"/>
        <v>2.544</v>
      </c>
      <c r="AM435" s="10">
        <f t="shared" si="72"/>
        <v>4.0704000000000002</v>
      </c>
    </row>
    <row r="436" spans="1:39" x14ac:dyDescent="0.25">
      <c r="A436" s="15">
        <v>18249308</v>
      </c>
      <c r="B436" s="15">
        <v>15.66</v>
      </c>
      <c r="C436" s="15">
        <v>180457</v>
      </c>
      <c r="D436" s="15">
        <v>146640</v>
      </c>
      <c r="E436" s="15" t="s">
        <v>382</v>
      </c>
      <c r="F436" s="15">
        <v>2011</v>
      </c>
      <c r="G436" s="15">
        <v>20110418</v>
      </c>
      <c r="H436" s="15">
        <v>14656</v>
      </c>
      <c r="I436" s="15">
        <v>1.47</v>
      </c>
      <c r="J436" s="6" t="s">
        <v>97</v>
      </c>
      <c r="K436" s="15">
        <v>1</v>
      </c>
      <c r="L436" s="15" t="s">
        <v>32</v>
      </c>
      <c r="M436" s="15" t="s">
        <v>5</v>
      </c>
      <c r="N436" s="11" t="s">
        <v>1391</v>
      </c>
      <c r="O436" s="11" t="s">
        <v>46</v>
      </c>
      <c r="P436" s="11" t="s">
        <v>29</v>
      </c>
      <c r="Q436" s="15">
        <v>0</v>
      </c>
      <c r="R436" s="11" t="s">
        <v>1386</v>
      </c>
      <c r="S436" s="10">
        <v>0</v>
      </c>
      <c r="T436" s="15">
        <v>80</v>
      </c>
      <c r="U436" s="15">
        <v>0</v>
      </c>
      <c r="V436" s="15">
        <v>0</v>
      </c>
      <c r="W436" s="15">
        <v>0</v>
      </c>
      <c r="X436" s="15">
        <f>IF(O436='Udvaskning nøgletal'!$D$65,1,IF(O436='Udvaskning nøgletal'!$D$66,2,IF(O436='Udvaskning nøgletal'!$D$67,3,IF(O436='Udvaskning nøgletal'!$D$68,2,""))))</f>
        <v>2</v>
      </c>
      <c r="Y436" s="15">
        <f>LOOKUP(K436,'Udvaskning nøgletal'!$C$12:$C$60,'Udvaskning nøgletal'!$H$12:$H$60)</f>
        <v>5</v>
      </c>
      <c r="Z436" s="10">
        <f>IF(X436=1,LOOKUP(K436,'Udvaskning nøgletal'!$C$12:$C$60,'Udvaskning nøgletal'!$E$12:$E$60)+Markniveau!Y436*Markniveau!S436/100,IF(X436=2,LOOKUP(K436,'Udvaskning nøgletal'!$C$12:$C$60,'Udvaskning nøgletal'!$F$12:$F$60)+Markniveau!Y436*Markniveau!S436/100,IF(X436=3,LOOKUP(K436,'Udvaskning nøgletal'!$C$12:$C$60,'Udvaskning nøgletal'!G446:G494)+Markniveau!Y436*Markniveau!S436/100,"")))</f>
        <v>50.88</v>
      </c>
      <c r="AA436" s="10">
        <f t="shared" si="66"/>
        <v>74.793599999999998</v>
      </c>
      <c r="AB436" s="10" t="str">
        <f t="shared" si="65"/>
        <v/>
      </c>
      <c r="AC436" s="10" t="str">
        <f t="shared" si="67"/>
        <v/>
      </c>
      <c r="AD436" s="10">
        <f>IF(AND(Q436&gt;0,Q436&lt;30,K436&lt;8),Markniveau!Z436*'Udvaskning nøgletal'!$I$12/100,IF(AND(Q436&gt;0,Q436&lt;30,K436=216),Markniveau!Z436*'Udvaskning nøgletal'!$I$34/100,Markniveau!Z436))</f>
        <v>50.88</v>
      </c>
      <c r="AE436" s="10">
        <f t="shared" si="73"/>
        <v>74.793599999999998</v>
      </c>
      <c r="AF436" s="10" t="str">
        <f t="shared" si="68"/>
        <v/>
      </c>
      <c r="AG436" s="10" t="str">
        <f t="shared" si="74"/>
        <v/>
      </c>
      <c r="AH436" s="10" t="str">
        <f>IF(AND(Q436&gt;0,Q436&lt;30,K436=216),'Udvaskning nøgletal'!$C$42,IF(AND(Q436&gt;0,Q436&lt;30,K436&gt;7,K436&lt;17),'Udvaskning nøgletal'!$C$61,IF(AND(Q436&gt;0,Q436&lt;30,K436&lt;7),'Udvaskning nøgletal'!$C$62,"")))</f>
        <v/>
      </c>
      <c r="AI436" s="10">
        <f t="shared" si="70"/>
        <v>1</v>
      </c>
      <c r="AJ436" s="10">
        <f>IF($X436=1,LOOKUP(AI436,'Udvaskning nøgletal'!$C$12:$C$62,'Udvaskning nøgletal'!$E$12:$E$62)+Markniveau!$Y436*Markniveau!$S436/100,IF($X436=2,LOOKUP(AI436,'Udvaskning nøgletal'!$C$12:$C$62,'Udvaskning nøgletal'!$F$12:$F$62)+Markniveau!$Y436*Markniveau!$S436/100,IF($X436=3,LOOKUP(AI436,'Udvaskning nøgletal'!$C$12:$C$62,'Udvaskning nøgletal'!Q446:Q496)+Markniveau!$Y436*Markniveau!$S436/100,"")))</f>
        <v>50.88</v>
      </c>
      <c r="AK436" s="10">
        <f t="shared" si="69"/>
        <v>74.793599999999998</v>
      </c>
      <c r="AL436" s="10" t="str">
        <f t="shared" si="71"/>
        <v/>
      </c>
      <c r="AM436" s="10" t="str">
        <f t="shared" si="72"/>
        <v/>
      </c>
    </row>
    <row r="437" spans="1:39" x14ac:dyDescent="0.25">
      <c r="A437" s="15">
        <v>18249308</v>
      </c>
      <c r="B437" s="15">
        <v>15.66</v>
      </c>
      <c r="C437" s="15">
        <v>180458</v>
      </c>
      <c r="D437" s="15">
        <v>146640</v>
      </c>
      <c r="E437" s="15" t="s">
        <v>383</v>
      </c>
      <c r="F437" s="15">
        <v>2011</v>
      </c>
      <c r="G437" s="15">
        <v>20110418</v>
      </c>
      <c r="H437" s="15">
        <v>25677</v>
      </c>
      <c r="I437" s="15">
        <v>2.57</v>
      </c>
      <c r="J437" s="6" t="s">
        <v>36</v>
      </c>
      <c r="K437" s="15">
        <v>14</v>
      </c>
      <c r="L437" s="15" t="s">
        <v>83</v>
      </c>
      <c r="M437" s="15" t="s">
        <v>5</v>
      </c>
      <c r="N437" s="11" t="s">
        <v>1384</v>
      </c>
      <c r="O437" s="11" t="s">
        <v>28</v>
      </c>
      <c r="P437" s="11" t="s">
        <v>33</v>
      </c>
      <c r="Q437" s="15">
        <v>0</v>
      </c>
      <c r="R437" s="11" t="s">
        <v>1386</v>
      </c>
      <c r="S437" s="10">
        <v>0</v>
      </c>
      <c r="T437" s="15">
        <v>80</v>
      </c>
      <c r="U437" s="15">
        <v>0</v>
      </c>
      <c r="V437" s="15">
        <v>0</v>
      </c>
      <c r="W437" s="15">
        <v>0</v>
      </c>
      <c r="X437" s="15">
        <f>IF(O437='Udvaskning nøgletal'!$D$65,1,IF(O437='Udvaskning nøgletal'!$D$66,2,IF(O437='Udvaskning nøgletal'!$D$67,3,IF(O437='Udvaskning nøgletal'!$D$68,2,""))))</f>
        <v>1</v>
      </c>
      <c r="Y437" s="15">
        <f>LOOKUP(K437,'Udvaskning nøgletal'!$C$12:$C$60,'Udvaskning nøgletal'!$H$12:$H$60)</f>
        <v>5</v>
      </c>
      <c r="Z437" s="10">
        <f>IF(X437=1,LOOKUP(K437,'Udvaskning nøgletal'!$C$12:$C$60,'Udvaskning nøgletal'!$E$12:$E$60)+Markniveau!Y437*Markniveau!S437/100,IF(X437=2,LOOKUP(K437,'Udvaskning nøgletal'!$C$12:$C$60,'Udvaskning nøgletal'!$F$12:$F$60)+Markniveau!Y437*Markniveau!S437/100,IF(X437=3,LOOKUP(K437,'Udvaskning nøgletal'!$C$12:$C$60,'Udvaskning nøgletal'!G447:G495)+Markniveau!Y437*Markniveau!S437/100,"")))</f>
        <v>64.66</v>
      </c>
      <c r="AA437" s="10">
        <f t="shared" si="66"/>
        <v>166.17619999999999</v>
      </c>
      <c r="AB437" s="10" t="str">
        <f t="shared" si="65"/>
        <v/>
      </c>
      <c r="AC437" s="10" t="str">
        <f t="shared" si="67"/>
        <v/>
      </c>
      <c r="AD437" s="10">
        <f>IF(AND(Q437&gt;0,Q437&lt;30,K437&lt;8),Markniveau!Z437*'Udvaskning nøgletal'!$I$12/100,IF(AND(Q437&gt;0,Q437&lt;30,K437=216),Markniveau!Z437*'Udvaskning nøgletal'!$I$34/100,Markniveau!Z437))</f>
        <v>64.66</v>
      </c>
      <c r="AE437" s="10">
        <f t="shared" si="73"/>
        <v>166.17619999999999</v>
      </c>
      <c r="AF437" s="10" t="str">
        <f t="shared" si="68"/>
        <v/>
      </c>
      <c r="AG437" s="10" t="str">
        <f t="shared" si="74"/>
        <v/>
      </c>
      <c r="AH437" s="10" t="str">
        <f>IF(AND(Q437&gt;0,Q437&lt;30,K437=216),'Udvaskning nøgletal'!$C$42,IF(AND(Q437&gt;0,Q437&lt;30,K437&gt;7,K437&lt;17),'Udvaskning nøgletal'!$C$61,IF(AND(Q437&gt;0,Q437&lt;30,K437&lt;7),'Udvaskning nøgletal'!$C$62,"")))</f>
        <v/>
      </c>
      <c r="AI437" s="10">
        <f t="shared" si="70"/>
        <v>14</v>
      </c>
      <c r="AJ437" s="10">
        <f>IF($X437=1,LOOKUP(AI437,'Udvaskning nøgletal'!$C$12:$C$62,'Udvaskning nøgletal'!$E$12:$E$62)+Markniveau!$Y437*Markniveau!$S437/100,IF($X437=2,LOOKUP(AI437,'Udvaskning nøgletal'!$C$12:$C$62,'Udvaskning nøgletal'!$F$12:$F$62)+Markniveau!$Y437*Markniveau!$S437/100,IF($X437=3,LOOKUP(AI437,'Udvaskning nøgletal'!$C$12:$C$62,'Udvaskning nøgletal'!Q447:Q497)+Markniveau!$Y437*Markniveau!$S437/100,"")))</f>
        <v>64.66</v>
      </c>
      <c r="AK437" s="10">
        <f t="shared" si="69"/>
        <v>166.17619999999999</v>
      </c>
      <c r="AL437" s="10" t="str">
        <f t="shared" si="71"/>
        <v/>
      </c>
      <c r="AM437" s="10" t="str">
        <f t="shared" si="72"/>
        <v/>
      </c>
    </row>
    <row r="438" spans="1:39" x14ac:dyDescent="0.25">
      <c r="A438" s="15">
        <v>18249308</v>
      </c>
      <c r="B438" s="15">
        <v>15.66</v>
      </c>
      <c r="C438" s="15">
        <v>180459</v>
      </c>
      <c r="D438" s="15">
        <v>146640</v>
      </c>
      <c r="E438" s="15" t="s">
        <v>384</v>
      </c>
      <c r="F438" s="15">
        <v>2011</v>
      </c>
      <c r="G438" s="15">
        <v>20110418</v>
      </c>
      <c r="H438" s="15">
        <v>18140</v>
      </c>
      <c r="I438" s="15">
        <v>1.81</v>
      </c>
      <c r="J438" s="6" t="s">
        <v>34</v>
      </c>
      <c r="K438" s="15">
        <v>14</v>
      </c>
      <c r="L438" s="15" t="s">
        <v>83</v>
      </c>
      <c r="M438" s="15" t="s">
        <v>5</v>
      </c>
      <c r="N438" s="11" t="s">
        <v>1384</v>
      </c>
      <c r="O438" s="11" t="s">
        <v>28</v>
      </c>
      <c r="P438" s="11" t="s">
        <v>33</v>
      </c>
      <c r="Q438" s="15">
        <v>0</v>
      </c>
      <c r="R438" s="11" t="s">
        <v>1386</v>
      </c>
      <c r="S438" s="10">
        <v>0</v>
      </c>
      <c r="T438" s="15">
        <v>80</v>
      </c>
      <c r="U438" s="15">
        <v>0</v>
      </c>
      <c r="V438" s="15">
        <v>0</v>
      </c>
      <c r="W438" s="15">
        <v>0</v>
      </c>
      <c r="X438" s="15">
        <f>IF(O438='Udvaskning nøgletal'!$D$65,1,IF(O438='Udvaskning nøgletal'!$D$66,2,IF(O438='Udvaskning nøgletal'!$D$67,3,IF(O438='Udvaskning nøgletal'!$D$68,2,""))))</f>
        <v>1</v>
      </c>
      <c r="Y438" s="15">
        <f>LOOKUP(K438,'Udvaskning nøgletal'!$C$12:$C$60,'Udvaskning nøgletal'!$H$12:$H$60)</f>
        <v>5</v>
      </c>
      <c r="Z438" s="10">
        <f>IF(X438=1,LOOKUP(K438,'Udvaskning nøgletal'!$C$12:$C$60,'Udvaskning nøgletal'!$E$12:$E$60)+Markniveau!Y438*Markniveau!S438/100,IF(X438=2,LOOKUP(K438,'Udvaskning nøgletal'!$C$12:$C$60,'Udvaskning nøgletal'!$F$12:$F$60)+Markniveau!Y438*Markniveau!S438/100,IF(X438=3,LOOKUP(K438,'Udvaskning nøgletal'!$C$12:$C$60,'Udvaskning nøgletal'!G448:G496)+Markniveau!Y438*Markniveau!S438/100,"")))</f>
        <v>64.66</v>
      </c>
      <c r="AA438" s="10">
        <f t="shared" si="66"/>
        <v>117.0346</v>
      </c>
      <c r="AB438" s="10" t="str">
        <f t="shared" si="65"/>
        <v/>
      </c>
      <c r="AC438" s="10" t="str">
        <f t="shared" si="67"/>
        <v/>
      </c>
      <c r="AD438" s="10">
        <f>IF(AND(Q438&gt;0,Q438&lt;30,K438&lt;8),Markniveau!Z438*'Udvaskning nøgletal'!$I$12/100,IF(AND(Q438&gt;0,Q438&lt;30,K438=216),Markniveau!Z438*'Udvaskning nøgletal'!$I$34/100,Markniveau!Z438))</f>
        <v>64.66</v>
      </c>
      <c r="AE438" s="10">
        <f t="shared" si="73"/>
        <v>117.0346</v>
      </c>
      <c r="AF438" s="10" t="str">
        <f t="shared" si="68"/>
        <v/>
      </c>
      <c r="AG438" s="10" t="str">
        <f t="shared" si="74"/>
        <v/>
      </c>
      <c r="AH438" s="10" t="str">
        <f>IF(AND(Q438&gt;0,Q438&lt;30,K438=216),'Udvaskning nøgletal'!$C$42,IF(AND(Q438&gt;0,Q438&lt;30,K438&gt;7,K438&lt;17),'Udvaskning nøgletal'!$C$61,IF(AND(Q438&gt;0,Q438&lt;30,K438&lt;7),'Udvaskning nøgletal'!$C$62,"")))</f>
        <v/>
      </c>
      <c r="AI438" s="10">
        <f t="shared" si="70"/>
        <v>14</v>
      </c>
      <c r="AJ438" s="10">
        <f>IF($X438=1,LOOKUP(AI438,'Udvaskning nøgletal'!$C$12:$C$62,'Udvaskning nøgletal'!$E$12:$E$62)+Markniveau!$Y438*Markniveau!$S438/100,IF($X438=2,LOOKUP(AI438,'Udvaskning nøgletal'!$C$12:$C$62,'Udvaskning nøgletal'!$F$12:$F$62)+Markniveau!$Y438*Markniveau!$S438/100,IF($X438=3,LOOKUP(AI438,'Udvaskning nøgletal'!$C$12:$C$62,'Udvaskning nøgletal'!Q448:Q498)+Markniveau!$Y438*Markniveau!$S438/100,"")))</f>
        <v>64.66</v>
      </c>
      <c r="AK438" s="10">
        <f t="shared" si="69"/>
        <v>117.0346</v>
      </c>
      <c r="AL438" s="10" t="str">
        <f t="shared" si="71"/>
        <v/>
      </c>
      <c r="AM438" s="10" t="str">
        <f t="shared" si="72"/>
        <v/>
      </c>
    </row>
    <row r="439" spans="1:39" x14ac:dyDescent="0.25">
      <c r="A439" s="15">
        <v>18249308</v>
      </c>
      <c r="B439" s="15">
        <v>15.66</v>
      </c>
      <c r="C439" s="15">
        <v>180460</v>
      </c>
      <c r="D439" s="15">
        <v>146640</v>
      </c>
      <c r="E439" s="15" t="s">
        <v>382</v>
      </c>
      <c r="F439" s="15">
        <v>2011</v>
      </c>
      <c r="G439" s="15">
        <v>20110418</v>
      </c>
      <c r="H439" s="15">
        <v>5445</v>
      </c>
      <c r="I439" s="15">
        <v>0.54</v>
      </c>
      <c r="J439" s="6" t="s">
        <v>1402</v>
      </c>
      <c r="K439" s="15">
        <v>1</v>
      </c>
      <c r="L439" s="15" t="s">
        <v>32</v>
      </c>
      <c r="M439" s="15" t="s">
        <v>5</v>
      </c>
      <c r="N439" s="11" t="s">
        <v>1391</v>
      </c>
      <c r="O439" s="11" t="s">
        <v>46</v>
      </c>
      <c r="P439" s="11" t="s">
        <v>29</v>
      </c>
      <c r="Q439" s="15">
        <v>95</v>
      </c>
      <c r="R439" s="11" t="s">
        <v>3</v>
      </c>
      <c r="S439" s="10">
        <v>0</v>
      </c>
      <c r="T439" s="15">
        <v>80</v>
      </c>
      <c r="U439" s="15">
        <v>0</v>
      </c>
      <c r="V439" s="15">
        <v>0</v>
      </c>
      <c r="W439" s="15">
        <v>0</v>
      </c>
      <c r="X439" s="15">
        <f>IF(O439='Udvaskning nøgletal'!$D$65,1,IF(O439='Udvaskning nøgletal'!$D$66,2,IF(O439='Udvaskning nøgletal'!$D$67,3,IF(O439='Udvaskning nøgletal'!$D$68,2,""))))</f>
        <v>2</v>
      </c>
      <c r="Y439" s="15">
        <f>LOOKUP(K439,'Udvaskning nøgletal'!$C$12:$C$60,'Udvaskning nøgletal'!$H$12:$H$60)</f>
        <v>5</v>
      </c>
      <c r="Z439" s="10">
        <f>IF(X439=1,LOOKUP(K439,'Udvaskning nøgletal'!$C$12:$C$60,'Udvaskning nøgletal'!$E$12:$E$60)+Markniveau!Y439*Markniveau!S439/100,IF(X439=2,LOOKUP(K439,'Udvaskning nøgletal'!$C$12:$C$60,'Udvaskning nøgletal'!$F$12:$F$60)+Markniveau!Y439*Markniveau!S439/100,IF(X439=3,LOOKUP(K439,'Udvaskning nøgletal'!$C$12:$C$60,'Udvaskning nøgletal'!G449:G497)+Markniveau!Y439*Markniveau!S439/100,"")))</f>
        <v>50.88</v>
      </c>
      <c r="AA439" s="10">
        <f t="shared" si="66"/>
        <v>27.475200000000005</v>
      </c>
      <c r="AB439" s="10">
        <f t="shared" si="65"/>
        <v>2.544</v>
      </c>
      <c r="AC439" s="10">
        <f t="shared" si="67"/>
        <v>1.3737600000000001</v>
      </c>
      <c r="AD439" s="10">
        <f>IF(AND(Q439&gt;0,Q439&lt;30,K439&lt;8),Markniveau!Z439*'Udvaskning nøgletal'!$I$12/100,IF(AND(Q439&gt;0,Q439&lt;30,K439=216),Markniveau!Z439*'Udvaskning nøgletal'!$I$34/100,Markniveau!Z439))</f>
        <v>50.88</v>
      </c>
      <c r="AE439" s="10">
        <f t="shared" si="73"/>
        <v>27.475200000000005</v>
      </c>
      <c r="AF439" s="10">
        <f t="shared" si="68"/>
        <v>2.544</v>
      </c>
      <c r="AG439" s="10">
        <f t="shared" si="74"/>
        <v>1.3737600000000001</v>
      </c>
      <c r="AH439" s="10" t="str">
        <f>IF(AND(Q439&gt;0,Q439&lt;30,K439=216),'Udvaskning nøgletal'!$C$42,IF(AND(Q439&gt;0,Q439&lt;30,K439&gt;7,K439&lt;17),'Udvaskning nøgletal'!$C$61,IF(AND(Q439&gt;0,Q439&lt;30,K439&lt;7),'Udvaskning nøgletal'!$C$62,"")))</f>
        <v/>
      </c>
      <c r="AI439" s="10">
        <f t="shared" si="70"/>
        <v>1</v>
      </c>
      <c r="AJ439" s="10">
        <f>IF($X439=1,LOOKUP(AI439,'Udvaskning nøgletal'!$C$12:$C$62,'Udvaskning nøgletal'!$E$12:$E$62)+Markniveau!$Y439*Markniveau!$S439/100,IF($X439=2,LOOKUP(AI439,'Udvaskning nøgletal'!$C$12:$C$62,'Udvaskning nøgletal'!$F$12:$F$62)+Markniveau!$Y439*Markniveau!$S439/100,IF($X439=3,LOOKUP(AI439,'Udvaskning nøgletal'!$C$12:$C$62,'Udvaskning nøgletal'!Q449:Q499)+Markniveau!$Y439*Markniveau!$S439/100,"")))</f>
        <v>50.88</v>
      </c>
      <c r="AK439" s="10">
        <f t="shared" si="69"/>
        <v>27.475200000000005</v>
      </c>
      <c r="AL439" s="10">
        <f t="shared" si="71"/>
        <v>2.544</v>
      </c>
      <c r="AM439" s="10">
        <f t="shared" si="72"/>
        <v>1.3737600000000001</v>
      </c>
    </row>
    <row r="440" spans="1:39" x14ac:dyDescent="0.25">
      <c r="A440" s="15">
        <v>18249308</v>
      </c>
      <c r="B440" s="15">
        <v>15.66</v>
      </c>
      <c r="C440" s="15">
        <v>180461</v>
      </c>
      <c r="D440" s="15">
        <v>146640</v>
      </c>
      <c r="E440" s="15" t="s">
        <v>382</v>
      </c>
      <c r="F440" s="15">
        <v>2011</v>
      </c>
      <c r="G440" s="15">
        <v>20110418</v>
      </c>
      <c r="H440" s="15">
        <v>13547</v>
      </c>
      <c r="I440" s="15">
        <v>1.35</v>
      </c>
      <c r="J440" s="6" t="s">
        <v>61</v>
      </c>
      <c r="K440" s="15">
        <v>1</v>
      </c>
      <c r="L440" s="15" t="s">
        <v>32</v>
      </c>
      <c r="M440" s="15" t="s">
        <v>5</v>
      </c>
      <c r="N440" s="11" t="s">
        <v>1391</v>
      </c>
      <c r="O440" s="11" t="s">
        <v>46</v>
      </c>
      <c r="P440" s="11" t="s">
        <v>29</v>
      </c>
      <c r="Q440" s="15">
        <v>95</v>
      </c>
      <c r="R440" s="11" t="s">
        <v>3</v>
      </c>
      <c r="S440" s="10">
        <v>0</v>
      </c>
      <c r="T440" s="15">
        <v>80</v>
      </c>
      <c r="U440" s="15">
        <v>0</v>
      </c>
      <c r="V440" s="15">
        <v>0</v>
      </c>
      <c r="W440" s="15">
        <v>0</v>
      </c>
      <c r="X440" s="15">
        <f>IF(O440='Udvaskning nøgletal'!$D$65,1,IF(O440='Udvaskning nøgletal'!$D$66,2,IF(O440='Udvaskning nøgletal'!$D$67,3,IF(O440='Udvaskning nøgletal'!$D$68,2,""))))</f>
        <v>2</v>
      </c>
      <c r="Y440" s="15">
        <f>LOOKUP(K440,'Udvaskning nøgletal'!$C$12:$C$60,'Udvaskning nøgletal'!$H$12:$H$60)</f>
        <v>5</v>
      </c>
      <c r="Z440" s="10">
        <f>IF(X440=1,LOOKUP(K440,'Udvaskning nøgletal'!$C$12:$C$60,'Udvaskning nøgletal'!$E$12:$E$60)+Markniveau!Y440*Markniveau!S440/100,IF(X440=2,LOOKUP(K440,'Udvaskning nøgletal'!$C$12:$C$60,'Udvaskning nøgletal'!$F$12:$F$60)+Markniveau!Y440*Markniveau!S440/100,IF(X440=3,LOOKUP(K440,'Udvaskning nøgletal'!$C$12:$C$60,'Udvaskning nøgletal'!G450:G498)+Markniveau!Y440*Markniveau!S440/100,"")))</f>
        <v>50.88</v>
      </c>
      <c r="AA440" s="10">
        <f t="shared" si="66"/>
        <v>68.688000000000002</v>
      </c>
      <c r="AB440" s="10">
        <f t="shared" si="65"/>
        <v>2.544</v>
      </c>
      <c r="AC440" s="10">
        <f t="shared" si="67"/>
        <v>3.4344000000000001</v>
      </c>
      <c r="AD440" s="10">
        <f>IF(AND(Q440&gt;0,Q440&lt;30,K440&lt;8),Markniveau!Z440*'Udvaskning nøgletal'!$I$12/100,IF(AND(Q440&gt;0,Q440&lt;30,K440=216),Markniveau!Z440*'Udvaskning nøgletal'!$I$34/100,Markniveau!Z440))</f>
        <v>50.88</v>
      </c>
      <c r="AE440" s="10">
        <f t="shared" si="73"/>
        <v>68.688000000000002</v>
      </c>
      <c r="AF440" s="10">
        <f t="shared" si="68"/>
        <v>2.544</v>
      </c>
      <c r="AG440" s="10">
        <f t="shared" si="74"/>
        <v>3.4344000000000001</v>
      </c>
      <c r="AH440" s="10" t="str">
        <f>IF(AND(Q440&gt;0,Q440&lt;30,K440=216),'Udvaskning nøgletal'!$C$42,IF(AND(Q440&gt;0,Q440&lt;30,K440&gt;7,K440&lt;17),'Udvaskning nøgletal'!$C$61,IF(AND(Q440&gt;0,Q440&lt;30,K440&lt;7),'Udvaskning nøgletal'!$C$62,"")))</f>
        <v/>
      </c>
      <c r="AI440" s="10">
        <f t="shared" si="70"/>
        <v>1</v>
      </c>
      <c r="AJ440" s="10">
        <f>IF($X440=1,LOOKUP(AI440,'Udvaskning nøgletal'!$C$12:$C$62,'Udvaskning nøgletal'!$E$12:$E$62)+Markniveau!$Y440*Markniveau!$S440/100,IF($X440=2,LOOKUP(AI440,'Udvaskning nøgletal'!$C$12:$C$62,'Udvaskning nøgletal'!$F$12:$F$62)+Markniveau!$Y440*Markniveau!$S440/100,IF($X440=3,LOOKUP(AI440,'Udvaskning nøgletal'!$C$12:$C$62,'Udvaskning nøgletal'!Q450:Q500)+Markniveau!$Y440*Markniveau!$S440/100,"")))</f>
        <v>50.88</v>
      </c>
      <c r="AK440" s="10">
        <f t="shared" si="69"/>
        <v>68.688000000000002</v>
      </c>
      <c r="AL440" s="10">
        <f t="shared" si="71"/>
        <v>2.544</v>
      </c>
      <c r="AM440" s="10">
        <f t="shared" si="72"/>
        <v>3.4344000000000001</v>
      </c>
    </row>
    <row r="441" spans="1:39" x14ac:dyDescent="0.25">
      <c r="A441" s="15">
        <v>18249308</v>
      </c>
      <c r="B441" s="15">
        <v>15.66</v>
      </c>
      <c r="C441" s="15">
        <v>181000</v>
      </c>
      <c r="D441" s="15">
        <v>146640</v>
      </c>
      <c r="E441" s="15" t="s">
        <v>385</v>
      </c>
      <c r="F441" s="15">
        <v>2011</v>
      </c>
      <c r="G441" s="15">
        <v>20110418</v>
      </c>
      <c r="H441" s="15">
        <v>54370</v>
      </c>
      <c r="I441" s="15">
        <v>5.44</v>
      </c>
      <c r="J441" s="6" t="s">
        <v>35</v>
      </c>
      <c r="K441" s="15">
        <v>1</v>
      </c>
      <c r="L441" s="15" t="s">
        <v>32</v>
      </c>
      <c r="M441" s="15" t="s">
        <v>5</v>
      </c>
      <c r="N441" s="11" t="s">
        <v>1391</v>
      </c>
      <c r="O441" s="11" t="s">
        <v>46</v>
      </c>
      <c r="P441" s="11" t="s">
        <v>29</v>
      </c>
      <c r="Q441" s="15">
        <v>95</v>
      </c>
      <c r="R441" s="11" t="s">
        <v>3</v>
      </c>
      <c r="S441" s="10">
        <v>0</v>
      </c>
      <c r="T441" s="15">
        <v>80</v>
      </c>
      <c r="U441" s="15">
        <v>0</v>
      </c>
      <c r="V441" s="15">
        <v>0</v>
      </c>
      <c r="W441" s="15">
        <v>0</v>
      </c>
      <c r="X441" s="15">
        <f>IF(O441='Udvaskning nøgletal'!$D$65,1,IF(O441='Udvaskning nøgletal'!$D$66,2,IF(O441='Udvaskning nøgletal'!$D$67,3,IF(O441='Udvaskning nøgletal'!$D$68,2,""))))</f>
        <v>2</v>
      </c>
      <c r="Y441" s="15">
        <f>LOOKUP(K441,'Udvaskning nøgletal'!$C$12:$C$60,'Udvaskning nøgletal'!$H$12:$H$60)</f>
        <v>5</v>
      </c>
      <c r="Z441" s="10">
        <f>IF(X441=1,LOOKUP(K441,'Udvaskning nøgletal'!$C$12:$C$60,'Udvaskning nøgletal'!$E$12:$E$60)+Markniveau!Y441*Markniveau!S441/100,IF(X441=2,LOOKUP(K441,'Udvaskning nøgletal'!$C$12:$C$60,'Udvaskning nøgletal'!$F$12:$F$60)+Markniveau!Y441*Markniveau!S441/100,IF(X441=3,LOOKUP(K441,'Udvaskning nøgletal'!$C$12:$C$60,'Udvaskning nøgletal'!G451:G499)+Markniveau!Y441*Markniveau!S441/100,"")))</f>
        <v>50.88</v>
      </c>
      <c r="AA441" s="10">
        <f t="shared" si="66"/>
        <v>276.78720000000004</v>
      </c>
      <c r="AB441" s="10">
        <f t="shared" si="65"/>
        <v>2.544</v>
      </c>
      <c r="AC441" s="10">
        <f t="shared" si="67"/>
        <v>13.839360000000001</v>
      </c>
      <c r="AD441" s="10">
        <f>IF(AND(Q441&gt;0,Q441&lt;30,K441&lt;8),Markniveau!Z441*'Udvaskning nøgletal'!$I$12/100,IF(AND(Q441&gt;0,Q441&lt;30,K441=216),Markniveau!Z441*'Udvaskning nøgletal'!$I$34/100,Markniveau!Z441))</f>
        <v>50.88</v>
      </c>
      <c r="AE441" s="10">
        <f t="shared" si="73"/>
        <v>276.78720000000004</v>
      </c>
      <c r="AF441" s="10">
        <f t="shared" si="68"/>
        <v>2.544</v>
      </c>
      <c r="AG441" s="10">
        <f t="shared" si="74"/>
        <v>13.839360000000001</v>
      </c>
      <c r="AH441" s="10" t="str">
        <f>IF(AND(Q441&gt;0,Q441&lt;30,K441=216),'Udvaskning nøgletal'!$C$42,IF(AND(Q441&gt;0,Q441&lt;30,K441&gt;7,K441&lt;17),'Udvaskning nøgletal'!$C$61,IF(AND(Q441&gt;0,Q441&lt;30,K441&lt;7),'Udvaskning nøgletal'!$C$62,"")))</f>
        <v/>
      </c>
      <c r="AI441" s="10">
        <f t="shared" si="70"/>
        <v>1</v>
      </c>
      <c r="AJ441" s="10">
        <f>IF($X441=1,LOOKUP(AI441,'Udvaskning nøgletal'!$C$12:$C$62,'Udvaskning nøgletal'!$E$12:$E$62)+Markniveau!$Y441*Markniveau!$S441/100,IF($X441=2,LOOKUP(AI441,'Udvaskning nøgletal'!$C$12:$C$62,'Udvaskning nøgletal'!$F$12:$F$62)+Markniveau!$Y441*Markniveau!$S441/100,IF($X441=3,LOOKUP(AI441,'Udvaskning nøgletal'!$C$12:$C$62,'Udvaskning nøgletal'!Q451:Q501)+Markniveau!$Y441*Markniveau!$S441/100,"")))</f>
        <v>50.88</v>
      </c>
      <c r="AK441" s="10">
        <f t="shared" si="69"/>
        <v>276.78720000000004</v>
      </c>
      <c r="AL441" s="10">
        <f t="shared" si="71"/>
        <v>2.544</v>
      </c>
      <c r="AM441" s="10">
        <f t="shared" si="72"/>
        <v>13.839360000000001</v>
      </c>
    </row>
    <row r="442" spans="1:39" x14ac:dyDescent="0.25">
      <c r="A442" s="15">
        <v>18249308</v>
      </c>
      <c r="B442" s="15">
        <v>15.66</v>
      </c>
      <c r="C442" s="15">
        <v>181002</v>
      </c>
      <c r="D442" s="15">
        <v>146640</v>
      </c>
      <c r="E442" s="15" t="s">
        <v>382</v>
      </c>
      <c r="F442" s="15">
        <v>2011</v>
      </c>
      <c r="G442" s="15">
        <v>20110418</v>
      </c>
      <c r="H442" s="15">
        <v>9570</v>
      </c>
      <c r="I442" s="15">
        <v>0.96</v>
      </c>
      <c r="J442" s="6" t="s">
        <v>1407</v>
      </c>
      <c r="K442" s="15">
        <v>260</v>
      </c>
      <c r="L442" s="15" t="s">
        <v>45</v>
      </c>
      <c r="M442" s="15" t="s">
        <v>5</v>
      </c>
      <c r="N442" s="11" t="s">
        <v>1391</v>
      </c>
      <c r="O442" s="11" t="s">
        <v>46</v>
      </c>
      <c r="P442" s="11" t="s">
        <v>29</v>
      </c>
      <c r="Q442" s="15">
        <v>95</v>
      </c>
      <c r="R442" s="11" t="s">
        <v>3</v>
      </c>
      <c r="S442" s="10">
        <v>0</v>
      </c>
      <c r="T442" s="15">
        <v>80</v>
      </c>
      <c r="U442" s="15">
        <v>0</v>
      </c>
      <c r="V442" s="15">
        <v>0</v>
      </c>
      <c r="W442" s="15">
        <v>0</v>
      </c>
      <c r="X442" s="15">
        <f>IF(O442='Udvaskning nøgletal'!$D$65,1,IF(O442='Udvaskning nøgletal'!$D$66,2,IF(O442='Udvaskning nøgletal'!$D$67,3,IF(O442='Udvaskning nøgletal'!$D$68,2,""))))</f>
        <v>2</v>
      </c>
      <c r="Y442" s="15">
        <f>LOOKUP(K442,'Udvaskning nøgletal'!$C$12:$C$60,'Udvaskning nøgletal'!$H$12:$H$60)</f>
        <v>0</v>
      </c>
      <c r="Z442" s="10">
        <f>IF(X442=1,LOOKUP(K442,'Udvaskning nøgletal'!$C$12:$C$60,'Udvaskning nøgletal'!$E$12:$E$60)+Markniveau!Y442*Markniveau!S442/100,IF(X442=2,LOOKUP(K442,'Udvaskning nøgletal'!$C$12:$C$60,'Udvaskning nøgletal'!$F$12:$F$60)+Markniveau!Y442*Markniveau!S442/100,IF(X442=3,LOOKUP(K442,'Udvaskning nøgletal'!$C$12:$C$60,'Udvaskning nøgletal'!G452:G500)+Markniveau!Y442*Markniveau!S442/100,"")))</f>
        <v>27.331185321443094</v>
      </c>
      <c r="AA442" s="10">
        <f t="shared" si="66"/>
        <v>26.237937908585369</v>
      </c>
      <c r="AB442" s="10">
        <f t="shared" si="65"/>
        <v>1.3665592660721546</v>
      </c>
      <c r="AC442" s="10">
        <f t="shared" si="67"/>
        <v>1.3118968954292685</v>
      </c>
      <c r="AD442" s="10">
        <f>IF(AND(Q442&gt;0,Q442&lt;30,K442&lt;8),Markniveau!Z442*'Udvaskning nøgletal'!$I$12/100,IF(AND(Q442&gt;0,Q442&lt;30,K442=216),Markniveau!Z442*'Udvaskning nøgletal'!$I$34/100,Markniveau!Z442))</f>
        <v>27.331185321443094</v>
      </c>
      <c r="AE442" s="10">
        <f t="shared" si="73"/>
        <v>26.237937908585369</v>
      </c>
      <c r="AF442" s="10">
        <f t="shared" si="68"/>
        <v>1.3665592660721546</v>
      </c>
      <c r="AG442" s="10">
        <f t="shared" si="74"/>
        <v>1.3118968954292685</v>
      </c>
      <c r="AH442" s="10" t="str">
        <f>IF(AND(Q442&gt;0,Q442&lt;30,K442=216),'Udvaskning nøgletal'!$C$42,IF(AND(Q442&gt;0,Q442&lt;30,K442&gt;7,K442&lt;17),'Udvaskning nøgletal'!$C$61,IF(AND(Q442&gt;0,Q442&lt;30,K442&lt;7),'Udvaskning nøgletal'!$C$62,"")))</f>
        <v/>
      </c>
      <c r="AI442" s="10">
        <f t="shared" si="70"/>
        <v>260</v>
      </c>
      <c r="AJ442" s="10">
        <f>IF($X442=1,LOOKUP(AI442,'Udvaskning nøgletal'!$C$12:$C$62,'Udvaskning nøgletal'!$E$12:$E$62)+Markniveau!$Y442*Markniveau!$S442/100,IF($X442=2,LOOKUP(AI442,'Udvaskning nøgletal'!$C$12:$C$62,'Udvaskning nøgletal'!$F$12:$F$62)+Markniveau!$Y442*Markniveau!$S442/100,IF($X442=3,LOOKUP(AI442,'Udvaskning nøgletal'!$C$12:$C$62,'Udvaskning nøgletal'!Q452:Q502)+Markniveau!$Y442*Markniveau!$S442/100,"")))</f>
        <v>27.331185321443094</v>
      </c>
      <c r="AK442" s="10">
        <f t="shared" si="69"/>
        <v>26.237937908585369</v>
      </c>
      <c r="AL442" s="10">
        <f t="shared" si="71"/>
        <v>1.3665592660721546</v>
      </c>
      <c r="AM442" s="10">
        <f t="shared" si="72"/>
        <v>1.3118968954292685</v>
      </c>
    </row>
    <row r="443" spans="1:39" x14ac:dyDescent="0.25">
      <c r="A443" s="15">
        <v>18249308</v>
      </c>
      <c r="B443" s="15">
        <v>15.66</v>
      </c>
      <c r="C443" s="15">
        <v>173705</v>
      </c>
      <c r="D443" s="15">
        <v>146640</v>
      </c>
      <c r="E443" s="15" t="s">
        <v>386</v>
      </c>
      <c r="F443" s="15">
        <v>2011</v>
      </c>
      <c r="G443" s="15">
        <v>20110418</v>
      </c>
      <c r="H443" s="15">
        <v>23577</v>
      </c>
      <c r="I443" s="15">
        <v>2.36</v>
      </c>
      <c r="J443" s="6" t="s">
        <v>69</v>
      </c>
      <c r="K443" s="15">
        <v>276</v>
      </c>
      <c r="L443" s="15" t="s">
        <v>146</v>
      </c>
      <c r="M443" s="15" t="s">
        <v>4</v>
      </c>
      <c r="N443" s="11" t="s">
        <v>1391</v>
      </c>
      <c r="O443" s="11" t="s">
        <v>46</v>
      </c>
      <c r="P443" s="11" t="s">
        <v>29</v>
      </c>
      <c r="Q443" s="15">
        <v>50</v>
      </c>
      <c r="R443" s="11" t="s">
        <v>9</v>
      </c>
      <c r="S443" s="10">
        <v>0</v>
      </c>
      <c r="T443" s="15">
        <v>80</v>
      </c>
      <c r="U443" s="15">
        <v>0</v>
      </c>
      <c r="V443" s="15">
        <v>0</v>
      </c>
      <c r="W443" s="15">
        <v>0</v>
      </c>
      <c r="X443" s="15">
        <f>IF(O443='Udvaskning nøgletal'!$D$65,1,IF(O443='Udvaskning nøgletal'!$D$66,2,IF(O443='Udvaskning nøgletal'!$D$67,3,IF(O443='Udvaskning nøgletal'!$D$68,2,""))))</f>
        <v>2</v>
      </c>
      <c r="Y443" s="15">
        <f>LOOKUP(K443,'Udvaskning nøgletal'!$C$12:$C$60,'Udvaskning nøgletal'!$H$12:$H$60)</f>
        <v>0</v>
      </c>
      <c r="Z443" s="10">
        <f>IF(X443=1,LOOKUP(K443,'Udvaskning nøgletal'!$C$12:$C$60,'Udvaskning nøgletal'!$E$12:$E$60)+Markniveau!Y443*Markniveau!S443/100,IF(X443=2,LOOKUP(K443,'Udvaskning nøgletal'!$C$12:$C$60,'Udvaskning nøgletal'!$F$12:$F$60)+Markniveau!Y443*Markniveau!S443/100,IF(X443=3,LOOKUP(K443,'Udvaskning nøgletal'!$C$12:$C$60,'Udvaskning nøgletal'!G453:G501)+Markniveau!Y443*Markniveau!S443/100,"")))</f>
        <v>10.6</v>
      </c>
      <c r="AA443" s="10">
        <f t="shared" si="66"/>
        <v>25.015999999999998</v>
      </c>
      <c r="AB443" s="10">
        <f t="shared" si="65"/>
        <v>5.3</v>
      </c>
      <c r="AC443" s="10">
        <f t="shared" si="67"/>
        <v>12.507999999999999</v>
      </c>
      <c r="AD443" s="10">
        <f>IF(AND(Q443&gt;0,Q443&lt;30,K443&lt;8),Markniveau!Z443*'Udvaskning nøgletal'!$I$12/100,IF(AND(Q443&gt;0,Q443&lt;30,K443=216),Markniveau!Z443*'Udvaskning nøgletal'!$I$34/100,Markniveau!Z443))</f>
        <v>10.6</v>
      </c>
      <c r="AE443" s="10">
        <f t="shared" si="73"/>
        <v>25.015999999999998</v>
      </c>
      <c r="AF443" s="10">
        <f t="shared" si="68"/>
        <v>5.3</v>
      </c>
      <c r="AG443" s="10">
        <f t="shared" si="74"/>
        <v>12.507999999999999</v>
      </c>
      <c r="AH443" s="10" t="str">
        <f>IF(AND(Q443&gt;0,Q443&lt;30,K443=216),'Udvaskning nøgletal'!$C$42,IF(AND(Q443&gt;0,Q443&lt;30,K443&gt;7,K443&lt;17),'Udvaskning nøgletal'!$C$61,IF(AND(Q443&gt;0,Q443&lt;30,K443&lt;7),'Udvaskning nøgletal'!$C$62,"")))</f>
        <v/>
      </c>
      <c r="AI443" s="10">
        <f t="shared" si="70"/>
        <v>276</v>
      </c>
      <c r="AJ443" s="10">
        <f>IF($X443=1,LOOKUP(AI443,'Udvaskning nøgletal'!$C$12:$C$62,'Udvaskning nøgletal'!$E$12:$E$62)+Markniveau!$Y443*Markniveau!$S443/100,IF($X443=2,LOOKUP(AI443,'Udvaskning nøgletal'!$C$12:$C$62,'Udvaskning nøgletal'!$F$12:$F$62)+Markniveau!$Y443*Markniveau!$S443/100,IF($X443=3,LOOKUP(AI443,'Udvaskning nøgletal'!$C$12:$C$62,'Udvaskning nøgletal'!Q453:Q503)+Markniveau!$Y443*Markniveau!$S443/100,"")))</f>
        <v>10.6</v>
      </c>
      <c r="AK443" s="10">
        <f t="shared" si="69"/>
        <v>25.015999999999998</v>
      </c>
      <c r="AL443" s="10">
        <f t="shared" si="71"/>
        <v>5.3</v>
      </c>
      <c r="AM443" s="10">
        <f t="shared" si="72"/>
        <v>12.507999999999999</v>
      </c>
    </row>
    <row r="444" spans="1:39" x14ac:dyDescent="0.25">
      <c r="A444" s="15">
        <v>18249308</v>
      </c>
      <c r="B444" s="15">
        <v>15.66</v>
      </c>
      <c r="C444" s="15">
        <v>180453</v>
      </c>
      <c r="D444" s="15">
        <v>146640</v>
      </c>
      <c r="E444" s="15" t="s">
        <v>382</v>
      </c>
      <c r="F444" s="15">
        <v>2011</v>
      </c>
      <c r="G444" s="15">
        <v>20110418</v>
      </c>
      <c r="H444" s="15">
        <v>19375</v>
      </c>
      <c r="I444" s="15">
        <v>1.94</v>
      </c>
      <c r="J444" s="6" t="s">
        <v>37</v>
      </c>
      <c r="K444" s="15">
        <v>1</v>
      </c>
      <c r="L444" s="15" t="s">
        <v>32</v>
      </c>
      <c r="M444" s="15" t="s">
        <v>5</v>
      </c>
      <c r="N444" s="11" t="s">
        <v>1391</v>
      </c>
      <c r="O444" s="11" t="s">
        <v>46</v>
      </c>
      <c r="P444" s="11" t="s">
        <v>29</v>
      </c>
      <c r="Q444" s="15">
        <v>95</v>
      </c>
      <c r="R444" s="11" t="s">
        <v>3</v>
      </c>
      <c r="S444" s="10">
        <v>0</v>
      </c>
      <c r="T444" s="15">
        <v>80</v>
      </c>
      <c r="U444" s="15">
        <v>0</v>
      </c>
      <c r="V444" s="15">
        <v>0</v>
      </c>
      <c r="W444" s="15">
        <v>0</v>
      </c>
      <c r="X444" s="15">
        <f>IF(O444='Udvaskning nøgletal'!$D$65,1,IF(O444='Udvaskning nøgletal'!$D$66,2,IF(O444='Udvaskning nøgletal'!$D$67,3,IF(O444='Udvaskning nøgletal'!$D$68,2,""))))</f>
        <v>2</v>
      </c>
      <c r="Y444" s="15">
        <f>LOOKUP(K444,'Udvaskning nøgletal'!$C$12:$C$60,'Udvaskning nøgletal'!$H$12:$H$60)</f>
        <v>5</v>
      </c>
      <c r="Z444" s="10">
        <f>IF(X444=1,LOOKUP(K444,'Udvaskning nøgletal'!$C$12:$C$60,'Udvaskning nøgletal'!$E$12:$E$60)+Markniveau!Y444*Markniveau!S444/100,IF(X444=2,LOOKUP(K444,'Udvaskning nøgletal'!$C$12:$C$60,'Udvaskning nøgletal'!$F$12:$F$60)+Markniveau!Y444*Markniveau!S444/100,IF(X444=3,LOOKUP(K444,'Udvaskning nøgletal'!$C$12:$C$60,'Udvaskning nøgletal'!G454:G502)+Markniveau!Y444*Markniveau!S444/100,"")))</f>
        <v>50.88</v>
      </c>
      <c r="AA444" s="10">
        <f t="shared" si="66"/>
        <v>98.7072</v>
      </c>
      <c r="AB444" s="10">
        <f t="shared" si="65"/>
        <v>2.544</v>
      </c>
      <c r="AC444" s="10">
        <f t="shared" si="67"/>
        <v>4.9353600000000002</v>
      </c>
      <c r="AD444" s="10">
        <f>IF(AND(Q444&gt;0,Q444&lt;30,K444&lt;8),Markniveau!Z444*'Udvaskning nøgletal'!$I$12/100,IF(AND(Q444&gt;0,Q444&lt;30,K444=216),Markniveau!Z444*'Udvaskning nøgletal'!$I$34/100,Markniveau!Z444))</f>
        <v>50.88</v>
      </c>
      <c r="AE444" s="10">
        <f t="shared" si="73"/>
        <v>98.7072</v>
      </c>
      <c r="AF444" s="10">
        <f t="shared" si="68"/>
        <v>2.544</v>
      </c>
      <c r="AG444" s="10">
        <f t="shared" si="74"/>
        <v>4.9353600000000002</v>
      </c>
      <c r="AH444" s="10" t="str">
        <f>IF(AND(Q444&gt;0,Q444&lt;30,K444=216),'Udvaskning nøgletal'!$C$42,IF(AND(Q444&gt;0,Q444&lt;30,K444&gt;7,K444&lt;17),'Udvaskning nøgletal'!$C$61,IF(AND(Q444&gt;0,Q444&lt;30,K444&lt;7),'Udvaskning nøgletal'!$C$62,"")))</f>
        <v/>
      </c>
      <c r="AI444" s="10">
        <f t="shared" si="70"/>
        <v>1</v>
      </c>
      <c r="AJ444" s="10">
        <f>IF($X444=1,LOOKUP(AI444,'Udvaskning nøgletal'!$C$12:$C$62,'Udvaskning nøgletal'!$E$12:$E$62)+Markniveau!$Y444*Markniveau!$S444/100,IF($X444=2,LOOKUP(AI444,'Udvaskning nøgletal'!$C$12:$C$62,'Udvaskning nøgletal'!$F$12:$F$62)+Markniveau!$Y444*Markniveau!$S444/100,IF($X444=3,LOOKUP(AI444,'Udvaskning nøgletal'!$C$12:$C$62,'Udvaskning nøgletal'!Q454:Q504)+Markniveau!$Y444*Markniveau!$S444/100,"")))</f>
        <v>50.88</v>
      </c>
      <c r="AK444" s="10">
        <f t="shared" si="69"/>
        <v>98.7072</v>
      </c>
      <c r="AL444" s="10">
        <f t="shared" si="71"/>
        <v>2.544</v>
      </c>
      <c r="AM444" s="10">
        <f t="shared" si="72"/>
        <v>4.9353600000000002</v>
      </c>
    </row>
    <row r="445" spans="1:39" x14ac:dyDescent="0.25">
      <c r="A445" s="15">
        <v>18249340</v>
      </c>
      <c r="B445" s="15">
        <v>10.55</v>
      </c>
      <c r="C445" s="15">
        <v>198908</v>
      </c>
      <c r="D445" s="15">
        <v>82928</v>
      </c>
      <c r="E445" s="15" t="s">
        <v>387</v>
      </c>
      <c r="F445" s="15">
        <v>2011</v>
      </c>
      <c r="G445" s="15">
        <v>20110417</v>
      </c>
      <c r="H445" s="15">
        <v>12916</v>
      </c>
      <c r="I445" s="15">
        <v>1.29</v>
      </c>
      <c r="J445" s="6" t="s">
        <v>38</v>
      </c>
      <c r="K445" s="15">
        <v>583</v>
      </c>
      <c r="L445" s="15" t="s">
        <v>154</v>
      </c>
      <c r="M445" s="15" t="s">
        <v>155</v>
      </c>
      <c r="N445" s="11" t="s">
        <v>1406</v>
      </c>
      <c r="O445" s="11" t="s">
        <v>46</v>
      </c>
      <c r="P445" s="11" t="s">
        <v>29</v>
      </c>
      <c r="Q445" s="15">
        <v>25</v>
      </c>
      <c r="R445" s="11" t="s">
        <v>7</v>
      </c>
      <c r="S445" s="10">
        <v>0</v>
      </c>
      <c r="T445" s="15">
        <v>80</v>
      </c>
      <c r="U445" s="15">
        <v>0</v>
      </c>
      <c r="V445" s="15">
        <v>0</v>
      </c>
      <c r="W445" s="15">
        <v>0</v>
      </c>
      <c r="X445" s="15">
        <f>IF(O445='Udvaskning nøgletal'!$D$65,1,IF(O445='Udvaskning nøgletal'!$D$66,2,IF(O445='Udvaskning nøgletal'!$D$67,3,IF(O445='Udvaskning nøgletal'!$D$68,2,""))))</f>
        <v>2</v>
      </c>
      <c r="Y445" s="15">
        <f>LOOKUP(K445,'Udvaskning nøgletal'!$C$12:$C$60,'Udvaskning nøgletal'!$H$12:$H$60)</f>
        <v>0</v>
      </c>
      <c r="Z445" s="10">
        <f>IF(X445=1,LOOKUP(K445,'Udvaskning nøgletal'!$C$12:$C$60,'Udvaskning nøgletal'!$E$12:$E$60)+Markniveau!Y445*Markniveau!S445/100,IF(X445=2,LOOKUP(K445,'Udvaskning nøgletal'!$C$12:$C$60,'Udvaskning nøgletal'!$F$12:$F$60)+Markniveau!Y445*Markniveau!S445/100,IF(X445=3,LOOKUP(K445,'Udvaskning nøgletal'!$C$12:$C$60,'Udvaskning nøgletal'!G455:G503)+Markniveau!Y445*Markniveau!S445/100,"")))</f>
        <v>10</v>
      </c>
      <c r="AA445" s="10">
        <f t="shared" si="66"/>
        <v>12.9</v>
      </c>
      <c r="AB445" s="10">
        <f t="shared" si="65"/>
        <v>7.5</v>
      </c>
      <c r="AC445" s="10">
        <f t="shared" si="67"/>
        <v>9.6750000000000007</v>
      </c>
      <c r="AD445" s="10">
        <f>IF(AND(Q445&gt;0,Q445&lt;30,K445&lt;8),Markniveau!Z445*'Udvaskning nøgletal'!$I$12/100,IF(AND(Q445&gt;0,Q445&lt;30,K445=216),Markniveau!Z445*'Udvaskning nøgletal'!$I$34/100,Markniveau!Z445))</f>
        <v>10</v>
      </c>
      <c r="AE445" s="10">
        <f t="shared" si="73"/>
        <v>12.9</v>
      </c>
      <c r="AF445" s="10">
        <f t="shared" si="68"/>
        <v>7.5</v>
      </c>
      <c r="AG445" s="10">
        <f t="shared" si="74"/>
        <v>9.6750000000000007</v>
      </c>
      <c r="AH445" s="10" t="str">
        <f>IF(AND(Q445&gt;0,Q445&lt;30,K445=216),'Udvaskning nøgletal'!$C$42,IF(AND(Q445&gt;0,Q445&lt;30,K445&gt;7,K445&lt;17),'Udvaskning nøgletal'!$C$61,IF(AND(Q445&gt;0,Q445&lt;30,K445&lt;7),'Udvaskning nøgletal'!$C$62,"")))</f>
        <v/>
      </c>
      <c r="AI445" s="10">
        <f t="shared" si="70"/>
        <v>583</v>
      </c>
      <c r="AJ445" s="10">
        <f>IF($X445=1,LOOKUP(AI445,'Udvaskning nøgletal'!$C$12:$C$62,'Udvaskning nøgletal'!$E$12:$E$62)+Markniveau!$Y445*Markniveau!$S445/100,IF($X445=2,LOOKUP(AI445,'Udvaskning nøgletal'!$C$12:$C$62,'Udvaskning nøgletal'!$F$12:$F$62)+Markniveau!$Y445*Markniveau!$S445/100,IF($X445=3,LOOKUP(AI445,'Udvaskning nøgletal'!$C$12:$C$62,'Udvaskning nøgletal'!Q455:Q505)+Markniveau!$Y445*Markniveau!$S445/100,"")))</f>
        <v>10</v>
      </c>
      <c r="AK445" s="10">
        <f t="shared" si="69"/>
        <v>12.9</v>
      </c>
      <c r="AL445" s="10">
        <f t="shared" si="71"/>
        <v>7.5</v>
      </c>
      <c r="AM445" s="10">
        <f t="shared" si="72"/>
        <v>9.6750000000000007</v>
      </c>
    </row>
    <row r="446" spans="1:39" x14ac:dyDescent="0.25">
      <c r="A446" s="15">
        <v>18249340</v>
      </c>
      <c r="B446" s="15">
        <v>10.55</v>
      </c>
      <c r="C446" s="15">
        <v>213909</v>
      </c>
      <c r="D446" s="15">
        <v>82928</v>
      </c>
      <c r="E446" s="15" t="s">
        <v>388</v>
      </c>
      <c r="F446" s="15">
        <v>2011</v>
      </c>
      <c r="G446" s="15">
        <v>20110417</v>
      </c>
      <c r="H446" s="15">
        <v>28645</v>
      </c>
      <c r="I446" s="15">
        <v>2.86</v>
      </c>
      <c r="J446" s="6" t="s">
        <v>37</v>
      </c>
      <c r="K446" s="15">
        <v>311</v>
      </c>
      <c r="L446" s="15" t="s">
        <v>389</v>
      </c>
      <c r="M446" s="15" t="s">
        <v>13</v>
      </c>
      <c r="N446" s="11" t="s">
        <v>1406</v>
      </c>
      <c r="O446" s="11" t="s">
        <v>46</v>
      </c>
      <c r="P446" s="11" t="s">
        <v>29</v>
      </c>
      <c r="Q446" s="15">
        <v>25</v>
      </c>
      <c r="R446" s="11" t="s">
        <v>7</v>
      </c>
      <c r="S446" s="10">
        <v>0</v>
      </c>
      <c r="T446" s="15">
        <v>80</v>
      </c>
      <c r="U446" s="15">
        <v>0</v>
      </c>
      <c r="V446" s="15">
        <v>0</v>
      </c>
      <c r="W446" s="15">
        <v>0</v>
      </c>
      <c r="X446" s="15">
        <f>IF(O446='Udvaskning nøgletal'!$D$65,1,IF(O446='Udvaskning nøgletal'!$D$66,2,IF(O446='Udvaskning nøgletal'!$D$67,3,IF(O446='Udvaskning nøgletal'!$D$68,2,""))))</f>
        <v>2</v>
      </c>
      <c r="Y446" s="15">
        <f>LOOKUP(K446,'Udvaskning nøgletal'!$C$12:$C$60,'Udvaskning nøgletal'!$H$12:$H$60)</f>
        <v>0</v>
      </c>
      <c r="Z446" s="10">
        <f>IF(X446=1,LOOKUP(K446,'Udvaskning nøgletal'!$C$12:$C$60,'Udvaskning nøgletal'!$E$12:$E$60)+Markniveau!Y446*Markniveau!S446/100,IF(X446=2,LOOKUP(K446,'Udvaskning nøgletal'!$C$12:$C$60,'Udvaskning nøgletal'!$F$12:$F$60)+Markniveau!Y446*Markniveau!S446/100,IF(X446=3,LOOKUP(K446,'Udvaskning nøgletal'!$C$12:$C$60,'Udvaskning nøgletal'!G456:G504)+Markniveau!Y446*Markniveau!S446/100,"")))</f>
        <v>10</v>
      </c>
      <c r="AA446" s="10">
        <f t="shared" si="66"/>
        <v>28.599999999999998</v>
      </c>
      <c r="AB446" s="10">
        <f t="shared" si="65"/>
        <v>7.5</v>
      </c>
      <c r="AC446" s="10">
        <f t="shared" si="67"/>
        <v>21.45</v>
      </c>
      <c r="AD446" s="10">
        <f>IF(AND(Q446&gt;0,Q446&lt;30,K446&lt;8),Markniveau!Z446*'Udvaskning nøgletal'!$I$12/100,IF(AND(Q446&gt;0,Q446&lt;30,K446=216),Markniveau!Z446*'Udvaskning nøgletal'!$I$34/100,Markniveau!Z446))</f>
        <v>10</v>
      </c>
      <c r="AE446" s="10">
        <f t="shared" si="73"/>
        <v>28.599999999999998</v>
      </c>
      <c r="AF446" s="10">
        <f t="shared" si="68"/>
        <v>7.5</v>
      </c>
      <c r="AG446" s="10">
        <f t="shared" si="74"/>
        <v>21.45</v>
      </c>
      <c r="AH446" s="10" t="str">
        <f>IF(AND(Q446&gt;0,Q446&lt;30,K446=216),'Udvaskning nøgletal'!$C$42,IF(AND(Q446&gt;0,Q446&lt;30,K446&gt;7,K446&lt;17),'Udvaskning nøgletal'!$C$61,IF(AND(Q446&gt;0,Q446&lt;30,K446&lt;7),'Udvaskning nøgletal'!$C$62,"")))</f>
        <v/>
      </c>
      <c r="AI446" s="10">
        <f t="shared" si="70"/>
        <v>311</v>
      </c>
      <c r="AJ446" s="10">
        <f>IF($X446=1,LOOKUP(AI446,'Udvaskning nøgletal'!$C$12:$C$62,'Udvaskning nøgletal'!$E$12:$E$62)+Markniveau!$Y446*Markniveau!$S446/100,IF($X446=2,LOOKUP(AI446,'Udvaskning nøgletal'!$C$12:$C$62,'Udvaskning nøgletal'!$F$12:$F$62)+Markniveau!$Y446*Markniveau!$S446/100,IF($X446=3,LOOKUP(AI446,'Udvaskning nøgletal'!$C$12:$C$62,'Udvaskning nøgletal'!Q456:Q506)+Markniveau!$Y446*Markniveau!$S446/100,"")))</f>
        <v>10</v>
      </c>
      <c r="AK446" s="10">
        <f t="shared" si="69"/>
        <v>28.599999999999998</v>
      </c>
      <c r="AL446" s="10">
        <f t="shared" si="71"/>
        <v>7.5</v>
      </c>
      <c r="AM446" s="10">
        <f t="shared" si="72"/>
        <v>21.45</v>
      </c>
    </row>
    <row r="447" spans="1:39" x14ac:dyDescent="0.25">
      <c r="A447" s="15">
        <v>18249340</v>
      </c>
      <c r="B447" s="15">
        <v>10.55</v>
      </c>
      <c r="C447" s="15">
        <v>504808</v>
      </c>
      <c r="D447" s="15">
        <v>82928</v>
      </c>
      <c r="E447" s="15" t="s">
        <v>390</v>
      </c>
      <c r="F447" s="15">
        <v>2011</v>
      </c>
      <c r="G447" s="15">
        <v>20110417</v>
      </c>
      <c r="H447" s="15">
        <v>59672</v>
      </c>
      <c r="I447" s="15">
        <v>5.97</v>
      </c>
      <c r="J447" s="6" t="s">
        <v>97</v>
      </c>
      <c r="K447" s="15">
        <v>311</v>
      </c>
      <c r="L447" s="15" t="s">
        <v>389</v>
      </c>
      <c r="M447" s="15" t="s">
        <v>13</v>
      </c>
      <c r="N447" s="11" t="s">
        <v>1406</v>
      </c>
      <c r="O447" s="11" t="s">
        <v>46</v>
      </c>
      <c r="P447" s="11" t="s">
        <v>29</v>
      </c>
      <c r="Q447" s="15">
        <v>25</v>
      </c>
      <c r="R447" s="11" t="s">
        <v>7</v>
      </c>
      <c r="S447" s="10">
        <v>0</v>
      </c>
      <c r="T447" s="15">
        <v>80</v>
      </c>
      <c r="U447" s="15">
        <v>0</v>
      </c>
      <c r="V447" s="15">
        <v>0</v>
      </c>
      <c r="W447" s="15">
        <v>0</v>
      </c>
      <c r="X447" s="15">
        <f>IF(O447='Udvaskning nøgletal'!$D$65,1,IF(O447='Udvaskning nøgletal'!$D$66,2,IF(O447='Udvaskning nøgletal'!$D$67,3,IF(O447='Udvaskning nøgletal'!$D$68,2,""))))</f>
        <v>2</v>
      </c>
      <c r="Y447" s="15">
        <f>LOOKUP(K447,'Udvaskning nøgletal'!$C$12:$C$60,'Udvaskning nøgletal'!$H$12:$H$60)</f>
        <v>0</v>
      </c>
      <c r="Z447" s="10">
        <f>IF(X447=1,LOOKUP(K447,'Udvaskning nøgletal'!$C$12:$C$60,'Udvaskning nøgletal'!$E$12:$E$60)+Markniveau!Y447*Markniveau!S447/100,IF(X447=2,LOOKUP(K447,'Udvaskning nøgletal'!$C$12:$C$60,'Udvaskning nøgletal'!$F$12:$F$60)+Markniveau!Y447*Markniveau!S447/100,IF(X447=3,LOOKUP(K447,'Udvaskning nøgletal'!$C$12:$C$60,'Udvaskning nøgletal'!G457:G505)+Markniveau!Y447*Markniveau!S447/100,"")))</f>
        <v>10</v>
      </c>
      <c r="AA447" s="10">
        <f t="shared" si="66"/>
        <v>59.699999999999996</v>
      </c>
      <c r="AB447" s="10">
        <f t="shared" si="65"/>
        <v>7.5</v>
      </c>
      <c r="AC447" s="10">
        <f t="shared" si="67"/>
        <v>44.774999999999999</v>
      </c>
      <c r="AD447" s="10">
        <f>IF(AND(Q447&gt;0,Q447&lt;30,K447&lt;8),Markniveau!Z447*'Udvaskning nøgletal'!$I$12/100,IF(AND(Q447&gt;0,Q447&lt;30,K447=216),Markniveau!Z447*'Udvaskning nøgletal'!$I$34/100,Markniveau!Z447))</f>
        <v>10</v>
      </c>
      <c r="AE447" s="10">
        <f t="shared" si="73"/>
        <v>59.699999999999996</v>
      </c>
      <c r="AF447" s="10">
        <f t="shared" si="68"/>
        <v>7.5</v>
      </c>
      <c r="AG447" s="10">
        <f t="shared" si="74"/>
        <v>44.774999999999999</v>
      </c>
      <c r="AH447" s="10" t="str">
        <f>IF(AND(Q447&gt;0,Q447&lt;30,K447=216),'Udvaskning nøgletal'!$C$42,IF(AND(Q447&gt;0,Q447&lt;30,K447&gt;7,K447&lt;17),'Udvaskning nøgletal'!$C$61,IF(AND(Q447&gt;0,Q447&lt;30,K447&lt;7),'Udvaskning nøgletal'!$C$62,"")))</f>
        <v/>
      </c>
      <c r="AI447" s="10">
        <f t="shared" si="70"/>
        <v>311</v>
      </c>
      <c r="AJ447" s="10">
        <f>IF($X447=1,LOOKUP(AI447,'Udvaskning nøgletal'!$C$12:$C$62,'Udvaskning nøgletal'!$E$12:$E$62)+Markniveau!$Y447*Markniveau!$S447/100,IF($X447=2,LOOKUP(AI447,'Udvaskning nøgletal'!$C$12:$C$62,'Udvaskning nøgletal'!$F$12:$F$62)+Markniveau!$Y447*Markniveau!$S447/100,IF($X447=3,LOOKUP(AI447,'Udvaskning nøgletal'!$C$12:$C$62,'Udvaskning nøgletal'!Q457:Q507)+Markniveau!$Y447*Markniveau!$S447/100,"")))</f>
        <v>10</v>
      </c>
      <c r="AK447" s="10">
        <f t="shared" si="69"/>
        <v>59.699999999999996</v>
      </c>
      <c r="AL447" s="10">
        <f t="shared" si="71"/>
        <v>7.5</v>
      </c>
      <c r="AM447" s="10">
        <f t="shared" si="72"/>
        <v>44.774999999999999</v>
      </c>
    </row>
    <row r="448" spans="1:39" x14ac:dyDescent="0.25">
      <c r="A448" s="15">
        <v>18249340</v>
      </c>
      <c r="B448" s="15">
        <v>10.55</v>
      </c>
      <c r="C448" s="15">
        <v>138140</v>
      </c>
      <c r="D448" s="15">
        <v>82928</v>
      </c>
      <c r="E448" s="15" t="s">
        <v>390</v>
      </c>
      <c r="F448" s="15">
        <v>2011</v>
      </c>
      <c r="G448" s="15">
        <v>20110417</v>
      </c>
      <c r="H448" s="15">
        <v>2674</v>
      </c>
      <c r="I448" s="15">
        <v>0.27</v>
      </c>
      <c r="J448" s="6" t="s">
        <v>35</v>
      </c>
      <c r="K448" s="15">
        <v>276</v>
      </c>
      <c r="L448" s="15" t="s">
        <v>146</v>
      </c>
      <c r="M448" s="15" t="s">
        <v>4</v>
      </c>
      <c r="N448" s="11" t="s">
        <v>1406</v>
      </c>
      <c r="O448" s="11" t="s">
        <v>46</v>
      </c>
      <c r="P448" s="11" t="s">
        <v>29</v>
      </c>
      <c r="Q448" s="15">
        <v>1</v>
      </c>
      <c r="R448" s="11" t="s">
        <v>11</v>
      </c>
      <c r="S448" s="10">
        <v>0</v>
      </c>
      <c r="T448" s="15">
        <v>80</v>
      </c>
      <c r="U448" s="15">
        <v>0</v>
      </c>
      <c r="V448" s="15">
        <v>0</v>
      </c>
      <c r="W448" s="15">
        <v>0</v>
      </c>
      <c r="X448" s="15">
        <f>IF(O448='Udvaskning nøgletal'!$D$65,1,IF(O448='Udvaskning nøgletal'!$D$66,2,IF(O448='Udvaskning nøgletal'!$D$67,3,IF(O448='Udvaskning nøgletal'!$D$68,2,""))))</f>
        <v>2</v>
      </c>
      <c r="Y448" s="15">
        <f>LOOKUP(K448,'Udvaskning nøgletal'!$C$12:$C$60,'Udvaskning nøgletal'!$H$12:$H$60)</f>
        <v>0</v>
      </c>
      <c r="Z448" s="10">
        <f>IF(X448=1,LOOKUP(K448,'Udvaskning nøgletal'!$C$12:$C$60,'Udvaskning nøgletal'!$E$12:$E$60)+Markniveau!Y448*Markniveau!S448/100,IF(X448=2,LOOKUP(K448,'Udvaskning nøgletal'!$C$12:$C$60,'Udvaskning nøgletal'!$F$12:$F$60)+Markniveau!Y448*Markniveau!S448/100,IF(X448=3,LOOKUP(K448,'Udvaskning nøgletal'!$C$12:$C$60,'Udvaskning nøgletal'!G458:G506)+Markniveau!Y448*Markniveau!S448/100,"")))</f>
        <v>10.6</v>
      </c>
      <c r="AA448" s="10">
        <f t="shared" si="66"/>
        <v>2.8620000000000001</v>
      </c>
      <c r="AB448" s="10">
        <f t="shared" si="65"/>
        <v>10.493999999999998</v>
      </c>
      <c r="AC448" s="10">
        <f t="shared" si="67"/>
        <v>2.8333799999999996</v>
      </c>
      <c r="AD448" s="10">
        <f>IF(AND(Q448&gt;0,Q448&lt;30,K448&lt;8),Markniveau!Z448*'Udvaskning nøgletal'!$I$12/100,IF(AND(Q448&gt;0,Q448&lt;30,K448=216),Markniveau!Z448*'Udvaskning nøgletal'!$I$34/100,Markniveau!Z448))</f>
        <v>10.6</v>
      </c>
      <c r="AE448" s="10">
        <f t="shared" si="73"/>
        <v>2.8620000000000001</v>
      </c>
      <c r="AF448" s="10">
        <f t="shared" si="68"/>
        <v>10.493999999999998</v>
      </c>
      <c r="AG448" s="10">
        <f t="shared" si="74"/>
        <v>2.8333799999999996</v>
      </c>
      <c r="AH448" s="10" t="str">
        <f>IF(AND(Q448&gt;0,Q448&lt;30,K448=216),'Udvaskning nøgletal'!$C$42,IF(AND(Q448&gt;0,Q448&lt;30,K448&gt;7,K448&lt;17),'Udvaskning nøgletal'!$C$61,IF(AND(Q448&gt;0,Q448&lt;30,K448&lt;7),'Udvaskning nøgletal'!$C$62,"")))</f>
        <v/>
      </c>
      <c r="AI448" s="10">
        <f t="shared" si="70"/>
        <v>276</v>
      </c>
      <c r="AJ448" s="10">
        <f>IF($X448=1,LOOKUP(AI448,'Udvaskning nøgletal'!$C$12:$C$62,'Udvaskning nøgletal'!$E$12:$E$62)+Markniveau!$Y448*Markniveau!$S448/100,IF($X448=2,LOOKUP(AI448,'Udvaskning nøgletal'!$C$12:$C$62,'Udvaskning nøgletal'!$F$12:$F$62)+Markniveau!$Y448*Markniveau!$S448/100,IF($X448=3,LOOKUP(AI448,'Udvaskning nøgletal'!$C$12:$C$62,'Udvaskning nøgletal'!Q458:Q508)+Markniveau!$Y448*Markniveau!$S448/100,"")))</f>
        <v>10.6</v>
      </c>
      <c r="AK448" s="10">
        <f t="shared" si="69"/>
        <v>2.8620000000000001</v>
      </c>
      <c r="AL448" s="10">
        <f t="shared" si="71"/>
        <v>10.493999999999998</v>
      </c>
      <c r="AM448" s="10">
        <f t="shared" si="72"/>
        <v>2.8333799999999996</v>
      </c>
    </row>
    <row r="449" spans="1:39" x14ac:dyDescent="0.25">
      <c r="A449" s="15">
        <v>18249340</v>
      </c>
      <c r="B449" s="15">
        <v>10.55</v>
      </c>
      <c r="C449" s="15">
        <v>192116</v>
      </c>
      <c r="D449" s="15">
        <v>82928</v>
      </c>
      <c r="E449" s="15" t="s">
        <v>388</v>
      </c>
      <c r="F449" s="15">
        <v>2011</v>
      </c>
      <c r="G449" s="15">
        <v>20110417</v>
      </c>
      <c r="H449" s="15">
        <v>1609</v>
      </c>
      <c r="I449" s="15">
        <v>0.16</v>
      </c>
      <c r="J449" s="6" t="s">
        <v>391</v>
      </c>
      <c r="K449" s="15">
        <v>311</v>
      </c>
      <c r="L449" s="15" t="s">
        <v>389</v>
      </c>
      <c r="M449" s="15" t="s">
        <v>13</v>
      </c>
      <c r="N449" s="11" t="s">
        <v>1406</v>
      </c>
      <c r="O449" s="11" t="s">
        <v>46</v>
      </c>
      <c r="P449" s="11" t="s">
        <v>29</v>
      </c>
      <c r="Q449" s="15">
        <v>25</v>
      </c>
      <c r="R449" s="11" t="s">
        <v>7</v>
      </c>
      <c r="S449" s="10">
        <v>0</v>
      </c>
      <c r="T449" s="15">
        <v>80</v>
      </c>
      <c r="U449" s="15">
        <v>0</v>
      </c>
      <c r="V449" s="15">
        <v>0</v>
      </c>
      <c r="W449" s="15">
        <v>0</v>
      </c>
      <c r="X449" s="15">
        <f>IF(O449='Udvaskning nøgletal'!$D$65,1,IF(O449='Udvaskning nøgletal'!$D$66,2,IF(O449='Udvaskning nøgletal'!$D$67,3,IF(O449='Udvaskning nøgletal'!$D$68,2,""))))</f>
        <v>2</v>
      </c>
      <c r="Y449" s="15">
        <f>LOOKUP(K449,'Udvaskning nøgletal'!$C$12:$C$60,'Udvaskning nøgletal'!$H$12:$H$60)</f>
        <v>0</v>
      </c>
      <c r="Z449" s="10">
        <f>IF(X449=1,LOOKUP(K449,'Udvaskning nøgletal'!$C$12:$C$60,'Udvaskning nøgletal'!$E$12:$E$60)+Markniveau!Y449*Markniveau!S449/100,IF(X449=2,LOOKUP(K449,'Udvaskning nøgletal'!$C$12:$C$60,'Udvaskning nøgletal'!$F$12:$F$60)+Markniveau!Y449*Markniveau!S449/100,IF(X449=3,LOOKUP(K449,'Udvaskning nøgletal'!$C$12:$C$60,'Udvaskning nøgletal'!G459:G507)+Markniveau!Y449*Markniveau!S449/100,"")))</f>
        <v>10</v>
      </c>
      <c r="AA449" s="10">
        <f t="shared" si="66"/>
        <v>1.6</v>
      </c>
      <c r="AB449" s="10">
        <f t="shared" si="65"/>
        <v>7.5</v>
      </c>
      <c r="AC449" s="10">
        <f t="shared" si="67"/>
        <v>1.2</v>
      </c>
      <c r="AD449" s="10">
        <f>IF(AND(Q449&gt;0,Q449&lt;30,K449&lt;8),Markniveau!Z449*'Udvaskning nøgletal'!$I$12/100,IF(AND(Q449&gt;0,Q449&lt;30,K449=216),Markniveau!Z449*'Udvaskning nøgletal'!$I$34/100,Markniveau!Z449))</f>
        <v>10</v>
      </c>
      <c r="AE449" s="10">
        <f t="shared" si="73"/>
        <v>1.6</v>
      </c>
      <c r="AF449" s="10">
        <f t="shared" si="68"/>
        <v>7.5</v>
      </c>
      <c r="AG449" s="10">
        <f t="shared" si="74"/>
        <v>1.2</v>
      </c>
      <c r="AH449" s="10" t="str">
        <f>IF(AND(Q449&gt;0,Q449&lt;30,K449=216),'Udvaskning nøgletal'!$C$42,IF(AND(Q449&gt;0,Q449&lt;30,K449&gt;7,K449&lt;17),'Udvaskning nøgletal'!$C$61,IF(AND(Q449&gt;0,Q449&lt;30,K449&lt;7),'Udvaskning nøgletal'!$C$62,"")))</f>
        <v/>
      </c>
      <c r="AI449" s="10">
        <f t="shared" si="70"/>
        <v>311</v>
      </c>
      <c r="AJ449" s="10">
        <f>IF($X449=1,LOOKUP(AI449,'Udvaskning nøgletal'!$C$12:$C$62,'Udvaskning nøgletal'!$E$12:$E$62)+Markniveau!$Y449*Markniveau!$S449/100,IF($X449=2,LOOKUP(AI449,'Udvaskning nøgletal'!$C$12:$C$62,'Udvaskning nøgletal'!$F$12:$F$62)+Markniveau!$Y449*Markniveau!$S449/100,IF($X449=3,LOOKUP(AI449,'Udvaskning nøgletal'!$C$12:$C$62,'Udvaskning nøgletal'!Q459:Q509)+Markniveau!$Y449*Markniveau!$S449/100,"")))</f>
        <v>10</v>
      </c>
      <c r="AK449" s="10">
        <f t="shared" si="69"/>
        <v>1.6</v>
      </c>
      <c r="AL449" s="10">
        <f t="shared" si="71"/>
        <v>7.5</v>
      </c>
      <c r="AM449" s="10">
        <f t="shared" si="72"/>
        <v>1.2</v>
      </c>
    </row>
    <row r="450" spans="1:39" x14ac:dyDescent="0.25">
      <c r="A450" s="15">
        <v>18265788</v>
      </c>
      <c r="B450" s="15">
        <v>5.05</v>
      </c>
      <c r="C450" s="15">
        <v>393864</v>
      </c>
      <c r="D450" s="15">
        <v>83431</v>
      </c>
      <c r="E450" s="15" t="s">
        <v>392</v>
      </c>
      <c r="F450" s="15">
        <v>2011</v>
      </c>
      <c r="G450" s="15">
        <v>20110223</v>
      </c>
      <c r="H450" s="15">
        <v>47942</v>
      </c>
      <c r="I450" s="15">
        <v>4.79</v>
      </c>
      <c r="J450" s="6" t="s">
        <v>123</v>
      </c>
      <c r="K450" s="15">
        <v>260</v>
      </c>
      <c r="L450" s="15" t="s">
        <v>45</v>
      </c>
      <c r="M450" s="15" t="s">
        <v>5</v>
      </c>
      <c r="N450" s="11" t="s">
        <v>1384</v>
      </c>
      <c r="O450" s="11" t="s">
        <v>28</v>
      </c>
      <c r="P450" s="11" t="s">
        <v>33</v>
      </c>
      <c r="Q450" s="15">
        <v>0</v>
      </c>
      <c r="R450" s="11" t="s">
        <v>1386</v>
      </c>
      <c r="S450" s="10">
        <v>138.92273329733001</v>
      </c>
      <c r="T450" s="15">
        <v>80</v>
      </c>
      <c r="U450" s="15">
        <v>0</v>
      </c>
      <c r="V450" s="15">
        <v>1</v>
      </c>
      <c r="W450" s="15">
        <v>1</v>
      </c>
      <c r="X450" s="15">
        <f>IF(O450='Udvaskning nøgletal'!$D$65,1,IF(O450='Udvaskning nøgletal'!$D$66,2,IF(O450='Udvaskning nøgletal'!$D$67,3,IF(O450='Udvaskning nøgletal'!$D$68,2,""))))</f>
        <v>1</v>
      </c>
      <c r="Y450" s="15">
        <f>LOOKUP(K450,'Udvaskning nøgletal'!$C$12:$C$60,'Udvaskning nøgletal'!$H$12:$H$60)</f>
        <v>0</v>
      </c>
      <c r="Z450" s="10">
        <f>IF(X450=1,LOOKUP(K450,'Udvaskning nøgletal'!$C$12:$C$60,'Udvaskning nøgletal'!$E$12:$E$60)+Markniveau!Y450*Markniveau!S450/100,IF(X450=2,LOOKUP(K450,'Udvaskning nøgletal'!$C$12:$C$60,'Udvaskning nøgletal'!$F$12:$F$60)+Markniveau!Y450*Markniveau!S450/100,IF(X450=3,LOOKUP(K450,'Udvaskning nøgletal'!$C$12:$C$60,'Udvaskning nøgletal'!G460:G508)+Markniveau!Y450*Markniveau!S450/100,"")))</f>
        <v>33.723295792149436</v>
      </c>
      <c r="AA450" s="10">
        <f t="shared" si="66"/>
        <v>161.53458684439579</v>
      </c>
      <c r="AB450" s="10" t="str">
        <f t="shared" ref="AB450:AB513" si="75">IF(Q450&gt;0,(100-Q450)*Z450/100,"")</f>
        <v/>
      </c>
      <c r="AC450" s="10" t="str">
        <f t="shared" si="67"/>
        <v/>
      </c>
      <c r="AD450" s="10">
        <f>IF(AND(Q450&gt;0,Q450&lt;30,K450&lt;8),Markniveau!Z450*'Udvaskning nøgletal'!$I$12/100,IF(AND(Q450&gt;0,Q450&lt;30,K450=216),Markniveau!Z450*'Udvaskning nøgletal'!$I$34/100,Markniveau!Z450))</f>
        <v>33.723295792149436</v>
      </c>
      <c r="AE450" s="10">
        <f t="shared" si="73"/>
        <v>161.53458684439579</v>
      </c>
      <c r="AF450" s="10" t="str">
        <f t="shared" si="68"/>
        <v/>
      </c>
      <c r="AG450" s="10" t="str">
        <f t="shared" si="74"/>
        <v/>
      </c>
      <c r="AH450" s="10" t="str">
        <f>IF(AND(Q450&gt;0,Q450&lt;30,K450=216),'Udvaskning nøgletal'!$C$42,IF(AND(Q450&gt;0,Q450&lt;30,K450&gt;7,K450&lt;17),'Udvaskning nøgletal'!$C$61,IF(AND(Q450&gt;0,Q450&lt;30,K450&lt;7),'Udvaskning nøgletal'!$C$62,"")))</f>
        <v/>
      </c>
      <c r="AI450" s="10">
        <f t="shared" si="70"/>
        <v>260</v>
      </c>
      <c r="AJ450" s="10">
        <f>IF($X450=1,LOOKUP(AI450,'Udvaskning nøgletal'!$C$12:$C$62,'Udvaskning nøgletal'!$E$12:$E$62)+Markniveau!$Y450*Markniveau!$S450/100,IF($X450=2,LOOKUP(AI450,'Udvaskning nøgletal'!$C$12:$C$62,'Udvaskning nøgletal'!$F$12:$F$62)+Markniveau!$Y450*Markniveau!$S450/100,IF($X450=3,LOOKUP(AI450,'Udvaskning nøgletal'!$C$12:$C$62,'Udvaskning nøgletal'!Q460:Q510)+Markniveau!$Y450*Markniveau!$S450/100,"")))</f>
        <v>33.723295792149436</v>
      </c>
      <c r="AK450" s="10">
        <f t="shared" si="69"/>
        <v>161.53458684439579</v>
      </c>
      <c r="AL450" s="10" t="str">
        <f t="shared" si="71"/>
        <v/>
      </c>
      <c r="AM450" s="10" t="str">
        <f t="shared" si="72"/>
        <v/>
      </c>
    </row>
    <row r="451" spans="1:39" x14ac:dyDescent="0.25">
      <c r="A451" s="15">
        <v>18265788</v>
      </c>
      <c r="B451" s="15">
        <v>5.05</v>
      </c>
      <c r="C451" s="15">
        <v>394383</v>
      </c>
      <c r="D451" s="15">
        <v>83431</v>
      </c>
      <c r="E451" s="15" t="s">
        <v>131</v>
      </c>
      <c r="F451" s="15">
        <v>2011</v>
      </c>
      <c r="G451" s="15">
        <v>20110223</v>
      </c>
      <c r="H451" s="15">
        <v>200778</v>
      </c>
      <c r="I451" s="15">
        <v>20.079999999999998</v>
      </c>
      <c r="J451" s="6" t="s">
        <v>143</v>
      </c>
      <c r="K451" s="15">
        <v>260</v>
      </c>
      <c r="L451" s="15" t="s">
        <v>45</v>
      </c>
      <c r="M451" s="15" t="s">
        <v>5</v>
      </c>
      <c r="N451" s="11" t="s">
        <v>1384</v>
      </c>
      <c r="O451" s="11" t="s">
        <v>28</v>
      </c>
      <c r="P451" s="11" t="s">
        <v>33</v>
      </c>
      <c r="Q451" s="15">
        <v>0</v>
      </c>
      <c r="R451" s="11" t="s">
        <v>1386</v>
      </c>
      <c r="S451" s="10">
        <v>138.92273329733001</v>
      </c>
      <c r="T451" s="15">
        <v>80</v>
      </c>
      <c r="U451" s="15">
        <v>0</v>
      </c>
      <c r="V451" s="15">
        <v>1</v>
      </c>
      <c r="W451" s="15">
        <v>1</v>
      </c>
      <c r="X451" s="15">
        <f>IF(O451='Udvaskning nøgletal'!$D$65,1,IF(O451='Udvaskning nøgletal'!$D$66,2,IF(O451='Udvaskning nøgletal'!$D$67,3,IF(O451='Udvaskning nøgletal'!$D$68,2,""))))</f>
        <v>1</v>
      </c>
      <c r="Y451" s="15">
        <f>LOOKUP(K451,'Udvaskning nøgletal'!$C$12:$C$60,'Udvaskning nøgletal'!$H$12:$H$60)</f>
        <v>0</v>
      </c>
      <c r="Z451" s="10">
        <f>IF(X451=1,LOOKUP(K451,'Udvaskning nøgletal'!$C$12:$C$60,'Udvaskning nøgletal'!$E$12:$E$60)+Markniveau!Y451*Markniveau!S451/100,IF(X451=2,LOOKUP(K451,'Udvaskning nøgletal'!$C$12:$C$60,'Udvaskning nøgletal'!$F$12:$F$60)+Markniveau!Y451*Markniveau!S451/100,IF(X451=3,LOOKUP(K451,'Udvaskning nøgletal'!$C$12:$C$60,'Udvaskning nøgletal'!G461:G509)+Markniveau!Y451*Markniveau!S451/100,"")))</f>
        <v>33.723295792149436</v>
      </c>
      <c r="AA451" s="10">
        <f t="shared" ref="AA451:AA514" si="76">Z451*I451</f>
        <v>677.16377950636058</v>
      </c>
      <c r="AB451" s="10" t="str">
        <f t="shared" si="75"/>
        <v/>
      </c>
      <c r="AC451" s="10" t="str">
        <f t="shared" ref="AC451:AC514" si="77">IF(Q451&gt;0,AB451*I451,"")</f>
        <v/>
      </c>
      <c r="AD451" s="10">
        <f>IF(AND(Q451&gt;0,Q451&lt;30,K451&lt;8),Markniveau!Z451*'Udvaskning nøgletal'!$I$12/100,IF(AND(Q451&gt;0,Q451&lt;30,K451=216),Markniveau!Z451*'Udvaskning nøgletal'!$I$34/100,Markniveau!Z451))</f>
        <v>33.723295792149436</v>
      </c>
      <c r="AE451" s="10">
        <f t="shared" si="73"/>
        <v>677.16377950636058</v>
      </c>
      <c r="AF451" s="10" t="str">
        <f t="shared" ref="AF451:AF514" si="78">IF($Q451&gt;0,(100-$Q451)*$AD451/100,"")</f>
        <v/>
      </c>
      <c r="AG451" s="10" t="str">
        <f t="shared" si="74"/>
        <v/>
      </c>
      <c r="AH451" s="10" t="str">
        <f>IF(AND(Q451&gt;0,Q451&lt;30,K451=216),'Udvaskning nøgletal'!$C$42,IF(AND(Q451&gt;0,Q451&lt;30,K451&gt;7,K451&lt;17),'Udvaskning nøgletal'!$C$61,IF(AND(Q451&gt;0,Q451&lt;30,K451&lt;7),'Udvaskning nøgletal'!$C$62,"")))</f>
        <v/>
      </c>
      <c r="AI451" s="10">
        <f t="shared" si="70"/>
        <v>260</v>
      </c>
      <c r="AJ451" s="10">
        <f>IF($X451=1,LOOKUP(AI451,'Udvaskning nøgletal'!$C$12:$C$62,'Udvaskning nøgletal'!$E$12:$E$62)+Markniveau!$Y451*Markniveau!$S451/100,IF($X451=2,LOOKUP(AI451,'Udvaskning nøgletal'!$C$12:$C$62,'Udvaskning nøgletal'!$F$12:$F$62)+Markniveau!$Y451*Markniveau!$S451/100,IF($X451=3,LOOKUP(AI451,'Udvaskning nøgletal'!$C$12:$C$62,'Udvaskning nøgletal'!Q461:Q511)+Markniveau!$Y451*Markniveau!$S451/100,"")))</f>
        <v>33.723295792149436</v>
      </c>
      <c r="AK451" s="10">
        <f t="shared" ref="AK451:AK514" si="79">AJ451*$I451</f>
        <v>677.16377950636058</v>
      </c>
      <c r="AL451" s="10" t="str">
        <f t="shared" si="71"/>
        <v/>
      </c>
      <c r="AM451" s="10" t="str">
        <f t="shared" si="72"/>
        <v/>
      </c>
    </row>
    <row r="452" spans="1:39" x14ac:dyDescent="0.25">
      <c r="A452" s="15">
        <v>18265788</v>
      </c>
      <c r="B452" s="15">
        <v>5.05</v>
      </c>
      <c r="C452" s="15">
        <v>394902</v>
      </c>
      <c r="D452" s="15">
        <v>83431</v>
      </c>
      <c r="E452" s="15" t="s">
        <v>393</v>
      </c>
      <c r="F452" s="15">
        <v>2011</v>
      </c>
      <c r="G452" s="15">
        <v>20110223</v>
      </c>
      <c r="H452" s="15">
        <v>14260</v>
      </c>
      <c r="I452" s="15">
        <v>1.43</v>
      </c>
      <c r="J452" s="6" t="s">
        <v>137</v>
      </c>
      <c r="K452" s="15">
        <v>260</v>
      </c>
      <c r="L452" s="15" t="s">
        <v>45</v>
      </c>
      <c r="M452" s="15" t="s">
        <v>5</v>
      </c>
      <c r="N452" s="11" t="s">
        <v>1384</v>
      </c>
      <c r="O452" s="11" t="s">
        <v>28</v>
      </c>
      <c r="P452" s="11" t="s">
        <v>33</v>
      </c>
      <c r="Q452" s="15">
        <v>0</v>
      </c>
      <c r="R452" s="11" t="s">
        <v>1386</v>
      </c>
      <c r="S452" s="10">
        <v>138.92273329733001</v>
      </c>
      <c r="T452" s="15">
        <v>80</v>
      </c>
      <c r="U452" s="15">
        <v>0</v>
      </c>
      <c r="V452" s="15">
        <v>1</v>
      </c>
      <c r="W452" s="15">
        <v>1</v>
      </c>
      <c r="X452" s="15">
        <f>IF(O452='Udvaskning nøgletal'!$D$65,1,IF(O452='Udvaskning nøgletal'!$D$66,2,IF(O452='Udvaskning nøgletal'!$D$67,3,IF(O452='Udvaskning nøgletal'!$D$68,2,""))))</f>
        <v>1</v>
      </c>
      <c r="Y452" s="15">
        <f>LOOKUP(K452,'Udvaskning nøgletal'!$C$12:$C$60,'Udvaskning nøgletal'!$H$12:$H$60)</f>
        <v>0</v>
      </c>
      <c r="Z452" s="10">
        <f>IF(X452=1,LOOKUP(K452,'Udvaskning nøgletal'!$C$12:$C$60,'Udvaskning nøgletal'!$E$12:$E$60)+Markniveau!Y452*Markniveau!S452/100,IF(X452=2,LOOKUP(K452,'Udvaskning nøgletal'!$C$12:$C$60,'Udvaskning nøgletal'!$F$12:$F$60)+Markniveau!Y452*Markniveau!S452/100,IF(X452=3,LOOKUP(K452,'Udvaskning nøgletal'!$C$12:$C$60,'Udvaskning nøgletal'!G462:G510)+Markniveau!Y452*Markniveau!S452/100,"")))</f>
        <v>33.723295792149436</v>
      </c>
      <c r="AA452" s="10">
        <f t="shared" si="76"/>
        <v>48.224312982773689</v>
      </c>
      <c r="AB452" s="10" t="str">
        <f t="shared" si="75"/>
        <v/>
      </c>
      <c r="AC452" s="10" t="str">
        <f t="shared" si="77"/>
        <v/>
      </c>
      <c r="AD452" s="10">
        <f>IF(AND(Q452&gt;0,Q452&lt;30,K452&lt;8),Markniveau!Z452*'Udvaskning nøgletal'!$I$12/100,IF(AND(Q452&gt;0,Q452&lt;30,K452=216),Markniveau!Z452*'Udvaskning nøgletal'!$I$34/100,Markniveau!Z452))</f>
        <v>33.723295792149436</v>
      </c>
      <c r="AE452" s="10">
        <f t="shared" si="73"/>
        <v>48.224312982773689</v>
      </c>
      <c r="AF452" s="10" t="str">
        <f t="shared" si="78"/>
        <v/>
      </c>
      <c r="AG452" s="10" t="str">
        <f t="shared" si="74"/>
        <v/>
      </c>
      <c r="AH452" s="10" t="str">
        <f>IF(AND(Q452&gt;0,Q452&lt;30,K452=216),'Udvaskning nøgletal'!$C$42,IF(AND(Q452&gt;0,Q452&lt;30,K452&gt;7,K452&lt;17),'Udvaskning nøgletal'!$C$61,IF(AND(Q452&gt;0,Q452&lt;30,K452&lt;7),'Udvaskning nøgletal'!$C$62,"")))</f>
        <v/>
      </c>
      <c r="AI452" s="10">
        <f t="shared" si="70"/>
        <v>260</v>
      </c>
      <c r="AJ452" s="10">
        <f>IF($X452=1,LOOKUP(AI452,'Udvaskning nøgletal'!$C$12:$C$62,'Udvaskning nøgletal'!$E$12:$E$62)+Markniveau!$Y452*Markniveau!$S452/100,IF($X452=2,LOOKUP(AI452,'Udvaskning nøgletal'!$C$12:$C$62,'Udvaskning nøgletal'!$F$12:$F$62)+Markniveau!$Y452*Markniveau!$S452/100,IF($X452=3,LOOKUP(AI452,'Udvaskning nøgletal'!$C$12:$C$62,'Udvaskning nøgletal'!Q462:Q512)+Markniveau!$Y452*Markniveau!$S452/100,"")))</f>
        <v>33.723295792149436</v>
      </c>
      <c r="AK452" s="10">
        <f t="shared" si="79"/>
        <v>48.224312982773689</v>
      </c>
      <c r="AL452" s="10" t="str">
        <f t="shared" si="71"/>
        <v/>
      </c>
      <c r="AM452" s="10" t="str">
        <f t="shared" si="72"/>
        <v/>
      </c>
    </row>
    <row r="453" spans="1:39" x14ac:dyDescent="0.25">
      <c r="A453" s="15">
        <v>18265788</v>
      </c>
      <c r="B453" s="15">
        <v>5.05</v>
      </c>
      <c r="C453" s="15">
        <v>394904</v>
      </c>
      <c r="D453" s="15">
        <v>83431</v>
      </c>
      <c r="E453" s="15" t="s">
        <v>185</v>
      </c>
      <c r="F453" s="15">
        <v>2011</v>
      </c>
      <c r="G453" s="15">
        <v>20110223</v>
      </c>
      <c r="H453" s="15">
        <v>5823</v>
      </c>
      <c r="I453" s="15">
        <v>0.57999999999999996</v>
      </c>
      <c r="J453" s="6" t="s">
        <v>1433</v>
      </c>
      <c r="K453" s="15">
        <v>902</v>
      </c>
      <c r="L453" s="15" t="s">
        <v>160</v>
      </c>
      <c r="M453" s="15" t="s">
        <v>81</v>
      </c>
      <c r="N453" s="11" t="s">
        <v>1384</v>
      </c>
      <c r="O453" s="11" t="s">
        <v>28</v>
      </c>
      <c r="P453" s="11" t="s">
        <v>33</v>
      </c>
      <c r="Q453" s="15">
        <v>0</v>
      </c>
      <c r="R453" s="11" t="s">
        <v>1386</v>
      </c>
      <c r="S453" s="10">
        <v>138.92273329733001</v>
      </c>
      <c r="T453" s="15">
        <v>80</v>
      </c>
      <c r="U453" s="15">
        <v>0</v>
      </c>
      <c r="V453" s="15">
        <v>1</v>
      </c>
      <c r="W453" s="15">
        <v>1</v>
      </c>
      <c r="X453" s="15">
        <f>IF(O453='Udvaskning nøgletal'!$D$65,1,IF(O453='Udvaskning nøgletal'!$D$66,2,IF(O453='Udvaskning nøgletal'!$D$67,3,IF(O453='Udvaskning nøgletal'!$D$68,2,""))))</f>
        <v>1</v>
      </c>
      <c r="Y453" s="15">
        <f>LOOKUP(K453,'Udvaskning nøgletal'!$C$12:$C$60,'Udvaskning nøgletal'!$H$12:$H$60)</f>
        <v>0</v>
      </c>
      <c r="Z453" s="10">
        <f>IF(X453=1,LOOKUP(K453,'Udvaskning nøgletal'!$C$12:$C$60,'Udvaskning nøgletal'!$E$12:$E$60)+Markniveau!Y453*Markniveau!S453/100,IF(X453=2,LOOKUP(K453,'Udvaskning nøgletal'!$C$12:$C$60,'Udvaskning nøgletal'!$F$12:$F$60)+Markniveau!Y453*Markniveau!S453/100,IF(X453=3,LOOKUP(K453,'Udvaskning nøgletal'!$C$12:$C$60,'Udvaskning nøgletal'!G463:G511)+Markniveau!Y453*Markniveau!S453/100,"")))</f>
        <v>10</v>
      </c>
      <c r="AA453" s="10">
        <f t="shared" si="76"/>
        <v>5.8</v>
      </c>
      <c r="AB453" s="10" t="str">
        <f t="shared" si="75"/>
        <v/>
      </c>
      <c r="AC453" s="10" t="str">
        <f t="shared" si="77"/>
        <v/>
      </c>
      <c r="AD453" s="10">
        <f>IF(AND(Q453&gt;0,Q453&lt;30,K453&lt;8),Markniveau!Z453*'Udvaskning nøgletal'!$I$12/100,IF(AND(Q453&gt;0,Q453&lt;30,K453=216),Markniveau!Z453*'Udvaskning nøgletal'!$I$34/100,Markniveau!Z453))</f>
        <v>10</v>
      </c>
      <c r="AE453" s="10">
        <f t="shared" si="73"/>
        <v>5.8</v>
      </c>
      <c r="AF453" s="10" t="str">
        <f t="shared" si="78"/>
        <v/>
      </c>
      <c r="AG453" s="10" t="str">
        <f t="shared" si="74"/>
        <v/>
      </c>
      <c r="AH453" s="10" t="str">
        <f>IF(AND(Q453&gt;0,Q453&lt;30,K453=216),'Udvaskning nøgletal'!$C$42,IF(AND(Q453&gt;0,Q453&lt;30,K453&gt;7,K453&lt;17),'Udvaskning nøgletal'!$C$61,IF(AND(Q453&gt;0,Q453&lt;30,K453&lt;7),'Udvaskning nøgletal'!$C$62,"")))</f>
        <v/>
      </c>
      <c r="AI453" s="10">
        <f t="shared" si="70"/>
        <v>902</v>
      </c>
      <c r="AJ453" s="10">
        <f>IF($X453=1,LOOKUP(AI453,'Udvaskning nøgletal'!$C$12:$C$62,'Udvaskning nøgletal'!$E$12:$E$62)+Markniveau!$Y453*Markniveau!$S453/100,IF($X453=2,LOOKUP(AI453,'Udvaskning nøgletal'!$C$12:$C$62,'Udvaskning nøgletal'!$F$12:$F$62)+Markniveau!$Y453*Markniveau!$S453/100,IF($X453=3,LOOKUP(AI453,'Udvaskning nøgletal'!$C$12:$C$62,'Udvaskning nøgletal'!Q463:Q513)+Markniveau!$Y453*Markniveau!$S453/100,"")))</f>
        <v>10</v>
      </c>
      <c r="AK453" s="10">
        <f t="shared" si="79"/>
        <v>5.8</v>
      </c>
      <c r="AL453" s="10" t="str">
        <f t="shared" si="71"/>
        <v/>
      </c>
      <c r="AM453" s="10" t="str">
        <f t="shared" si="72"/>
        <v/>
      </c>
    </row>
    <row r="454" spans="1:39" x14ac:dyDescent="0.25">
      <c r="A454" s="15">
        <v>18265788</v>
      </c>
      <c r="B454" s="15">
        <v>5.05</v>
      </c>
      <c r="C454" s="15">
        <v>395414</v>
      </c>
      <c r="D454" s="15">
        <v>83431</v>
      </c>
      <c r="E454" s="15" t="s">
        <v>185</v>
      </c>
      <c r="F454" s="15">
        <v>2011</v>
      </c>
      <c r="G454" s="15">
        <v>20110223</v>
      </c>
      <c r="H454" s="15">
        <v>7311</v>
      </c>
      <c r="I454" s="15">
        <v>0.73</v>
      </c>
      <c r="J454" s="6" t="s">
        <v>1508</v>
      </c>
      <c r="K454" s="15">
        <v>902</v>
      </c>
      <c r="L454" s="15" t="s">
        <v>160</v>
      </c>
      <c r="M454" s="15" t="s">
        <v>81</v>
      </c>
      <c r="N454" s="11" t="s">
        <v>1384</v>
      </c>
      <c r="O454" s="11" t="s">
        <v>28</v>
      </c>
      <c r="P454" s="11" t="s">
        <v>33</v>
      </c>
      <c r="Q454" s="15">
        <v>0</v>
      </c>
      <c r="R454" s="11" t="s">
        <v>1386</v>
      </c>
      <c r="S454" s="10">
        <v>138.92273329733001</v>
      </c>
      <c r="T454" s="15">
        <v>80</v>
      </c>
      <c r="U454" s="15">
        <v>0</v>
      </c>
      <c r="V454" s="15">
        <v>1</v>
      </c>
      <c r="W454" s="15">
        <v>1</v>
      </c>
      <c r="X454" s="15">
        <f>IF(O454='Udvaskning nøgletal'!$D$65,1,IF(O454='Udvaskning nøgletal'!$D$66,2,IF(O454='Udvaskning nøgletal'!$D$67,3,IF(O454='Udvaskning nøgletal'!$D$68,2,""))))</f>
        <v>1</v>
      </c>
      <c r="Y454" s="15">
        <f>LOOKUP(K454,'Udvaskning nøgletal'!$C$12:$C$60,'Udvaskning nøgletal'!$H$12:$H$60)</f>
        <v>0</v>
      </c>
      <c r="Z454" s="10">
        <f>IF(X454=1,LOOKUP(K454,'Udvaskning nøgletal'!$C$12:$C$60,'Udvaskning nøgletal'!$E$12:$E$60)+Markniveau!Y454*Markniveau!S454/100,IF(X454=2,LOOKUP(K454,'Udvaskning nøgletal'!$C$12:$C$60,'Udvaskning nøgletal'!$F$12:$F$60)+Markniveau!Y454*Markniveau!S454/100,IF(X454=3,LOOKUP(K454,'Udvaskning nøgletal'!$C$12:$C$60,'Udvaskning nøgletal'!G464:G512)+Markniveau!Y454*Markniveau!S454/100,"")))</f>
        <v>10</v>
      </c>
      <c r="AA454" s="10">
        <f t="shared" si="76"/>
        <v>7.3</v>
      </c>
      <c r="AB454" s="10" t="str">
        <f t="shared" si="75"/>
        <v/>
      </c>
      <c r="AC454" s="10" t="str">
        <f t="shared" si="77"/>
        <v/>
      </c>
      <c r="AD454" s="10">
        <f>IF(AND(Q454&gt;0,Q454&lt;30,K454&lt;8),Markniveau!Z454*'Udvaskning nøgletal'!$I$12/100,IF(AND(Q454&gt;0,Q454&lt;30,K454=216),Markniveau!Z454*'Udvaskning nøgletal'!$I$34/100,Markniveau!Z454))</f>
        <v>10</v>
      </c>
      <c r="AE454" s="10">
        <f t="shared" si="73"/>
        <v>7.3</v>
      </c>
      <c r="AF454" s="10" t="str">
        <f t="shared" si="78"/>
        <v/>
      </c>
      <c r="AG454" s="10" t="str">
        <f t="shared" si="74"/>
        <v/>
      </c>
      <c r="AH454" s="10" t="str">
        <f>IF(AND(Q454&gt;0,Q454&lt;30,K454=216),'Udvaskning nøgletal'!$C$42,IF(AND(Q454&gt;0,Q454&lt;30,K454&gt;7,K454&lt;17),'Udvaskning nøgletal'!$C$61,IF(AND(Q454&gt;0,Q454&lt;30,K454&lt;7),'Udvaskning nøgletal'!$C$62,"")))</f>
        <v/>
      </c>
      <c r="AI454" s="10">
        <f t="shared" si="70"/>
        <v>902</v>
      </c>
      <c r="AJ454" s="10">
        <f>IF($X454=1,LOOKUP(AI454,'Udvaskning nøgletal'!$C$12:$C$62,'Udvaskning nøgletal'!$E$12:$E$62)+Markniveau!$Y454*Markniveau!$S454/100,IF($X454=2,LOOKUP(AI454,'Udvaskning nøgletal'!$C$12:$C$62,'Udvaskning nøgletal'!$F$12:$F$62)+Markniveau!$Y454*Markniveau!$S454/100,IF($X454=3,LOOKUP(AI454,'Udvaskning nøgletal'!$C$12:$C$62,'Udvaskning nøgletal'!Q464:Q514)+Markniveau!$Y454*Markniveau!$S454/100,"")))</f>
        <v>10</v>
      </c>
      <c r="AK454" s="10">
        <f t="shared" si="79"/>
        <v>7.3</v>
      </c>
      <c r="AL454" s="10" t="str">
        <f t="shared" si="71"/>
        <v/>
      </c>
      <c r="AM454" s="10" t="str">
        <f t="shared" si="72"/>
        <v/>
      </c>
    </row>
    <row r="455" spans="1:39" x14ac:dyDescent="0.25">
      <c r="A455" s="15">
        <v>18265788</v>
      </c>
      <c r="B455" s="15">
        <v>5.05</v>
      </c>
      <c r="C455" s="15">
        <v>395415</v>
      </c>
      <c r="D455" s="15">
        <v>83431</v>
      </c>
      <c r="E455" s="15" t="s">
        <v>356</v>
      </c>
      <c r="F455" s="15">
        <v>2011</v>
      </c>
      <c r="G455" s="15">
        <v>20110223</v>
      </c>
      <c r="H455" s="15">
        <v>2073</v>
      </c>
      <c r="I455" s="15">
        <v>0.21</v>
      </c>
      <c r="J455" s="6" t="s">
        <v>1461</v>
      </c>
      <c r="K455" s="15">
        <v>252</v>
      </c>
      <c r="L455" s="15" t="s">
        <v>41</v>
      </c>
      <c r="M455" s="15" t="s">
        <v>4</v>
      </c>
      <c r="N455" s="11" t="s">
        <v>1384</v>
      </c>
      <c r="O455" s="11" t="s">
        <v>28</v>
      </c>
      <c r="P455" s="11" t="s">
        <v>33</v>
      </c>
      <c r="Q455" s="15">
        <v>0</v>
      </c>
      <c r="R455" s="11" t="s">
        <v>1386</v>
      </c>
      <c r="S455" s="10">
        <v>138.92273329733001</v>
      </c>
      <c r="T455" s="15">
        <v>80</v>
      </c>
      <c r="U455" s="15">
        <v>0</v>
      </c>
      <c r="V455" s="15">
        <v>1</v>
      </c>
      <c r="W455" s="15">
        <v>1</v>
      </c>
      <c r="X455" s="15">
        <f>IF(O455='Udvaskning nøgletal'!$D$65,1,IF(O455='Udvaskning nøgletal'!$D$66,2,IF(O455='Udvaskning nøgletal'!$D$67,3,IF(O455='Udvaskning nøgletal'!$D$68,2,""))))</f>
        <v>1</v>
      </c>
      <c r="Y455" s="15">
        <f>LOOKUP(K455,'Udvaskning nøgletal'!$C$12:$C$60,'Udvaskning nøgletal'!$H$12:$H$60)</f>
        <v>0</v>
      </c>
      <c r="Z455" s="10">
        <f>IF(X455=1,LOOKUP(K455,'Udvaskning nøgletal'!$C$12:$C$60,'Udvaskning nøgletal'!$E$12:$E$60)+Markniveau!Y455*Markniveau!S455/100,IF(X455=2,LOOKUP(K455,'Udvaskning nøgletal'!$C$12:$C$60,'Udvaskning nøgletal'!$F$12:$F$60)+Markniveau!Y455*Markniveau!S455/100,IF(X455=3,LOOKUP(K455,'Udvaskning nøgletal'!$C$12:$C$60,'Udvaskning nøgletal'!G465:G513)+Markniveau!Y455*Markniveau!S455/100,"")))</f>
        <v>21.2</v>
      </c>
      <c r="AA455" s="10">
        <f t="shared" si="76"/>
        <v>4.452</v>
      </c>
      <c r="AB455" s="10" t="str">
        <f t="shared" si="75"/>
        <v/>
      </c>
      <c r="AC455" s="10" t="str">
        <f t="shared" si="77"/>
        <v/>
      </c>
      <c r="AD455" s="10">
        <f>IF(AND(Q455&gt;0,Q455&lt;30,K455&lt;8),Markniveau!Z455*'Udvaskning nøgletal'!$I$12/100,IF(AND(Q455&gt;0,Q455&lt;30,K455=216),Markniveau!Z455*'Udvaskning nøgletal'!$I$34/100,Markniveau!Z455))</f>
        <v>21.2</v>
      </c>
      <c r="AE455" s="10">
        <f t="shared" si="73"/>
        <v>4.452</v>
      </c>
      <c r="AF455" s="10" t="str">
        <f t="shared" si="78"/>
        <v/>
      </c>
      <c r="AG455" s="10" t="str">
        <f t="shared" si="74"/>
        <v/>
      </c>
      <c r="AH455" s="10" t="str">
        <f>IF(AND(Q455&gt;0,Q455&lt;30,K455=216),'Udvaskning nøgletal'!$C$42,IF(AND(Q455&gt;0,Q455&lt;30,K455&gt;7,K455&lt;17),'Udvaskning nøgletal'!$C$61,IF(AND(Q455&gt;0,Q455&lt;30,K455&lt;7),'Udvaskning nøgletal'!$C$62,"")))</f>
        <v/>
      </c>
      <c r="AI455" s="10">
        <f t="shared" si="70"/>
        <v>252</v>
      </c>
      <c r="AJ455" s="10">
        <f>IF($X455=1,LOOKUP(AI455,'Udvaskning nøgletal'!$C$12:$C$62,'Udvaskning nøgletal'!$E$12:$E$62)+Markniveau!$Y455*Markniveau!$S455/100,IF($X455=2,LOOKUP(AI455,'Udvaskning nøgletal'!$C$12:$C$62,'Udvaskning nøgletal'!$F$12:$F$62)+Markniveau!$Y455*Markniveau!$S455/100,IF($X455=3,LOOKUP(AI455,'Udvaskning nøgletal'!$C$12:$C$62,'Udvaskning nøgletal'!Q465:Q515)+Markniveau!$Y455*Markniveau!$S455/100,"")))</f>
        <v>21.2</v>
      </c>
      <c r="AK455" s="10">
        <f t="shared" si="79"/>
        <v>4.452</v>
      </c>
      <c r="AL455" s="10" t="str">
        <f t="shared" si="71"/>
        <v/>
      </c>
      <c r="AM455" s="10" t="str">
        <f t="shared" si="72"/>
        <v/>
      </c>
    </row>
    <row r="456" spans="1:39" x14ac:dyDescent="0.25">
      <c r="A456" s="15">
        <v>18265788</v>
      </c>
      <c r="B456" s="15">
        <v>5.05</v>
      </c>
      <c r="C456" s="15">
        <v>395416</v>
      </c>
      <c r="D456" s="15">
        <v>83431</v>
      </c>
      <c r="E456" s="15" t="s">
        <v>394</v>
      </c>
      <c r="F456" s="15">
        <v>2011</v>
      </c>
      <c r="G456" s="15">
        <v>20110223</v>
      </c>
      <c r="H456" s="15">
        <v>5379</v>
      </c>
      <c r="I456" s="15">
        <v>0.54</v>
      </c>
      <c r="J456" s="6" t="s">
        <v>38</v>
      </c>
      <c r="K456" s="15">
        <v>260</v>
      </c>
      <c r="L456" s="15" t="s">
        <v>45</v>
      </c>
      <c r="M456" s="15" t="s">
        <v>5</v>
      </c>
      <c r="N456" s="11" t="s">
        <v>1384</v>
      </c>
      <c r="O456" s="11" t="s">
        <v>28</v>
      </c>
      <c r="P456" s="11" t="s">
        <v>33</v>
      </c>
      <c r="Q456" s="15">
        <v>0</v>
      </c>
      <c r="R456" s="11" t="s">
        <v>1386</v>
      </c>
      <c r="S456" s="10">
        <v>138.92273329733001</v>
      </c>
      <c r="T456" s="15">
        <v>80</v>
      </c>
      <c r="U456" s="15">
        <v>0</v>
      </c>
      <c r="V456" s="15">
        <v>1</v>
      </c>
      <c r="W456" s="15">
        <v>1</v>
      </c>
      <c r="X456" s="15">
        <f>IF(O456='Udvaskning nøgletal'!$D$65,1,IF(O456='Udvaskning nøgletal'!$D$66,2,IF(O456='Udvaskning nøgletal'!$D$67,3,IF(O456='Udvaskning nøgletal'!$D$68,2,""))))</f>
        <v>1</v>
      </c>
      <c r="Y456" s="15">
        <f>LOOKUP(K456,'Udvaskning nøgletal'!$C$12:$C$60,'Udvaskning nøgletal'!$H$12:$H$60)</f>
        <v>0</v>
      </c>
      <c r="Z456" s="10">
        <f>IF(X456=1,LOOKUP(K456,'Udvaskning nøgletal'!$C$12:$C$60,'Udvaskning nøgletal'!$E$12:$E$60)+Markniveau!Y456*Markniveau!S456/100,IF(X456=2,LOOKUP(K456,'Udvaskning nøgletal'!$C$12:$C$60,'Udvaskning nøgletal'!$F$12:$F$60)+Markniveau!Y456*Markniveau!S456/100,IF(X456=3,LOOKUP(K456,'Udvaskning nøgletal'!$C$12:$C$60,'Udvaskning nøgletal'!G466:G514)+Markniveau!Y456*Markniveau!S456/100,"")))</f>
        <v>33.723295792149436</v>
      </c>
      <c r="AA456" s="10">
        <f t="shared" si="76"/>
        <v>18.210579727760695</v>
      </c>
      <c r="AB456" s="10" t="str">
        <f t="shared" si="75"/>
        <v/>
      </c>
      <c r="AC456" s="10" t="str">
        <f t="shared" si="77"/>
        <v/>
      </c>
      <c r="AD456" s="10">
        <f>IF(AND(Q456&gt;0,Q456&lt;30,K456&lt;8),Markniveau!Z456*'Udvaskning nøgletal'!$I$12/100,IF(AND(Q456&gt;0,Q456&lt;30,K456=216),Markniveau!Z456*'Udvaskning nøgletal'!$I$34/100,Markniveau!Z456))</f>
        <v>33.723295792149436</v>
      </c>
      <c r="AE456" s="10">
        <f t="shared" si="73"/>
        <v>18.210579727760695</v>
      </c>
      <c r="AF456" s="10" t="str">
        <f t="shared" si="78"/>
        <v/>
      </c>
      <c r="AG456" s="10" t="str">
        <f t="shared" si="74"/>
        <v/>
      </c>
      <c r="AH456" s="10" t="str">
        <f>IF(AND(Q456&gt;0,Q456&lt;30,K456=216),'Udvaskning nøgletal'!$C$42,IF(AND(Q456&gt;0,Q456&lt;30,K456&gt;7,K456&lt;17),'Udvaskning nøgletal'!$C$61,IF(AND(Q456&gt;0,Q456&lt;30,K456&lt;7),'Udvaskning nøgletal'!$C$62,"")))</f>
        <v/>
      </c>
      <c r="AI456" s="10">
        <f t="shared" ref="AI456:AI519" si="80">IF(SUM(AH456)&gt;0,AH456,K456)</f>
        <v>260</v>
      </c>
      <c r="AJ456" s="10">
        <f>IF($X456=1,LOOKUP(AI456,'Udvaskning nøgletal'!$C$12:$C$62,'Udvaskning nøgletal'!$E$12:$E$62)+Markniveau!$Y456*Markniveau!$S456/100,IF($X456=2,LOOKUP(AI456,'Udvaskning nøgletal'!$C$12:$C$62,'Udvaskning nøgletal'!$F$12:$F$62)+Markniveau!$Y456*Markniveau!$S456/100,IF($X456=3,LOOKUP(AI456,'Udvaskning nøgletal'!$C$12:$C$62,'Udvaskning nøgletal'!Q466:Q516)+Markniveau!$Y456*Markniveau!$S456/100,"")))</f>
        <v>33.723295792149436</v>
      </c>
      <c r="AK456" s="10">
        <f t="shared" si="79"/>
        <v>18.210579727760695</v>
      </c>
      <c r="AL456" s="10" t="str">
        <f t="shared" si="71"/>
        <v/>
      </c>
      <c r="AM456" s="10" t="str">
        <f t="shared" si="72"/>
        <v/>
      </c>
    </row>
    <row r="457" spans="1:39" x14ac:dyDescent="0.25">
      <c r="A457" s="15">
        <v>18265788</v>
      </c>
      <c r="B457" s="15">
        <v>5.05</v>
      </c>
      <c r="C457" s="15">
        <v>395921</v>
      </c>
      <c r="D457" s="15">
        <v>83431</v>
      </c>
      <c r="E457" s="15" t="s">
        <v>395</v>
      </c>
      <c r="F457" s="15">
        <v>2011</v>
      </c>
      <c r="G457" s="15">
        <v>20110223</v>
      </c>
      <c r="H457" s="15">
        <v>12685</v>
      </c>
      <c r="I457" s="15">
        <v>1.27</v>
      </c>
      <c r="J457" s="6" t="s">
        <v>89</v>
      </c>
      <c r="K457" s="15">
        <v>260</v>
      </c>
      <c r="L457" s="15" t="s">
        <v>45</v>
      </c>
      <c r="M457" s="15" t="s">
        <v>5</v>
      </c>
      <c r="N457" s="11" t="s">
        <v>1384</v>
      </c>
      <c r="O457" s="11" t="s">
        <v>28</v>
      </c>
      <c r="P457" s="11" t="s">
        <v>33</v>
      </c>
      <c r="Q457" s="15">
        <v>0</v>
      </c>
      <c r="R457" s="11" t="s">
        <v>1386</v>
      </c>
      <c r="S457" s="10">
        <v>138.92273329733001</v>
      </c>
      <c r="T457" s="15">
        <v>80</v>
      </c>
      <c r="U457" s="15">
        <v>0</v>
      </c>
      <c r="V457" s="15">
        <v>1</v>
      </c>
      <c r="W457" s="15">
        <v>1</v>
      </c>
      <c r="X457" s="15">
        <f>IF(O457='Udvaskning nøgletal'!$D$65,1,IF(O457='Udvaskning nøgletal'!$D$66,2,IF(O457='Udvaskning nøgletal'!$D$67,3,IF(O457='Udvaskning nøgletal'!$D$68,2,""))))</f>
        <v>1</v>
      </c>
      <c r="Y457" s="15">
        <f>LOOKUP(K457,'Udvaskning nøgletal'!$C$12:$C$60,'Udvaskning nøgletal'!$H$12:$H$60)</f>
        <v>0</v>
      </c>
      <c r="Z457" s="10">
        <f>IF(X457=1,LOOKUP(K457,'Udvaskning nøgletal'!$C$12:$C$60,'Udvaskning nøgletal'!$E$12:$E$60)+Markniveau!Y457*Markniveau!S457/100,IF(X457=2,LOOKUP(K457,'Udvaskning nøgletal'!$C$12:$C$60,'Udvaskning nøgletal'!$F$12:$F$60)+Markniveau!Y457*Markniveau!S457/100,IF(X457=3,LOOKUP(K457,'Udvaskning nøgletal'!$C$12:$C$60,'Udvaskning nøgletal'!G467:G515)+Markniveau!Y457*Markniveau!S457/100,"")))</f>
        <v>33.723295792149436</v>
      </c>
      <c r="AA457" s="10">
        <f t="shared" si="76"/>
        <v>42.828585656029787</v>
      </c>
      <c r="AB457" s="10" t="str">
        <f t="shared" si="75"/>
        <v/>
      </c>
      <c r="AC457" s="10" t="str">
        <f t="shared" si="77"/>
        <v/>
      </c>
      <c r="AD457" s="10">
        <f>IF(AND(Q457&gt;0,Q457&lt;30,K457&lt;8),Markniveau!Z457*'Udvaskning nøgletal'!$I$12/100,IF(AND(Q457&gt;0,Q457&lt;30,K457=216),Markniveau!Z457*'Udvaskning nøgletal'!$I$34/100,Markniveau!Z457))</f>
        <v>33.723295792149436</v>
      </c>
      <c r="AE457" s="10">
        <f t="shared" si="73"/>
        <v>42.828585656029787</v>
      </c>
      <c r="AF457" s="10" t="str">
        <f t="shared" si="78"/>
        <v/>
      </c>
      <c r="AG457" s="10" t="str">
        <f t="shared" si="74"/>
        <v/>
      </c>
      <c r="AH457" s="10" t="str">
        <f>IF(AND(Q457&gt;0,Q457&lt;30,K457=216),'Udvaskning nøgletal'!$C$42,IF(AND(Q457&gt;0,Q457&lt;30,K457&gt;7,K457&lt;17),'Udvaskning nøgletal'!$C$61,IF(AND(Q457&gt;0,Q457&lt;30,K457&lt;7),'Udvaskning nøgletal'!$C$62,"")))</f>
        <v/>
      </c>
      <c r="AI457" s="10">
        <f t="shared" si="80"/>
        <v>260</v>
      </c>
      <c r="AJ457" s="10">
        <f>IF($X457=1,LOOKUP(AI457,'Udvaskning nøgletal'!$C$12:$C$62,'Udvaskning nøgletal'!$E$12:$E$62)+Markniveau!$Y457*Markniveau!$S457/100,IF($X457=2,LOOKUP(AI457,'Udvaskning nøgletal'!$C$12:$C$62,'Udvaskning nøgletal'!$F$12:$F$62)+Markniveau!$Y457*Markniveau!$S457/100,IF($X457=3,LOOKUP(AI457,'Udvaskning nøgletal'!$C$12:$C$62,'Udvaskning nøgletal'!Q467:Q517)+Markniveau!$Y457*Markniveau!$S457/100,"")))</f>
        <v>33.723295792149436</v>
      </c>
      <c r="AK457" s="10">
        <f t="shared" si="79"/>
        <v>42.828585656029787</v>
      </c>
      <c r="AL457" s="10" t="str">
        <f t="shared" si="71"/>
        <v/>
      </c>
      <c r="AM457" s="10" t="str">
        <f t="shared" si="72"/>
        <v/>
      </c>
    </row>
    <row r="458" spans="1:39" x14ac:dyDescent="0.25">
      <c r="A458" s="15">
        <v>18265788</v>
      </c>
      <c r="B458" s="15">
        <v>5.05</v>
      </c>
      <c r="C458" s="15">
        <v>395922</v>
      </c>
      <c r="D458" s="15">
        <v>83431</v>
      </c>
      <c r="E458" s="15" t="s">
        <v>48</v>
      </c>
      <c r="F458" s="15">
        <v>2011</v>
      </c>
      <c r="G458" s="15">
        <v>20110223</v>
      </c>
      <c r="H458" s="15">
        <v>50475</v>
      </c>
      <c r="I458" s="15">
        <v>5.05</v>
      </c>
      <c r="J458" s="6" t="s">
        <v>92</v>
      </c>
      <c r="K458" s="15">
        <v>260</v>
      </c>
      <c r="L458" s="15" t="s">
        <v>45</v>
      </c>
      <c r="M458" s="15" t="s">
        <v>5</v>
      </c>
      <c r="N458" s="11" t="s">
        <v>1384</v>
      </c>
      <c r="O458" s="11" t="s">
        <v>28</v>
      </c>
      <c r="P458" s="11" t="s">
        <v>29</v>
      </c>
      <c r="Q458" s="15">
        <v>95</v>
      </c>
      <c r="R458" s="11" t="s">
        <v>3</v>
      </c>
      <c r="S458" s="10">
        <v>138.92273329733001</v>
      </c>
      <c r="T458" s="15">
        <v>80</v>
      </c>
      <c r="U458" s="15">
        <v>0</v>
      </c>
      <c r="V458" s="15">
        <v>1</v>
      </c>
      <c r="W458" s="15">
        <v>1</v>
      </c>
      <c r="X458" s="15">
        <f>IF(O458='Udvaskning nøgletal'!$D$65,1,IF(O458='Udvaskning nøgletal'!$D$66,2,IF(O458='Udvaskning nøgletal'!$D$67,3,IF(O458='Udvaskning nøgletal'!$D$68,2,""))))</f>
        <v>1</v>
      </c>
      <c r="Y458" s="15">
        <f>LOOKUP(K458,'Udvaskning nøgletal'!$C$12:$C$60,'Udvaskning nøgletal'!$H$12:$H$60)</f>
        <v>0</v>
      </c>
      <c r="Z458" s="10">
        <f>IF(X458=1,LOOKUP(K458,'Udvaskning nøgletal'!$C$12:$C$60,'Udvaskning nøgletal'!$E$12:$E$60)+Markniveau!Y458*Markniveau!S458/100,IF(X458=2,LOOKUP(K458,'Udvaskning nøgletal'!$C$12:$C$60,'Udvaskning nøgletal'!$F$12:$F$60)+Markniveau!Y458*Markniveau!S458/100,IF(X458=3,LOOKUP(K458,'Udvaskning nøgletal'!$C$12:$C$60,'Udvaskning nøgletal'!G468:G516)+Markniveau!Y458*Markniveau!S458/100,"")))</f>
        <v>33.723295792149436</v>
      </c>
      <c r="AA458" s="10">
        <f t="shared" si="76"/>
        <v>170.30264375035463</v>
      </c>
      <c r="AB458" s="10">
        <f t="shared" si="75"/>
        <v>1.6861647896074716</v>
      </c>
      <c r="AC458" s="10">
        <f t="shared" si="77"/>
        <v>8.5151321875177306</v>
      </c>
      <c r="AD458" s="10">
        <f>IF(AND(Q458&gt;0,Q458&lt;30,K458&lt;8),Markniveau!Z458*'Udvaskning nøgletal'!$I$12/100,IF(AND(Q458&gt;0,Q458&lt;30,K458=216),Markniveau!Z458*'Udvaskning nøgletal'!$I$34/100,Markniveau!Z458))</f>
        <v>33.723295792149436</v>
      </c>
      <c r="AE458" s="10">
        <f t="shared" si="73"/>
        <v>170.30264375035463</v>
      </c>
      <c r="AF458" s="10">
        <f t="shared" si="78"/>
        <v>1.6861647896074716</v>
      </c>
      <c r="AG458" s="10">
        <f t="shared" si="74"/>
        <v>8.5151321875177306</v>
      </c>
      <c r="AH458" s="10" t="str">
        <f>IF(AND(Q458&gt;0,Q458&lt;30,K458=216),'Udvaskning nøgletal'!$C$42,IF(AND(Q458&gt;0,Q458&lt;30,K458&gt;7,K458&lt;17),'Udvaskning nøgletal'!$C$61,IF(AND(Q458&gt;0,Q458&lt;30,K458&lt;7),'Udvaskning nøgletal'!$C$62,"")))</f>
        <v/>
      </c>
      <c r="AI458" s="10">
        <f t="shared" si="80"/>
        <v>260</v>
      </c>
      <c r="AJ458" s="10">
        <f>IF($X458=1,LOOKUP(AI458,'Udvaskning nøgletal'!$C$12:$C$62,'Udvaskning nøgletal'!$E$12:$E$62)+Markniveau!$Y458*Markniveau!$S458/100,IF($X458=2,LOOKUP(AI458,'Udvaskning nøgletal'!$C$12:$C$62,'Udvaskning nøgletal'!$F$12:$F$62)+Markniveau!$Y458*Markniveau!$S458/100,IF($X458=3,LOOKUP(AI458,'Udvaskning nøgletal'!$C$12:$C$62,'Udvaskning nøgletal'!Q468:Q518)+Markniveau!$Y458*Markniveau!$S458/100,"")))</f>
        <v>33.723295792149436</v>
      </c>
      <c r="AK458" s="10">
        <f t="shared" si="79"/>
        <v>170.30264375035463</v>
      </c>
      <c r="AL458" s="10">
        <f t="shared" si="71"/>
        <v>1.6861647896074716</v>
      </c>
      <c r="AM458" s="10">
        <f t="shared" si="72"/>
        <v>8.5151321875177306</v>
      </c>
    </row>
    <row r="459" spans="1:39" x14ac:dyDescent="0.25">
      <c r="A459" s="15">
        <v>18265788</v>
      </c>
      <c r="B459" s="15">
        <v>5.05</v>
      </c>
      <c r="C459" s="15">
        <v>395923</v>
      </c>
      <c r="D459" s="15">
        <v>83431</v>
      </c>
      <c r="E459" s="15" t="s">
        <v>396</v>
      </c>
      <c r="F459" s="15">
        <v>2011</v>
      </c>
      <c r="G459" s="15">
        <v>20110223</v>
      </c>
      <c r="H459" s="15">
        <v>42502</v>
      </c>
      <c r="I459" s="15">
        <v>4.25</v>
      </c>
      <c r="J459" s="6" t="s">
        <v>397</v>
      </c>
      <c r="K459" s="15">
        <v>260</v>
      </c>
      <c r="L459" s="15" t="s">
        <v>45</v>
      </c>
      <c r="M459" s="15" t="s">
        <v>5</v>
      </c>
      <c r="N459" s="11" t="s">
        <v>1384</v>
      </c>
      <c r="O459" s="11" t="s">
        <v>28</v>
      </c>
      <c r="P459" s="11" t="s">
        <v>33</v>
      </c>
      <c r="Q459" s="15">
        <v>0</v>
      </c>
      <c r="R459" s="11" t="s">
        <v>1386</v>
      </c>
      <c r="S459" s="10">
        <v>138.92273329733001</v>
      </c>
      <c r="T459" s="15">
        <v>80</v>
      </c>
      <c r="U459" s="15">
        <v>0</v>
      </c>
      <c r="V459" s="15">
        <v>1</v>
      </c>
      <c r="W459" s="15">
        <v>1</v>
      </c>
      <c r="X459" s="15">
        <f>IF(O459='Udvaskning nøgletal'!$D$65,1,IF(O459='Udvaskning nøgletal'!$D$66,2,IF(O459='Udvaskning nøgletal'!$D$67,3,IF(O459='Udvaskning nøgletal'!$D$68,2,""))))</f>
        <v>1</v>
      </c>
      <c r="Y459" s="15">
        <f>LOOKUP(K459,'Udvaskning nøgletal'!$C$12:$C$60,'Udvaskning nøgletal'!$H$12:$H$60)</f>
        <v>0</v>
      </c>
      <c r="Z459" s="10">
        <f>IF(X459=1,LOOKUP(K459,'Udvaskning nøgletal'!$C$12:$C$60,'Udvaskning nøgletal'!$E$12:$E$60)+Markniveau!Y459*Markniveau!S459/100,IF(X459=2,LOOKUP(K459,'Udvaskning nøgletal'!$C$12:$C$60,'Udvaskning nøgletal'!$F$12:$F$60)+Markniveau!Y459*Markniveau!S459/100,IF(X459=3,LOOKUP(K459,'Udvaskning nøgletal'!$C$12:$C$60,'Udvaskning nøgletal'!G469:G517)+Markniveau!Y459*Markniveau!S459/100,"")))</f>
        <v>33.723295792149436</v>
      </c>
      <c r="AA459" s="10">
        <f t="shared" si="76"/>
        <v>143.3240071166351</v>
      </c>
      <c r="AB459" s="10" t="str">
        <f t="shared" si="75"/>
        <v/>
      </c>
      <c r="AC459" s="10" t="str">
        <f t="shared" si="77"/>
        <v/>
      </c>
      <c r="AD459" s="10">
        <f>IF(AND(Q459&gt;0,Q459&lt;30,K459&lt;8),Markniveau!Z459*'Udvaskning nøgletal'!$I$12/100,IF(AND(Q459&gt;0,Q459&lt;30,K459=216),Markniveau!Z459*'Udvaskning nøgletal'!$I$34/100,Markniveau!Z459))</f>
        <v>33.723295792149436</v>
      </c>
      <c r="AE459" s="10">
        <f t="shared" si="73"/>
        <v>143.3240071166351</v>
      </c>
      <c r="AF459" s="10" t="str">
        <f t="shared" si="78"/>
        <v/>
      </c>
      <c r="AG459" s="10" t="str">
        <f t="shared" si="74"/>
        <v/>
      </c>
      <c r="AH459" s="10" t="str">
        <f>IF(AND(Q459&gt;0,Q459&lt;30,K459=216),'Udvaskning nøgletal'!$C$42,IF(AND(Q459&gt;0,Q459&lt;30,K459&gt;7,K459&lt;17),'Udvaskning nøgletal'!$C$61,IF(AND(Q459&gt;0,Q459&lt;30,K459&lt;7),'Udvaskning nøgletal'!$C$62,"")))</f>
        <v/>
      </c>
      <c r="AI459" s="10">
        <f t="shared" si="80"/>
        <v>260</v>
      </c>
      <c r="AJ459" s="10">
        <f>IF($X459=1,LOOKUP(AI459,'Udvaskning nøgletal'!$C$12:$C$62,'Udvaskning nøgletal'!$E$12:$E$62)+Markniveau!$Y459*Markniveau!$S459/100,IF($X459=2,LOOKUP(AI459,'Udvaskning nøgletal'!$C$12:$C$62,'Udvaskning nøgletal'!$F$12:$F$62)+Markniveau!$Y459*Markniveau!$S459/100,IF($X459=3,LOOKUP(AI459,'Udvaskning nøgletal'!$C$12:$C$62,'Udvaskning nøgletal'!Q469:Q519)+Markniveau!$Y459*Markniveau!$S459/100,"")))</f>
        <v>33.723295792149436</v>
      </c>
      <c r="AK459" s="10">
        <f t="shared" si="79"/>
        <v>143.3240071166351</v>
      </c>
      <c r="AL459" s="10" t="str">
        <f t="shared" ref="AL459:AL522" si="81">IF($Q459&gt;0,(100-$Q459)*AJ459/100,"")</f>
        <v/>
      </c>
      <c r="AM459" s="10" t="str">
        <f t="shared" ref="AM459:AM522" si="82">IF($Q459&gt;0,(100-$Q459)*AJ459/100*I459,"")</f>
        <v/>
      </c>
    </row>
    <row r="460" spans="1:39" x14ac:dyDescent="0.25">
      <c r="A460" s="15">
        <v>18265788</v>
      </c>
      <c r="B460" s="15">
        <v>5.05</v>
      </c>
      <c r="C460" s="15">
        <v>395924</v>
      </c>
      <c r="D460" s="15">
        <v>83431</v>
      </c>
      <c r="E460" s="15" t="s">
        <v>299</v>
      </c>
      <c r="F460" s="15">
        <v>2011</v>
      </c>
      <c r="G460" s="15">
        <v>20110223</v>
      </c>
      <c r="H460" s="15">
        <v>67330</v>
      </c>
      <c r="I460" s="15">
        <v>6.73</v>
      </c>
      <c r="J460" s="6" t="s">
        <v>95</v>
      </c>
      <c r="K460" s="15">
        <v>260</v>
      </c>
      <c r="L460" s="15" t="s">
        <v>45</v>
      </c>
      <c r="M460" s="15" t="s">
        <v>5</v>
      </c>
      <c r="N460" s="11" t="s">
        <v>1384</v>
      </c>
      <c r="O460" s="11" t="s">
        <v>28</v>
      </c>
      <c r="P460" s="11" t="s">
        <v>33</v>
      </c>
      <c r="Q460" s="15">
        <v>0</v>
      </c>
      <c r="R460" s="11" t="s">
        <v>1386</v>
      </c>
      <c r="S460" s="10">
        <v>138.92273329733001</v>
      </c>
      <c r="T460" s="15">
        <v>80</v>
      </c>
      <c r="U460" s="15">
        <v>0</v>
      </c>
      <c r="V460" s="15">
        <v>1</v>
      </c>
      <c r="W460" s="15">
        <v>1</v>
      </c>
      <c r="X460" s="15">
        <f>IF(O460='Udvaskning nøgletal'!$D$65,1,IF(O460='Udvaskning nøgletal'!$D$66,2,IF(O460='Udvaskning nøgletal'!$D$67,3,IF(O460='Udvaskning nøgletal'!$D$68,2,""))))</f>
        <v>1</v>
      </c>
      <c r="Y460" s="15">
        <f>LOOKUP(K460,'Udvaskning nøgletal'!$C$12:$C$60,'Udvaskning nøgletal'!$H$12:$H$60)</f>
        <v>0</v>
      </c>
      <c r="Z460" s="10">
        <f>IF(X460=1,LOOKUP(K460,'Udvaskning nøgletal'!$C$12:$C$60,'Udvaskning nøgletal'!$E$12:$E$60)+Markniveau!Y460*Markniveau!S460/100,IF(X460=2,LOOKUP(K460,'Udvaskning nøgletal'!$C$12:$C$60,'Udvaskning nøgletal'!$F$12:$F$60)+Markniveau!Y460*Markniveau!S460/100,IF(X460=3,LOOKUP(K460,'Udvaskning nøgletal'!$C$12:$C$60,'Udvaskning nøgletal'!G470:G518)+Markniveau!Y460*Markniveau!S460/100,"")))</f>
        <v>33.723295792149436</v>
      </c>
      <c r="AA460" s="10">
        <f t="shared" si="76"/>
        <v>226.95778068116573</v>
      </c>
      <c r="AB460" s="10" t="str">
        <f t="shared" si="75"/>
        <v/>
      </c>
      <c r="AC460" s="10" t="str">
        <f t="shared" si="77"/>
        <v/>
      </c>
      <c r="AD460" s="10">
        <f>IF(AND(Q460&gt;0,Q460&lt;30,K460&lt;8),Markniveau!Z460*'Udvaskning nøgletal'!$I$12/100,IF(AND(Q460&gt;0,Q460&lt;30,K460=216),Markniveau!Z460*'Udvaskning nøgletal'!$I$34/100,Markniveau!Z460))</f>
        <v>33.723295792149436</v>
      </c>
      <c r="AE460" s="10">
        <f t="shared" si="73"/>
        <v>226.95778068116573</v>
      </c>
      <c r="AF460" s="10" t="str">
        <f t="shared" si="78"/>
        <v/>
      </c>
      <c r="AG460" s="10" t="str">
        <f t="shared" si="74"/>
        <v/>
      </c>
      <c r="AH460" s="10" t="str">
        <f>IF(AND(Q460&gt;0,Q460&lt;30,K460=216),'Udvaskning nøgletal'!$C$42,IF(AND(Q460&gt;0,Q460&lt;30,K460&gt;7,K460&lt;17),'Udvaskning nøgletal'!$C$61,IF(AND(Q460&gt;0,Q460&lt;30,K460&lt;7),'Udvaskning nøgletal'!$C$62,"")))</f>
        <v/>
      </c>
      <c r="AI460" s="10">
        <f t="shared" si="80"/>
        <v>260</v>
      </c>
      <c r="AJ460" s="10">
        <f>IF($X460=1,LOOKUP(AI460,'Udvaskning nøgletal'!$C$12:$C$62,'Udvaskning nøgletal'!$E$12:$E$62)+Markniveau!$Y460*Markniveau!$S460/100,IF($X460=2,LOOKUP(AI460,'Udvaskning nøgletal'!$C$12:$C$62,'Udvaskning nøgletal'!$F$12:$F$62)+Markniveau!$Y460*Markniveau!$S460/100,IF($X460=3,LOOKUP(AI460,'Udvaskning nøgletal'!$C$12:$C$62,'Udvaskning nøgletal'!Q470:Q520)+Markniveau!$Y460*Markniveau!$S460/100,"")))</f>
        <v>33.723295792149436</v>
      </c>
      <c r="AK460" s="10">
        <f t="shared" si="79"/>
        <v>226.95778068116573</v>
      </c>
      <c r="AL460" s="10" t="str">
        <f t="shared" si="81"/>
        <v/>
      </c>
      <c r="AM460" s="10" t="str">
        <f t="shared" si="82"/>
        <v/>
      </c>
    </row>
    <row r="461" spans="1:39" x14ac:dyDescent="0.25">
      <c r="A461" s="15">
        <v>18265788</v>
      </c>
      <c r="B461" s="15">
        <v>5.05</v>
      </c>
      <c r="C461" s="15">
        <v>395925</v>
      </c>
      <c r="D461" s="15">
        <v>83431</v>
      </c>
      <c r="E461" s="15" t="s">
        <v>398</v>
      </c>
      <c r="F461" s="15">
        <v>2011</v>
      </c>
      <c r="G461" s="15">
        <v>20110223</v>
      </c>
      <c r="H461" s="15">
        <v>9922</v>
      </c>
      <c r="I461" s="15">
        <v>0.99</v>
      </c>
      <c r="J461" s="6" t="s">
        <v>1509</v>
      </c>
      <c r="K461" s="15">
        <v>260</v>
      </c>
      <c r="L461" s="15" t="s">
        <v>45</v>
      </c>
      <c r="M461" s="15" t="s">
        <v>5</v>
      </c>
      <c r="N461" s="11" t="s">
        <v>1384</v>
      </c>
      <c r="O461" s="11" t="s">
        <v>28</v>
      </c>
      <c r="P461" s="11" t="s">
        <v>33</v>
      </c>
      <c r="Q461" s="15">
        <v>0</v>
      </c>
      <c r="R461" s="11" t="s">
        <v>1386</v>
      </c>
      <c r="S461" s="10">
        <v>138.92273329733001</v>
      </c>
      <c r="T461" s="15">
        <v>80</v>
      </c>
      <c r="U461" s="15">
        <v>0</v>
      </c>
      <c r="V461" s="15">
        <v>1</v>
      </c>
      <c r="W461" s="15">
        <v>1</v>
      </c>
      <c r="X461" s="15">
        <f>IF(O461='Udvaskning nøgletal'!$D$65,1,IF(O461='Udvaskning nøgletal'!$D$66,2,IF(O461='Udvaskning nøgletal'!$D$67,3,IF(O461='Udvaskning nøgletal'!$D$68,2,""))))</f>
        <v>1</v>
      </c>
      <c r="Y461" s="15">
        <f>LOOKUP(K461,'Udvaskning nøgletal'!$C$12:$C$60,'Udvaskning nøgletal'!$H$12:$H$60)</f>
        <v>0</v>
      </c>
      <c r="Z461" s="10">
        <f>IF(X461=1,LOOKUP(K461,'Udvaskning nøgletal'!$C$12:$C$60,'Udvaskning nøgletal'!$E$12:$E$60)+Markniveau!Y461*Markniveau!S461/100,IF(X461=2,LOOKUP(K461,'Udvaskning nøgletal'!$C$12:$C$60,'Udvaskning nøgletal'!$F$12:$F$60)+Markniveau!Y461*Markniveau!S461/100,IF(X461=3,LOOKUP(K461,'Udvaskning nøgletal'!$C$12:$C$60,'Udvaskning nøgletal'!G471:G519)+Markniveau!Y461*Markniveau!S461/100,"")))</f>
        <v>33.723295792149436</v>
      </c>
      <c r="AA461" s="10">
        <f t="shared" si="76"/>
        <v>33.386062834227943</v>
      </c>
      <c r="AB461" s="10" t="str">
        <f t="shared" si="75"/>
        <v/>
      </c>
      <c r="AC461" s="10" t="str">
        <f t="shared" si="77"/>
        <v/>
      </c>
      <c r="AD461" s="10">
        <f>IF(AND(Q461&gt;0,Q461&lt;30,K461&lt;8),Markniveau!Z461*'Udvaskning nøgletal'!$I$12/100,IF(AND(Q461&gt;0,Q461&lt;30,K461=216),Markniveau!Z461*'Udvaskning nøgletal'!$I$34/100,Markniveau!Z461))</f>
        <v>33.723295792149436</v>
      </c>
      <c r="AE461" s="10">
        <f t="shared" si="73"/>
        <v>33.386062834227943</v>
      </c>
      <c r="AF461" s="10" t="str">
        <f t="shared" si="78"/>
        <v/>
      </c>
      <c r="AG461" s="10" t="str">
        <f t="shared" si="74"/>
        <v/>
      </c>
      <c r="AH461" s="10" t="str">
        <f>IF(AND(Q461&gt;0,Q461&lt;30,K461=216),'Udvaskning nøgletal'!$C$42,IF(AND(Q461&gt;0,Q461&lt;30,K461&gt;7,K461&lt;17),'Udvaskning nøgletal'!$C$61,IF(AND(Q461&gt;0,Q461&lt;30,K461&lt;7),'Udvaskning nøgletal'!$C$62,"")))</f>
        <v/>
      </c>
      <c r="AI461" s="10">
        <f t="shared" si="80"/>
        <v>260</v>
      </c>
      <c r="AJ461" s="10">
        <f>IF($X461=1,LOOKUP(AI461,'Udvaskning nøgletal'!$C$12:$C$62,'Udvaskning nøgletal'!$E$12:$E$62)+Markniveau!$Y461*Markniveau!$S461/100,IF($X461=2,LOOKUP(AI461,'Udvaskning nøgletal'!$C$12:$C$62,'Udvaskning nøgletal'!$F$12:$F$62)+Markniveau!$Y461*Markniveau!$S461/100,IF($X461=3,LOOKUP(AI461,'Udvaskning nøgletal'!$C$12:$C$62,'Udvaskning nøgletal'!Q471:Q521)+Markniveau!$Y461*Markniveau!$S461/100,"")))</f>
        <v>33.723295792149436</v>
      </c>
      <c r="AK461" s="10">
        <f t="shared" si="79"/>
        <v>33.386062834227943</v>
      </c>
      <c r="AL461" s="10" t="str">
        <f t="shared" si="81"/>
        <v/>
      </c>
      <c r="AM461" s="10" t="str">
        <f t="shared" si="82"/>
        <v/>
      </c>
    </row>
    <row r="462" spans="1:39" x14ac:dyDescent="0.25">
      <c r="A462" s="15">
        <v>18265788</v>
      </c>
      <c r="B462" s="15">
        <v>5.05</v>
      </c>
      <c r="C462" s="15">
        <v>395926</v>
      </c>
      <c r="D462" s="15">
        <v>83431</v>
      </c>
      <c r="E462" s="15" t="s">
        <v>399</v>
      </c>
      <c r="F462" s="15">
        <v>2011</v>
      </c>
      <c r="G462" s="15">
        <v>20110223</v>
      </c>
      <c r="H462" s="15">
        <v>40046</v>
      </c>
      <c r="I462" s="15">
        <v>4</v>
      </c>
      <c r="J462" s="6" t="s">
        <v>26</v>
      </c>
      <c r="K462" s="15">
        <v>216</v>
      </c>
      <c r="L462" s="15" t="s">
        <v>116</v>
      </c>
      <c r="M462" s="15" t="s">
        <v>5</v>
      </c>
      <c r="N462" s="11" t="s">
        <v>1384</v>
      </c>
      <c r="O462" s="11" t="s">
        <v>28</v>
      </c>
      <c r="P462" s="11" t="s">
        <v>33</v>
      </c>
      <c r="Q462" s="15">
        <v>0</v>
      </c>
      <c r="R462" s="11" t="s">
        <v>1386</v>
      </c>
      <c r="S462" s="10">
        <v>138.92273329733001</v>
      </c>
      <c r="T462" s="15">
        <v>80</v>
      </c>
      <c r="U462" s="15">
        <v>0</v>
      </c>
      <c r="V462" s="15">
        <v>1</v>
      </c>
      <c r="W462" s="15">
        <v>1</v>
      </c>
      <c r="X462" s="15">
        <f>IF(O462='Udvaskning nøgletal'!$D$65,1,IF(O462='Udvaskning nøgletal'!$D$66,2,IF(O462='Udvaskning nøgletal'!$D$67,3,IF(O462='Udvaskning nøgletal'!$D$68,2,""))))</f>
        <v>1</v>
      </c>
      <c r="Y462" s="15">
        <f>LOOKUP(K462,'Udvaskning nøgletal'!$C$12:$C$60,'Udvaskning nøgletal'!$H$12:$H$60)</f>
        <v>0</v>
      </c>
      <c r="Z462" s="10">
        <f>IF(X462=1,LOOKUP(K462,'Udvaskning nøgletal'!$C$12:$C$60,'Udvaskning nøgletal'!$E$12:$E$60)+Markniveau!Y462*Markniveau!S462/100,IF(X462=2,LOOKUP(K462,'Udvaskning nøgletal'!$C$12:$C$60,'Udvaskning nøgletal'!$F$12:$F$60)+Markniveau!Y462*Markniveau!S462/100,IF(X462=3,LOOKUP(K462,'Udvaskning nøgletal'!$C$12:$C$60,'Udvaskning nøgletal'!G472:G520)+Markniveau!Y462*Markniveau!S462/100,"")))</f>
        <v>125.85383557148924</v>
      </c>
      <c r="AA462" s="10">
        <f t="shared" si="76"/>
        <v>503.41534228595697</v>
      </c>
      <c r="AB462" s="10" t="str">
        <f t="shared" si="75"/>
        <v/>
      </c>
      <c r="AC462" s="10" t="str">
        <f t="shared" si="77"/>
        <v/>
      </c>
      <c r="AD462" s="10">
        <f>IF(AND(Q462&gt;0,Q462&lt;30,K462&lt;8),Markniveau!Z462*'Udvaskning nøgletal'!$I$12/100,IF(AND(Q462&gt;0,Q462&lt;30,K462=216),Markniveau!Z462*'Udvaskning nøgletal'!$I$34/100,Markniveau!Z462))</f>
        <v>125.85383557148924</v>
      </c>
      <c r="AE462" s="10">
        <f t="shared" si="73"/>
        <v>503.41534228595697</v>
      </c>
      <c r="AF462" s="10" t="str">
        <f t="shared" si="78"/>
        <v/>
      </c>
      <c r="AG462" s="10" t="str">
        <f t="shared" si="74"/>
        <v/>
      </c>
      <c r="AH462" s="10" t="str">
        <f>IF(AND(Q462&gt;0,Q462&lt;30,K462=216),'Udvaskning nøgletal'!$C$42,IF(AND(Q462&gt;0,Q462&lt;30,K462&gt;7,K462&lt;17),'Udvaskning nøgletal'!$C$61,IF(AND(Q462&gt;0,Q462&lt;30,K462&lt;7),'Udvaskning nøgletal'!$C$62,"")))</f>
        <v/>
      </c>
      <c r="AI462" s="10">
        <f t="shared" si="80"/>
        <v>216</v>
      </c>
      <c r="AJ462" s="10">
        <f>IF($X462=1,LOOKUP(AI462,'Udvaskning nøgletal'!$C$12:$C$62,'Udvaskning nøgletal'!$E$12:$E$62)+Markniveau!$Y462*Markniveau!$S462/100,IF($X462=2,LOOKUP(AI462,'Udvaskning nøgletal'!$C$12:$C$62,'Udvaskning nøgletal'!$F$12:$F$62)+Markniveau!$Y462*Markniveau!$S462/100,IF($X462=3,LOOKUP(AI462,'Udvaskning nøgletal'!$C$12:$C$62,'Udvaskning nøgletal'!Q472:Q522)+Markniveau!$Y462*Markniveau!$S462/100,"")))</f>
        <v>125.85383557148924</v>
      </c>
      <c r="AK462" s="10">
        <f t="shared" si="79"/>
        <v>503.41534228595697</v>
      </c>
      <c r="AL462" s="10" t="str">
        <f t="shared" si="81"/>
        <v/>
      </c>
      <c r="AM462" s="10" t="str">
        <f t="shared" si="82"/>
        <v/>
      </c>
    </row>
    <row r="463" spans="1:39" x14ac:dyDescent="0.25">
      <c r="A463" s="15">
        <v>18265788</v>
      </c>
      <c r="B463" s="15">
        <v>5.05</v>
      </c>
      <c r="C463" s="15">
        <v>395927</v>
      </c>
      <c r="D463" s="15">
        <v>83431</v>
      </c>
      <c r="E463" s="15" t="s">
        <v>396</v>
      </c>
      <c r="F463" s="15">
        <v>2011</v>
      </c>
      <c r="G463" s="15">
        <v>20110223</v>
      </c>
      <c r="H463" s="15">
        <v>48456</v>
      </c>
      <c r="I463" s="15">
        <v>4.8499999999999996</v>
      </c>
      <c r="J463" s="6" t="s">
        <v>69</v>
      </c>
      <c r="K463" s="15">
        <v>260</v>
      </c>
      <c r="L463" s="15" t="s">
        <v>45</v>
      </c>
      <c r="M463" s="15" t="s">
        <v>5</v>
      </c>
      <c r="N463" s="11" t="s">
        <v>1384</v>
      </c>
      <c r="O463" s="11" t="s">
        <v>28</v>
      </c>
      <c r="P463" s="11" t="s">
        <v>33</v>
      </c>
      <c r="Q463" s="15">
        <v>0</v>
      </c>
      <c r="R463" s="11" t="s">
        <v>1386</v>
      </c>
      <c r="S463" s="10">
        <v>138.92273329733001</v>
      </c>
      <c r="T463" s="15">
        <v>80</v>
      </c>
      <c r="U463" s="15">
        <v>0</v>
      </c>
      <c r="V463" s="15">
        <v>1</v>
      </c>
      <c r="W463" s="15">
        <v>1</v>
      </c>
      <c r="X463" s="15">
        <f>IF(O463='Udvaskning nøgletal'!$D$65,1,IF(O463='Udvaskning nøgletal'!$D$66,2,IF(O463='Udvaskning nøgletal'!$D$67,3,IF(O463='Udvaskning nøgletal'!$D$68,2,""))))</f>
        <v>1</v>
      </c>
      <c r="Y463" s="15">
        <f>LOOKUP(K463,'Udvaskning nøgletal'!$C$12:$C$60,'Udvaskning nøgletal'!$H$12:$H$60)</f>
        <v>0</v>
      </c>
      <c r="Z463" s="10">
        <f>IF(X463=1,LOOKUP(K463,'Udvaskning nøgletal'!$C$12:$C$60,'Udvaskning nøgletal'!$E$12:$E$60)+Markniveau!Y463*Markniveau!S463/100,IF(X463=2,LOOKUP(K463,'Udvaskning nøgletal'!$C$12:$C$60,'Udvaskning nøgletal'!$F$12:$F$60)+Markniveau!Y463*Markniveau!S463/100,IF(X463=3,LOOKUP(K463,'Udvaskning nøgletal'!$C$12:$C$60,'Udvaskning nøgletal'!G473:G521)+Markniveau!Y463*Markniveau!S463/100,"")))</f>
        <v>33.723295792149436</v>
      </c>
      <c r="AA463" s="10">
        <f t="shared" si="76"/>
        <v>163.55798459192476</v>
      </c>
      <c r="AB463" s="10" t="str">
        <f t="shared" si="75"/>
        <v/>
      </c>
      <c r="AC463" s="10" t="str">
        <f t="shared" si="77"/>
        <v/>
      </c>
      <c r="AD463" s="10">
        <f>IF(AND(Q463&gt;0,Q463&lt;30,K463&lt;8),Markniveau!Z463*'Udvaskning nøgletal'!$I$12/100,IF(AND(Q463&gt;0,Q463&lt;30,K463=216),Markniveau!Z463*'Udvaskning nøgletal'!$I$34/100,Markniveau!Z463))</f>
        <v>33.723295792149436</v>
      </c>
      <c r="AE463" s="10">
        <f t="shared" si="73"/>
        <v>163.55798459192476</v>
      </c>
      <c r="AF463" s="10" t="str">
        <f t="shared" si="78"/>
        <v/>
      </c>
      <c r="AG463" s="10" t="str">
        <f t="shared" si="74"/>
        <v/>
      </c>
      <c r="AH463" s="10" t="str">
        <f>IF(AND(Q463&gt;0,Q463&lt;30,K463=216),'Udvaskning nøgletal'!$C$42,IF(AND(Q463&gt;0,Q463&lt;30,K463&gt;7,K463&lt;17),'Udvaskning nøgletal'!$C$61,IF(AND(Q463&gt;0,Q463&lt;30,K463&lt;7),'Udvaskning nøgletal'!$C$62,"")))</f>
        <v/>
      </c>
      <c r="AI463" s="10">
        <f t="shared" si="80"/>
        <v>260</v>
      </c>
      <c r="AJ463" s="10">
        <f>IF($X463=1,LOOKUP(AI463,'Udvaskning nøgletal'!$C$12:$C$62,'Udvaskning nøgletal'!$E$12:$E$62)+Markniveau!$Y463*Markniveau!$S463/100,IF($X463=2,LOOKUP(AI463,'Udvaskning nøgletal'!$C$12:$C$62,'Udvaskning nøgletal'!$F$12:$F$62)+Markniveau!$Y463*Markniveau!$S463/100,IF($X463=3,LOOKUP(AI463,'Udvaskning nøgletal'!$C$12:$C$62,'Udvaskning nøgletal'!Q473:Q523)+Markniveau!$Y463*Markniveau!$S463/100,"")))</f>
        <v>33.723295792149436</v>
      </c>
      <c r="AK463" s="10">
        <f t="shared" si="79"/>
        <v>163.55798459192476</v>
      </c>
      <c r="AL463" s="10" t="str">
        <f t="shared" si="81"/>
        <v/>
      </c>
      <c r="AM463" s="10" t="str">
        <f t="shared" si="82"/>
        <v/>
      </c>
    </row>
    <row r="464" spans="1:39" x14ac:dyDescent="0.25">
      <c r="A464" s="15">
        <v>18265788</v>
      </c>
      <c r="B464" s="15">
        <v>5.05</v>
      </c>
      <c r="C464" s="15">
        <v>395928</v>
      </c>
      <c r="D464" s="15">
        <v>83431</v>
      </c>
      <c r="E464" s="15" t="s">
        <v>400</v>
      </c>
      <c r="F464" s="15">
        <v>2011</v>
      </c>
      <c r="G464" s="15">
        <v>20110223</v>
      </c>
      <c r="H464" s="15">
        <v>68423</v>
      </c>
      <c r="I464" s="15">
        <v>6.84</v>
      </c>
      <c r="J464" s="6" t="s">
        <v>73</v>
      </c>
      <c r="K464" s="15">
        <v>260</v>
      </c>
      <c r="L464" s="15" t="s">
        <v>45</v>
      </c>
      <c r="M464" s="15" t="s">
        <v>5</v>
      </c>
      <c r="N464" s="11" t="s">
        <v>1384</v>
      </c>
      <c r="O464" s="11" t="s">
        <v>28</v>
      </c>
      <c r="P464" s="11" t="s">
        <v>33</v>
      </c>
      <c r="Q464" s="15">
        <v>0</v>
      </c>
      <c r="R464" s="11" t="s">
        <v>1386</v>
      </c>
      <c r="S464" s="10">
        <v>138.92273329733001</v>
      </c>
      <c r="T464" s="15">
        <v>80</v>
      </c>
      <c r="U464" s="15">
        <v>0</v>
      </c>
      <c r="V464" s="15">
        <v>1</v>
      </c>
      <c r="W464" s="15">
        <v>1</v>
      </c>
      <c r="X464" s="15">
        <f>IF(O464='Udvaskning nøgletal'!$D$65,1,IF(O464='Udvaskning nøgletal'!$D$66,2,IF(O464='Udvaskning nøgletal'!$D$67,3,IF(O464='Udvaskning nøgletal'!$D$68,2,""))))</f>
        <v>1</v>
      </c>
      <c r="Y464" s="15">
        <f>LOOKUP(K464,'Udvaskning nøgletal'!$C$12:$C$60,'Udvaskning nøgletal'!$H$12:$H$60)</f>
        <v>0</v>
      </c>
      <c r="Z464" s="10">
        <f>IF(X464=1,LOOKUP(K464,'Udvaskning nøgletal'!$C$12:$C$60,'Udvaskning nøgletal'!$E$12:$E$60)+Markniveau!Y464*Markniveau!S464/100,IF(X464=2,LOOKUP(K464,'Udvaskning nøgletal'!$C$12:$C$60,'Udvaskning nøgletal'!$F$12:$F$60)+Markniveau!Y464*Markniveau!S464/100,IF(X464=3,LOOKUP(K464,'Udvaskning nøgletal'!$C$12:$C$60,'Udvaskning nøgletal'!G474:G522)+Markniveau!Y464*Markniveau!S464/100,"")))</f>
        <v>33.723295792149436</v>
      </c>
      <c r="AA464" s="10">
        <f t="shared" si="76"/>
        <v>230.66734321830214</v>
      </c>
      <c r="AB464" s="10" t="str">
        <f t="shared" si="75"/>
        <v/>
      </c>
      <c r="AC464" s="10" t="str">
        <f t="shared" si="77"/>
        <v/>
      </c>
      <c r="AD464" s="10">
        <f>IF(AND(Q464&gt;0,Q464&lt;30,K464&lt;8),Markniveau!Z464*'Udvaskning nøgletal'!$I$12/100,IF(AND(Q464&gt;0,Q464&lt;30,K464=216),Markniveau!Z464*'Udvaskning nøgletal'!$I$34/100,Markniveau!Z464))</f>
        <v>33.723295792149436</v>
      </c>
      <c r="AE464" s="10">
        <f t="shared" si="73"/>
        <v>230.66734321830214</v>
      </c>
      <c r="AF464" s="10" t="str">
        <f t="shared" si="78"/>
        <v/>
      </c>
      <c r="AG464" s="10" t="str">
        <f t="shared" si="74"/>
        <v/>
      </c>
      <c r="AH464" s="10" t="str">
        <f>IF(AND(Q464&gt;0,Q464&lt;30,K464=216),'Udvaskning nøgletal'!$C$42,IF(AND(Q464&gt;0,Q464&lt;30,K464&gt;7,K464&lt;17),'Udvaskning nøgletal'!$C$61,IF(AND(Q464&gt;0,Q464&lt;30,K464&lt;7),'Udvaskning nøgletal'!$C$62,"")))</f>
        <v/>
      </c>
      <c r="AI464" s="10">
        <f t="shared" si="80"/>
        <v>260</v>
      </c>
      <c r="AJ464" s="10">
        <f>IF($X464=1,LOOKUP(AI464,'Udvaskning nøgletal'!$C$12:$C$62,'Udvaskning nøgletal'!$E$12:$E$62)+Markniveau!$Y464*Markniveau!$S464/100,IF($X464=2,LOOKUP(AI464,'Udvaskning nøgletal'!$C$12:$C$62,'Udvaskning nøgletal'!$F$12:$F$62)+Markniveau!$Y464*Markniveau!$S464/100,IF($X464=3,LOOKUP(AI464,'Udvaskning nøgletal'!$C$12:$C$62,'Udvaskning nøgletal'!Q474:Q524)+Markniveau!$Y464*Markniveau!$S464/100,"")))</f>
        <v>33.723295792149436</v>
      </c>
      <c r="AK464" s="10">
        <f t="shared" si="79"/>
        <v>230.66734321830214</v>
      </c>
      <c r="AL464" s="10" t="str">
        <f t="shared" si="81"/>
        <v/>
      </c>
      <c r="AM464" s="10" t="str">
        <f t="shared" si="82"/>
        <v/>
      </c>
    </row>
    <row r="465" spans="1:39" x14ac:dyDescent="0.25">
      <c r="A465" s="15">
        <v>18265788</v>
      </c>
      <c r="B465" s="15">
        <v>5.05</v>
      </c>
      <c r="C465" s="15">
        <v>396444</v>
      </c>
      <c r="D465" s="15">
        <v>83431</v>
      </c>
      <c r="E465" s="15" t="s">
        <v>400</v>
      </c>
      <c r="F465" s="15">
        <v>2011</v>
      </c>
      <c r="G465" s="15">
        <v>20110223</v>
      </c>
      <c r="H465" s="15">
        <v>73309</v>
      </c>
      <c r="I465" s="15">
        <v>7.33</v>
      </c>
      <c r="J465" s="6" t="s">
        <v>86</v>
      </c>
      <c r="K465" s="15">
        <v>260</v>
      </c>
      <c r="L465" s="15" t="s">
        <v>45</v>
      </c>
      <c r="M465" s="15" t="s">
        <v>5</v>
      </c>
      <c r="N465" s="11" t="s">
        <v>1384</v>
      </c>
      <c r="O465" s="11" t="s">
        <v>28</v>
      </c>
      <c r="P465" s="11" t="s">
        <v>33</v>
      </c>
      <c r="Q465" s="15">
        <v>0</v>
      </c>
      <c r="R465" s="11" t="s">
        <v>1386</v>
      </c>
      <c r="S465" s="10">
        <v>138.92273329733001</v>
      </c>
      <c r="T465" s="15">
        <v>80</v>
      </c>
      <c r="U465" s="15">
        <v>0</v>
      </c>
      <c r="V465" s="15">
        <v>1</v>
      </c>
      <c r="W465" s="15">
        <v>1</v>
      </c>
      <c r="X465" s="15">
        <f>IF(O465='Udvaskning nøgletal'!$D$65,1,IF(O465='Udvaskning nøgletal'!$D$66,2,IF(O465='Udvaskning nøgletal'!$D$67,3,IF(O465='Udvaskning nøgletal'!$D$68,2,""))))</f>
        <v>1</v>
      </c>
      <c r="Y465" s="15">
        <f>LOOKUP(K465,'Udvaskning nøgletal'!$C$12:$C$60,'Udvaskning nøgletal'!$H$12:$H$60)</f>
        <v>0</v>
      </c>
      <c r="Z465" s="10">
        <f>IF(X465=1,LOOKUP(K465,'Udvaskning nøgletal'!$C$12:$C$60,'Udvaskning nøgletal'!$E$12:$E$60)+Markniveau!Y465*Markniveau!S465/100,IF(X465=2,LOOKUP(K465,'Udvaskning nøgletal'!$C$12:$C$60,'Udvaskning nøgletal'!$F$12:$F$60)+Markniveau!Y465*Markniveau!S465/100,IF(X465=3,LOOKUP(K465,'Udvaskning nøgletal'!$C$12:$C$60,'Udvaskning nøgletal'!G475:G523)+Markniveau!Y465*Markniveau!S465/100,"")))</f>
        <v>33.723295792149436</v>
      </c>
      <c r="AA465" s="10">
        <f t="shared" si="76"/>
        <v>247.19175815645536</v>
      </c>
      <c r="AB465" s="10" t="str">
        <f t="shared" si="75"/>
        <v/>
      </c>
      <c r="AC465" s="10" t="str">
        <f t="shared" si="77"/>
        <v/>
      </c>
      <c r="AD465" s="10">
        <f>IF(AND(Q465&gt;0,Q465&lt;30,K465&lt;8),Markniveau!Z465*'Udvaskning nøgletal'!$I$12/100,IF(AND(Q465&gt;0,Q465&lt;30,K465=216),Markniveau!Z465*'Udvaskning nøgletal'!$I$34/100,Markniveau!Z465))</f>
        <v>33.723295792149436</v>
      </c>
      <c r="AE465" s="10">
        <f t="shared" ref="AE465:AE528" si="83">AD465*I465</f>
        <v>247.19175815645536</v>
      </c>
      <c r="AF465" s="10" t="str">
        <f t="shared" si="78"/>
        <v/>
      </c>
      <c r="AG465" s="10" t="str">
        <f t="shared" ref="AG465:AG528" si="84">IF($Q465&gt;0,(100-$Q465)*$AD465/100*I465,"")</f>
        <v/>
      </c>
      <c r="AH465" s="10" t="str">
        <f>IF(AND(Q465&gt;0,Q465&lt;30,K465=216),'Udvaskning nøgletal'!$C$42,IF(AND(Q465&gt;0,Q465&lt;30,K465&gt;7,K465&lt;17),'Udvaskning nøgletal'!$C$61,IF(AND(Q465&gt;0,Q465&lt;30,K465&lt;7),'Udvaskning nøgletal'!$C$62,"")))</f>
        <v/>
      </c>
      <c r="AI465" s="10">
        <f t="shared" si="80"/>
        <v>260</v>
      </c>
      <c r="AJ465" s="10">
        <f>IF($X465=1,LOOKUP(AI465,'Udvaskning nøgletal'!$C$12:$C$62,'Udvaskning nøgletal'!$E$12:$E$62)+Markniveau!$Y465*Markniveau!$S465/100,IF($X465=2,LOOKUP(AI465,'Udvaskning nøgletal'!$C$12:$C$62,'Udvaskning nøgletal'!$F$12:$F$62)+Markniveau!$Y465*Markniveau!$S465/100,IF($X465=3,LOOKUP(AI465,'Udvaskning nøgletal'!$C$12:$C$62,'Udvaskning nøgletal'!Q475:Q525)+Markniveau!$Y465*Markniveau!$S465/100,"")))</f>
        <v>33.723295792149436</v>
      </c>
      <c r="AK465" s="10">
        <f t="shared" si="79"/>
        <v>247.19175815645536</v>
      </c>
      <c r="AL465" s="10" t="str">
        <f t="shared" si="81"/>
        <v/>
      </c>
      <c r="AM465" s="10" t="str">
        <f t="shared" si="82"/>
        <v/>
      </c>
    </row>
    <row r="466" spans="1:39" x14ac:dyDescent="0.25">
      <c r="A466" s="15">
        <v>18265788</v>
      </c>
      <c r="B466" s="15">
        <v>5.05</v>
      </c>
      <c r="C466" s="15">
        <v>396981</v>
      </c>
      <c r="D466" s="15">
        <v>83431</v>
      </c>
      <c r="E466" s="15" t="s">
        <v>400</v>
      </c>
      <c r="F466" s="15">
        <v>2011</v>
      </c>
      <c r="G466" s="15">
        <v>20110223</v>
      </c>
      <c r="H466" s="15">
        <v>72161</v>
      </c>
      <c r="I466" s="15">
        <v>7.22</v>
      </c>
      <c r="J466" s="6" t="s">
        <v>125</v>
      </c>
      <c r="K466" s="15">
        <v>172</v>
      </c>
      <c r="L466" s="15" t="s">
        <v>401</v>
      </c>
      <c r="M466" s="15" t="s">
        <v>5</v>
      </c>
      <c r="N466" s="11" t="s">
        <v>1384</v>
      </c>
      <c r="O466" s="11" t="s">
        <v>28</v>
      </c>
      <c r="P466" s="11" t="s">
        <v>33</v>
      </c>
      <c r="Q466" s="15">
        <v>0</v>
      </c>
      <c r="R466" s="11" t="s">
        <v>1386</v>
      </c>
      <c r="S466" s="10">
        <v>138.92273329733001</v>
      </c>
      <c r="T466" s="15">
        <v>80</v>
      </c>
      <c r="U466" s="15">
        <v>0</v>
      </c>
      <c r="V466" s="15">
        <v>1</v>
      </c>
      <c r="W466" s="15">
        <v>1</v>
      </c>
      <c r="X466" s="15">
        <f>IF(O466='Udvaskning nøgletal'!$D$65,1,IF(O466='Udvaskning nøgletal'!$D$66,2,IF(O466='Udvaskning nøgletal'!$D$67,3,IF(O466='Udvaskning nøgletal'!$D$68,2,""))))</f>
        <v>1</v>
      </c>
      <c r="Y466" s="15">
        <f>LOOKUP(K466,'Udvaskning nøgletal'!$C$12:$C$60,'Udvaskning nøgletal'!$H$12:$H$60)</f>
        <v>0</v>
      </c>
      <c r="Z466" s="10">
        <f>IF(X466=1,LOOKUP(K466,'Udvaskning nøgletal'!$C$12:$C$60,'Udvaskning nøgletal'!$E$12:$E$60)+Markniveau!Y466*Markniveau!S466/100,IF(X466=2,LOOKUP(K466,'Udvaskning nøgletal'!$C$12:$C$60,'Udvaskning nøgletal'!$F$12:$F$60)+Markniveau!Y466*Markniveau!S466/100,IF(X466=3,LOOKUP(K466,'Udvaskning nøgletal'!$C$12:$C$60,'Udvaskning nøgletal'!G476:G524)+Markniveau!Y466*Markniveau!S466/100,"")))</f>
        <v>33.723295792149436</v>
      </c>
      <c r="AA466" s="10">
        <f t="shared" si="76"/>
        <v>243.48219561931893</v>
      </c>
      <c r="AB466" s="10" t="str">
        <f t="shared" si="75"/>
        <v/>
      </c>
      <c r="AC466" s="10" t="str">
        <f t="shared" si="77"/>
        <v/>
      </c>
      <c r="AD466" s="10">
        <f>IF(AND(Q466&gt;0,Q466&lt;30,K466&lt;8),Markniveau!Z466*'Udvaskning nøgletal'!$I$12/100,IF(AND(Q466&gt;0,Q466&lt;30,K466=216),Markniveau!Z466*'Udvaskning nøgletal'!$I$34/100,Markniveau!Z466))</f>
        <v>33.723295792149436</v>
      </c>
      <c r="AE466" s="10">
        <f t="shared" si="83"/>
        <v>243.48219561931893</v>
      </c>
      <c r="AF466" s="10" t="str">
        <f t="shared" si="78"/>
        <v/>
      </c>
      <c r="AG466" s="10" t="str">
        <f t="shared" si="84"/>
        <v/>
      </c>
      <c r="AH466" s="10" t="str">
        <f>IF(AND(Q466&gt;0,Q466&lt;30,K466=216),'Udvaskning nøgletal'!$C$42,IF(AND(Q466&gt;0,Q466&lt;30,K466&gt;7,K466&lt;17),'Udvaskning nøgletal'!$C$61,IF(AND(Q466&gt;0,Q466&lt;30,K466&lt;7),'Udvaskning nøgletal'!$C$62,"")))</f>
        <v/>
      </c>
      <c r="AI466" s="10">
        <f t="shared" si="80"/>
        <v>172</v>
      </c>
      <c r="AJ466" s="10">
        <f>IF($X466=1,LOOKUP(AI466,'Udvaskning nøgletal'!$C$12:$C$62,'Udvaskning nøgletal'!$E$12:$E$62)+Markniveau!$Y466*Markniveau!$S466/100,IF($X466=2,LOOKUP(AI466,'Udvaskning nøgletal'!$C$12:$C$62,'Udvaskning nøgletal'!$F$12:$F$62)+Markniveau!$Y466*Markniveau!$S466/100,IF($X466=3,LOOKUP(AI466,'Udvaskning nøgletal'!$C$12:$C$62,'Udvaskning nøgletal'!Q476:Q526)+Markniveau!$Y466*Markniveau!$S466/100,"")))</f>
        <v>33.723295792149436</v>
      </c>
      <c r="AK466" s="10">
        <f t="shared" si="79"/>
        <v>243.48219561931893</v>
      </c>
      <c r="AL466" s="10" t="str">
        <f t="shared" si="81"/>
        <v/>
      </c>
      <c r="AM466" s="10" t="str">
        <f t="shared" si="82"/>
        <v/>
      </c>
    </row>
    <row r="467" spans="1:39" x14ac:dyDescent="0.25">
      <c r="A467" s="15">
        <v>18265788</v>
      </c>
      <c r="B467" s="15">
        <v>5.05</v>
      </c>
      <c r="C467" s="15">
        <v>397471</v>
      </c>
      <c r="D467" s="15">
        <v>83431</v>
      </c>
      <c r="E467" s="15" t="s">
        <v>356</v>
      </c>
      <c r="F467" s="15">
        <v>2011</v>
      </c>
      <c r="G467" s="15">
        <v>20110223</v>
      </c>
      <c r="H467" s="15">
        <v>87972</v>
      </c>
      <c r="I467" s="15">
        <v>8.8000000000000007</v>
      </c>
      <c r="J467" s="6" t="s">
        <v>35</v>
      </c>
      <c r="K467" s="15">
        <v>230</v>
      </c>
      <c r="L467" s="15" t="s">
        <v>120</v>
      </c>
      <c r="M467" s="15" t="s">
        <v>5</v>
      </c>
      <c r="N467" s="11" t="s">
        <v>1384</v>
      </c>
      <c r="O467" s="11" t="s">
        <v>28</v>
      </c>
      <c r="P467" s="11" t="s">
        <v>33</v>
      </c>
      <c r="Q467" s="15">
        <v>0</v>
      </c>
      <c r="R467" s="11" t="s">
        <v>1386</v>
      </c>
      <c r="S467" s="10">
        <v>138.92273329733001</v>
      </c>
      <c r="T467" s="15">
        <v>80</v>
      </c>
      <c r="U467" s="15">
        <v>0</v>
      </c>
      <c r="V467" s="15">
        <v>1</v>
      </c>
      <c r="W467" s="15">
        <v>1</v>
      </c>
      <c r="X467" s="15">
        <f>IF(O467='Udvaskning nøgletal'!$D$65,1,IF(O467='Udvaskning nøgletal'!$D$66,2,IF(O467='Udvaskning nøgletal'!$D$67,3,IF(O467='Udvaskning nøgletal'!$D$68,2,""))))</f>
        <v>1</v>
      </c>
      <c r="Y467" s="15">
        <f>LOOKUP(K467,'Udvaskning nøgletal'!$C$12:$C$60,'Udvaskning nøgletal'!$H$12:$H$60)</f>
        <v>0</v>
      </c>
      <c r="Z467" s="10">
        <f>IF(X467=1,LOOKUP(K467,'Udvaskning nøgletal'!$C$12:$C$60,'Udvaskning nøgletal'!$E$12:$E$60)+Markniveau!Y467*Markniveau!S467/100,IF(X467=2,LOOKUP(K467,'Udvaskning nøgletal'!$C$12:$C$60,'Udvaskning nøgletal'!$F$12:$F$60)+Markniveau!Y467*Markniveau!S467/100,IF(X467=3,LOOKUP(K467,'Udvaskning nøgletal'!$C$12:$C$60,'Udvaskning nøgletal'!G477:G525)+Markniveau!Y467*Markniveau!S467/100,"")))</f>
        <v>38.620385460262987</v>
      </c>
      <c r="AA467" s="10">
        <f t="shared" si="76"/>
        <v>339.85939205031434</v>
      </c>
      <c r="AB467" s="10" t="str">
        <f t="shared" si="75"/>
        <v/>
      </c>
      <c r="AC467" s="10" t="str">
        <f t="shared" si="77"/>
        <v/>
      </c>
      <c r="AD467" s="10">
        <f>IF(AND(Q467&gt;0,Q467&lt;30,K467&lt;8),Markniveau!Z467*'Udvaskning nøgletal'!$I$12/100,IF(AND(Q467&gt;0,Q467&lt;30,K467=216),Markniveau!Z467*'Udvaskning nøgletal'!$I$34/100,Markniveau!Z467))</f>
        <v>38.620385460262987</v>
      </c>
      <c r="AE467" s="10">
        <f t="shared" si="83"/>
        <v>339.85939205031434</v>
      </c>
      <c r="AF467" s="10" t="str">
        <f t="shared" si="78"/>
        <v/>
      </c>
      <c r="AG467" s="10" t="str">
        <f t="shared" si="84"/>
        <v/>
      </c>
      <c r="AH467" s="10" t="str">
        <f>IF(AND(Q467&gt;0,Q467&lt;30,K467=216),'Udvaskning nøgletal'!$C$42,IF(AND(Q467&gt;0,Q467&lt;30,K467&gt;7,K467&lt;17),'Udvaskning nøgletal'!$C$61,IF(AND(Q467&gt;0,Q467&lt;30,K467&lt;7),'Udvaskning nøgletal'!$C$62,"")))</f>
        <v/>
      </c>
      <c r="AI467" s="10">
        <f t="shared" si="80"/>
        <v>230</v>
      </c>
      <c r="AJ467" s="10">
        <f>IF($X467=1,LOOKUP(AI467,'Udvaskning nøgletal'!$C$12:$C$62,'Udvaskning nøgletal'!$E$12:$E$62)+Markniveau!$Y467*Markniveau!$S467/100,IF($X467=2,LOOKUP(AI467,'Udvaskning nøgletal'!$C$12:$C$62,'Udvaskning nøgletal'!$F$12:$F$62)+Markniveau!$Y467*Markniveau!$S467/100,IF($X467=3,LOOKUP(AI467,'Udvaskning nøgletal'!$C$12:$C$62,'Udvaskning nøgletal'!Q477:Q527)+Markniveau!$Y467*Markniveau!$S467/100,"")))</f>
        <v>38.620385460262987</v>
      </c>
      <c r="AK467" s="10">
        <f t="shared" si="79"/>
        <v>339.85939205031434</v>
      </c>
      <c r="AL467" s="10" t="str">
        <f t="shared" si="81"/>
        <v/>
      </c>
      <c r="AM467" s="10" t="str">
        <f t="shared" si="82"/>
        <v/>
      </c>
    </row>
    <row r="468" spans="1:39" x14ac:dyDescent="0.25">
      <c r="A468" s="15">
        <v>18265788</v>
      </c>
      <c r="B468" s="15">
        <v>5.05</v>
      </c>
      <c r="C468" s="15">
        <v>397475</v>
      </c>
      <c r="D468" s="15">
        <v>83431</v>
      </c>
      <c r="E468" s="15" t="s">
        <v>402</v>
      </c>
      <c r="F468" s="15">
        <v>2011</v>
      </c>
      <c r="G468" s="15">
        <v>20110223</v>
      </c>
      <c r="H468" s="15">
        <v>22414</v>
      </c>
      <c r="I468" s="15">
        <v>2.2400000000000002</v>
      </c>
      <c r="J468" s="6" t="s">
        <v>74</v>
      </c>
      <c r="K468" s="15">
        <v>261</v>
      </c>
      <c r="L468" s="15" t="s">
        <v>403</v>
      </c>
      <c r="M468" s="15" t="s">
        <v>5</v>
      </c>
      <c r="N468" s="11" t="s">
        <v>1384</v>
      </c>
      <c r="O468" s="11" t="s">
        <v>28</v>
      </c>
      <c r="P468" s="11" t="s">
        <v>33</v>
      </c>
      <c r="Q468" s="15">
        <v>0</v>
      </c>
      <c r="R468" s="11" t="s">
        <v>1386</v>
      </c>
      <c r="S468" s="10">
        <v>138.92273329733001</v>
      </c>
      <c r="T468" s="15">
        <v>80</v>
      </c>
      <c r="U468" s="15">
        <v>0</v>
      </c>
      <c r="V468" s="15">
        <v>1</v>
      </c>
      <c r="W468" s="15">
        <v>1</v>
      </c>
      <c r="X468" s="15">
        <f>IF(O468='Udvaskning nøgletal'!$D$65,1,IF(O468='Udvaskning nøgletal'!$D$66,2,IF(O468='Udvaskning nøgletal'!$D$67,3,IF(O468='Udvaskning nøgletal'!$D$68,2,""))))</f>
        <v>1</v>
      </c>
      <c r="Y468" s="15">
        <f>LOOKUP(K468,'Udvaskning nøgletal'!$C$12:$C$60,'Udvaskning nøgletal'!$H$12:$H$60)</f>
        <v>0</v>
      </c>
      <c r="Z468" s="10">
        <f>IF(X468=1,LOOKUP(K468,'Udvaskning nøgletal'!$C$12:$C$60,'Udvaskning nøgletal'!$E$12:$E$60)+Markniveau!Y468*Markniveau!S468/100,IF(X468=2,LOOKUP(K468,'Udvaskning nøgletal'!$C$12:$C$60,'Udvaskning nøgletal'!$F$12:$F$60)+Markniveau!Y468*Markniveau!S468/100,IF(X468=3,LOOKUP(K468,'Udvaskning nøgletal'!$C$12:$C$60,'Udvaskning nøgletal'!G478:G526)+Markniveau!Y468*Markniveau!S468/100,"")))</f>
        <v>33.723295792149436</v>
      </c>
      <c r="AA468" s="10">
        <f t="shared" si="76"/>
        <v>75.540182574414743</v>
      </c>
      <c r="AB468" s="10" t="str">
        <f t="shared" si="75"/>
        <v/>
      </c>
      <c r="AC468" s="10" t="str">
        <f t="shared" si="77"/>
        <v/>
      </c>
      <c r="AD468" s="10">
        <f>IF(AND(Q468&gt;0,Q468&lt;30,K468&lt;8),Markniveau!Z468*'Udvaskning nøgletal'!$I$12/100,IF(AND(Q468&gt;0,Q468&lt;30,K468=216),Markniveau!Z468*'Udvaskning nøgletal'!$I$34/100,Markniveau!Z468))</f>
        <v>33.723295792149436</v>
      </c>
      <c r="AE468" s="10">
        <f t="shared" si="83"/>
        <v>75.540182574414743</v>
      </c>
      <c r="AF468" s="10" t="str">
        <f t="shared" si="78"/>
        <v/>
      </c>
      <c r="AG468" s="10" t="str">
        <f t="shared" si="84"/>
        <v/>
      </c>
      <c r="AH468" s="10" t="str">
        <f>IF(AND(Q468&gt;0,Q468&lt;30,K468=216),'Udvaskning nøgletal'!$C$42,IF(AND(Q468&gt;0,Q468&lt;30,K468&gt;7,K468&lt;17),'Udvaskning nøgletal'!$C$61,IF(AND(Q468&gt;0,Q468&lt;30,K468&lt;7),'Udvaskning nøgletal'!$C$62,"")))</f>
        <v/>
      </c>
      <c r="AI468" s="10">
        <f t="shared" si="80"/>
        <v>261</v>
      </c>
      <c r="AJ468" s="10">
        <f>IF($X468=1,LOOKUP(AI468,'Udvaskning nøgletal'!$C$12:$C$62,'Udvaskning nøgletal'!$E$12:$E$62)+Markniveau!$Y468*Markniveau!$S468/100,IF($X468=2,LOOKUP(AI468,'Udvaskning nøgletal'!$C$12:$C$62,'Udvaskning nøgletal'!$F$12:$F$62)+Markniveau!$Y468*Markniveau!$S468/100,IF($X468=3,LOOKUP(AI468,'Udvaskning nøgletal'!$C$12:$C$62,'Udvaskning nøgletal'!Q478:Q528)+Markniveau!$Y468*Markniveau!$S468/100,"")))</f>
        <v>33.723295792149436</v>
      </c>
      <c r="AK468" s="10">
        <f t="shared" si="79"/>
        <v>75.540182574414743</v>
      </c>
      <c r="AL468" s="10" t="str">
        <f t="shared" si="81"/>
        <v/>
      </c>
      <c r="AM468" s="10" t="str">
        <f t="shared" si="82"/>
        <v/>
      </c>
    </row>
    <row r="469" spans="1:39" x14ac:dyDescent="0.25">
      <c r="A469" s="15">
        <v>18265788</v>
      </c>
      <c r="B469" s="15">
        <v>5.05</v>
      </c>
      <c r="C469" s="15">
        <v>397476</v>
      </c>
      <c r="D469" s="15">
        <v>83431</v>
      </c>
      <c r="E469" s="15" t="s">
        <v>404</v>
      </c>
      <c r="F469" s="15">
        <v>2011</v>
      </c>
      <c r="G469" s="15">
        <v>20110223</v>
      </c>
      <c r="H469" s="15">
        <v>241636</v>
      </c>
      <c r="I469" s="15">
        <v>24.16</v>
      </c>
      <c r="J469" s="6" t="s">
        <v>87</v>
      </c>
      <c r="K469" s="15">
        <v>260</v>
      </c>
      <c r="L469" s="15" t="s">
        <v>45</v>
      </c>
      <c r="M469" s="15" t="s">
        <v>5</v>
      </c>
      <c r="N469" s="11" t="s">
        <v>1384</v>
      </c>
      <c r="O469" s="11" t="s">
        <v>28</v>
      </c>
      <c r="P469" s="11" t="s">
        <v>33</v>
      </c>
      <c r="Q469" s="15">
        <v>0</v>
      </c>
      <c r="R469" s="11" t="s">
        <v>1386</v>
      </c>
      <c r="S469" s="10">
        <v>138.92273329733001</v>
      </c>
      <c r="T469" s="15">
        <v>80</v>
      </c>
      <c r="U469" s="15">
        <v>0</v>
      </c>
      <c r="V469" s="15">
        <v>1</v>
      </c>
      <c r="W469" s="15">
        <v>1</v>
      </c>
      <c r="X469" s="15">
        <f>IF(O469='Udvaskning nøgletal'!$D$65,1,IF(O469='Udvaskning nøgletal'!$D$66,2,IF(O469='Udvaskning nøgletal'!$D$67,3,IF(O469='Udvaskning nøgletal'!$D$68,2,""))))</f>
        <v>1</v>
      </c>
      <c r="Y469" s="15">
        <f>LOOKUP(K469,'Udvaskning nøgletal'!$C$12:$C$60,'Udvaskning nøgletal'!$H$12:$H$60)</f>
        <v>0</v>
      </c>
      <c r="Z469" s="10">
        <f>IF(X469=1,LOOKUP(K469,'Udvaskning nøgletal'!$C$12:$C$60,'Udvaskning nøgletal'!$E$12:$E$60)+Markniveau!Y469*Markniveau!S469/100,IF(X469=2,LOOKUP(K469,'Udvaskning nøgletal'!$C$12:$C$60,'Udvaskning nøgletal'!$F$12:$F$60)+Markniveau!Y469*Markniveau!S469/100,IF(X469=3,LOOKUP(K469,'Udvaskning nøgletal'!$C$12:$C$60,'Udvaskning nøgletal'!G479:G527)+Markniveau!Y469*Markniveau!S469/100,"")))</f>
        <v>33.723295792149436</v>
      </c>
      <c r="AA469" s="10">
        <f t="shared" si="76"/>
        <v>814.75482633833042</v>
      </c>
      <c r="AB469" s="10" t="str">
        <f t="shared" si="75"/>
        <v/>
      </c>
      <c r="AC469" s="10" t="str">
        <f t="shared" si="77"/>
        <v/>
      </c>
      <c r="AD469" s="10">
        <f>IF(AND(Q469&gt;0,Q469&lt;30,K469&lt;8),Markniveau!Z469*'Udvaskning nøgletal'!$I$12/100,IF(AND(Q469&gt;0,Q469&lt;30,K469=216),Markniveau!Z469*'Udvaskning nøgletal'!$I$34/100,Markniveau!Z469))</f>
        <v>33.723295792149436</v>
      </c>
      <c r="AE469" s="10">
        <f t="shared" si="83"/>
        <v>814.75482633833042</v>
      </c>
      <c r="AF469" s="10" t="str">
        <f t="shared" si="78"/>
        <v/>
      </c>
      <c r="AG469" s="10" t="str">
        <f t="shared" si="84"/>
        <v/>
      </c>
      <c r="AH469" s="10" t="str">
        <f>IF(AND(Q469&gt;0,Q469&lt;30,K469=216),'Udvaskning nøgletal'!$C$42,IF(AND(Q469&gt;0,Q469&lt;30,K469&gt;7,K469&lt;17),'Udvaskning nøgletal'!$C$61,IF(AND(Q469&gt;0,Q469&lt;30,K469&lt;7),'Udvaskning nøgletal'!$C$62,"")))</f>
        <v/>
      </c>
      <c r="AI469" s="10">
        <f t="shared" si="80"/>
        <v>260</v>
      </c>
      <c r="AJ469" s="10">
        <f>IF($X469=1,LOOKUP(AI469,'Udvaskning nøgletal'!$C$12:$C$62,'Udvaskning nøgletal'!$E$12:$E$62)+Markniveau!$Y469*Markniveau!$S469/100,IF($X469=2,LOOKUP(AI469,'Udvaskning nøgletal'!$C$12:$C$62,'Udvaskning nøgletal'!$F$12:$F$62)+Markniveau!$Y469*Markniveau!$S469/100,IF($X469=3,LOOKUP(AI469,'Udvaskning nøgletal'!$C$12:$C$62,'Udvaskning nøgletal'!Q479:Q529)+Markniveau!$Y469*Markniveau!$S469/100,"")))</f>
        <v>33.723295792149436</v>
      </c>
      <c r="AK469" s="10">
        <f t="shared" si="79"/>
        <v>814.75482633833042</v>
      </c>
      <c r="AL469" s="10" t="str">
        <f t="shared" si="81"/>
        <v/>
      </c>
      <c r="AM469" s="10" t="str">
        <f t="shared" si="82"/>
        <v/>
      </c>
    </row>
    <row r="470" spans="1:39" x14ac:dyDescent="0.25">
      <c r="A470" s="15">
        <v>18265788</v>
      </c>
      <c r="B470" s="15">
        <v>5.05</v>
      </c>
      <c r="C470" s="15">
        <v>397477</v>
      </c>
      <c r="D470" s="15">
        <v>83431</v>
      </c>
      <c r="E470" s="15" t="s">
        <v>405</v>
      </c>
      <c r="F470" s="15">
        <v>2011</v>
      </c>
      <c r="G470" s="15">
        <v>20110223</v>
      </c>
      <c r="H470" s="15">
        <v>21939</v>
      </c>
      <c r="I470" s="15">
        <v>2.19</v>
      </c>
      <c r="J470" s="6" t="s">
        <v>122</v>
      </c>
      <c r="K470" s="15">
        <v>260</v>
      </c>
      <c r="L470" s="15" t="s">
        <v>45</v>
      </c>
      <c r="M470" s="15" t="s">
        <v>5</v>
      </c>
      <c r="N470" s="11" t="s">
        <v>1384</v>
      </c>
      <c r="O470" s="11" t="s">
        <v>28</v>
      </c>
      <c r="P470" s="11" t="s">
        <v>33</v>
      </c>
      <c r="Q470" s="15">
        <v>1</v>
      </c>
      <c r="R470" s="11" t="s">
        <v>11</v>
      </c>
      <c r="S470" s="10">
        <v>138.92273329733001</v>
      </c>
      <c r="T470" s="15">
        <v>80</v>
      </c>
      <c r="U470" s="15">
        <v>0</v>
      </c>
      <c r="V470" s="15">
        <v>1</v>
      </c>
      <c r="W470" s="15">
        <v>1</v>
      </c>
      <c r="X470" s="15">
        <f>IF(O470='Udvaskning nøgletal'!$D$65,1,IF(O470='Udvaskning nøgletal'!$D$66,2,IF(O470='Udvaskning nøgletal'!$D$67,3,IF(O470='Udvaskning nøgletal'!$D$68,2,""))))</f>
        <v>1</v>
      </c>
      <c r="Y470" s="15">
        <f>LOOKUP(K470,'Udvaskning nøgletal'!$C$12:$C$60,'Udvaskning nøgletal'!$H$12:$H$60)</f>
        <v>0</v>
      </c>
      <c r="Z470" s="10">
        <f>IF(X470=1,LOOKUP(K470,'Udvaskning nøgletal'!$C$12:$C$60,'Udvaskning nøgletal'!$E$12:$E$60)+Markniveau!Y470*Markniveau!S470/100,IF(X470=2,LOOKUP(K470,'Udvaskning nøgletal'!$C$12:$C$60,'Udvaskning nøgletal'!$F$12:$F$60)+Markniveau!Y470*Markniveau!S470/100,IF(X470=3,LOOKUP(K470,'Udvaskning nøgletal'!$C$12:$C$60,'Udvaskning nøgletal'!G480:G528)+Markniveau!Y470*Markniveau!S470/100,"")))</f>
        <v>33.723295792149436</v>
      </c>
      <c r="AA470" s="10">
        <f t="shared" si="76"/>
        <v>73.854017784807269</v>
      </c>
      <c r="AB470" s="10">
        <f t="shared" si="75"/>
        <v>33.386062834227943</v>
      </c>
      <c r="AC470" s="10">
        <f t="shared" si="77"/>
        <v>73.115477606959189</v>
      </c>
      <c r="AD470" s="10">
        <f>IF(AND(Q470&gt;0,Q470&lt;30,K470&lt;8),Markniveau!Z470*'Udvaskning nøgletal'!$I$12/100,IF(AND(Q470&gt;0,Q470&lt;30,K470=216),Markniveau!Z470*'Udvaskning nøgletal'!$I$34/100,Markniveau!Z470))</f>
        <v>33.723295792149436</v>
      </c>
      <c r="AE470" s="10">
        <f t="shared" si="83"/>
        <v>73.854017784807269</v>
      </c>
      <c r="AF470" s="10">
        <f t="shared" si="78"/>
        <v>33.386062834227943</v>
      </c>
      <c r="AG470" s="10">
        <f t="shared" si="84"/>
        <v>73.115477606959189</v>
      </c>
      <c r="AH470" s="10" t="str">
        <f>IF(AND(Q470&gt;0,Q470&lt;30,K470=216),'Udvaskning nøgletal'!$C$42,IF(AND(Q470&gt;0,Q470&lt;30,K470&gt;7,K470&lt;17),'Udvaskning nøgletal'!$C$61,IF(AND(Q470&gt;0,Q470&lt;30,K470&lt;7),'Udvaskning nøgletal'!$C$62,"")))</f>
        <v/>
      </c>
      <c r="AI470" s="10">
        <f t="shared" si="80"/>
        <v>260</v>
      </c>
      <c r="AJ470" s="10">
        <f>IF($X470=1,LOOKUP(AI470,'Udvaskning nøgletal'!$C$12:$C$62,'Udvaskning nøgletal'!$E$12:$E$62)+Markniveau!$Y470*Markniveau!$S470/100,IF($X470=2,LOOKUP(AI470,'Udvaskning nøgletal'!$C$12:$C$62,'Udvaskning nøgletal'!$F$12:$F$62)+Markniveau!$Y470*Markniveau!$S470/100,IF($X470=3,LOOKUP(AI470,'Udvaskning nøgletal'!$C$12:$C$62,'Udvaskning nøgletal'!Q480:Q530)+Markniveau!$Y470*Markniveau!$S470/100,"")))</f>
        <v>33.723295792149436</v>
      </c>
      <c r="AK470" s="10">
        <f t="shared" si="79"/>
        <v>73.854017784807269</v>
      </c>
      <c r="AL470" s="10">
        <f t="shared" si="81"/>
        <v>33.386062834227943</v>
      </c>
      <c r="AM470" s="10">
        <f t="shared" si="82"/>
        <v>73.115477606959189</v>
      </c>
    </row>
    <row r="471" spans="1:39" x14ac:dyDescent="0.25">
      <c r="A471" s="15">
        <v>18265788</v>
      </c>
      <c r="B471" s="15">
        <v>5.05</v>
      </c>
      <c r="C471" s="15">
        <v>397478</v>
      </c>
      <c r="D471" s="15">
        <v>83431</v>
      </c>
      <c r="E471" s="15" t="s">
        <v>406</v>
      </c>
      <c r="F471" s="15">
        <v>2011</v>
      </c>
      <c r="G471" s="15">
        <v>20110223</v>
      </c>
      <c r="H471" s="15">
        <v>76741</v>
      </c>
      <c r="I471" s="15">
        <v>7.67</v>
      </c>
      <c r="J471" s="6" t="s">
        <v>91</v>
      </c>
      <c r="K471" s="15">
        <v>216</v>
      </c>
      <c r="L471" s="15" t="s">
        <v>116</v>
      </c>
      <c r="M471" s="15" t="s">
        <v>5</v>
      </c>
      <c r="N471" s="11" t="s">
        <v>1384</v>
      </c>
      <c r="O471" s="11" t="s">
        <v>28</v>
      </c>
      <c r="P471" s="11" t="s">
        <v>33</v>
      </c>
      <c r="Q471" s="15">
        <v>0</v>
      </c>
      <c r="R471" s="11" t="s">
        <v>1386</v>
      </c>
      <c r="S471" s="10">
        <v>138.92273329733001</v>
      </c>
      <c r="T471" s="15">
        <v>80</v>
      </c>
      <c r="U471" s="15">
        <v>0</v>
      </c>
      <c r="V471" s="15">
        <v>1</v>
      </c>
      <c r="W471" s="15">
        <v>1</v>
      </c>
      <c r="X471" s="15">
        <f>IF(O471='Udvaskning nøgletal'!$D$65,1,IF(O471='Udvaskning nøgletal'!$D$66,2,IF(O471='Udvaskning nøgletal'!$D$67,3,IF(O471='Udvaskning nøgletal'!$D$68,2,""))))</f>
        <v>1</v>
      </c>
      <c r="Y471" s="15">
        <f>LOOKUP(K471,'Udvaskning nøgletal'!$C$12:$C$60,'Udvaskning nøgletal'!$H$12:$H$60)</f>
        <v>0</v>
      </c>
      <c r="Z471" s="10">
        <f>IF(X471=1,LOOKUP(K471,'Udvaskning nøgletal'!$C$12:$C$60,'Udvaskning nøgletal'!$E$12:$E$60)+Markniveau!Y471*Markniveau!S471/100,IF(X471=2,LOOKUP(K471,'Udvaskning nøgletal'!$C$12:$C$60,'Udvaskning nøgletal'!$F$12:$F$60)+Markniveau!Y471*Markniveau!S471/100,IF(X471=3,LOOKUP(K471,'Udvaskning nøgletal'!$C$12:$C$60,'Udvaskning nøgletal'!G481:G529)+Markniveau!Y471*Markniveau!S471/100,"")))</f>
        <v>125.85383557148924</v>
      </c>
      <c r="AA471" s="10">
        <f t="shared" si="76"/>
        <v>965.29891883332243</v>
      </c>
      <c r="AB471" s="10" t="str">
        <f t="shared" si="75"/>
        <v/>
      </c>
      <c r="AC471" s="10" t="str">
        <f t="shared" si="77"/>
        <v/>
      </c>
      <c r="AD471" s="10">
        <f>IF(AND(Q471&gt;0,Q471&lt;30,K471&lt;8),Markniveau!Z471*'Udvaskning nøgletal'!$I$12/100,IF(AND(Q471&gt;0,Q471&lt;30,K471=216),Markniveau!Z471*'Udvaskning nøgletal'!$I$34/100,Markniveau!Z471))</f>
        <v>125.85383557148924</v>
      </c>
      <c r="AE471" s="10">
        <f t="shared" si="83"/>
        <v>965.29891883332243</v>
      </c>
      <c r="AF471" s="10" t="str">
        <f t="shared" si="78"/>
        <v/>
      </c>
      <c r="AG471" s="10" t="str">
        <f t="shared" si="84"/>
        <v/>
      </c>
      <c r="AH471" s="10" t="str">
        <f>IF(AND(Q471&gt;0,Q471&lt;30,K471=216),'Udvaskning nøgletal'!$C$42,IF(AND(Q471&gt;0,Q471&lt;30,K471&gt;7,K471&lt;17),'Udvaskning nøgletal'!$C$61,IF(AND(Q471&gt;0,Q471&lt;30,K471&lt;7),'Udvaskning nøgletal'!$C$62,"")))</f>
        <v/>
      </c>
      <c r="AI471" s="10">
        <f t="shared" si="80"/>
        <v>216</v>
      </c>
      <c r="AJ471" s="10">
        <f>IF($X471=1,LOOKUP(AI471,'Udvaskning nøgletal'!$C$12:$C$62,'Udvaskning nøgletal'!$E$12:$E$62)+Markniveau!$Y471*Markniveau!$S471/100,IF($X471=2,LOOKUP(AI471,'Udvaskning nøgletal'!$C$12:$C$62,'Udvaskning nøgletal'!$F$12:$F$62)+Markniveau!$Y471*Markniveau!$S471/100,IF($X471=3,LOOKUP(AI471,'Udvaskning nøgletal'!$C$12:$C$62,'Udvaskning nøgletal'!Q481:Q531)+Markniveau!$Y471*Markniveau!$S471/100,"")))</f>
        <v>125.85383557148924</v>
      </c>
      <c r="AK471" s="10">
        <f t="shared" si="79"/>
        <v>965.29891883332243</v>
      </c>
      <c r="AL471" s="10" t="str">
        <f t="shared" si="81"/>
        <v/>
      </c>
      <c r="AM471" s="10" t="str">
        <f t="shared" si="82"/>
        <v/>
      </c>
    </row>
    <row r="472" spans="1:39" x14ac:dyDescent="0.25">
      <c r="A472" s="15">
        <v>18265788</v>
      </c>
      <c r="B472" s="15">
        <v>5.05</v>
      </c>
      <c r="C472" s="15">
        <v>397480</v>
      </c>
      <c r="D472" s="15">
        <v>83431</v>
      </c>
      <c r="E472" s="15" t="s">
        <v>407</v>
      </c>
      <c r="F472" s="15">
        <v>2011</v>
      </c>
      <c r="G472" s="15">
        <v>20110223</v>
      </c>
      <c r="H472" s="15">
        <v>3188</v>
      </c>
      <c r="I472" s="15">
        <v>0.32</v>
      </c>
      <c r="J472" s="6" t="s">
        <v>1510</v>
      </c>
      <c r="K472" s="15">
        <v>276</v>
      </c>
      <c r="L472" s="15" t="s">
        <v>146</v>
      </c>
      <c r="M472" s="15" t="s">
        <v>4</v>
      </c>
      <c r="N472" s="11" t="s">
        <v>1384</v>
      </c>
      <c r="O472" s="11" t="s">
        <v>28</v>
      </c>
      <c r="P472" s="11" t="s">
        <v>33</v>
      </c>
      <c r="Q472" s="15">
        <v>0</v>
      </c>
      <c r="R472" s="11" t="s">
        <v>1386</v>
      </c>
      <c r="S472" s="10">
        <v>138.92273329733001</v>
      </c>
      <c r="T472" s="15">
        <v>80</v>
      </c>
      <c r="U472" s="15">
        <v>0</v>
      </c>
      <c r="V472" s="15">
        <v>1</v>
      </c>
      <c r="W472" s="15">
        <v>1</v>
      </c>
      <c r="X472" s="15">
        <f>IF(O472='Udvaskning nøgletal'!$D$65,1,IF(O472='Udvaskning nøgletal'!$D$66,2,IF(O472='Udvaskning nøgletal'!$D$67,3,IF(O472='Udvaskning nøgletal'!$D$68,2,""))))</f>
        <v>1</v>
      </c>
      <c r="Y472" s="15">
        <f>LOOKUP(K472,'Udvaskning nøgletal'!$C$12:$C$60,'Udvaskning nøgletal'!$H$12:$H$60)</f>
        <v>0</v>
      </c>
      <c r="Z472" s="10">
        <f>IF(X472=1,LOOKUP(K472,'Udvaskning nøgletal'!$C$12:$C$60,'Udvaskning nøgletal'!$E$12:$E$60)+Markniveau!Y472*Markniveau!S472/100,IF(X472=2,LOOKUP(K472,'Udvaskning nøgletal'!$C$12:$C$60,'Udvaskning nøgletal'!$F$12:$F$60)+Markniveau!Y472*Markniveau!S472/100,IF(X472=3,LOOKUP(K472,'Udvaskning nøgletal'!$C$12:$C$60,'Udvaskning nøgletal'!G482:G530)+Markniveau!Y472*Markniveau!S472/100,"")))</f>
        <v>10.6</v>
      </c>
      <c r="AA472" s="10">
        <f t="shared" si="76"/>
        <v>3.3919999999999999</v>
      </c>
      <c r="AB472" s="10" t="str">
        <f t="shared" si="75"/>
        <v/>
      </c>
      <c r="AC472" s="10" t="str">
        <f t="shared" si="77"/>
        <v/>
      </c>
      <c r="AD472" s="10">
        <f>IF(AND(Q472&gt;0,Q472&lt;30,K472&lt;8),Markniveau!Z472*'Udvaskning nøgletal'!$I$12/100,IF(AND(Q472&gt;0,Q472&lt;30,K472=216),Markniveau!Z472*'Udvaskning nøgletal'!$I$34/100,Markniveau!Z472))</f>
        <v>10.6</v>
      </c>
      <c r="AE472" s="10">
        <f t="shared" si="83"/>
        <v>3.3919999999999999</v>
      </c>
      <c r="AF472" s="10" t="str">
        <f t="shared" si="78"/>
        <v/>
      </c>
      <c r="AG472" s="10" t="str">
        <f t="shared" si="84"/>
        <v/>
      </c>
      <c r="AH472" s="10" t="str">
        <f>IF(AND(Q472&gt;0,Q472&lt;30,K472=216),'Udvaskning nøgletal'!$C$42,IF(AND(Q472&gt;0,Q472&lt;30,K472&gt;7,K472&lt;17),'Udvaskning nøgletal'!$C$61,IF(AND(Q472&gt;0,Q472&lt;30,K472&lt;7),'Udvaskning nøgletal'!$C$62,"")))</f>
        <v/>
      </c>
      <c r="AI472" s="10">
        <f t="shared" si="80"/>
        <v>276</v>
      </c>
      <c r="AJ472" s="10">
        <f>IF($X472=1,LOOKUP(AI472,'Udvaskning nøgletal'!$C$12:$C$62,'Udvaskning nøgletal'!$E$12:$E$62)+Markniveau!$Y472*Markniveau!$S472/100,IF($X472=2,LOOKUP(AI472,'Udvaskning nøgletal'!$C$12:$C$62,'Udvaskning nøgletal'!$F$12:$F$62)+Markniveau!$Y472*Markniveau!$S472/100,IF($X472=3,LOOKUP(AI472,'Udvaskning nøgletal'!$C$12:$C$62,'Udvaskning nøgletal'!Q482:Q532)+Markniveau!$Y472*Markniveau!$S472/100,"")))</f>
        <v>10.6</v>
      </c>
      <c r="AK472" s="10">
        <f t="shared" si="79"/>
        <v>3.3919999999999999</v>
      </c>
      <c r="AL472" s="10" t="str">
        <f t="shared" si="81"/>
        <v/>
      </c>
      <c r="AM472" s="10" t="str">
        <f t="shared" si="82"/>
        <v/>
      </c>
    </row>
    <row r="473" spans="1:39" x14ac:dyDescent="0.25">
      <c r="A473" s="15">
        <v>18265788</v>
      </c>
      <c r="B473" s="15">
        <v>5.05</v>
      </c>
      <c r="C473" s="15">
        <v>399424</v>
      </c>
      <c r="D473" s="15">
        <v>83431</v>
      </c>
      <c r="E473" s="15" t="s">
        <v>356</v>
      </c>
      <c r="F473" s="15">
        <v>2011</v>
      </c>
      <c r="G473" s="15">
        <v>20110311</v>
      </c>
      <c r="H473" s="15">
        <v>20081</v>
      </c>
      <c r="I473" s="15">
        <v>2.0099999999999998</v>
      </c>
      <c r="J473" s="6" t="s">
        <v>408</v>
      </c>
      <c r="K473" s="15">
        <v>260</v>
      </c>
      <c r="L473" s="15" t="s">
        <v>45</v>
      </c>
      <c r="M473" s="15" t="s">
        <v>5</v>
      </c>
      <c r="N473" s="11" t="s">
        <v>1384</v>
      </c>
      <c r="O473" s="11" t="s">
        <v>28</v>
      </c>
      <c r="P473" s="11" t="s">
        <v>33</v>
      </c>
      <c r="Q473" s="15">
        <v>0</v>
      </c>
      <c r="R473" s="11" t="s">
        <v>1386</v>
      </c>
      <c r="S473" s="10">
        <v>138.92273329733001</v>
      </c>
      <c r="T473" s="15">
        <v>80</v>
      </c>
      <c r="U473" s="15">
        <v>0</v>
      </c>
      <c r="V473" s="15">
        <v>1</v>
      </c>
      <c r="W473" s="15">
        <v>1</v>
      </c>
      <c r="X473" s="15">
        <f>IF(O473='Udvaskning nøgletal'!$D$65,1,IF(O473='Udvaskning nøgletal'!$D$66,2,IF(O473='Udvaskning nøgletal'!$D$67,3,IF(O473='Udvaskning nøgletal'!$D$68,2,""))))</f>
        <v>1</v>
      </c>
      <c r="Y473" s="15">
        <f>LOOKUP(K473,'Udvaskning nøgletal'!$C$12:$C$60,'Udvaskning nøgletal'!$H$12:$H$60)</f>
        <v>0</v>
      </c>
      <c r="Z473" s="10">
        <f>IF(X473=1,LOOKUP(K473,'Udvaskning nøgletal'!$C$12:$C$60,'Udvaskning nøgletal'!$E$12:$E$60)+Markniveau!Y473*Markniveau!S473/100,IF(X473=2,LOOKUP(K473,'Udvaskning nøgletal'!$C$12:$C$60,'Udvaskning nøgletal'!$F$12:$F$60)+Markniveau!Y473*Markniveau!S473/100,IF(X473=3,LOOKUP(K473,'Udvaskning nøgletal'!$C$12:$C$60,'Udvaskning nøgletal'!G483:G531)+Markniveau!Y473*Markniveau!S473/100,"")))</f>
        <v>33.723295792149436</v>
      </c>
      <c r="AA473" s="10">
        <f t="shared" si="76"/>
        <v>67.783824542220358</v>
      </c>
      <c r="AB473" s="10" t="str">
        <f t="shared" si="75"/>
        <v/>
      </c>
      <c r="AC473" s="10" t="str">
        <f t="shared" si="77"/>
        <v/>
      </c>
      <c r="AD473" s="10">
        <f>IF(AND(Q473&gt;0,Q473&lt;30,K473&lt;8),Markniveau!Z473*'Udvaskning nøgletal'!$I$12/100,IF(AND(Q473&gt;0,Q473&lt;30,K473=216),Markniveau!Z473*'Udvaskning nøgletal'!$I$34/100,Markniveau!Z473))</f>
        <v>33.723295792149436</v>
      </c>
      <c r="AE473" s="10">
        <f t="shared" si="83"/>
        <v>67.783824542220358</v>
      </c>
      <c r="AF473" s="10" t="str">
        <f t="shared" si="78"/>
        <v/>
      </c>
      <c r="AG473" s="10" t="str">
        <f t="shared" si="84"/>
        <v/>
      </c>
      <c r="AH473" s="10" t="str">
        <f>IF(AND(Q473&gt;0,Q473&lt;30,K473=216),'Udvaskning nøgletal'!$C$42,IF(AND(Q473&gt;0,Q473&lt;30,K473&gt;7,K473&lt;17),'Udvaskning nøgletal'!$C$61,IF(AND(Q473&gt;0,Q473&lt;30,K473&lt;7),'Udvaskning nøgletal'!$C$62,"")))</f>
        <v/>
      </c>
      <c r="AI473" s="10">
        <f t="shared" si="80"/>
        <v>260</v>
      </c>
      <c r="AJ473" s="10">
        <f>IF($X473=1,LOOKUP(AI473,'Udvaskning nøgletal'!$C$12:$C$62,'Udvaskning nøgletal'!$E$12:$E$62)+Markniveau!$Y473*Markniveau!$S473/100,IF($X473=2,LOOKUP(AI473,'Udvaskning nøgletal'!$C$12:$C$62,'Udvaskning nøgletal'!$F$12:$F$62)+Markniveau!$Y473*Markniveau!$S473/100,IF($X473=3,LOOKUP(AI473,'Udvaskning nøgletal'!$C$12:$C$62,'Udvaskning nøgletal'!Q483:Q533)+Markniveau!$Y473*Markniveau!$S473/100,"")))</f>
        <v>33.723295792149436</v>
      </c>
      <c r="AK473" s="10">
        <f t="shared" si="79"/>
        <v>67.783824542220358</v>
      </c>
      <c r="AL473" s="10" t="str">
        <f t="shared" si="81"/>
        <v/>
      </c>
      <c r="AM473" s="10" t="str">
        <f t="shared" si="82"/>
        <v/>
      </c>
    </row>
    <row r="474" spans="1:39" x14ac:dyDescent="0.25">
      <c r="A474" s="15">
        <v>18265788</v>
      </c>
      <c r="B474" s="15">
        <v>5.05</v>
      </c>
      <c r="C474" s="15">
        <v>416975</v>
      </c>
      <c r="D474" s="15">
        <v>83431</v>
      </c>
      <c r="E474" s="15" t="s">
        <v>185</v>
      </c>
      <c r="F474" s="15">
        <v>2011</v>
      </c>
      <c r="G474" s="15">
        <v>20110223</v>
      </c>
      <c r="H474" s="15">
        <v>10802</v>
      </c>
      <c r="I474" s="15">
        <v>1.08</v>
      </c>
      <c r="J474" s="6" t="s">
        <v>75</v>
      </c>
      <c r="K474" s="15">
        <v>902</v>
      </c>
      <c r="L474" s="15" t="s">
        <v>160</v>
      </c>
      <c r="M474" s="15" t="s">
        <v>81</v>
      </c>
      <c r="N474" s="11" t="s">
        <v>1384</v>
      </c>
      <c r="O474" s="11" t="s">
        <v>28</v>
      </c>
      <c r="P474" s="11" t="s">
        <v>33</v>
      </c>
      <c r="Q474" s="15">
        <v>0</v>
      </c>
      <c r="R474" s="11" t="s">
        <v>1386</v>
      </c>
      <c r="S474" s="10">
        <v>138.92273329733001</v>
      </c>
      <c r="T474" s="15">
        <v>80</v>
      </c>
      <c r="U474" s="15">
        <v>0</v>
      </c>
      <c r="V474" s="15">
        <v>1</v>
      </c>
      <c r="W474" s="15">
        <v>1</v>
      </c>
      <c r="X474" s="15">
        <f>IF(O474='Udvaskning nøgletal'!$D$65,1,IF(O474='Udvaskning nøgletal'!$D$66,2,IF(O474='Udvaskning nøgletal'!$D$67,3,IF(O474='Udvaskning nøgletal'!$D$68,2,""))))</f>
        <v>1</v>
      </c>
      <c r="Y474" s="15">
        <f>LOOKUP(K474,'Udvaskning nøgletal'!$C$12:$C$60,'Udvaskning nøgletal'!$H$12:$H$60)</f>
        <v>0</v>
      </c>
      <c r="Z474" s="10">
        <f>IF(X474=1,LOOKUP(K474,'Udvaskning nøgletal'!$C$12:$C$60,'Udvaskning nøgletal'!$E$12:$E$60)+Markniveau!Y474*Markniveau!S474/100,IF(X474=2,LOOKUP(K474,'Udvaskning nøgletal'!$C$12:$C$60,'Udvaskning nøgletal'!$F$12:$F$60)+Markniveau!Y474*Markniveau!S474/100,IF(X474=3,LOOKUP(K474,'Udvaskning nøgletal'!$C$12:$C$60,'Udvaskning nøgletal'!G484:G532)+Markniveau!Y474*Markniveau!S474/100,"")))</f>
        <v>10</v>
      </c>
      <c r="AA474" s="10">
        <f t="shared" si="76"/>
        <v>10.8</v>
      </c>
      <c r="AB474" s="10" t="str">
        <f t="shared" si="75"/>
        <v/>
      </c>
      <c r="AC474" s="10" t="str">
        <f t="shared" si="77"/>
        <v/>
      </c>
      <c r="AD474" s="10">
        <f>IF(AND(Q474&gt;0,Q474&lt;30,K474&lt;8),Markniveau!Z474*'Udvaskning nøgletal'!$I$12/100,IF(AND(Q474&gt;0,Q474&lt;30,K474=216),Markniveau!Z474*'Udvaskning nøgletal'!$I$34/100,Markniveau!Z474))</f>
        <v>10</v>
      </c>
      <c r="AE474" s="10">
        <f t="shared" si="83"/>
        <v>10.8</v>
      </c>
      <c r="AF474" s="10" t="str">
        <f t="shared" si="78"/>
        <v/>
      </c>
      <c r="AG474" s="10" t="str">
        <f t="shared" si="84"/>
        <v/>
      </c>
      <c r="AH474" s="10" t="str">
        <f>IF(AND(Q474&gt;0,Q474&lt;30,K474=216),'Udvaskning nøgletal'!$C$42,IF(AND(Q474&gt;0,Q474&lt;30,K474&gt;7,K474&lt;17),'Udvaskning nøgletal'!$C$61,IF(AND(Q474&gt;0,Q474&lt;30,K474&lt;7),'Udvaskning nøgletal'!$C$62,"")))</f>
        <v/>
      </c>
      <c r="AI474" s="10">
        <f t="shared" si="80"/>
        <v>902</v>
      </c>
      <c r="AJ474" s="10">
        <f>IF($X474=1,LOOKUP(AI474,'Udvaskning nøgletal'!$C$12:$C$62,'Udvaskning nøgletal'!$E$12:$E$62)+Markniveau!$Y474*Markniveau!$S474/100,IF($X474=2,LOOKUP(AI474,'Udvaskning nøgletal'!$C$12:$C$62,'Udvaskning nøgletal'!$F$12:$F$62)+Markniveau!$Y474*Markniveau!$S474/100,IF($X474=3,LOOKUP(AI474,'Udvaskning nøgletal'!$C$12:$C$62,'Udvaskning nøgletal'!Q484:Q534)+Markniveau!$Y474*Markniveau!$S474/100,"")))</f>
        <v>10</v>
      </c>
      <c r="AK474" s="10">
        <f t="shared" si="79"/>
        <v>10.8</v>
      </c>
      <c r="AL474" s="10" t="str">
        <f t="shared" si="81"/>
        <v/>
      </c>
      <c r="AM474" s="10" t="str">
        <f t="shared" si="82"/>
        <v/>
      </c>
    </row>
    <row r="475" spans="1:39" x14ac:dyDescent="0.25">
      <c r="A475" s="15">
        <v>18265788</v>
      </c>
      <c r="B475" s="15">
        <v>5.05</v>
      </c>
      <c r="C475" s="15">
        <v>422717</v>
      </c>
      <c r="D475" s="15">
        <v>83431</v>
      </c>
      <c r="E475" s="15" t="s">
        <v>407</v>
      </c>
      <c r="F475" s="15">
        <v>2011</v>
      </c>
      <c r="G475" s="15">
        <v>20110223</v>
      </c>
      <c r="H475" s="15">
        <v>4937</v>
      </c>
      <c r="I475" s="15">
        <v>0.49</v>
      </c>
      <c r="J475" s="6" t="s">
        <v>1511</v>
      </c>
      <c r="K475" s="15">
        <v>260</v>
      </c>
      <c r="L475" s="15" t="s">
        <v>45</v>
      </c>
      <c r="M475" s="15" t="s">
        <v>5</v>
      </c>
      <c r="N475" s="11" t="s">
        <v>1384</v>
      </c>
      <c r="O475" s="11" t="s">
        <v>28</v>
      </c>
      <c r="P475" s="11" t="s">
        <v>33</v>
      </c>
      <c r="Q475" s="15">
        <v>0</v>
      </c>
      <c r="R475" s="11" t="s">
        <v>1386</v>
      </c>
      <c r="S475" s="10">
        <v>138.92273329733001</v>
      </c>
      <c r="T475" s="15">
        <v>80</v>
      </c>
      <c r="U475" s="15">
        <v>0</v>
      </c>
      <c r="V475" s="15">
        <v>1</v>
      </c>
      <c r="W475" s="15">
        <v>1</v>
      </c>
      <c r="X475" s="15">
        <f>IF(O475='Udvaskning nøgletal'!$D$65,1,IF(O475='Udvaskning nøgletal'!$D$66,2,IF(O475='Udvaskning nøgletal'!$D$67,3,IF(O475='Udvaskning nøgletal'!$D$68,2,""))))</f>
        <v>1</v>
      </c>
      <c r="Y475" s="15">
        <f>LOOKUP(K475,'Udvaskning nøgletal'!$C$12:$C$60,'Udvaskning nøgletal'!$H$12:$H$60)</f>
        <v>0</v>
      </c>
      <c r="Z475" s="10">
        <f>IF(X475=1,LOOKUP(K475,'Udvaskning nøgletal'!$C$12:$C$60,'Udvaskning nøgletal'!$E$12:$E$60)+Markniveau!Y475*Markniveau!S475/100,IF(X475=2,LOOKUP(K475,'Udvaskning nøgletal'!$C$12:$C$60,'Udvaskning nøgletal'!$F$12:$F$60)+Markniveau!Y475*Markniveau!S475/100,IF(X475=3,LOOKUP(K475,'Udvaskning nøgletal'!$C$12:$C$60,'Udvaskning nøgletal'!G485:G533)+Markniveau!Y475*Markniveau!S475/100,"")))</f>
        <v>33.723295792149436</v>
      </c>
      <c r="AA475" s="10">
        <f t="shared" si="76"/>
        <v>16.524414938153225</v>
      </c>
      <c r="AB475" s="10" t="str">
        <f t="shared" si="75"/>
        <v/>
      </c>
      <c r="AC475" s="10" t="str">
        <f t="shared" si="77"/>
        <v/>
      </c>
      <c r="AD475" s="10">
        <f>IF(AND(Q475&gt;0,Q475&lt;30,K475&lt;8),Markniveau!Z475*'Udvaskning nøgletal'!$I$12/100,IF(AND(Q475&gt;0,Q475&lt;30,K475=216),Markniveau!Z475*'Udvaskning nøgletal'!$I$34/100,Markniveau!Z475))</f>
        <v>33.723295792149436</v>
      </c>
      <c r="AE475" s="10">
        <f t="shared" si="83"/>
        <v>16.524414938153225</v>
      </c>
      <c r="AF475" s="10" t="str">
        <f t="shared" si="78"/>
        <v/>
      </c>
      <c r="AG475" s="10" t="str">
        <f t="shared" si="84"/>
        <v/>
      </c>
      <c r="AH475" s="10" t="str">
        <f>IF(AND(Q475&gt;0,Q475&lt;30,K475=216),'Udvaskning nøgletal'!$C$42,IF(AND(Q475&gt;0,Q475&lt;30,K475&gt;7,K475&lt;17),'Udvaskning nøgletal'!$C$61,IF(AND(Q475&gt;0,Q475&lt;30,K475&lt;7),'Udvaskning nøgletal'!$C$62,"")))</f>
        <v/>
      </c>
      <c r="AI475" s="10">
        <f t="shared" si="80"/>
        <v>260</v>
      </c>
      <c r="AJ475" s="10">
        <f>IF($X475=1,LOOKUP(AI475,'Udvaskning nøgletal'!$C$12:$C$62,'Udvaskning nøgletal'!$E$12:$E$62)+Markniveau!$Y475*Markniveau!$S475/100,IF($X475=2,LOOKUP(AI475,'Udvaskning nøgletal'!$C$12:$C$62,'Udvaskning nøgletal'!$F$12:$F$62)+Markniveau!$Y475*Markniveau!$S475/100,IF($X475=3,LOOKUP(AI475,'Udvaskning nøgletal'!$C$12:$C$62,'Udvaskning nøgletal'!Q485:Q535)+Markniveau!$Y475*Markniveau!$S475/100,"")))</f>
        <v>33.723295792149436</v>
      </c>
      <c r="AK475" s="10">
        <f t="shared" si="79"/>
        <v>16.524414938153225</v>
      </c>
      <c r="AL475" s="10" t="str">
        <f t="shared" si="81"/>
        <v/>
      </c>
      <c r="AM475" s="10" t="str">
        <f t="shared" si="82"/>
        <v/>
      </c>
    </row>
    <row r="476" spans="1:39" x14ac:dyDescent="0.25">
      <c r="A476" s="15">
        <v>18265788</v>
      </c>
      <c r="B476" s="15">
        <v>5.05</v>
      </c>
      <c r="C476" s="15">
        <v>428906</v>
      </c>
      <c r="D476" s="15">
        <v>83431</v>
      </c>
      <c r="E476" s="15" t="s">
        <v>356</v>
      </c>
      <c r="F476" s="15">
        <v>2011</v>
      </c>
      <c r="G476" s="15">
        <v>20110223</v>
      </c>
      <c r="H476" s="15">
        <v>80023</v>
      </c>
      <c r="I476" s="15">
        <v>8</v>
      </c>
      <c r="J476" s="6" t="s">
        <v>173</v>
      </c>
      <c r="K476" s="15">
        <v>172</v>
      </c>
      <c r="L476" s="15" t="s">
        <v>401</v>
      </c>
      <c r="M476" s="15" t="s">
        <v>5</v>
      </c>
      <c r="N476" s="11" t="s">
        <v>1384</v>
      </c>
      <c r="O476" s="11" t="s">
        <v>28</v>
      </c>
      <c r="P476" s="11" t="s">
        <v>33</v>
      </c>
      <c r="Q476" s="15">
        <v>1</v>
      </c>
      <c r="R476" s="11" t="s">
        <v>11</v>
      </c>
      <c r="S476" s="10">
        <v>138.92273329733001</v>
      </c>
      <c r="T476" s="15">
        <v>80</v>
      </c>
      <c r="U476" s="15">
        <v>0</v>
      </c>
      <c r="V476" s="15">
        <v>1</v>
      </c>
      <c r="W476" s="15">
        <v>1</v>
      </c>
      <c r="X476" s="15">
        <f>IF(O476='Udvaskning nøgletal'!$D$65,1,IF(O476='Udvaskning nøgletal'!$D$66,2,IF(O476='Udvaskning nøgletal'!$D$67,3,IF(O476='Udvaskning nøgletal'!$D$68,2,""))))</f>
        <v>1</v>
      </c>
      <c r="Y476" s="15">
        <f>LOOKUP(K476,'Udvaskning nøgletal'!$C$12:$C$60,'Udvaskning nøgletal'!$H$12:$H$60)</f>
        <v>0</v>
      </c>
      <c r="Z476" s="10">
        <f>IF(X476=1,LOOKUP(K476,'Udvaskning nøgletal'!$C$12:$C$60,'Udvaskning nøgletal'!$E$12:$E$60)+Markniveau!Y476*Markniveau!S476/100,IF(X476=2,LOOKUP(K476,'Udvaskning nøgletal'!$C$12:$C$60,'Udvaskning nøgletal'!$F$12:$F$60)+Markniveau!Y476*Markniveau!S476/100,IF(X476=3,LOOKUP(K476,'Udvaskning nøgletal'!$C$12:$C$60,'Udvaskning nøgletal'!G486:G534)+Markniveau!Y476*Markniveau!S476/100,"")))</f>
        <v>33.723295792149436</v>
      </c>
      <c r="AA476" s="10">
        <f t="shared" si="76"/>
        <v>269.78636633719549</v>
      </c>
      <c r="AB476" s="10">
        <f t="shared" si="75"/>
        <v>33.386062834227943</v>
      </c>
      <c r="AC476" s="10">
        <f t="shared" si="77"/>
        <v>267.08850267382354</v>
      </c>
      <c r="AD476" s="10">
        <f>IF(AND(Q476&gt;0,Q476&lt;30,K476&lt;8),Markniveau!Z476*'Udvaskning nøgletal'!$I$12/100,IF(AND(Q476&gt;0,Q476&lt;30,K476=216),Markniveau!Z476*'Udvaskning nøgletal'!$I$34/100,Markniveau!Z476))</f>
        <v>33.723295792149436</v>
      </c>
      <c r="AE476" s="10">
        <f t="shared" si="83"/>
        <v>269.78636633719549</v>
      </c>
      <c r="AF476" s="10">
        <f t="shared" si="78"/>
        <v>33.386062834227943</v>
      </c>
      <c r="AG476" s="10">
        <f t="shared" si="84"/>
        <v>267.08850267382354</v>
      </c>
      <c r="AH476" s="10" t="str">
        <f>IF(AND(Q476&gt;0,Q476&lt;30,K476=216),'Udvaskning nøgletal'!$C$42,IF(AND(Q476&gt;0,Q476&lt;30,K476&gt;7,K476&lt;17),'Udvaskning nøgletal'!$C$61,IF(AND(Q476&gt;0,Q476&lt;30,K476&lt;7),'Udvaskning nøgletal'!$C$62,"")))</f>
        <v/>
      </c>
      <c r="AI476" s="10">
        <f t="shared" si="80"/>
        <v>172</v>
      </c>
      <c r="AJ476" s="10">
        <f>IF($X476=1,LOOKUP(AI476,'Udvaskning nøgletal'!$C$12:$C$62,'Udvaskning nøgletal'!$E$12:$E$62)+Markniveau!$Y476*Markniveau!$S476/100,IF($X476=2,LOOKUP(AI476,'Udvaskning nøgletal'!$C$12:$C$62,'Udvaskning nøgletal'!$F$12:$F$62)+Markniveau!$Y476*Markniveau!$S476/100,IF($X476=3,LOOKUP(AI476,'Udvaskning nøgletal'!$C$12:$C$62,'Udvaskning nøgletal'!Q486:Q536)+Markniveau!$Y476*Markniveau!$S476/100,"")))</f>
        <v>33.723295792149436</v>
      </c>
      <c r="AK476" s="10">
        <f t="shared" si="79"/>
        <v>269.78636633719549</v>
      </c>
      <c r="AL476" s="10">
        <f t="shared" si="81"/>
        <v>33.386062834227943</v>
      </c>
      <c r="AM476" s="10">
        <f t="shared" si="82"/>
        <v>267.08850267382354</v>
      </c>
    </row>
    <row r="477" spans="1:39" x14ac:dyDescent="0.25">
      <c r="A477" s="15">
        <v>18265788</v>
      </c>
      <c r="B477" s="15">
        <v>5.05</v>
      </c>
      <c r="C477" s="15">
        <v>430719</v>
      </c>
      <c r="D477" s="15">
        <v>83431</v>
      </c>
      <c r="E477" s="15" t="s">
        <v>356</v>
      </c>
      <c r="F477" s="15">
        <v>2011</v>
      </c>
      <c r="G477" s="15">
        <v>20110223</v>
      </c>
      <c r="H477" s="15">
        <v>103823</v>
      </c>
      <c r="I477" s="15">
        <v>10.38</v>
      </c>
      <c r="J477" s="6" t="s">
        <v>34</v>
      </c>
      <c r="K477" s="15">
        <v>260</v>
      </c>
      <c r="L477" s="15" t="s">
        <v>45</v>
      </c>
      <c r="M477" s="15" t="s">
        <v>5</v>
      </c>
      <c r="N477" s="11" t="s">
        <v>1384</v>
      </c>
      <c r="O477" s="11" t="s">
        <v>28</v>
      </c>
      <c r="P477" s="11" t="s">
        <v>33</v>
      </c>
      <c r="Q477" s="15">
        <v>0</v>
      </c>
      <c r="R477" s="11" t="s">
        <v>1386</v>
      </c>
      <c r="S477" s="10">
        <v>138.92273329733001</v>
      </c>
      <c r="T477" s="15">
        <v>80</v>
      </c>
      <c r="U477" s="15">
        <v>0</v>
      </c>
      <c r="V477" s="15">
        <v>1</v>
      </c>
      <c r="W477" s="15">
        <v>1</v>
      </c>
      <c r="X477" s="15">
        <f>IF(O477='Udvaskning nøgletal'!$D$65,1,IF(O477='Udvaskning nøgletal'!$D$66,2,IF(O477='Udvaskning nøgletal'!$D$67,3,IF(O477='Udvaskning nøgletal'!$D$68,2,""))))</f>
        <v>1</v>
      </c>
      <c r="Y477" s="15">
        <f>LOOKUP(K477,'Udvaskning nøgletal'!$C$12:$C$60,'Udvaskning nøgletal'!$H$12:$H$60)</f>
        <v>0</v>
      </c>
      <c r="Z477" s="10">
        <f>IF(X477=1,LOOKUP(K477,'Udvaskning nøgletal'!$C$12:$C$60,'Udvaskning nøgletal'!$E$12:$E$60)+Markniveau!Y477*Markniveau!S477/100,IF(X477=2,LOOKUP(K477,'Udvaskning nøgletal'!$C$12:$C$60,'Udvaskning nøgletal'!$F$12:$F$60)+Markniveau!Y477*Markniveau!S477/100,IF(X477=3,LOOKUP(K477,'Udvaskning nøgletal'!$C$12:$C$60,'Udvaskning nøgletal'!G487:G535)+Markniveau!Y477*Markniveau!S477/100,"")))</f>
        <v>33.723295792149436</v>
      </c>
      <c r="AA477" s="10">
        <f t="shared" si="76"/>
        <v>350.04781032251117</v>
      </c>
      <c r="AB477" s="10" t="str">
        <f t="shared" si="75"/>
        <v/>
      </c>
      <c r="AC477" s="10" t="str">
        <f t="shared" si="77"/>
        <v/>
      </c>
      <c r="AD477" s="10">
        <f>IF(AND(Q477&gt;0,Q477&lt;30,K477&lt;8),Markniveau!Z477*'Udvaskning nøgletal'!$I$12/100,IF(AND(Q477&gt;0,Q477&lt;30,K477=216),Markniveau!Z477*'Udvaskning nøgletal'!$I$34/100,Markniveau!Z477))</f>
        <v>33.723295792149436</v>
      </c>
      <c r="AE477" s="10">
        <f t="shared" si="83"/>
        <v>350.04781032251117</v>
      </c>
      <c r="AF477" s="10" t="str">
        <f t="shared" si="78"/>
        <v/>
      </c>
      <c r="AG477" s="10" t="str">
        <f t="shared" si="84"/>
        <v/>
      </c>
      <c r="AH477" s="10" t="str">
        <f>IF(AND(Q477&gt;0,Q477&lt;30,K477=216),'Udvaskning nøgletal'!$C$42,IF(AND(Q477&gt;0,Q477&lt;30,K477&gt;7,K477&lt;17),'Udvaskning nøgletal'!$C$61,IF(AND(Q477&gt;0,Q477&lt;30,K477&lt;7),'Udvaskning nøgletal'!$C$62,"")))</f>
        <v/>
      </c>
      <c r="AI477" s="10">
        <f t="shared" si="80"/>
        <v>260</v>
      </c>
      <c r="AJ477" s="10">
        <f>IF($X477=1,LOOKUP(AI477,'Udvaskning nøgletal'!$C$12:$C$62,'Udvaskning nøgletal'!$E$12:$E$62)+Markniveau!$Y477*Markniveau!$S477/100,IF($X477=2,LOOKUP(AI477,'Udvaskning nøgletal'!$C$12:$C$62,'Udvaskning nøgletal'!$F$12:$F$62)+Markniveau!$Y477*Markniveau!$S477/100,IF($X477=3,LOOKUP(AI477,'Udvaskning nøgletal'!$C$12:$C$62,'Udvaskning nøgletal'!Q487:Q537)+Markniveau!$Y477*Markniveau!$S477/100,"")))</f>
        <v>33.723295792149436</v>
      </c>
      <c r="AK477" s="10">
        <f t="shared" si="79"/>
        <v>350.04781032251117</v>
      </c>
      <c r="AL477" s="10" t="str">
        <f t="shared" si="81"/>
        <v/>
      </c>
      <c r="AM477" s="10" t="str">
        <f t="shared" si="82"/>
        <v/>
      </c>
    </row>
    <row r="478" spans="1:39" x14ac:dyDescent="0.25">
      <c r="A478" s="15">
        <v>18265788</v>
      </c>
      <c r="B478" s="15">
        <v>5.05</v>
      </c>
      <c r="C478" s="15">
        <v>430837</v>
      </c>
      <c r="D478" s="15">
        <v>83431</v>
      </c>
      <c r="E478" s="15" t="s">
        <v>356</v>
      </c>
      <c r="F478" s="15">
        <v>2011</v>
      </c>
      <c r="G478" s="15">
        <v>20110223</v>
      </c>
      <c r="H478" s="15">
        <v>145289</v>
      </c>
      <c r="I478" s="15">
        <v>14.53</v>
      </c>
      <c r="J478" s="6" t="s">
        <v>36</v>
      </c>
      <c r="K478" s="15">
        <v>260</v>
      </c>
      <c r="L478" s="15" t="s">
        <v>45</v>
      </c>
      <c r="M478" s="15" t="s">
        <v>5</v>
      </c>
      <c r="N478" s="11" t="s">
        <v>1384</v>
      </c>
      <c r="O478" s="11" t="s">
        <v>28</v>
      </c>
      <c r="P478" s="11" t="s">
        <v>33</v>
      </c>
      <c r="Q478" s="15">
        <v>0</v>
      </c>
      <c r="R478" s="11" t="s">
        <v>1386</v>
      </c>
      <c r="S478" s="10">
        <v>138.92273329733001</v>
      </c>
      <c r="T478" s="15">
        <v>80</v>
      </c>
      <c r="U478" s="15">
        <v>0</v>
      </c>
      <c r="V478" s="15">
        <v>1</v>
      </c>
      <c r="W478" s="15">
        <v>1</v>
      </c>
      <c r="X478" s="15">
        <f>IF(O478='Udvaskning nøgletal'!$D$65,1,IF(O478='Udvaskning nøgletal'!$D$66,2,IF(O478='Udvaskning nøgletal'!$D$67,3,IF(O478='Udvaskning nøgletal'!$D$68,2,""))))</f>
        <v>1</v>
      </c>
      <c r="Y478" s="15">
        <f>LOOKUP(K478,'Udvaskning nøgletal'!$C$12:$C$60,'Udvaskning nøgletal'!$H$12:$H$60)</f>
        <v>0</v>
      </c>
      <c r="Z478" s="10">
        <f>IF(X478=1,LOOKUP(K478,'Udvaskning nøgletal'!$C$12:$C$60,'Udvaskning nøgletal'!$E$12:$E$60)+Markniveau!Y478*Markniveau!S478/100,IF(X478=2,LOOKUP(K478,'Udvaskning nøgletal'!$C$12:$C$60,'Udvaskning nøgletal'!$F$12:$F$60)+Markniveau!Y478*Markniveau!S478/100,IF(X478=3,LOOKUP(K478,'Udvaskning nøgletal'!$C$12:$C$60,'Udvaskning nøgletal'!G488:G536)+Markniveau!Y478*Markniveau!S478/100,"")))</f>
        <v>33.723295792149436</v>
      </c>
      <c r="AA478" s="10">
        <f t="shared" si="76"/>
        <v>489.99948785993126</v>
      </c>
      <c r="AB478" s="10" t="str">
        <f t="shared" si="75"/>
        <v/>
      </c>
      <c r="AC478" s="10" t="str">
        <f t="shared" si="77"/>
        <v/>
      </c>
      <c r="AD478" s="10">
        <f>IF(AND(Q478&gt;0,Q478&lt;30,K478&lt;8),Markniveau!Z478*'Udvaskning nøgletal'!$I$12/100,IF(AND(Q478&gt;0,Q478&lt;30,K478=216),Markniveau!Z478*'Udvaskning nøgletal'!$I$34/100,Markniveau!Z478))</f>
        <v>33.723295792149436</v>
      </c>
      <c r="AE478" s="10">
        <f t="shared" si="83"/>
        <v>489.99948785993126</v>
      </c>
      <c r="AF478" s="10" t="str">
        <f t="shared" si="78"/>
        <v/>
      </c>
      <c r="AG478" s="10" t="str">
        <f t="shared" si="84"/>
        <v/>
      </c>
      <c r="AH478" s="10" t="str">
        <f>IF(AND(Q478&gt;0,Q478&lt;30,K478=216),'Udvaskning nøgletal'!$C$42,IF(AND(Q478&gt;0,Q478&lt;30,K478&gt;7,K478&lt;17),'Udvaskning nøgletal'!$C$61,IF(AND(Q478&gt;0,Q478&lt;30,K478&lt;7),'Udvaskning nøgletal'!$C$62,"")))</f>
        <v/>
      </c>
      <c r="AI478" s="10">
        <f t="shared" si="80"/>
        <v>260</v>
      </c>
      <c r="AJ478" s="10">
        <f>IF($X478=1,LOOKUP(AI478,'Udvaskning nøgletal'!$C$12:$C$62,'Udvaskning nøgletal'!$E$12:$E$62)+Markniveau!$Y478*Markniveau!$S478/100,IF($X478=2,LOOKUP(AI478,'Udvaskning nøgletal'!$C$12:$C$62,'Udvaskning nøgletal'!$F$12:$F$62)+Markniveau!$Y478*Markniveau!$S478/100,IF($X478=3,LOOKUP(AI478,'Udvaskning nøgletal'!$C$12:$C$62,'Udvaskning nøgletal'!Q488:Q538)+Markniveau!$Y478*Markniveau!$S478/100,"")))</f>
        <v>33.723295792149436</v>
      </c>
      <c r="AK478" s="10">
        <f t="shared" si="79"/>
        <v>489.99948785993126</v>
      </c>
      <c r="AL478" s="10" t="str">
        <f t="shared" si="81"/>
        <v/>
      </c>
      <c r="AM478" s="10" t="str">
        <f t="shared" si="82"/>
        <v/>
      </c>
    </row>
    <row r="479" spans="1:39" x14ac:dyDescent="0.25">
      <c r="A479" s="15">
        <v>18265788</v>
      </c>
      <c r="B479" s="15">
        <v>5.05</v>
      </c>
      <c r="C479" s="15">
        <v>439830</v>
      </c>
      <c r="D479" s="15">
        <v>83431</v>
      </c>
      <c r="E479" s="15" t="s">
        <v>356</v>
      </c>
      <c r="F479" s="15">
        <v>2011</v>
      </c>
      <c r="G479" s="15">
        <v>20110223</v>
      </c>
      <c r="H479" s="15">
        <v>98937</v>
      </c>
      <c r="I479" s="15">
        <v>9.89</v>
      </c>
      <c r="J479" s="6" t="s">
        <v>31</v>
      </c>
      <c r="K479" s="15">
        <v>260</v>
      </c>
      <c r="L479" s="15" t="s">
        <v>45</v>
      </c>
      <c r="M479" s="15" t="s">
        <v>5</v>
      </c>
      <c r="N479" s="11" t="s">
        <v>1384</v>
      </c>
      <c r="O479" s="11" t="s">
        <v>28</v>
      </c>
      <c r="P479" s="11" t="s">
        <v>33</v>
      </c>
      <c r="Q479" s="15">
        <v>0</v>
      </c>
      <c r="R479" s="11" t="s">
        <v>1386</v>
      </c>
      <c r="S479" s="10">
        <v>138.92273329733001</v>
      </c>
      <c r="T479" s="15">
        <v>80</v>
      </c>
      <c r="U479" s="15">
        <v>0</v>
      </c>
      <c r="V479" s="15">
        <v>1</v>
      </c>
      <c r="W479" s="15">
        <v>1</v>
      </c>
      <c r="X479" s="15">
        <f>IF(O479='Udvaskning nøgletal'!$D$65,1,IF(O479='Udvaskning nøgletal'!$D$66,2,IF(O479='Udvaskning nøgletal'!$D$67,3,IF(O479='Udvaskning nøgletal'!$D$68,2,""))))</f>
        <v>1</v>
      </c>
      <c r="Y479" s="15">
        <f>LOOKUP(K479,'Udvaskning nøgletal'!$C$12:$C$60,'Udvaskning nøgletal'!$H$12:$H$60)</f>
        <v>0</v>
      </c>
      <c r="Z479" s="10">
        <f>IF(X479=1,LOOKUP(K479,'Udvaskning nøgletal'!$C$12:$C$60,'Udvaskning nøgletal'!$E$12:$E$60)+Markniveau!Y479*Markniveau!S479/100,IF(X479=2,LOOKUP(K479,'Udvaskning nøgletal'!$C$12:$C$60,'Udvaskning nøgletal'!$F$12:$F$60)+Markniveau!Y479*Markniveau!S479/100,IF(X479=3,LOOKUP(K479,'Udvaskning nøgletal'!$C$12:$C$60,'Udvaskning nøgletal'!G489:G537)+Markniveau!Y479*Markniveau!S479/100,"")))</f>
        <v>33.723295792149436</v>
      </c>
      <c r="AA479" s="10">
        <f t="shared" si="76"/>
        <v>333.52339538435797</v>
      </c>
      <c r="AB479" s="10" t="str">
        <f t="shared" si="75"/>
        <v/>
      </c>
      <c r="AC479" s="10" t="str">
        <f t="shared" si="77"/>
        <v/>
      </c>
      <c r="AD479" s="10">
        <f>IF(AND(Q479&gt;0,Q479&lt;30,K479&lt;8),Markniveau!Z479*'Udvaskning nøgletal'!$I$12/100,IF(AND(Q479&gt;0,Q479&lt;30,K479=216),Markniveau!Z479*'Udvaskning nøgletal'!$I$34/100,Markniveau!Z479))</f>
        <v>33.723295792149436</v>
      </c>
      <c r="AE479" s="10">
        <f t="shared" si="83"/>
        <v>333.52339538435797</v>
      </c>
      <c r="AF479" s="10" t="str">
        <f t="shared" si="78"/>
        <v/>
      </c>
      <c r="AG479" s="10" t="str">
        <f t="shared" si="84"/>
        <v/>
      </c>
      <c r="AH479" s="10" t="str">
        <f>IF(AND(Q479&gt;0,Q479&lt;30,K479=216),'Udvaskning nøgletal'!$C$42,IF(AND(Q479&gt;0,Q479&lt;30,K479&gt;7,K479&lt;17),'Udvaskning nøgletal'!$C$61,IF(AND(Q479&gt;0,Q479&lt;30,K479&lt;7),'Udvaskning nøgletal'!$C$62,"")))</f>
        <v/>
      </c>
      <c r="AI479" s="10">
        <f t="shared" si="80"/>
        <v>260</v>
      </c>
      <c r="AJ479" s="10">
        <f>IF($X479=1,LOOKUP(AI479,'Udvaskning nøgletal'!$C$12:$C$62,'Udvaskning nøgletal'!$E$12:$E$62)+Markniveau!$Y479*Markniveau!$S479/100,IF($X479=2,LOOKUP(AI479,'Udvaskning nøgletal'!$C$12:$C$62,'Udvaskning nøgletal'!$F$12:$F$62)+Markniveau!$Y479*Markniveau!$S479/100,IF($X479=3,LOOKUP(AI479,'Udvaskning nøgletal'!$C$12:$C$62,'Udvaskning nøgletal'!Q489:Q539)+Markniveau!$Y479*Markniveau!$S479/100,"")))</f>
        <v>33.723295792149436</v>
      </c>
      <c r="AK479" s="10">
        <f t="shared" si="79"/>
        <v>333.52339538435797</v>
      </c>
      <c r="AL479" s="10" t="str">
        <f t="shared" si="81"/>
        <v/>
      </c>
      <c r="AM479" s="10" t="str">
        <f t="shared" si="82"/>
        <v/>
      </c>
    </row>
    <row r="480" spans="1:39" x14ac:dyDescent="0.25">
      <c r="A480" s="15">
        <v>18265788</v>
      </c>
      <c r="B480" s="15">
        <v>5.05</v>
      </c>
      <c r="C480" s="15">
        <v>440376</v>
      </c>
      <c r="D480" s="15">
        <v>83431</v>
      </c>
      <c r="E480" s="15" t="s">
        <v>356</v>
      </c>
      <c r="F480" s="15">
        <v>2011</v>
      </c>
      <c r="G480" s="15">
        <v>20110223</v>
      </c>
      <c r="H480" s="15">
        <v>95372</v>
      </c>
      <c r="I480" s="15">
        <v>9.5399999999999991</v>
      </c>
      <c r="J480" s="6" t="s">
        <v>37</v>
      </c>
      <c r="K480" s="15">
        <v>260</v>
      </c>
      <c r="L480" s="15" t="s">
        <v>45</v>
      </c>
      <c r="M480" s="15" t="s">
        <v>5</v>
      </c>
      <c r="N480" s="11" t="s">
        <v>1384</v>
      </c>
      <c r="O480" s="11" t="s">
        <v>28</v>
      </c>
      <c r="P480" s="11" t="s">
        <v>33</v>
      </c>
      <c r="Q480" s="15">
        <v>0</v>
      </c>
      <c r="R480" s="11" t="s">
        <v>1386</v>
      </c>
      <c r="S480" s="10">
        <v>138.92273329733001</v>
      </c>
      <c r="T480" s="15">
        <v>80</v>
      </c>
      <c r="U480" s="15">
        <v>0</v>
      </c>
      <c r="V480" s="15">
        <v>1</v>
      </c>
      <c r="W480" s="15">
        <v>1</v>
      </c>
      <c r="X480" s="15">
        <f>IF(O480='Udvaskning nøgletal'!$D$65,1,IF(O480='Udvaskning nøgletal'!$D$66,2,IF(O480='Udvaskning nøgletal'!$D$67,3,IF(O480='Udvaskning nøgletal'!$D$68,2,""))))</f>
        <v>1</v>
      </c>
      <c r="Y480" s="15">
        <f>LOOKUP(K480,'Udvaskning nøgletal'!$C$12:$C$60,'Udvaskning nøgletal'!$H$12:$H$60)</f>
        <v>0</v>
      </c>
      <c r="Z480" s="10">
        <f>IF(X480=1,LOOKUP(K480,'Udvaskning nøgletal'!$C$12:$C$60,'Udvaskning nøgletal'!$E$12:$E$60)+Markniveau!Y480*Markniveau!S480/100,IF(X480=2,LOOKUP(K480,'Udvaskning nøgletal'!$C$12:$C$60,'Udvaskning nøgletal'!$F$12:$F$60)+Markniveau!Y480*Markniveau!S480/100,IF(X480=3,LOOKUP(K480,'Udvaskning nøgletal'!$C$12:$C$60,'Udvaskning nøgletal'!G490:G538)+Markniveau!Y480*Markniveau!S480/100,"")))</f>
        <v>33.723295792149436</v>
      </c>
      <c r="AA480" s="10">
        <f t="shared" si="76"/>
        <v>321.72024185710558</v>
      </c>
      <c r="AB480" s="10" t="str">
        <f t="shared" si="75"/>
        <v/>
      </c>
      <c r="AC480" s="10" t="str">
        <f t="shared" si="77"/>
        <v/>
      </c>
      <c r="AD480" s="10">
        <f>IF(AND(Q480&gt;0,Q480&lt;30,K480&lt;8),Markniveau!Z480*'Udvaskning nøgletal'!$I$12/100,IF(AND(Q480&gt;0,Q480&lt;30,K480=216),Markniveau!Z480*'Udvaskning nøgletal'!$I$34/100,Markniveau!Z480))</f>
        <v>33.723295792149436</v>
      </c>
      <c r="AE480" s="10">
        <f t="shared" si="83"/>
        <v>321.72024185710558</v>
      </c>
      <c r="AF480" s="10" t="str">
        <f t="shared" si="78"/>
        <v/>
      </c>
      <c r="AG480" s="10" t="str">
        <f t="shared" si="84"/>
        <v/>
      </c>
      <c r="AH480" s="10" t="str">
        <f>IF(AND(Q480&gt;0,Q480&lt;30,K480=216),'Udvaskning nøgletal'!$C$42,IF(AND(Q480&gt;0,Q480&lt;30,K480&gt;7,K480&lt;17),'Udvaskning nøgletal'!$C$61,IF(AND(Q480&gt;0,Q480&lt;30,K480&lt;7),'Udvaskning nøgletal'!$C$62,"")))</f>
        <v/>
      </c>
      <c r="AI480" s="10">
        <f t="shared" si="80"/>
        <v>260</v>
      </c>
      <c r="AJ480" s="10">
        <f>IF($X480=1,LOOKUP(AI480,'Udvaskning nøgletal'!$C$12:$C$62,'Udvaskning nøgletal'!$E$12:$E$62)+Markniveau!$Y480*Markniveau!$S480/100,IF($X480=2,LOOKUP(AI480,'Udvaskning nøgletal'!$C$12:$C$62,'Udvaskning nøgletal'!$F$12:$F$62)+Markniveau!$Y480*Markniveau!$S480/100,IF($X480=3,LOOKUP(AI480,'Udvaskning nøgletal'!$C$12:$C$62,'Udvaskning nøgletal'!Q490:Q540)+Markniveau!$Y480*Markniveau!$S480/100,"")))</f>
        <v>33.723295792149436</v>
      </c>
      <c r="AK480" s="10">
        <f t="shared" si="79"/>
        <v>321.72024185710558</v>
      </c>
      <c r="AL480" s="10" t="str">
        <f t="shared" si="81"/>
        <v/>
      </c>
      <c r="AM480" s="10" t="str">
        <f t="shared" si="82"/>
        <v/>
      </c>
    </row>
    <row r="481" spans="1:39" x14ac:dyDescent="0.25">
      <c r="A481" s="15">
        <v>18265788</v>
      </c>
      <c r="B481" s="15">
        <v>5.05</v>
      </c>
      <c r="C481" s="15">
        <v>440377</v>
      </c>
      <c r="D481" s="15">
        <v>83431</v>
      </c>
      <c r="E481" s="15" t="s">
        <v>393</v>
      </c>
      <c r="F481" s="15">
        <v>2011</v>
      </c>
      <c r="G481" s="15">
        <v>20110223</v>
      </c>
      <c r="H481" s="15">
        <v>11645</v>
      </c>
      <c r="I481" s="15">
        <v>1.1599999999999999</v>
      </c>
      <c r="J481" s="6" t="s">
        <v>144</v>
      </c>
      <c r="K481" s="15">
        <v>260</v>
      </c>
      <c r="L481" s="15" t="s">
        <v>45</v>
      </c>
      <c r="M481" s="15" t="s">
        <v>5</v>
      </c>
      <c r="N481" s="11" t="s">
        <v>1384</v>
      </c>
      <c r="O481" s="11" t="s">
        <v>28</v>
      </c>
      <c r="P481" s="11" t="s">
        <v>33</v>
      </c>
      <c r="Q481" s="15">
        <v>0</v>
      </c>
      <c r="R481" s="11" t="s">
        <v>1386</v>
      </c>
      <c r="S481" s="10">
        <v>138.92273329733001</v>
      </c>
      <c r="T481" s="15">
        <v>80</v>
      </c>
      <c r="U481" s="15">
        <v>0</v>
      </c>
      <c r="V481" s="15">
        <v>1</v>
      </c>
      <c r="W481" s="15">
        <v>1</v>
      </c>
      <c r="X481" s="15">
        <f>IF(O481='Udvaskning nøgletal'!$D$65,1,IF(O481='Udvaskning nøgletal'!$D$66,2,IF(O481='Udvaskning nøgletal'!$D$67,3,IF(O481='Udvaskning nøgletal'!$D$68,2,""))))</f>
        <v>1</v>
      </c>
      <c r="Y481" s="15">
        <f>LOOKUP(K481,'Udvaskning nøgletal'!$C$12:$C$60,'Udvaskning nøgletal'!$H$12:$H$60)</f>
        <v>0</v>
      </c>
      <c r="Z481" s="10">
        <f>IF(X481=1,LOOKUP(K481,'Udvaskning nøgletal'!$C$12:$C$60,'Udvaskning nøgletal'!$E$12:$E$60)+Markniveau!Y481*Markniveau!S481/100,IF(X481=2,LOOKUP(K481,'Udvaskning nøgletal'!$C$12:$C$60,'Udvaskning nøgletal'!$F$12:$F$60)+Markniveau!Y481*Markniveau!S481/100,IF(X481=3,LOOKUP(K481,'Udvaskning nøgletal'!$C$12:$C$60,'Udvaskning nøgletal'!G491:G539)+Markniveau!Y481*Markniveau!S481/100,"")))</f>
        <v>33.723295792149436</v>
      </c>
      <c r="AA481" s="10">
        <f t="shared" si="76"/>
        <v>39.119023118893345</v>
      </c>
      <c r="AB481" s="10" t="str">
        <f t="shared" si="75"/>
        <v/>
      </c>
      <c r="AC481" s="10" t="str">
        <f t="shared" si="77"/>
        <v/>
      </c>
      <c r="AD481" s="10">
        <f>IF(AND(Q481&gt;0,Q481&lt;30,K481&lt;8),Markniveau!Z481*'Udvaskning nøgletal'!$I$12/100,IF(AND(Q481&gt;0,Q481&lt;30,K481=216),Markniveau!Z481*'Udvaskning nøgletal'!$I$34/100,Markniveau!Z481))</f>
        <v>33.723295792149436</v>
      </c>
      <c r="AE481" s="10">
        <f t="shared" si="83"/>
        <v>39.119023118893345</v>
      </c>
      <c r="AF481" s="10" t="str">
        <f t="shared" si="78"/>
        <v/>
      </c>
      <c r="AG481" s="10" t="str">
        <f t="shared" si="84"/>
        <v/>
      </c>
      <c r="AH481" s="10" t="str">
        <f>IF(AND(Q481&gt;0,Q481&lt;30,K481=216),'Udvaskning nøgletal'!$C$42,IF(AND(Q481&gt;0,Q481&lt;30,K481&gt;7,K481&lt;17),'Udvaskning nøgletal'!$C$61,IF(AND(Q481&gt;0,Q481&lt;30,K481&lt;7),'Udvaskning nøgletal'!$C$62,"")))</f>
        <v/>
      </c>
      <c r="AI481" s="10">
        <f t="shared" si="80"/>
        <v>260</v>
      </c>
      <c r="AJ481" s="10">
        <f>IF($X481=1,LOOKUP(AI481,'Udvaskning nøgletal'!$C$12:$C$62,'Udvaskning nøgletal'!$E$12:$E$62)+Markniveau!$Y481*Markniveau!$S481/100,IF($X481=2,LOOKUP(AI481,'Udvaskning nøgletal'!$C$12:$C$62,'Udvaskning nøgletal'!$F$12:$F$62)+Markniveau!$Y481*Markniveau!$S481/100,IF($X481=3,LOOKUP(AI481,'Udvaskning nøgletal'!$C$12:$C$62,'Udvaskning nøgletal'!Q491:Q541)+Markniveau!$Y481*Markniveau!$S481/100,"")))</f>
        <v>33.723295792149436</v>
      </c>
      <c r="AK481" s="10">
        <f t="shared" si="79"/>
        <v>39.119023118893345</v>
      </c>
      <c r="AL481" s="10" t="str">
        <f t="shared" si="81"/>
        <v/>
      </c>
      <c r="AM481" s="10" t="str">
        <f t="shared" si="82"/>
        <v/>
      </c>
    </row>
    <row r="482" spans="1:39" x14ac:dyDescent="0.25">
      <c r="A482" s="15">
        <v>18265788</v>
      </c>
      <c r="B482" s="15">
        <v>5.05</v>
      </c>
      <c r="C482" s="15">
        <v>440378</v>
      </c>
      <c r="D482" s="15">
        <v>83431</v>
      </c>
      <c r="E482" s="15" t="s">
        <v>356</v>
      </c>
      <c r="F482" s="15">
        <v>2011</v>
      </c>
      <c r="G482" s="15">
        <v>20110223</v>
      </c>
      <c r="H482" s="15">
        <v>78373</v>
      </c>
      <c r="I482" s="15">
        <v>7.84</v>
      </c>
      <c r="J482" s="6" t="s">
        <v>61</v>
      </c>
      <c r="K482" s="15">
        <v>260</v>
      </c>
      <c r="L482" s="15" t="s">
        <v>45</v>
      </c>
      <c r="M482" s="15" t="s">
        <v>5</v>
      </c>
      <c r="N482" s="11" t="s">
        <v>1384</v>
      </c>
      <c r="O482" s="11" t="s">
        <v>28</v>
      </c>
      <c r="P482" s="11" t="s">
        <v>33</v>
      </c>
      <c r="Q482" s="15">
        <v>0</v>
      </c>
      <c r="R482" s="11" t="s">
        <v>1386</v>
      </c>
      <c r="S482" s="10">
        <v>138.92273329733001</v>
      </c>
      <c r="T482" s="15">
        <v>80</v>
      </c>
      <c r="U482" s="15">
        <v>0</v>
      </c>
      <c r="V482" s="15">
        <v>1</v>
      </c>
      <c r="W482" s="15">
        <v>1</v>
      </c>
      <c r="X482" s="15">
        <f>IF(O482='Udvaskning nøgletal'!$D$65,1,IF(O482='Udvaskning nøgletal'!$D$66,2,IF(O482='Udvaskning nøgletal'!$D$67,3,IF(O482='Udvaskning nøgletal'!$D$68,2,""))))</f>
        <v>1</v>
      </c>
      <c r="Y482" s="15">
        <f>LOOKUP(K482,'Udvaskning nøgletal'!$C$12:$C$60,'Udvaskning nøgletal'!$H$12:$H$60)</f>
        <v>0</v>
      </c>
      <c r="Z482" s="10">
        <f>IF(X482=1,LOOKUP(K482,'Udvaskning nøgletal'!$C$12:$C$60,'Udvaskning nøgletal'!$E$12:$E$60)+Markniveau!Y482*Markniveau!S482/100,IF(X482=2,LOOKUP(K482,'Udvaskning nøgletal'!$C$12:$C$60,'Udvaskning nøgletal'!$F$12:$F$60)+Markniveau!Y482*Markniveau!S482/100,IF(X482=3,LOOKUP(K482,'Udvaskning nøgletal'!$C$12:$C$60,'Udvaskning nøgletal'!G492:G540)+Markniveau!Y482*Markniveau!S482/100,"")))</f>
        <v>33.723295792149436</v>
      </c>
      <c r="AA482" s="10">
        <f t="shared" si="76"/>
        <v>264.39063901045159</v>
      </c>
      <c r="AB482" s="10" t="str">
        <f t="shared" si="75"/>
        <v/>
      </c>
      <c r="AC482" s="10" t="str">
        <f t="shared" si="77"/>
        <v/>
      </c>
      <c r="AD482" s="10">
        <f>IF(AND(Q482&gt;0,Q482&lt;30,K482&lt;8),Markniveau!Z482*'Udvaskning nøgletal'!$I$12/100,IF(AND(Q482&gt;0,Q482&lt;30,K482=216),Markniveau!Z482*'Udvaskning nøgletal'!$I$34/100,Markniveau!Z482))</f>
        <v>33.723295792149436</v>
      </c>
      <c r="AE482" s="10">
        <f t="shared" si="83"/>
        <v>264.39063901045159</v>
      </c>
      <c r="AF482" s="10" t="str">
        <f t="shared" si="78"/>
        <v/>
      </c>
      <c r="AG482" s="10" t="str">
        <f t="shared" si="84"/>
        <v/>
      </c>
      <c r="AH482" s="10" t="str">
        <f>IF(AND(Q482&gt;0,Q482&lt;30,K482=216),'Udvaskning nøgletal'!$C$42,IF(AND(Q482&gt;0,Q482&lt;30,K482&gt;7,K482&lt;17),'Udvaskning nøgletal'!$C$61,IF(AND(Q482&gt;0,Q482&lt;30,K482&lt;7),'Udvaskning nøgletal'!$C$62,"")))</f>
        <v/>
      </c>
      <c r="AI482" s="10">
        <f t="shared" si="80"/>
        <v>260</v>
      </c>
      <c r="AJ482" s="10">
        <f>IF($X482=1,LOOKUP(AI482,'Udvaskning nøgletal'!$C$12:$C$62,'Udvaskning nøgletal'!$E$12:$E$62)+Markniveau!$Y482*Markniveau!$S482/100,IF($X482=2,LOOKUP(AI482,'Udvaskning nøgletal'!$C$12:$C$62,'Udvaskning nøgletal'!$F$12:$F$62)+Markniveau!$Y482*Markniveau!$S482/100,IF($X482=3,LOOKUP(AI482,'Udvaskning nøgletal'!$C$12:$C$62,'Udvaskning nøgletal'!Q492:Q542)+Markniveau!$Y482*Markniveau!$S482/100,"")))</f>
        <v>33.723295792149436</v>
      </c>
      <c r="AK482" s="10">
        <f t="shared" si="79"/>
        <v>264.39063901045159</v>
      </c>
      <c r="AL482" s="10" t="str">
        <f t="shared" si="81"/>
        <v/>
      </c>
      <c r="AM482" s="10" t="str">
        <f t="shared" si="82"/>
        <v/>
      </c>
    </row>
    <row r="483" spans="1:39" x14ac:dyDescent="0.25">
      <c r="A483" s="15">
        <v>18265788</v>
      </c>
      <c r="B483" s="15">
        <v>5.05</v>
      </c>
      <c r="C483" s="15">
        <v>441108</v>
      </c>
      <c r="D483" s="15">
        <v>83431</v>
      </c>
      <c r="E483" s="15" t="s">
        <v>393</v>
      </c>
      <c r="F483" s="15">
        <v>2011</v>
      </c>
      <c r="G483" s="15">
        <v>20110223</v>
      </c>
      <c r="H483" s="15">
        <v>9912</v>
      </c>
      <c r="I483" s="15">
        <v>0.99</v>
      </c>
      <c r="J483" s="6" t="s">
        <v>164</v>
      </c>
      <c r="K483" s="15">
        <v>252</v>
      </c>
      <c r="L483" s="15" t="s">
        <v>41</v>
      </c>
      <c r="M483" s="15" t="s">
        <v>4</v>
      </c>
      <c r="N483" s="11" t="s">
        <v>1384</v>
      </c>
      <c r="O483" s="11" t="s">
        <v>28</v>
      </c>
      <c r="P483" s="11" t="s">
        <v>33</v>
      </c>
      <c r="Q483" s="15">
        <v>0</v>
      </c>
      <c r="R483" s="11" t="s">
        <v>1386</v>
      </c>
      <c r="S483" s="10">
        <v>138.92273329733001</v>
      </c>
      <c r="T483" s="15">
        <v>80</v>
      </c>
      <c r="U483" s="15">
        <v>0</v>
      </c>
      <c r="V483" s="15">
        <v>1</v>
      </c>
      <c r="W483" s="15">
        <v>1</v>
      </c>
      <c r="X483" s="15">
        <f>IF(O483='Udvaskning nøgletal'!$D$65,1,IF(O483='Udvaskning nøgletal'!$D$66,2,IF(O483='Udvaskning nøgletal'!$D$67,3,IF(O483='Udvaskning nøgletal'!$D$68,2,""))))</f>
        <v>1</v>
      </c>
      <c r="Y483" s="15">
        <f>LOOKUP(K483,'Udvaskning nøgletal'!$C$12:$C$60,'Udvaskning nøgletal'!$H$12:$H$60)</f>
        <v>0</v>
      </c>
      <c r="Z483" s="10">
        <f>IF(X483=1,LOOKUP(K483,'Udvaskning nøgletal'!$C$12:$C$60,'Udvaskning nøgletal'!$E$12:$E$60)+Markniveau!Y483*Markniveau!S483/100,IF(X483=2,LOOKUP(K483,'Udvaskning nøgletal'!$C$12:$C$60,'Udvaskning nøgletal'!$F$12:$F$60)+Markniveau!Y483*Markniveau!S483/100,IF(X483=3,LOOKUP(K483,'Udvaskning nøgletal'!$C$12:$C$60,'Udvaskning nøgletal'!G493:G541)+Markniveau!Y483*Markniveau!S483/100,"")))</f>
        <v>21.2</v>
      </c>
      <c r="AA483" s="10">
        <f t="shared" si="76"/>
        <v>20.988</v>
      </c>
      <c r="AB483" s="10" t="str">
        <f t="shared" si="75"/>
        <v/>
      </c>
      <c r="AC483" s="10" t="str">
        <f t="shared" si="77"/>
        <v/>
      </c>
      <c r="AD483" s="10">
        <f>IF(AND(Q483&gt;0,Q483&lt;30,K483&lt;8),Markniveau!Z483*'Udvaskning nøgletal'!$I$12/100,IF(AND(Q483&gt;0,Q483&lt;30,K483=216),Markniveau!Z483*'Udvaskning nøgletal'!$I$34/100,Markniveau!Z483))</f>
        <v>21.2</v>
      </c>
      <c r="AE483" s="10">
        <f t="shared" si="83"/>
        <v>20.988</v>
      </c>
      <c r="AF483" s="10" t="str">
        <f t="shared" si="78"/>
        <v/>
      </c>
      <c r="AG483" s="10" t="str">
        <f t="shared" si="84"/>
        <v/>
      </c>
      <c r="AH483" s="10" t="str">
        <f>IF(AND(Q483&gt;0,Q483&lt;30,K483=216),'Udvaskning nøgletal'!$C$42,IF(AND(Q483&gt;0,Q483&lt;30,K483&gt;7,K483&lt;17),'Udvaskning nøgletal'!$C$61,IF(AND(Q483&gt;0,Q483&lt;30,K483&lt;7),'Udvaskning nøgletal'!$C$62,"")))</f>
        <v/>
      </c>
      <c r="AI483" s="10">
        <f t="shared" si="80"/>
        <v>252</v>
      </c>
      <c r="AJ483" s="10">
        <f>IF($X483=1,LOOKUP(AI483,'Udvaskning nøgletal'!$C$12:$C$62,'Udvaskning nøgletal'!$E$12:$E$62)+Markniveau!$Y483*Markniveau!$S483/100,IF($X483=2,LOOKUP(AI483,'Udvaskning nøgletal'!$C$12:$C$62,'Udvaskning nøgletal'!$F$12:$F$62)+Markniveau!$Y483*Markniveau!$S483/100,IF($X483=3,LOOKUP(AI483,'Udvaskning nøgletal'!$C$12:$C$62,'Udvaskning nøgletal'!Q493:Q543)+Markniveau!$Y483*Markniveau!$S483/100,"")))</f>
        <v>21.2</v>
      </c>
      <c r="AK483" s="10">
        <f t="shared" si="79"/>
        <v>20.988</v>
      </c>
      <c r="AL483" s="10" t="str">
        <f t="shared" si="81"/>
        <v/>
      </c>
      <c r="AM483" s="10" t="str">
        <f t="shared" si="82"/>
        <v/>
      </c>
    </row>
    <row r="484" spans="1:39" x14ac:dyDescent="0.25">
      <c r="A484" s="15">
        <v>18265788</v>
      </c>
      <c r="B484" s="15">
        <v>5.05</v>
      </c>
      <c r="C484" s="15">
        <v>450320</v>
      </c>
      <c r="D484" s="15">
        <v>83431</v>
      </c>
      <c r="E484" s="15" t="s">
        <v>409</v>
      </c>
      <c r="F484" s="15">
        <v>2011</v>
      </c>
      <c r="G484" s="15">
        <v>20110223</v>
      </c>
      <c r="H484" s="15">
        <v>5095</v>
      </c>
      <c r="I484" s="15">
        <v>0.51</v>
      </c>
      <c r="J484" s="6" t="s">
        <v>1405</v>
      </c>
      <c r="K484" s="15">
        <v>902</v>
      </c>
      <c r="L484" s="15" t="s">
        <v>160</v>
      </c>
      <c r="M484" s="15" t="s">
        <v>81</v>
      </c>
      <c r="N484" s="11" t="s">
        <v>1384</v>
      </c>
      <c r="O484" s="11" t="s">
        <v>28</v>
      </c>
      <c r="P484" s="11" t="s">
        <v>33</v>
      </c>
      <c r="Q484" s="15">
        <v>0</v>
      </c>
      <c r="R484" s="11" t="s">
        <v>1386</v>
      </c>
      <c r="S484" s="10">
        <v>138.92273329733001</v>
      </c>
      <c r="T484" s="15">
        <v>80</v>
      </c>
      <c r="U484" s="15">
        <v>0</v>
      </c>
      <c r="V484" s="15">
        <v>1</v>
      </c>
      <c r="W484" s="15">
        <v>1</v>
      </c>
      <c r="X484" s="15">
        <f>IF(O484='Udvaskning nøgletal'!$D$65,1,IF(O484='Udvaskning nøgletal'!$D$66,2,IF(O484='Udvaskning nøgletal'!$D$67,3,IF(O484='Udvaskning nøgletal'!$D$68,2,""))))</f>
        <v>1</v>
      </c>
      <c r="Y484" s="15">
        <f>LOOKUP(K484,'Udvaskning nøgletal'!$C$12:$C$60,'Udvaskning nøgletal'!$H$12:$H$60)</f>
        <v>0</v>
      </c>
      <c r="Z484" s="10">
        <f>IF(X484=1,LOOKUP(K484,'Udvaskning nøgletal'!$C$12:$C$60,'Udvaskning nøgletal'!$E$12:$E$60)+Markniveau!Y484*Markniveau!S484/100,IF(X484=2,LOOKUP(K484,'Udvaskning nøgletal'!$C$12:$C$60,'Udvaskning nøgletal'!$F$12:$F$60)+Markniveau!Y484*Markniveau!S484/100,IF(X484=3,LOOKUP(K484,'Udvaskning nøgletal'!$C$12:$C$60,'Udvaskning nøgletal'!G494:G542)+Markniveau!Y484*Markniveau!S484/100,"")))</f>
        <v>10</v>
      </c>
      <c r="AA484" s="10">
        <f t="shared" si="76"/>
        <v>5.0999999999999996</v>
      </c>
      <c r="AB484" s="10" t="str">
        <f t="shared" si="75"/>
        <v/>
      </c>
      <c r="AC484" s="10" t="str">
        <f t="shared" si="77"/>
        <v/>
      </c>
      <c r="AD484" s="10">
        <f>IF(AND(Q484&gt;0,Q484&lt;30,K484&lt;8),Markniveau!Z484*'Udvaskning nøgletal'!$I$12/100,IF(AND(Q484&gt;0,Q484&lt;30,K484=216),Markniveau!Z484*'Udvaskning nøgletal'!$I$34/100,Markniveau!Z484))</f>
        <v>10</v>
      </c>
      <c r="AE484" s="10">
        <f t="shared" si="83"/>
        <v>5.0999999999999996</v>
      </c>
      <c r="AF484" s="10" t="str">
        <f t="shared" si="78"/>
        <v/>
      </c>
      <c r="AG484" s="10" t="str">
        <f t="shared" si="84"/>
        <v/>
      </c>
      <c r="AH484" s="10" t="str">
        <f>IF(AND(Q484&gt;0,Q484&lt;30,K484=216),'Udvaskning nøgletal'!$C$42,IF(AND(Q484&gt;0,Q484&lt;30,K484&gt;7,K484&lt;17),'Udvaskning nøgletal'!$C$61,IF(AND(Q484&gt;0,Q484&lt;30,K484&lt;7),'Udvaskning nøgletal'!$C$62,"")))</f>
        <v/>
      </c>
      <c r="AI484" s="10">
        <f t="shared" si="80"/>
        <v>902</v>
      </c>
      <c r="AJ484" s="10">
        <f>IF($X484=1,LOOKUP(AI484,'Udvaskning nøgletal'!$C$12:$C$62,'Udvaskning nøgletal'!$E$12:$E$62)+Markniveau!$Y484*Markniveau!$S484/100,IF($X484=2,LOOKUP(AI484,'Udvaskning nøgletal'!$C$12:$C$62,'Udvaskning nøgletal'!$F$12:$F$62)+Markniveau!$Y484*Markniveau!$S484/100,IF($X484=3,LOOKUP(AI484,'Udvaskning nøgletal'!$C$12:$C$62,'Udvaskning nøgletal'!Q494:Q544)+Markniveau!$Y484*Markniveau!$S484/100,"")))</f>
        <v>10</v>
      </c>
      <c r="AK484" s="10">
        <f t="shared" si="79"/>
        <v>5.0999999999999996</v>
      </c>
      <c r="AL484" s="10" t="str">
        <f t="shared" si="81"/>
        <v/>
      </c>
      <c r="AM484" s="10" t="str">
        <f t="shared" si="82"/>
        <v/>
      </c>
    </row>
    <row r="485" spans="1:39" x14ac:dyDescent="0.25">
      <c r="A485" s="15">
        <v>18265788</v>
      </c>
      <c r="B485" s="15">
        <v>5.05</v>
      </c>
      <c r="C485" s="15">
        <v>459986</v>
      </c>
      <c r="D485" s="15">
        <v>83431</v>
      </c>
      <c r="E485" s="15" t="s">
        <v>393</v>
      </c>
      <c r="F485" s="15">
        <v>2011</v>
      </c>
      <c r="G485" s="15">
        <v>20110223</v>
      </c>
      <c r="H485" s="15">
        <v>3751</v>
      </c>
      <c r="I485" s="15">
        <v>0.38</v>
      </c>
      <c r="J485" s="6" t="s">
        <v>1411</v>
      </c>
      <c r="K485" s="15">
        <v>276</v>
      </c>
      <c r="L485" s="15" t="s">
        <v>146</v>
      </c>
      <c r="M485" s="15" t="s">
        <v>4</v>
      </c>
      <c r="N485" s="11" t="s">
        <v>1384</v>
      </c>
      <c r="O485" s="11" t="s">
        <v>28</v>
      </c>
      <c r="P485" s="11" t="s">
        <v>33</v>
      </c>
      <c r="Q485" s="15">
        <v>0</v>
      </c>
      <c r="R485" s="11" t="s">
        <v>1386</v>
      </c>
      <c r="S485" s="10">
        <v>138.92273329733001</v>
      </c>
      <c r="T485" s="15">
        <v>80</v>
      </c>
      <c r="U485" s="15">
        <v>0</v>
      </c>
      <c r="V485" s="15">
        <v>1</v>
      </c>
      <c r="W485" s="15">
        <v>1</v>
      </c>
      <c r="X485" s="15">
        <f>IF(O485='Udvaskning nøgletal'!$D$65,1,IF(O485='Udvaskning nøgletal'!$D$66,2,IF(O485='Udvaskning nøgletal'!$D$67,3,IF(O485='Udvaskning nøgletal'!$D$68,2,""))))</f>
        <v>1</v>
      </c>
      <c r="Y485" s="15">
        <f>LOOKUP(K485,'Udvaskning nøgletal'!$C$12:$C$60,'Udvaskning nøgletal'!$H$12:$H$60)</f>
        <v>0</v>
      </c>
      <c r="Z485" s="10">
        <f>IF(X485=1,LOOKUP(K485,'Udvaskning nøgletal'!$C$12:$C$60,'Udvaskning nøgletal'!$E$12:$E$60)+Markniveau!Y485*Markniveau!S485/100,IF(X485=2,LOOKUP(K485,'Udvaskning nøgletal'!$C$12:$C$60,'Udvaskning nøgletal'!$F$12:$F$60)+Markniveau!Y485*Markniveau!S485/100,IF(X485=3,LOOKUP(K485,'Udvaskning nøgletal'!$C$12:$C$60,'Udvaskning nøgletal'!G495:G543)+Markniveau!Y485*Markniveau!S485/100,"")))</f>
        <v>10.6</v>
      </c>
      <c r="AA485" s="10">
        <f t="shared" si="76"/>
        <v>4.0279999999999996</v>
      </c>
      <c r="AB485" s="10" t="str">
        <f t="shared" si="75"/>
        <v/>
      </c>
      <c r="AC485" s="10" t="str">
        <f t="shared" si="77"/>
        <v/>
      </c>
      <c r="AD485" s="10">
        <f>IF(AND(Q485&gt;0,Q485&lt;30,K485&lt;8),Markniveau!Z485*'Udvaskning nøgletal'!$I$12/100,IF(AND(Q485&gt;0,Q485&lt;30,K485=216),Markniveau!Z485*'Udvaskning nøgletal'!$I$34/100,Markniveau!Z485))</f>
        <v>10.6</v>
      </c>
      <c r="AE485" s="10">
        <f t="shared" si="83"/>
        <v>4.0279999999999996</v>
      </c>
      <c r="AF485" s="10" t="str">
        <f t="shared" si="78"/>
        <v/>
      </c>
      <c r="AG485" s="10" t="str">
        <f t="shared" si="84"/>
        <v/>
      </c>
      <c r="AH485" s="10" t="str">
        <f>IF(AND(Q485&gt;0,Q485&lt;30,K485=216),'Udvaskning nøgletal'!$C$42,IF(AND(Q485&gt;0,Q485&lt;30,K485&gt;7,K485&lt;17),'Udvaskning nøgletal'!$C$61,IF(AND(Q485&gt;0,Q485&lt;30,K485&lt;7),'Udvaskning nøgletal'!$C$62,"")))</f>
        <v/>
      </c>
      <c r="AI485" s="10">
        <f t="shared" si="80"/>
        <v>276</v>
      </c>
      <c r="AJ485" s="10">
        <f>IF($X485=1,LOOKUP(AI485,'Udvaskning nøgletal'!$C$12:$C$62,'Udvaskning nøgletal'!$E$12:$E$62)+Markniveau!$Y485*Markniveau!$S485/100,IF($X485=2,LOOKUP(AI485,'Udvaskning nøgletal'!$C$12:$C$62,'Udvaskning nøgletal'!$F$12:$F$62)+Markniveau!$Y485*Markniveau!$S485/100,IF($X485=3,LOOKUP(AI485,'Udvaskning nøgletal'!$C$12:$C$62,'Udvaskning nøgletal'!Q495:Q545)+Markniveau!$Y485*Markniveau!$S485/100,"")))</f>
        <v>10.6</v>
      </c>
      <c r="AK485" s="10">
        <f t="shared" si="79"/>
        <v>4.0279999999999996</v>
      </c>
      <c r="AL485" s="10" t="str">
        <f t="shared" si="81"/>
        <v/>
      </c>
      <c r="AM485" s="10" t="str">
        <f t="shared" si="82"/>
        <v/>
      </c>
    </row>
    <row r="486" spans="1:39" x14ac:dyDescent="0.25">
      <c r="A486" s="15">
        <v>18265788</v>
      </c>
      <c r="B486" s="15">
        <v>5.05</v>
      </c>
      <c r="C486" s="15">
        <v>486837</v>
      </c>
      <c r="D486" s="15">
        <v>83431</v>
      </c>
      <c r="E486" s="15" t="s">
        <v>356</v>
      </c>
      <c r="F486" s="15">
        <v>2011</v>
      </c>
      <c r="G486" s="15">
        <v>20110311</v>
      </c>
      <c r="H486" s="15">
        <v>61760</v>
      </c>
      <c r="I486" s="15">
        <v>6.18</v>
      </c>
      <c r="J486" s="6" t="s">
        <v>97</v>
      </c>
      <c r="K486" s="15">
        <v>260</v>
      </c>
      <c r="L486" s="15" t="s">
        <v>45</v>
      </c>
      <c r="M486" s="15" t="s">
        <v>5</v>
      </c>
      <c r="N486" s="11" t="s">
        <v>1384</v>
      </c>
      <c r="O486" s="11" t="s">
        <v>28</v>
      </c>
      <c r="P486" s="11" t="s">
        <v>33</v>
      </c>
      <c r="Q486" s="15">
        <v>0</v>
      </c>
      <c r="R486" s="11" t="s">
        <v>1386</v>
      </c>
      <c r="S486" s="10">
        <v>138.92273329733001</v>
      </c>
      <c r="T486" s="15">
        <v>80</v>
      </c>
      <c r="U486" s="15">
        <v>0</v>
      </c>
      <c r="V486" s="15">
        <v>1</v>
      </c>
      <c r="W486" s="15">
        <v>1</v>
      </c>
      <c r="X486" s="15">
        <f>IF(O486='Udvaskning nøgletal'!$D$65,1,IF(O486='Udvaskning nøgletal'!$D$66,2,IF(O486='Udvaskning nøgletal'!$D$67,3,IF(O486='Udvaskning nøgletal'!$D$68,2,""))))</f>
        <v>1</v>
      </c>
      <c r="Y486" s="15">
        <f>LOOKUP(K486,'Udvaskning nøgletal'!$C$12:$C$60,'Udvaskning nøgletal'!$H$12:$H$60)</f>
        <v>0</v>
      </c>
      <c r="Z486" s="10">
        <f>IF(X486=1,LOOKUP(K486,'Udvaskning nøgletal'!$C$12:$C$60,'Udvaskning nøgletal'!$E$12:$E$60)+Markniveau!Y486*Markniveau!S486/100,IF(X486=2,LOOKUP(K486,'Udvaskning nøgletal'!$C$12:$C$60,'Udvaskning nøgletal'!$F$12:$F$60)+Markniveau!Y486*Markniveau!S486/100,IF(X486=3,LOOKUP(K486,'Udvaskning nøgletal'!$C$12:$C$60,'Udvaskning nøgletal'!G496:G544)+Markniveau!Y486*Markniveau!S486/100,"")))</f>
        <v>33.723295792149436</v>
      </c>
      <c r="AA486" s="10">
        <f t="shared" si="76"/>
        <v>208.4099679954835</v>
      </c>
      <c r="AB486" s="10" t="str">
        <f t="shared" si="75"/>
        <v/>
      </c>
      <c r="AC486" s="10" t="str">
        <f t="shared" si="77"/>
        <v/>
      </c>
      <c r="AD486" s="10">
        <f>IF(AND(Q486&gt;0,Q486&lt;30,K486&lt;8),Markniveau!Z486*'Udvaskning nøgletal'!$I$12/100,IF(AND(Q486&gt;0,Q486&lt;30,K486=216),Markniveau!Z486*'Udvaskning nøgletal'!$I$34/100,Markniveau!Z486))</f>
        <v>33.723295792149436</v>
      </c>
      <c r="AE486" s="10">
        <f t="shared" si="83"/>
        <v>208.4099679954835</v>
      </c>
      <c r="AF486" s="10" t="str">
        <f t="shared" si="78"/>
        <v/>
      </c>
      <c r="AG486" s="10" t="str">
        <f t="shared" si="84"/>
        <v/>
      </c>
      <c r="AH486" s="10" t="str">
        <f>IF(AND(Q486&gt;0,Q486&lt;30,K486=216),'Udvaskning nøgletal'!$C$42,IF(AND(Q486&gt;0,Q486&lt;30,K486&gt;7,K486&lt;17),'Udvaskning nøgletal'!$C$61,IF(AND(Q486&gt;0,Q486&lt;30,K486&lt;7),'Udvaskning nøgletal'!$C$62,"")))</f>
        <v/>
      </c>
      <c r="AI486" s="10">
        <f t="shared" si="80"/>
        <v>260</v>
      </c>
      <c r="AJ486" s="10">
        <f>IF($X486=1,LOOKUP(AI486,'Udvaskning nøgletal'!$C$12:$C$62,'Udvaskning nøgletal'!$E$12:$E$62)+Markniveau!$Y486*Markniveau!$S486/100,IF($X486=2,LOOKUP(AI486,'Udvaskning nøgletal'!$C$12:$C$62,'Udvaskning nøgletal'!$F$12:$F$62)+Markniveau!$Y486*Markniveau!$S486/100,IF($X486=3,LOOKUP(AI486,'Udvaskning nøgletal'!$C$12:$C$62,'Udvaskning nøgletal'!Q496:Q546)+Markniveau!$Y486*Markniveau!$S486/100,"")))</f>
        <v>33.723295792149436</v>
      </c>
      <c r="AK486" s="10">
        <f t="shared" si="79"/>
        <v>208.4099679954835</v>
      </c>
      <c r="AL486" s="10" t="str">
        <f t="shared" si="81"/>
        <v/>
      </c>
      <c r="AM486" s="10" t="str">
        <f t="shared" si="82"/>
        <v/>
      </c>
    </row>
    <row r="487" spans="1:39" x14ac:dyDescent="0.25">
      <c r="A487" s="15">
        <v>18265788</v>
      </c>
      <c r="B487" s="15">
        <v>5.05</v>
      </c>
      <c r="C487" s="15">
        <v>302045</v>
      </c>
      <c r="D487" s="15">
        <v>83431</v>
      </c>
      <c r="E487" s="15" t="s">
        <v>185</v>
      </c>
      <c r="F487" s="15">
        <v>2011</v>
      </c>
      <c r="G487" s="15">
        <v>20110223</v>
      </c>
      <c r="H487" s="15">
        <v>39638</v>
      </c>
      <c r="I487" s="15">
        <v>3.96</v>
      </c>
      <c r="J487" s="6" t="s">
        <v>53</v>
      </c>
      <c r="K487" s="15">
        <v>902</v>
      </c>
      <c r="L487" s="15" t="s">
        <v>160</v>
      </c>
      <c r="M487" s="15" t="s">
        <v>81</v>
      </c>
      <c r="N487" s="11" t="s">
        <v>1384</v>
      </c>
      <c r="O487" s="11" t="s">
        <v>28</v>
      </c>
      <c r="P487" s="11" t="s">
        <v>33</v>
      </c>
      <c r="Q487" s="15">
        <v>0</v>
      </c>
      <c r="R487" s="11" t="s">
        <v>1386</v>
      </c>
      <c r="S487" s="10">
        <v>138.92273329733001</v>
      </c>
      <c r="T487" s="15">
        <v>80</v>
      </c>
      <c r="U487" s="15">
        <v>0</v>
      </c>
      <c r="V487" s="15">
        <v>1</v>
      </c>
      <c r="W487" s="15">
        <v>1</v>
      </c>
      <c r="X487" s="15">
        <f>IF(O487='Udvaskning nøgletal'!$D$65,1,IF(O487='Udvaskning nøgletal'!$D$66,2,IF(O487='Udvaskning nøgletal'!$D$67,3,IF(O487='Udvaskning nøgletal'!$D$68,2,""))))</f>
        <v>1</v>
      </c>
      <c r="Y487" s="15">
        <f>LOOKUP(K487,'Udvaskning nøgletal'!$C$12:$C$60,'Udvaskning nøgletal'!$H$12:$H$60)</f>
        <v>0</v>
      </c>
      <c r="Z487" s="10">
        <f>IF(X487=1,LOOKUP(K487,'Udvaskning nøgletal'!$C$12:$C$60,'Udvaskning nøgletal'!$E$12:$E$60)+Markniveau!Y487*Markniveau!S487/100,IF(X487=2,LOOKUP(K487,'Udvaskning nøgletal'!$C$12:$C$60,'Udvaskning nøgletal'!$F$12:$F$60)+Markniveau!Y487*Markniveau!S487/100,IF(X487=3,LOOKUP(K487,'Udvaskning nøgletal'!$C$12:$C$60,'Udvaskning nøgletal'!G497:G545)+Markniveau!Y487*Markniveau!S487/100,"")))</f>
        <v>10</v>
      </c>
      <c r="AA487" s="10">
        <f t="shared" si="76"/>
        <v>39.6</v>
      </c>
      <c r="AB487" s="10" t="str">
        <f t="shared" si="75"/>
        <v/>
      </c>
      <c r="AC487" s="10" t="str">
        <f t="shared" si="77"/>
        <v/>
      </c>
      <c r="AD487" s="10">
        <f>IF(AND(Q487&gt;0,Q487&lt;30,K487&lt;8),Markniveau!Z487*'Udvaskning nøgletal'!$I$12/100,IF(AND(Q487&gt;0,Q487&lt;30,K487=216),Markniveau!Z487*'Udvaskning nøgletal'!$I$34/100,Markniveau!Z487))</f>
        <v>10</v>
      </c>
      <c r="AE487" s="10">
        <f t="shared" si="83"/>
        <v>39.6</v>
      </c>
      <c r="AF487" s="10" t="str">
        <f t="shared" si="78"/>
        <v/>
      </c>
      <c r="AG487" s="10" t="str">
        <f t="shared" si="84"/>
        <v/>
      </c>
      <c r="AH487" s="10" t="str">
        <f>IF(AND(Q487&gt;0,Q487&lt;30,K487=216),'Udvaskning nøgletal'!$C$42,IF(AND(Q487&gt;0,Q487&lt;30,K487&gt;7,K487&lt;17),'Udvaskning nøgletal'!$C$61,IF(AND(Q487&gt;0,Q487&lt;30,K487&lt;7),'Udvaskning nøgletal'!$C$62,"")))</f>
        <v/>
      </c>
      <c r="AI487" s="10">
        <f t="shared" si="80"/>
        <v>902</v>
      </c>
      <c r="AJ487" s="10">
        <f>IF($X487=1,LOOKUP(AI487,'Udvaskning nøgletal'!$C$12:$C$62,'Udvaskning nøgletal'!$E$12:$E$62)+Markniveau!$Y487*Markniveau!$S487/100,IF($X487=2,LOOKUP(AI487,'Udvaskning nøgletal'!$C$12:$C$62,'Udvaskning nøgletal'!$F$12:$F$62)+Markniveau!$Y487*Markniveau!$S487/100,IF($X487=3,LOOKUP(AI487,'Udvaskning nøgletal'!$C$12:$C$62,'Udvaskning nøgletal'!Q497:Q547)+Markniveau!$Y487*Markniveau!$S487/100,"")))</f>
        <v>10</v>
      </c>
      <c r="AK487" s="10">
        <f t="shared" si="79"/>
        <v>39.6</v>
      </c>
      <c r="AL487" s="10" t="str">
        <f t="shared" si="81"/>
        <v/>
      </c>
      <c r="AM487" s="10" t="str">
        <f t="shared" si="82"/>
        <v/>
      </c>
    </row>
    <row r="488" spans="1:39" x14ac:dyDescent="0.25">
      <c r="A488" s="15">
        <v>18265788</v>
      </c>
      <c r="B488" s="15">
        <v>5.05</v>
      </c>
      <c r="C488" s="15">
        <v>393863</v>
      </c>
      <c r="D488" s="15">
        <v>83431</v>
      </c>
      <c r="E488" s="15" t="s">
        <v>410</v>
      </c>
      <c r="F488" s="15">
        <v>2011</v>
      </c>
      <c r="G488" s="15">
        <v>20110223</v>
      </c>
      <c r="H488" s="15">
        <v>132573</v>
      </c>
      <c r="I488" s="15">
        <v>13.26</v>
      </c>
      <c r="J488" s="6" t="s">
        <v>58</v>
      </c>
      <c r="K488" s="15">
        <v>172</v>
      </c>
      <c r="L488" s="15" t="s">
        <v>401</v>
      </c>
      <c r="M488" s="15" t="s">
        <v>5</v>
      </c>
      <c r="N488" s="11" t="s">
        <v>1384</v>
      </c>
      <c r="O488" s="11" t="s">
        <v>28</v>
      </c>
      <c r="P488" s="11" t="s">
        <v>33</v>
      </c>
      <c r="Q488" s="15">
        <v>0</v>
      </c>
      <c r="R488" s="11" t="s">
        <v>1386</v>
      </c>
      <c r="S488" s="10">
        <v>138.92273329733001</v>
      </c>
      <c r="T488" s="15">
        <v>80</v>
      </c>
      <c r="U488" s="15">
        <v>0</v>
      </c>
      <c r="V488" s="15">
        <v>1</v>
      </c>
      <c r="W488" s="15">
        <v>1</v>
      </c>
      <c r="X488" s="15">
        <f>IF(O488='Udvaskning nøgletal'!$D$65,1,IF(O488='Udvaskning nøgletal'!$D$66,2,IF(O488='Udvaskning nøgletal'!$D$67,3,IF(O488='Udvaskning nøgletal'!$D$68,2,""))))</f>
        <v>1</v>
      </c>
      <c r="Y488" s="15">
        <f>LOOKUP(K488,'Udvaskning nøgletal'!$C$12:$C$60,'Udvaskning nøgletal'!$H$12:$H$60)</f>
        <v>0</v>
      </c>
      <c r="Z488" s="10">
        <f>IF(X488=1,LOOKUP(K488,'Udvaskning nøgletal'!$C$12:$C$60,'Udvaskning nøgletal'!$E$12:$E$60)+Markniveau!Y488*Markniveau!S488/100,IF(X488=2,LOOKUP(K488,'Udvaskning nøgletal'!$C$12:$C$60,'Udvaskning nøgletal'!$F$12:$F$60)+Markniveau!Y488*Markniveau!S488/100,IF(X488=3,LOOKUP(K488,'Udvaskning nøgletal'!$C$12:$C$60,'Udvaskning nøgletal'!G498:G546)+Markniveau!Y488*Markniveau!S488/100,"")))</f>
        <v>33.723295792149436</v>
      </c>
      <c r="AA488" s="10">
        <f t="shared" si="76"/>
        <v>447.17090220390151</v>
      </c>
      <c r="AB488" s="10" t="str">
        <f t="shared" si="75"/>
        <v/>
      </c>
      <c r="AC488" s="10" t="str">
        <f t="shared" si="77"/>
        <v/>
      </c>
      <c r="AD488" s="10">
        <f>IF(AND(Q488&gt;0,Q488&lt;30,K488&lt;8),Markniveau!Z488*'Udvaskning nøgletal'!$I$12/100,IF(AND(Q488&gt;0,Q488&lt;30,K488=216),Markniveau!Z488*'Udvaskning nøgletal'!$I$34/100,Markniveau!Z488))</f>
        <v>33.723295792149436</v>
      </c>
      <c r="AE488" s="10">
        <f t="shared" si="83"/>
        <v>447.17090220390151</v>
      </c>
      <c r="AF488" s="10" t="str">
        <f t="shared" si="78"/>
        <v/>
      </c>
      <c r="AG488" s="10" t="str">
        <f t="shared" si="84"/>
        <v/>
      </c>
      <c r="AH488" s="10" t="str">
        <f>IF(AND(Q488&gt;0,Q488&lt;30,K488=216),'Udvaskning nøgletal'!$C$42,IF(AND(Q488&gt;0,Q488&lt;30,K488&gt;7,K488&lt;17),'Udvaskning nøgletal'!$C$61,IF(AND(Q488&gt;0,Q488&lt;30,K488&lt;7),'Udvaskning nøgletal'!$C$62,"")))</f>
        <v/>
      </c>
      <c r="AI488" s="10">
        <f t="shared" si="80"/>
        <v>172</v>
      </c>
      <c r="AJ488" s="10">
        <f>IF($X488=1,LOOKUP(AI488,'Udvaskning nøgletal'!$C$12:$C$62,'Udvaskning nøgletal'!$E$12:$E$62)+Markniveau!$Y488*Markniveau!$S488/100,IF($X488=2,LOOKUP(AI488,'Udvaskning nøgletal'!$C$12:$C$62,'Udvaskning nøgletal'!$F$12:$F$62)+Markniveau!$Y488*Markniveau!$S488/100,IF($X488=3,LOOKUP(AI488,'Udvaskning nøgletal'!$C$12:$C$62,'Udvaskning nøgletal'!Q498:Q548)+Markniveau!$Y488*Markniveau!$S488/100,"")))</f>
        <v>33.723295792149436</v>
      </c>
      <c r="AK488" s="10">
        <f t="shared" si="79"/>
        <v>447.17090220390151</v>
      </c>
      <c r="AL488" s="10" t="str">
        <f t="shared" si="81"/>
        <v/>
      </c>
      <c r="AM488" s="10" t="str">
        <f t="shared" si="82"/>
        <v/>
      </c>
    </row>
    <row r="489" spans="1:39" x14ac:dyDescent="0.25">
      <c r="A489" s="15">
        <v>18299674</v>
      </c>
      <c r="B489" s="15">
        <v>57.74</v>
      </c>
      <c r="C489" s="15">
        <v>325354</v>
      </c>
      <c r="D489" s="15">
        <v>82799</v>
      </c>
      <c r="E489" s="15" t="s">
        <v>411</v>
      </c>
      <c r="F489" s="15">
        <v>2011</v>
      </c>
      <c r="G489" s="15">
        <v>20110207</v>
      </c>
      <c r="H489" s="15">
        <v>19697</v>
      </c>
      <c r="I489" s="15">
        <v>1.97</v>
      </c>
      <c r="J489" s="6" t="s">
        <v>1389</v>
      </c>
      <c r="K489" s="15">
        <v>254</v>
      </c>
      <c r="L489" s="15" t="s">
        <v>27</v>
      </c>
      <c r="M489" s="15" t="s">
        <v>4</v>
      </c>
      <c r="N489" s="11" t="s">
        <v>1390</v>
      </c>
      <c r="O489" s="11" t="s">
        <v>42</v>
      </c>
      <c r="P489" s="11" t="s">
        <v>33</v>
      </c>
      <c r="Q489" s="15">
        <v>0</v>
      </c>
      <c r="R489" s="11" t="s">
        <v>1386</v>
      </c>
      <c r="S489" s="10">
        <v>112.35266272189</v>
      </c>
      <c r="T489" s="15">
        <v>80</v>
      </c>
      <c r="U489" s="15">
        <v>0</v>
      </c>
      <c r="V489" s="15">
        <v>1</v>
      </c>
      <c r="W489" s="15">
        <v>1</v>
      </c>
      <c r="X489" s="15">
        <f>IF(O489='Udvaskning nøgletal'!$D$65,1,IF(O489='Udvaskning nøgletal'!$D$66,2,IF(O489='Udvaskning nøgletal'!$D$67,3,IF(O489='Udvaskning nøgletal'!$D$68,2,""))))</f>
        <v>2</v>
      </c>
      <c r="Y489" s="15">
        <f>LOOKUP(K489,'Udvaskning nøgletal'!$C$12:$C$60,'Udvaskning nøgletal'!$H$12:$H$60)</f>
        <v>0</v>
      </c>
      <c r="Z489" s="10">
        <f>IF(X489=1,LOOKUP(K489,'Udvaskning nøgletal'!$C$12:$C$60,'Udvaskning nøgletal'!$E$12:$E$60)+Markniveau!Y489*Markniveau!S489/100,IF(X489=2,LOOKUP(K489,'Udvaskning nøgletal'!$C$12:$C$60,'Udvaskning nøgletal'!$F$12:$F$60)+Markniveau!Y489*Markniveau!S489/100,IF(X489=3,LOOKUP(K489,'Udvaskning nøgletal'!$C$12:$C$60,'Udvaskning nøgletal'!G499:G547)+Markniveau!Y489*Markniveau!S489/100,"")))</f>
        <v>21.2</v>
      </c>
      <c r="AA489" s="10">
        <f t="shared" si="76"/>
        <v>41.763999999999996</v>
      </c>
      <c r="AB489" s="10" t="str">
        <f t="shared" si="75"/>
        <v/>
      </c>
      <c r="AC489" s="10" t="str">
        <f t="shared" si="77"/>
        <v/>
      </c>
      <c r="AD489" s="10">
        <f>IF(AND(Q489&gt;0,Q489&lt;30,K489&lt;8),Markniveau!Z489*'Udvaskning nøgletal'!$I$12/100,IF(AND(Q489&gt;0,Q489&lt;30,K489=216),Markniveau!Z489*'Udvaskning nøgletal'!$I$34/100,Markniveau!Z489))</f>
        <v>21.2</v>
      </c>
      <c r="AE489" s="10">
        <f t="shared" si="83"/>
        <v>41.763999999999996</v>
      </c>
      <c r="AF489" s="10" t="str">
        <f t="shared" si="78"/>
        <v/>
      </c>
      <c r="AG489" s="10" t="str">
        <f t="shared" si="84"/>
        <v/>
      </c>
      <c r="AH489" s="10" t="str">
        <f>IF(AND(Q489&gt;0,Q489&lt;30,K489=216),'Udvaskning nøgletal'!$C$42,IF(AND(Q489&gt;0,Q489&lt;30,K489&gt;7,K489&lt;17),'Udvaskning nøgletal'!$C$61,IF(AND(Q489&gt;0,Q489&lt;30,K489&lt;7),'Udvaskning nøgletal'!$C$62,"")))</f>
        <v/>
      </c>
      <c r="AI489" s="10">
        <f t="shared" si="80"/>
        <v>254</v>
      </c>
      <c r="AJ489" s="10">
        <f>IF($X489=1,LOOKUP(AI489,'Udvaskning nøgletal'!$C$12:$C$62,'Udvaskning nøgletal'!$E$12:$E$62)+Markniveau!$Y489*Markniveau!$S489/100,IF($X489=2,LOOKUP(AI489,'Udvaskning nøgletal'!$C$12:$C$62,'Udvaskning nøgletal'!$F$12:$F$62)+Markniveau!$Y489*Markniveau!$S489/100,IF($X489=3,LOOKUP(AI489,'Udvaskning nøgletal'!$C$12:$C$62,'Udvaskning nøgletal'!Q499:Q549)+Markniveau!$Y489*Markniveau!$S489/100,"")))</f>
        <v>21.2</v>
      </c>
      <c r="AK489" s="10">
        <f t="shared" si="79"/>
        <v>41.763999999999996</v>
      </c>
      <c r="AL489" s="10" t="str">
        <f t="shared" si="81"/>
        <v/>
      </c>
      <c r="AM489" s="10" t="str">
        <f t="shared" si="82"/>
        <v/>
      </c>
    </row>
    <row r="490" spans="1:39" x14ac:dyDescent="0.25">
      <c r="A490" s="15">
        <v>18299674</v>
      </c>
      <c r="B490" s="15">
        <v>57.74</v>
      </c>
      <c r="C490" s="15">
        <v>329481</v>
      </c>
      <c r="D490" s="15">
        <v>82799</v>
      </c>
      <c r="E490" s="15" t="s">
        <v>412</v>
      </c>
      <c r="F490" s="15">
        <v>2011</v>
      </c>
      <c r="G490" s="15">
        <v>20110207</v>
      </c>
      <c r="H490" s="15">
        <v>55314</v>
      </c>
      <c r="I490" s="15">
        <v>5.53</v>
      </c>
      <c r="J490" s="6" t="s">
        <v>144</v>
      </c>
      <c r="K490" s="15">
        <v>3</v>
      </c>
      <c r="L490" s="15" t="s">
        <v>114</v>
      </c>
      <c r="M490" s="15" t="s">
        <v>5</v>
      </c>
      <c r="N490" s="11" t="s">
        <v>1391</v>
      </c>
      <c r="O490" s="11" t="s">
        <v>46</v>
      </c>
      <c r="P490" s="11" t="s">
        <v>33</v>
      </c>
      <c r="Q490" s="15">
        <v>0</v>
      </c>
      <c r="R490" s="11" t="s">
        <v>1386</v>
      </c>
      <c r="S490" s="10">
        <v>112.35266272189</v>
      </c>
      <c r="T490" s="15">
        <v>80</v>
      </c>
      <c r="U490" s="15">
        <v>0</v>
      </c>
      <c r="V490" s="15">
        <v>1</v>
      </c>
      <c r="W490" s="15">
        <v>1</v>
      </c>
      <c r="X490" s="15">
        <f>IF(O490='Udvaskning nøgletal'!$D$65,1,IF(O490='Udvaskning nøgletal'!$D$66,2,IF(O490='Udvaskning nøgletal'!$D$67,3,IF(O490='Udvaskning nøgletal'!$D$68,2,""))))</f>
        <v>2</v>
      </c>
      <c r="Y490" s="15">
        <f>LOOKUP(K490,'Udvaskning nøgletal'!$C$12:$C$60,'Udvaskning nøgletal'!$H$12:$H$60)</f>
        <v>5</v>
      </c>
      <c r="Z490" s="10">
        <f>IF(X490=1,LOOKUP(K490,'Udvaskning nøgletal'!$C$12:$C$60,'Udvaskning nøgletal'!$E$12:$E$60)+Markniveau!Y490*Markniveau!S490/100,IF(X490=2,LOOKUP(K490,'Udvaskning nøgletal'!$C$12:$C$60,'Udvaskning nøgletal'!$F$12:$F$60)+Markniveau!Y490*Markniveau!S490/100,IF(X490=3,LOOKUP(K490,'Udvaskning nøgletal'!$C$12:$C$60,'Udvaskning nøgletal'!G500:G548)+Markniveau!Y490*Markniveau!S490/100,"")))</f>
        <v>56.497633136094507</v>
      </c>
      <c r="AA490" s="10">
        <f t="shared" si="76"/>
        <v>312.43191124260261</v>
      </c>
      <c r="AB490" s="10" t="str">
        <f t="shared" si="75"/>
        <v/>
      </c>
      <c r="AC490" s="10" t="str">
        <f t="shared" si="77"/>
        <v/>
      </c>
      <c r="AD490" s="10">
        <f>IF(AND(Q490&gt;0,Q490&lt;30,K490&lt;8),Markniveau!Z490*'Udvaskning nøgletal'!$I$12/100,IF(AND(Q490&gt;0,Q490&lt;30,K490=216),Markniveau!Z490*'Udvaskning nøgletal'!$I$34/100,Markniveau!Z490))</f>
        <v>56.497633136094507</v>
      </c>
      <c r="AE490" s="10">
        <f t="shared" si="83"/>
        <v>312.43191124260261</v>
      </c>
      <c r="AF490" s="10" t="str">
        <f t="shared" si="78"/>
        <v/>
      </c>
      <c r="AG490" s="10" t="str">
        <f t="shared" si="84"/>
        <v/>
      </c>
      <c r="AH490" s="10" t="str">
        <f>IF(AND(Q490&gt;0,Q490&lt;30,K490=216),'Udvaskning nøgletal'!$C$42,IF(AND(Q490&gt;0,Q490&lt;30,K490&gt;7,K490&lt;17),'Udvaskning nøgletal'!$C$61,IF(AND(Q490&gt;0,Q490&lt;30,K490&lt;7),'Udvaskning nøgletal'!$C$62,"")))</f>
        <v/>
      </c>
      <c r="AI490" s="10">
        <f t="shared" si="80"/>
        <v>3</v>
      </c>
      <c r="AJ490" s="10">
        <f>IF($X490=1,LOOKUP(AI490,'Udvaskning nøgletal'!$C$12:$C$62,'Udvaskning nøgletal'!$E$12:$E$62)+Markniveau!$Y490*Markniveau!$S490/100,IF($X490=2,LOOKUP(AI490,'Udvaskning nøgletal'!$C$12:$C$62,'Udvaskning nøgletal'!$F$12:$F$62)+Markniveau!$Y490*Markniveau!$S490/100,IF($X490=3,LOOKUP(AI490,'Udvaskning nøgletal'!$C$12:$C$62,'Udvaskning nøgletal'!Q500:Q550)+Markniveau!$Y490*Markniveau!$S490/100,"")))</f>
        <v>56.497633136094507</v>
      </c>
      <c r="AK490" s="10">
        <f t="shared" si="79"/>
        <v>312.43191124260261</v>
      </c>
      <c r="AL490" s="10" t="str">
        <f t="shared" si="81"/>
        <v/>
      </c>
      <c r="AM490" s="10" t="str">
        <f t="shared" si="82"/>
        <v/>
      </c>
    </row>
    <row r="491" spans="1:39" x14ac:dyDescent="0.25">
      <c r="A491" s="15">
        <v>18299674</v>
      </c>
      <c r="B491" s="15">
        <v>57.74</v>
      </c>
      <c r="C491" s="15">
        <v>329978</v>
      </c>
      <c r="D491" s="15">
        <v>82799</v>
      </c>
      <c r="E491" s="15" t="s">
        <v>412</v>
      </c>
      <c r="F491" s="15">
        <v>2011</v>
      </c>
      <c r="G491" s="15">
        <v>20110207</v>
      </c>
      <c r="H491" s="15">
        <v>215058</v>
      </c>
      <c r="I491" s="15">
        <v>21.51</v>
      </c>
      <c r="J491" s="6" t="s">
        <v>58</v>
      </c>
      <c r="K491" s="15">
        <v>260</v>
      </c>
      <c r="L491" s="15" t="s">
        <v>45</v>
      </c>
      <c r="M491" s="15" t="s">
        <v>5</v>
      </c>
      <c r="N491" s="11" t="s">
        <v>1391</v>
      </c>
      <c r="O491" s="11" t="s">
        <v>46</v>
      </c>
      <c r="P491" s="11" t="s">
        <v>29</v>
      </c>
      <c r="Q491" s="15">
        <v>0</v>
      </c>
      <c r="R491" s="11" t="s">
        <v>1386</v>
      </c>
      <c r="S491" s="10">
        <v>112.35266272189</v>
      </c>
      <c r="T491" s="15">
        <v>80</v>
      </c>
      <c r="U491" s="15">
        <v>0</v>
      </c>
      <c r="V491" s="15">
        <v>1</v>
      </c>
      <c r="W491" s="15">
        <v>1</v>
      </c>
      <c r="X491" s="15">
        <f>IF(O491='Udvaskning nøgletal'!$D$65,1,IF(O491='Udvaskning nøgletal'!$D$66,2,IF(O491='Udvaskning nøgletal'!$D$67,3,IF(O491='Udvaskning nøgletal'!$D$68,2,""))))</f>
        <v>2</v>
      </c>
      <c r="Y491" s="15">
        <f>LOOKUP(K491,'Udvaskning nøgletal'!$C$12:$C$60,'Udvaskning nøgletal'!$H$12:$H$60)</f>
        <v>0</v>
      </c>
      <c r="Z491" s="10">
        <f>IF(X491=1,LOOKUP(K491,'Udvaskning nøgletal'!$C$12:$C$60,'Udvaskning nøgletal'!$E$12:$E$60)+Markniveau!Y491*Markniveau!S491/100,IF(X491=2,LOOKUP(K491,'Udvaskning nøgletal'!$C$12:$C$60,'Udvaskning nøgletal'!$F$12:$F$60)+Markniveau!Y491*Markniveau!S491/100,IF(X491=3,LOOKUP(K491,'Udvaskning nøgletal'!$C$12:$C$60,'Udvaskning nøgletal'!G501:G549)+Markniveau!Y491*Markniveau!S491/100,"")))</f>
        <v>27.331185321443094</v>
      </c>
      <c r="AA491" s="10">
        <f t="shared" si="76"/>
        <v>587.89379626424102</v>
      </c>
      <c r="AB491" s="10" t="str">
        <f t="shared" si="75"/>
        <v/>
      </c>
      <c r="AC491" s="10" t="str">
        <f t="shared" si="77"/>
        <v/>
      </c>
      <c r="AD491" s="10">
        <f>IF(AND(Q491&gt;0,Q491&lt;30,K491&lt;8),Markniveau!Z491*'Udvaskning nøgletal'!$I$12/100,IF(AND(Q491&gt;0,Q491&lt;30,K491=216),Markniveau!Z491*'Udvaskning nøgletal'!$I$34/100,Markniveau!Z491))</f>
        <v>27.331185321443094</v>
      </c>
      <c r="AE491" s="10">
        <f t="shared" si="83"/>
        <v>587.89379626424102</v>
      </c>
      <c r="AF491" s="10" t="str">
        <f t="shared" si="78"/>
        <v/>
      </c>
      <c r="AG491" s="10" t="str">
        <f t="shared" si="84"/>
        <v/>
      </c>
      <c r="AH491" s="10" t="str">
        <f>IF(AND(Q491&gt;0,Q491&lt;30,K491=216),'Udvaskning nøgletal'!$C$42,IF(AND(Q491&gt;0,Q491&lt;30,K491&gt;7,K491&lt;17),'Udvaskning nøgletal'!$C$61,IF(AND(Q491&gt;0,Q491&lt;30,K491&lt;7),'Udvaskning nøgletal'!$C$62,"")))</f>
        <v/>
      </c>
      <c r="AI491" s="10">
        <f t="shared" si="80"/>
        <v>260</v>
      </c>
      <c r="AJ491" s="10">
        <f>IF($X491=1,LOOKUP(AI491,'Udvaskning nøgletal'!$C$12:$C$62,'Udvaskning nøgletal'!$E$12:$E$62)+Markniveau!$Y491*Markniveau!$S491/100,IF($X491=2,LOOKUP(AI491,'Udvaskning nøgletal'!$C$12:$C$62,'Udvaskning nøgletal'!$F$12:$F$62)+Markniveau!$Y491*Markniveau!$S491/100,IF($X491=3,LOOKUP(AI491,'Udvaskning nøgletal'!$C$12:$C$62,'Udvaskning nøgletal'!Q501:Q551)+Markniveau!$Y491*Markniveau!$S491/100,"")))</f>
        <v>27.331185321443094</v>
      </c>
      <c r="AK491" s="10">
        <f t="shared" si="79"/>
        <v>587.89379626424102</v>
      </c>
      <c r="AL491" s="10" t="str">
        <f t="shared" si="81"/>
        <v/>
      </c>
      <c r="AM491" s="10" t="str">
        <f t="shared" si="82"/>
        <v/>
      </c>
    </row>
    <row r="492" spans="1:39" x14ac:dyDescent="0.25">
      <c r="A492" s="15">
        <v>18299674</v>
      </c>
      <c r="B492" s="15">
        <v>57.74</v>
      </c>
      <c r="C492" s="15">
        <v>330012</v>
      </c>
      <c r="D492" s="15">
        <v>82799</v>
      </c>
      <c r="E492" s="15" t="s">
        <v>413</v>
      </c>
      <c r="F492" s="15">
        <v>2011</v>
      </c>
      <c r="G492" s="15">
        <v>20110207</v>
      </c>
      <c r="H492" s="15">
        <v>20642</v>
      </c>
      <c r="I492" s="15">
        <v>2.06</v>
      </c>
      <c r="J492" s="6" t="s">
        <v>91</v>
      </c>
      <c r="K492" s="15">
        <v>254</v>
      </c>
      <c r="L492" s="15" t="s">
        <v>27</v>
      </c>
      <c r="M492" s="15" t="s">
        <v>4</v>
      </c>
      <c r="N492" s="11" t="s">
        <v>1390</v>
      </c>
      <c r="O492" s="11" t="s">
        <v>42</v>
      </c>
      <c r="P492" s="11" t="s">
        <v>33</v>
      </c>
      <c r="Q492" s="15">
        <v>0</v>
      </c>
      <c r="R492" s="11" t="s">
        <v>1386</v>
      </c>
      <c r="S492" s="10">
        <v>112.35266272189</v>
      </c>
      <c r="T492" s="15">
        <v>80</v>
      </c>
      <c r="U492" s="15">
        <v>0</v>
      </c>
      <c r="V492" s="15">
        <v>1</v>
      </c>
      <c r="W492" s="15">
        <v>1</v>
      </c>
      <c r="X492" s="15">
        <f>IF(O492='Udvaskning nøgletal'!$D$65,1,IF(O492='Udvaskning nøgletal'!$D$66,2,IF(O492='Udvaskning nøgletal'!$D$67,3,IF(O492='Udvaskning nøgletal'!$D$68,2,""))))</f>
        <v>2</v>
      </c>
      <c r="Y492" s="15">
        <f>LOOKUP(K492,'Udvaskning nøgletal'!$C$12:$C$60,'Udvaskning nøgletal'!$H$12:$H$60)</f>
        <v>0</v>
      </c>
      <c r="Z492" s="10">
        <f>IF(X492=1,LOOKUP(K492,'Udvaskning nøgletal'!$C$12:$C$60,'Udvaskning nøgletal'!$E$12:$E$60)+Markniveau!Y492*Markniveau!S492/100,IF(X492=2,LOOKUP(K492,'Udvaskning nøgletal'!$C$12:$C$60,'Udvaskning nøgletal'!$F$12:$F$60)+Markniveau!Y492*Markniveau!S492/100,IF(X492=3,LOOKUP(K492,'Udvaskning nøgletal'!$C$12:$C$60,'Udvaskning nøgletal'!G502:G550)+Markniveau!Y492*Markniveau!S492/100,"")))</f>
        <v>21.2</v>
      </c>
      <c r="AA492" s="10">
        <f t="shared" si="76"/>
        <v>43.671999999999997</v>
      </c>
      <c r="AB492" s="10" t="str">
        <f t="shared" si="75"/>
        <v/>
      </c>
      <c r="AC492" s="10" t="str">
        <f t="shared" si="77"/>
        <v/>
      </c>
      <c r="AD492" s="10">
        <f>IF(AND(Q492&gt;0,Q492&lt;30,K492&lt;8),Markniveau!Z492*'Udvaskning nøgletal'!$I$12/100,IF(AND(Q492&gt;0,Q492&lt;30,K492=216),Markniveau!Z492*'Udvaskning nøgletal'!$I$34/100,Markniveau!Z492))</f>
        <v>21.2</v>
      </c>
      <c r="AE492" s="10">
        <f t="shared" si="83"/>
        <v>43.671999999999997</v>
      </c>
      <c r="AF492" s="10" t="str">
        <f t="shared" si="78"/>
        <v/>
      </c>
      <c r="AG492" s="10" t="str">
        <f t="shared" si="84"/>
        <v/>
      </c>
      <c r="AH492" s="10" t="str">
        <f>IF(AND(Q492&gt;0,Q492&lt;30,K492=216),'Udvaskning nøgletal'!$C$42,IF(AND(Q492&gt;0,Q492&lt;30,K492&gt;7,K492&lt;17),'Udvaskning nøgletal'!$C$61,IF(AND(Q492&gt;0,Q492&lt;30,K492&lt;7),'Udvaskning nøgletal'!$C$62,"")))</f>
        <v/>
      </c>
      <c r="AI492" s="10">
        <f t="shared" si="80"/>
        <v>254</v>
      </c>
      <c r="AJ492" s="10">
        <f>IF($X492=1,LOOKUP(AI492,'Udvaskning nøgletal'!$C$12:$C$62,'Udvaskning nøgletal'!$E$12:$E$62)+Markniveau!$Y492*Markniveau!$S492/100,IF($X492=2,LOOKUP(AI492,'Udvaskning nøgletal'!$C$12:$C$62,'Udvaskning nøgletal'!$F$12:$F$62)+Markniveau!$Y492*Markniveau!$S492/100,IF($X492=3,LOOKUP(AI492,'Udvaskning nøgletal'!$C$12:$C$62,'Udvaskning nøgletal'!Q502:Q552)+Markniveau!$Y492*Markniveau!$S492/100,"")))</f>
        <v>21.2</v>
      </c>
      <c r="AK492" s="10">
        <f t="shared" si="79"/>
        <v>43.671999999999997</v>
      </c>
      <c r="AL492" s="10" t="str">
        <f t="shared" si="81"/>
        <v/>
      </c>
      <c r="AM492" s="10" t="str">
        <f t="shared" si="82"/>
        <v/>
      </c>
    </row>
    <row r="493" spans="1:39" x14ac:dyDescent="0.25">
      <c r="A493" s="15">
        <v>18299674</v>
      </c>
      <c r="B493" s="15">
        <v>57.74</v>
      </c>
      <c r="C493" s="15">
        <v>330013</v>
      </c>
      <c r="D493" s="15">
        <v>82799</v>
      </c>
      <c r="E493" s="15" t="s">
        <v>414</v>
      </c>
      <c r="F493" s="15">
        <v>2011</v>
      </c>
      <c r="G493" s="15">
        <v>20110207</v>
      </c>
      <c r="H493" s="15">
        <v>52866</v>
      </c>
      <c r="I493" s="15">
        <v>5.29</v>
      </c>
      <c r="J493" s="6" t="s">
        <v>36</v>
      </c>
      <c r="K493" s="15">
        <v>260</v>
      </c>
      <c r="L493" s="15" t="s">
        <v>45</v>
      </c>
      <c r="M493" s="15" t="s">
        <v>5</v>
      </c>
      <c r="N493" s="11" t="s">
        <v>1391</v>
      </c>
      <c r="O493" s="11" t="s">
        <v>46</v>
      </c>
      <c r="P493" s="11" t="s">
        <v>33</v>
      </c>
      <c r="Q493" s="15">
        <v>0</v>
      </c>
      <c r="R493" s="11" t="s">
        <v>1386</v>
      </c>
      <c r="S493" s="10">
        <v>112.35266272189</v>
      </c>
      <c r="T493" s="15">
        <v>80</v>
      </c>
      <c r="U493" s="15">
        <v>0</v>
      </c>
      <c r="V493" s="15">
        <v>1</v>
      </c>
      <c r="W493" s="15">
        <v>1</v>
      </c>
      <c r="X493" s="15">
        <f>IF(O493='Udvaskning nøgletal'!$D$65,1,IF(O493='Udvaskning nøgletal'!$D$66,2,IF(O493='Udvaskning nøgletal'!$D$67,3,IF(O493='Udvaskning nøgletal'!$D$68,2,""))))</f>
        <v>2</v>
      </c>
      <c r="Y493" s="15">
        <f>LOOKUP(K493,'Udvaskning nøgletal'!$C$12:$C$60,'Udvaskning nøgletal'!$H$12:$H$60)</f>
        <v>0</v>
      </c>
      <c r="Z493" s="10">
        <f>IF(X493=1,LOOKUP(K493,'Udvaskning nøgletal'!$C$12:$C$60,'Udvaskning nøgletal'!$E$12:$E$60)+Markniveau!Y493*Markniveau!S493/100,IF(X493=2,LOOKUP(K493,'Udvaskning nøgletal'!$C$12:$C$60,'Udvaskning nøgletal'!$F$12:$F$60)+Markniveau!Y493*Markniveau!S493/100,IF(X493=3,LOOKUP(K493,'Udvaskning nøgletal'!$C$12:$C$60,'Udvaskning nøgletal'!G503:G551)+Markniveau!Y493*Markniveau!S493/100,"")))</f>
        <v>27.331185321443094</v>
      </c>
      <c r="AA493" s="10">
        <f t="shared" si="76"/>
        <v>144.58197035043398</v>
      </c>
      <c r="AB493" s="10" t="str">
        <f t="shared" si="75"/>
        <v/>
      </c>
      <c r="AC493" s="10" t="str">
        <f t="shared" si="77"/>
        <v/>
      </c>
      <c r="AD493" s="10">
        <f>IF(AND(Q493&gt;0,Q493&lt;30,K493&lt;8),Markniveau!Z493*'Udvaskning nøgletal'!$I$12/100,IF(AND(Q493&gt;0,Q493&lt;30,K493=216),Markniveau!Z493*'Udvaskning nøgletal'!$I$34/100,Markniveau!Z493))</f>
        <v>27.331185321443094</v>
      </c>
      <c r="AE493" s="10">
        <f t="shared" si="83"/>
        <v>144.58197035043398</v>
      </c>
      <c r="AF493" s="10" t="str">
        <f t="shared" si="78"/>
        <v/>
      </c>
      <c r="AG493" s="10" t="str">
        <f t="shared" si="84"/>
        <v/>
      </c>
      <c r="AH493" s="10" t="str">
        <f>IF(AND(Q493&gt;0,Q493&lt;30,K493=216),'Udvaskning nøgletal'!$C$42,IF(AND(Q493&gt;0,Q493&lt;30,K493&gt;7,K493&lt;17),'Udvaskning nøgletal'!$C$61,IF(AND(Q493&gt;0,Q493&lt;30,K493&lt;7),'Udvaskning nøgletal'!$C$62,"")))</f>
        <v/>
      </c>
      <c r="AI493" s="10">
        <f t="shared" si="80"/>
        <v>260</v>
      </c>
      <c r="AJ493" s="10">
        <f>IF($X493=1,LOOKUP(AI493,'Udvaskning nøgletal'!$C$12:$C$62,'Udvaskning nøgletal'!$E$12:$E$62)+Markniveau!$Y493*Markniveau!$S493/100,IF($X493=2,LOOKUP(AI493,'Udvaskning nøgletal'!$C$12:$C$62,'Udvaskning nøgletal'!$F$12:$F$62)+Markniveau!$Y493*Markniveau!$S493/100,IF($X493=3,LOOKUP(AI493,'Udvaskning nøgletal'!$C$12:$C$62,'Udvaskning nøgletal'!Q503:Q553)+Markniveau!$Y493*Markniveau!$S493/100,"")))</f>
        <v>27.331185321443094</v>
      </c>
      <c r="AK493" s="10">
        <f t="shared" si="79"/>
        <v>144.58197035043398</v>
      </c>
      <c r="AL493" s="10" t="str">
        <f t="shared" si="81"/>
        <v/>
      </c>
      <c r="AM493" s="10" t="str">
        <f t="shared" si="82"/>
        <v/>
      </c>
    </row>
    <row r="494" spans="1:39" x14ac:dyDescent="0.25">
      <c r="A494" s="15">
        <v>18299674</v>
      </c>
      <c r="B494" s="15">
        <v>57.74</v>
      </c>
      <c r="C494" s="15">
        <v>330014</v>
      </c>
      <c r="D494" s="15">
        <v>82799</v>
      </c>
      <c r="E494" s="15" t="s">
        <v>415</v>
      </c>
      <c r="F494" s="15">
        <v>2011</v>
      </c>
      <c r="G494" s="15">
        <v>20110207</v>
      </c>
      <c r="H494" s="15">
        <v>155377</v>
      </c>
      <c r="I494" s="15">
        <v>15.54</v>
      </c>
      <c r="J494" s="6" t="s">
        <v>37</v>
      </c>
      <c r="K494" s="15">
        <v>2</v>
      </c>
      <c r="L494" s="15" t="s">
        <v>49</v>
      </c>
      <c r="M494" s="15" t="s">
        <v>5</v>
      </c>
      <c r="N494" s="11" t="s">
        <v>1391</v>
      </c>
      <c r="O494" s="11" t="s">
        <v>46</v>
      </c>
      <c r="P494" s="11" t="s">
        <v>33</v>
      </c>
      <c r="Q494" s="15">
        <v>0</v>
      </c>
      <c r="R494" s="11" t="s">
        <v>1386</v>
      </c>
      <c r="S494" s="10">
        <v>112.35266272189</v>
      </c>
      <c r="T494" s="15">
        <v>80</v>
      </c>
      <c r="U494" s="15">
        <v>0</v>
      </c>
      <c r="V494" s="15">
        <v>1</v>
      </c>
      <c r="W494" s="15">
        <v>1</v>
      </c>
      <c r="X494" s="15">
        <f>IF(O494='Udvaskning nøgletal'!$D$65,1,IF(O494='Udvaskning nøgletal'!$D$66,2,IF(O494='Udvaskning nøgletal'!$D$67,3,IF(O494='Udvaskning nøgletal'!$D$68,2,""))))</f>
        <v>2</v>
      </c>
      <c r="Y494" s="15">
        <f>LOOKUP(K494,'Udvaskning nøgletal'!$C$12:$C$60,'Udvaskning nøgletal'!$H$12:$H$60)</f>
        <v>5</v>
      </c>
      <c r="Z494" s="10">
        <f>IF(X494=1,LOOKUP(K494,'Udvaskning nøgletal'!$C$12:$C$60,'Udvaskning nøgletal'!$E$12:$E$60)+Markniveau!Y494*Markniveau!S494/100,IF(X494=2,LOOKUP(K494,'Udvaskning nøgletal'!$C$12:$C$60,'Udvaskning nøgletal'!$F$12:$F$60)+Markniveau!Y494*Markniveau!S494/100,IF(X494=3,LOOKUP(K494,'Udvaskning nøgletal'!$C$12:$C$60,'Udvaskning nøgletal'!G504:G552)+Markniveau!Y494*Markniveau!S494/100,"")))</f>
        <v>56.497633136094507</v>
      </c>
      <c r="AA494" s="10">
        <f t="shared" si="76"/>
        <v>877.97321893490857</v>
      </c>
      <c r="AB494" s="10" t="str">
        <f t="shared" si="75"/>
        <v/>
      </c>
      <c r="AC494" s="10" t="str">
        <f t="shared" si="77"/>
        <v/>
      </c>
      <c r="AD494" s="10">
        <f>IF(AND(Q494&gt;0,Q494&lt;30,K494&lt;8),Markniveau!Z494*'Udvaskning nøgletal'!$I$12/100,IF(AND(Q494&gt;0,Q494&lt;30,K494=216),Markniveau!Z494*'Udvaskning nøgletal'!$I$34/100,Markniveau!Z494))</f>
        <v>56.497633136094507</v>
      </c>
      <c r="AE494" s="10">
        <f t="shared" si="83"/>
        <v>877.97321893490857</v>
      </c>
      <c r="AF494" s="10" t="str">
        <f t="shared" si="78"/>
        <v/>
      </c>
      <c r="AG494" s="10" t="str">
        <f t="shared" si="84"/>
        <v/>
      </c>
      <c r="AH494" s="10" t="str">
        <f>IF(AND(Q494&gt;0,Q494&lt;30,K494=216),'Udvaskning nøgletal'!$C$42,IF(AND(Q494&gt;0,Q494&lt;30,K494&gt;7,K494&lt;17),'Udvaskning nøgletal'!$C$61,IF(AND(Q494&gt;0,Q494&lt;30,K494&lt;7),'Udvaskning nøgletal'!$C$62,"")))</f>
        <v/>
      </c>
      <c r="AI494" s="10">
        <f t="shared" si="80"/>
        <v>2</v>
      </c>
      <c r="AJ494" s="10">
        <f>IF($X494=1,LOOKUP(AI494,'Udvaskning nøgletal'!$C$12:$C$62,'Udvaskning nøgletal'!$E$12:$E$62)+Markniveau!$Y494*Markniveau!$S494/100,IF($X494=2,LOOKUP(AI494,'Udvaskning nøgletal'!$C$12:$C$62,'Udvaskning nøgletal'!$F$12:$F$62)+Markniveau!$Y494*Markniveau!$S494/100,IF($X494=3,LOOKUP(AI494,'Udvaskning nøgletal'!$C$12:$C$62,'Udvaskning nøgletal'!Q504:Q554)+Markniveau!$Y494*Markniveau!$S494/100,"")))</f>
        <v>56.497633136094507</v>
      </c>
      <c r="AK494" s="10">
        <f t="shared" si="79"/>
        <v>877.97321893490857</v>
      </c>
      <c r="AL494" s="10" t="str">
        <f t="shared" si="81"/>
        <v/>
      </c>
      <c r="AM494" s="10" t="str">
        <f t="shared" si="82"/>
        <v/>
      </c>
    </row>
    <row r="495" spans="1:39" x14ac:dyDescent="0.25">
      <c r="A495" s="15">
        <v>18299674</v>
      </c>
      <c r="B495" s="15">
        <v>57.74</v>
      </c>
      <c r="C495" s="15">
        <v>330015</v>
      </c>
      <c r="D495" s="15">
        <v>82799</v>
      </c>
      <c r="E495" s="15" t="s">
        <v>416</v>
      </c>
      <c r="F495" s="15">
        <v>2011</v>
      </c>
      <c r="G495" s="15">
        <v>20110207</v>
      </c>
      <c r="H495" s="15">
        <v>39138</v>
      </c>
      <c r="I495" s="15">
        <v>3.91</v>
      </c>
      <c r="J495" s="6" t="s">
        <v>31</v>
      </c>
      <c r="K495" s="15">
        <v>260</v>
      </c>
      <c r="L495" s="15" t="s">
        <v>45</v>
      </c>
      <c r="M495" s="15" t="s">
        <v>5</v>
      </c>
      <c r="N495" s="11" t="s">
        <v>1391</v>
      </c>
      <c r="O495" s="11" t="s">
        <v>46</v>
      </c>
      <c r="P495" s="11" t="s">
        <v>33</v>
      </c>
      <c r="Q495" s="15">
        <v>0</v>
      </c>
      <c r="R495" s="11" t="s">
        <v>1386</v>
      </c>
      <c r="S495" s="10">
        <v>112.35266272189</v>
      </c>
      <c r="T495" s="15">
        <v>80</v>
      </c>
      <c r="U495" s="15">
        <v>0</v>
      </c>
      <c r="V495" s="15">
        <v>1</v>
      </c>
      <c r="W495" s="15">
        <v>1</v>
      </c>
      <c r="X495" s="15">
        <f>IF(O495='Udvaskning nøgletal'!$D$65,1,IF(O495='Udvaskning nøgletal'!$D$66,2,IF(O495='Udvaskning nøgletal'!$D$67,3,IF(O495='Udvaskning nøgletal'!$D$68,2,""))))</f>
        <v>2</v>
      </c>
      <c r="Y495" s="15">
        <f>LOOKUP(K495,'Udvaskning nøgletal'!$C$12:$C$60,'Udvaskning nøgletal'!$H$12:$H$60)</f>
        <v>0</v>
      </c>
      <c r="Z495" s="10">
        <f>IF(X495=1,LOOKUP(K495,'Udvaskning nøgletal'!$C$12:$C$60,'Udvaskning nøgletal'!$E$12:$E$60)+Markniveau!Y495*Markniveau!S495/100,IF(X495=2,LOOKUP(K495,'Udvaskning nøgletal'!$C$12:$C$60,'Udvaskning nøgletal'!$F$12:$F$60)+Markniveau!Y495*Markniveau!S495/100,IF(X495=3,LOOKUP(K495,'Udvaskning nøgletal'!$C$12:$C$60,'Udvaskning nøgletal'!G505:G553)+Markniveau!Y495*Markniveau!S495/100,"")))</f>
        <v>27.331185321443094</v>
      </c>
      <c r="AA495" s="10">
        <f t="shared" si="76"/>
        <v>106.8649346068425</v>
      </c>
      <c r="AB495" s="10" t="str">
        <f t="shared" si="75"/>
        <v/>
      </c>
      <c r="AC495" s="10" t="str">
        <f t="shared" si="77"/>
        <v/>
      </c>
      <c r="AD495" s="10">
        <f>IF(AND(Q495&gt;0,Q495&lt;30,K495&lt;8),Markniveau!Z495*'Udvaskning nøgletal'!$I$12/100,IF(AND(Q495&gt;0,Q495&lt;30,K495=216),Markniveau!Z495*'Udvaskning nøgletal'!$I$34/100,Markniveau!Z495))</f>
        <v>27.331185321443094</v>
      </c>
      <c r="AE495" s="10">
        <f t="shared" si="83"/>
        <v>106.8649346068425</v>
      </c>
      <c r="AF495" s="10" t="str">
        <f t="shared" si="78"/>
        <v/>
      </c>
      <c r="AG495" s="10" t="str">
        <f t="shared" si="84"/>
        <v/>
      </c>
      <c r="AH495" s="10" t="str">
        <f>IF(AND(Q495&gt;0,Q495&lt;30,K495=216),'Udvaskning nøgletal'!$C$42,IF(AND(Q495&gt;0,Q495&lt;30,K495&gt;7,K495&lt;17),'Udvaskning nøgletal'!$C$61,IF(AND(Q495&gt;0,Q495&lt;30,K495&lt;7),'Udvaskning nøgletal'!$C$62,"")))</f>
        <v/>
      </c>
      <c r="AI495" s="10">
        <f t="shared" si="80"/>
        <v>260</v>
      </c>
      <c r="AJ495" s="10">
        <f>IF($X495=1,LOOKUP(AI495,'Udvaskning nøgletal'!$C$12:$C$62,'Udvaskning nøgletal'!$E$12:$E$62)+Markniveau!$Y495*Markniveau!$S495/100,IF($X495=2,LOOKUP(AI495,'Udvaskning nøgletal'!$C$12:$C$62,'Udvaskning nøgletal'!$F$12:$F$62)+Markniveau!$Y495*Markniveau!$S495/100,IF($X495=3,LOOKUP(AI495,'Udvaskning nøgletal'!$C$12:$C$62,'Udvaskning nøgletal'!Q505:Q555)+Markniveau!$Y495*Markniveau!$S495/100,"")))</f>
        <v>27.331185321443094</v>
      </c>
      <c r="AK495" s="10">
        <f t="shared" si="79"/>
        <v>106.8649346068425</v>
      </c>
      <c r="AL495" s="10" t="str">
        <f t="shared" si="81"/>
        <v/>
      </c>
      <c r="AM495" s="10" t="str">
        <f t="shared" si="82"/>
        <v/>
      </c>
    </row>
    <row r="496" spans="1:39" x14ac:dyDescent="0.25">
      <c r="A496" s="15">
        <v>18299674</v>
      </c>
      <c r="B496" s="15">
        <v>57.74</v>
      </c>
      <c r="C496" s="15">
        <v>330016</v>
      </c>
      <c r="D496" s="15">
        <v>82799</v>
      </c>
      <c r="E496" s="15" t="s">
        <v>417</v>
      </c>
      <c r="F496" s="15">
        <v>2011</v>
      </c>
      <c r="G496" s="15">
        <v>20110207</v>
      </c>
      <c r="H496" s="15">
        <v>108225</v>
      </c>
      <c r="I496" s="15">
        <v>10.82</v>
      </c>
      <c r="J496" s="6" t="s">
        <v>74</v>
      </c>
      <c r="K496" s="15">
        <v>260</v>
      </c>
      <c r="L496" s="15" t="s">
        <v>45</v>
      </c>
      <c r="M496" s="15" t="s">
        <v>5</v>
      </c>
      <c r="N496" s="11" t="s">
        <v>1391</v>
      </c>
      <c r="O496" s="11" t="s">
        <v>46</v>
      </c>
      <c r="P496" s="11" t="s">
        <v>33</v>
      </c>
      <c r="Q496" s="15">
        <v>0</v>
      </c>
      <c r="R496" s="11" t="s">
        <v>1386</v>
      </c>
      <c r="S496" s="10">
        <v>112.35266272189</v>
      </c>
      <c r="T496" s="15">
        <v>80</v>
      </c>
      <c r="U496" s="15">
        <v>0</v>
      </c>
      <c r="V496" s="15">
        <v>1</v>
      </c>
      <c r="W496" s="15">
        <v>1</v>
      </c>
      <c r="X496" s="15">
        <f>IF(O496='Udvaskning nøgletal'!$D$65,1,IF(O496='Udvaskning nøgletal'!$D$66,2,IF(O496='Udvaskning nøgletal'!$D$67,3,IF(O496='Udvaskning nøgletal'!$D$68,2,""))))</f>
        <v>2</v>
      </c>
      <c r="Y496" s="15">
        <f>LOOKUP(K496,'Udvaskning nøgletal'!$C$12:$C$60,'Udvaskning nøgletal'!$H$12:$H$60)</f>
        <v>0</v>
      </c>
      <c r="Z496" s="10">
        <f>IF(X496=1,LOOKUP(K496,'Udvaskning nøgletal'!$C$12:$C$60,'Udvaskning nøgletal'!$E$12:$E$60)+Markniveau!Y496*Markniveau!S496/100,IF(X496=2,LOOKUP(K496,'Udvaskning nøgletal'!$C$12:$C$60,'Udvaskning nøgletal'!$F$12:$F$60)+Markniveau!Y496*Markniveau!S496/100,IF(X496=3,LOOKUP(K496,'Udvaskning nøgletal'!$C$12:$C$60,'Udvaskning nøgletal'!G506:G554)+Markniveau!Y496*Markniveau!S496/100,"")))</f>
        <v>27.331185321443094</v>
      </c>
      <c r="AA496" s="10">
        <f t="shared" si="76"/>
        <v>295.72342517801428</v>
      </c>
      <c r="AB496" s="10" t="str">
        <f t="shared" si="75"/>
        <v/>
      </c>
      <c r="AC496" s="10" t="str">
        <f t="shared" si="77"/>
        <v/>
      </c>
      <c r="AD496" s="10">
        <f>IF(AND(Q496&gt;0,Q496&lt;30,K496&lt;8),Markniveau!Z496*'Udvaskning nøgletal'!$I$12/100,IF(AND(Q496&gt;0,Q496&lt;30,K496=216),Markniveau!Z496*'Udvaskning nøgletal'!$I$34/100,Markniveau!Z496))</f>
        <v>27.331185321443094</v>
      </c>
      <c r="AE496" s="10">
        <f t="shared" si="83"/>
        <v>295.72342517801428</v>
      </c>
      <c r="AF496" s="10" t="str">
        <f t="shared" si="78"/>
        <v/>
      </c>
      <c r="AG496" s="10" t="str">
        <f t="shared" si="84"/>
        <v/>
      </c>
      <c r="AH496" s="10" t="str">
        <f>IF(AND(Q496&gt;0,Q496&lt;30,K496=216),'Udvaskning nøgletal'!$C$42,IF(AND(Q496&gt;0,Q496&lt;30,K496&gt;7,K496&lt;17),'Udvaskning nøgletal'!$C$61,IF(AND(Q496&gt;0,Q496&lt;30,K496&lt;7),'Udvaskning nøgletal'!$C$62,"")))</f>
        <v/>
      </c>
      <c r="AI496" s="10">
        <f t="shared" si="80"/>
        <v>260</v>
      </c>
      <c r="AJ496" s="10">
        <f>IF($X496=1,LOOKUP(AI496,'Udvaskning nøgletal'!$C$12:$C$62,'Udvaskning nøgletal'!$E$12:$E$62)+Markniveau!$Y496*Markniveau!$S496/100,IF($X496=2,LOOKUP(AI496,'Udvaskning nøgletal'!$C$12:$C$62,'Udvaskning nøgletal'!$F$12:$F$62)+Markniveau!$Y496*Markniveau!$S496/100,IF($X496=3,LOOKUP(AI496,'Udvaskning nøgletal'!$C$12:$C$62,'Udvaskning nøgletal'!Q506:Q556)+Markniveau!$Y496*Markniveau!$S496/100,"")))</f>
        <v>27.331185321443094</v>
      </c>
      <c r="AK496" s="10">
        <f t="shared" si="79"/>
        <v>295.72342517801428</v>
      </c>
      <c r="AL496" s="10" t="str">
        <f t="shared" si="81"/>
        <v/>
      </c>
      <c r="AM496" s="10" t="str">
        <f t="shared" si="82"/>
        <v/>
      </c>
    </row>
    <row r="497" spans="1:39" x14ac:dyDescent="0.25">
      <c r="A497" s="15">
        <v>18299674</v>
      </c>
      <c r="B497" s="15">
        <v>57.74</v>
      </c>
      <c r="C497" s="15">
        <v>330017</v>
      </c>
      <c r="D497" s="15">
        <v>82799</v>
      </c>
      <c r="E497" s="15" t="s">
        <v>418</v>
      </c>
      <c r="F497" s="15">
        <v>2011</v>
      </c>
      <c r="G497" s="15">
        <v>20110207</v>
      </c>
      <c r="H497" s="15">
        <v>6598</v>
      </c>
      <c r="I497" s="15">
        <v>0.66</v>
      </c>
      <c r="J497" s="6" t="s">
        <v>34</v>
      </c>
      <c r="K497" s="15">
        <v>252</v>
      </c>
      <c r="L497" s="15" t="s">
        <v>41</v>
      </c>
      <c r="M497" s="15" t="s">
        <v>4</v>
      </c>
      <c r="N497" s="11" t="s">
        <v>1391</v>
      </c>
      <c r="O497" s="11" t="s">
        <v>46</v>
      </c>
      <c r="P497" s="11" t="s">
        <v>33</v>
      </c>
      <c r="Q497" s="15">
        <v>0</v>
      </c>
      <c r="R497" s="11" t="s">
        <v>1386</v>
      </c>
      <c r="S497" s="10">
        <v>112.35266272189</v>
      </c>
      <c r="T497" s="15">
        <v>80</v>
      </c>
      <c r="U497" s="15">
        <v>0</v>
      </c>
      <c r="V497" s="15">
        <v>1</v>
      </c>
      <c r="W497" s="15">
        <v>1</v>
      </c>
      <c r="X497" s="15">
        <f>IF(O497='Udvaskning nøgletal'!$D$65,1,IF(O497='Udvaskning nøgletal'!$D$66,2,IF(O497='Udvaskning nøgletal'!$D$67,3,IF(O497='Udvaskning nøgletal'!$D$68,2,""))))</f>
        <v>2</v>
      </c>
      <c r="Y497" s="15">
        <f>LOOKUP(K497,'Udvaskning nøgletal'!$C$12:$C$60,'Udvaskning nøgletal'!$H$12:$H$60)</f>
        <v>0</v>
      </c>
      <c r="Z497" s="10">
        <f>IF(X497=1,LOOKUP(K497,'Udvaskning nøgletal'!$C$12:$C$60,'Udvaskning nøgletal'!$E$12:$E$60)+Markniveau!Y497*Markniveau!S497/100,IF(X497=2,LOOKUP(K497,'Udvaskning nøgletal'!$C$12:$C$60,'Udvaskning nøgletal'!$F$12:$F$60)+Markniveau!Y497*Markniveau!S497/100,IF(X497=3,LOOKUP(K497,'Udvaskning nøgletal'!$C$12:$C$60,'Udvaskning nøgletal'!G507:G555)+Markniveau!Y497*Markniveau!S497/100,"")))</f>
        <v>21.2</v>
      </c>
      <c r="AA497" s="10">
        <f t="shared" si="76"/>
        <v>13.992000000000001</v>
      </c>
      <c r="AB497" s="10" t="str">
        <f t="shared" si="75"/>
        <v/>
      </c>
      <c r="AC497" s="10" t="str">
        <f t="shared" si="77"/>
        <v/>
      </c>
      <c r="AD497" s="10">
        <f>IF(AND(Q497&gt;0,Q497&lt;30,K497&lt;8),Markniveau!Z497*'Udvaskning nøgletal'!$I$12/100,IF(AND(Q497&gt;0,Q497&lt;30,K497=216),Markniveau!Z497*'Udvaskning nøgletal'!$I$34/100,Markniveau!Z497))</f>
        <v>21.2</v>
      </c>
      <c r="AE497" s="10">
        <f t="shared" si="83"/>
        <v>13.992000000000001</v>
      </c>
      <c r="AF497" s="10" t="str">
        <f t="shared" si="78"/>
        <v/>
      </c>
      <c r="AG497" s="10" t="str">
        <f t="shared" si="84"/>
        <v/>
      </c>
      <c r="AH497" s="10" t="str">
        <f>IF(AND(Q497&gt;0,Q497&lt;30,K497=216),'Udvaskning nøgletal'!$C$42,IF(AND(Q497&gt;0,Q497&lt;30,K497&gt;7,K497&lt;17),'Udvaskning nøgletal'!$C$61,IF(AND(Q497&gt;0,Q497&lt;30,K497&lt;7),'Udvaskning nøgletal'!$C$62,"")))</f>
        <v/>
      </c>
      <c r="AI497" s="10">
        <f t="shared" si="80"/>
        <v>252</v>
      </c>
      <c r="AJ497" s="10">
        <f>IF($X497=1,LOOKUP(AI497,'Udvaskning nøgletal'!$C$12:$C$62,'Udvaskning nøgletal'!$E$12:$E$62)+Markniveau!$Y497*Markniveau!$S497/100,IF($X497=2,LOOKUP(AI497,'Udvaskning nøgletal'!$C$12:$C$62,'Udvaskning nøgletal'!$F$12:$F$62)+Markniveau!$Y497*Markniveau!$S497/100,IF($X497=3,LOOKUP(AI497,'Udvaskning nøgletal'!$C$12:$C$62,'Udvaskning nøgletal'!Q507:Q557)+Markniveau!$Y497*Markniveau!$S497/100,"")))</f>
        <v>21.2</v>
      </c>
      <c r="AK497" s="10">
        <f t="shared" si="79"/>
        <v>13.992000000000001</v>
      </c>
      <c r="AL497" s="10" t="str">
        <f t="shared" si="81"/>
        <v/>
      </c>
      <c r="AM497" s="10" t="str">
        <f t="shared" si="82"/>
        <v/>
      </c>
    </row>
    <row r="498" spans="1:39" x14ac:dyDescent="0.25">
      <c r="A498" s="15">
        <v>18299674</v>
      </c>
      <c r="B498" s="15">
        <v>57.74</v>
      </c>
      <c r="C498" s="15">
        <v>330018</v>
      </c>
      <c r="D498" s="15">
        <v>82799</v>
      </c>
      <c r="E498" s="15" t="s">
        <v>419</v>
      </c>
      <c r="F498" s="15">
        <v>2011</v>
      </c>
      <c r="G498" s="15">
        <v>20110207</v>
      </c>
      <c r="H498" s="15">
        <v>36713</v>
      </c>
      <c r="I498" s="15">
        <v>3.67</v>
      </c>
      <c r="J498" s="6" t="s">
        <v>122</v>
      </c>
      <c r="K498" s="15">
        <v>4</v>
      </c>
      <c r="L498" s="15" t="s">
        <v>420</v>
      </c>
      <c r="M498" s="15" t="s">
        <v>5</v>
      </c>
      <c r="N498" s="11" t="s">
        <v>1391</v>
      </c>
      <c r="O498" s="11" t="s">
        <v>46</v>
      </c>
      <c r="P498" s="11" t="s">
        <v>29</v>
      </c>
      <c r="Q498" s="15">
        <v>95</v>
      </c>
      <c r="R498" s="11" t="s">
        <v>3</v>
      </c>
      <c r="S498" s="10">
        <v>112.35266272189</v>
      </c>
      <c r="T498" s="15">
        <v>80</v>
      </c>
      <c r="U498" s="15">
        <v>0</v>
      </c>
      <c r="V498" s="15">
        <v>1</v>
      </c>
      <c r="W498" s="15">
        <v>1</v>
      </c>
      <c r="X498" s="15">
        <f>IF(O498='Udvaskning nøgletal'!$D$65,1,IF(O498='Udvaskning nøgletal'!$D$66,2,IF(O498='Udvaskning nøgletal'!$D$67,3,IF(O498='Udvaskning nøgletal'!$D$68,2,""))))</f>
        <v>2</v>
      </c>
      <c r="Y498" s="15">
        <f>LOOKUP(K498,'Udvaskning nøgletal'!$C$12:$C$60,'Udvaskning nøgletal'!$H$12:$H$60)</f>
        <v>5</v>
      </c>
      <c r="Z498" s="10">
        <f>IF(X498=1,LOOKUP(K498,'Udvaskning nøgletal'!$C$12:$C$60,'Udvaskning nøgletal'!$E$12:$E$60)+Markniveau!Y498*Markniveau!S498/100,IF(X498=2,LOOKUP(K498,'Udvaskning nøgletal'!$C$12:$C$60,'Udvaskning nøgletal'!$F$12:$F$60)+Markniveau!Y498*Markniveau!S498/100,IF(X498=3,LOOKUP(K498,'Udvaskning nøgletal'!$C$12:$C$60,'Udvaskning nøgletal'!G508:G556)+Markniveau!Y498*Markniveau!S498/100,"")))</f>
        <v>56.497633136094507</v>
      </c>
      <c r="AA498" s="10">
        <f t="shared" si="76"/>
        <v>207.34631360946685</v>
      </c>
      <c r="AB498" s="10">
        <f t="shared" si="75"/>
        <v>2.8248816568047257</v>
      </c>
      <c r="AC498" s="10">
        <f t="shared" si="77"/>
        <v>10.367315680473343</v>
      </c>
      <c r="AD498" s="10">
        <f>IF(AND(Q498&gt;0,Q498&lt;30,K498&lt;8),Markniveau!Z498*'Udvaskning nøgletal'!$I$12/100,IF(AND(Q498&gt;0,Q498&lt;30,K498=216),Markniveau!Z498*'Udvaskning nøgletal'!$I$34/100,Markniveau!Z498))</f>
        <v>56.497633136094507</v>
      </c>
      <c r="AE498" s="10">
        <f t="shared" si="83"/>
        <v>207.34631360946685</v>
      </c>
      <c r="AF498" s="10">
        <f t="shared" si="78"/>
        <v>2.8248816568047257</v>
      </c>
      <c r="AG498" s="10">
        <f t="shared" si="84"/>
        <v>10.367315680473343</v>
      </c>
      <c r="AH498" s="10" t="str">
        <f>IF(AND(Q498&gt;0,Q498&lt;30,K498=216),'Udvaskning nøgletal'!$C$42,IF(AND(Q498&gt;0,Q498&lt;30,K498&gt;7,K498&lt;17),'Udvaskning nøgletal'!$C$61,IF(AND(Q498&gt;0,Q498&lt;30,K498&lt;7),'Udvaskning nøgletal'!$C$62,"")))</f>
        <v/>
      </c>
      <c r="AI498" s="10">
        <f t="shared" si="80"/>
        <v>4</v>
      </c>
      <c r="AJ498" s="10">
        <f>IF($X498=1,LOOKUP(AI498,'Udvaskning nøgletal'!$C$12:$C$62,'Udvaskning nøgletal'!$E$12:$E$62)+Markniveau!$Y498*Markniveau!$S498/100,IF($X498=2,LOOKUP(AI498,'Udvaskning nøgletal'!$C$12:$C$62,'Udvaskning nøgletal'!$F$12:$F$62)+Markniveau!$Y498*Markniveau!$S498/100,IF($X498=3,LOOKUP(AI498,'Udvaskning nøgletal'!$C$12:$C$62,'Udvaskning nøgletal'!Q508:Q558)+Markniveau!$Y498*Markniveau!$S498/100,"")))</f>
        <v>56.497633136094507</v>
      </c>
      <c r="AK498" s="10">
        <f t="shared" si="79"/>
        <v>207.34631360946685</v>
      </c>
      <c r="AL498" s="10">
        <f t="shared" si="81"/>
        <v>2.8248816568047257</v>
      </c>
      <c r="AM498" s="10">
        <f t="shared" si="82"/>
        <v>10.367315680473343</v>
      </c>
    </row>
    <row r="499" spans="1:39" x14ac:dyDescent="0.25">
      <c r="A499" s="15">
        <v>18299674</v>
      </c>
      <c r="B499" s="15">
        <v>57.74</v>
      </c>
      <c r="C499" s="15">
        <v>330019</v>
      </c>
      <c r="D499" s="15">
        <v>82799</v>
      </c>
      <c r="E499" s="15" t="s">
        <v>421</v>
      </c>
      <c r="F499" s="15">
        <v>2011</v>
      </c>
      <c r="G499" s="15">
        <v>20110207</v>
      </c>
      <c r="H499" s="15">
        <v>19741</v>
      </c>
      <c r="I499" s="15">
        <v>1.97</v>
      </c>
      <c r="J499" s="6" t="s">
        <v>123</v>
      </c>
      <c r="K499" s="15">
        <v>260</v>
      </c>
      <c r="L499" s="15" t="s">
        <v>45</v>
      </c>
      <c r="M499" s="15" t="s">
        <v>5</v>
      </c>
      <c r="N499" s="11" t="s">
        <v>1391</v>
      </c>
      <c r="O499" s="11" t="s">
        <v>46</v>
      </c>
      <c r="P499" s="11" t="s">
        <v>29</v>
      </c>
      <c r="Q499" s="15">
        <v>95</v>
      </c>
      <c r="R499" s="11" t="s">
        <v>3</v>
      </c>
      <c r="S499" s="10">
        <v>112.35266272189</v>
      </c>
      <c r="T499" s="15">
        <v>80</v>
      </c>
      <c r="U499" s="15">
        <v>0</v>
      </c>
      <c r="V499" s="15">
        <v>1</v>
      </c>
      <c r="W499" s="15">
        <v>1</v>
      </c>
      <c r="X499" s="15">
        <f>IF(O499='Udvaskning nøgletal'!$D$65,1,IF(O499='Udvaskning nøgletal'!$D$66,2,IF(O499='Udvaskning nøgletal'!$D$67,3,IF(O499='Udvaskning nøgletal'!$D$68,2,""))))</f>
        <v>2</v>
      </c>
      <c r="Y499" s="15">
        <f>LOOKUP(K499,'Udvaskning nøgletal'!$C$12:$C$60,'Udvaskning nøgletal'!$H$12:$H$60)</f>
        <v>0</v>
      </c>
      <c r="Z499" s="10">
        <f>IF(X499=1,LOOKUP(K499,'Udvaskning nøgletal'!$C$12:$C$60,'Udvaskning nøgletal'!$E$12:$E$60)+Markniveau!Y499*Markniveau!S499/100,IF(X499=2,LOOKUP(K499,'Udvaskning nøgletal'!$C$12:$C$60,'Udvaskning nøgletal'!$F$12:$F$60)+Markniveau!Y499*Markniveau!S499/100,IF(X499=3,LOOKUP(K499,'Udvaskning nøgletal'!$C$12:$C$60,'Udvaskning nøgletal'!G509:G557)+Markniveau!Y499*Markniveau!S499/100,"")))</f>
        <v>27.331185321443094</v>
      </c>
      <c r="AA499" s="10">
        <f t="shared" si="76"/>
        <v>53.842435083242897</v>
      </c>
      <c r="AB499" s="10">
        <f t="shared" si="75"/>
        <v>1.3665592660721546</v>
      </c>
      <c r="AC499" s="10">
        <f t="shared" si="77"/>
        <v>2.6921217541621445</v>
      </c>
      <c r="AD499" s="10">
        <f>IF(AND(Q499&gt;0,Q499&lt;30,K499&lt;8),Markniveau!Z499*'Udvaskning nøgletal'!$I$12/100,IF(AND(Q499&gt;0,Q499&lt;30,K499=216),Markniveau!Z499*'Udvaskning nøgletal'!$I$34/100,Markniveau!Z499))</f>
        <v>27.331185321443094</v>
      </c>
      <c r="AE499" s="10">
        <f t="shared" si="83"/>
        <v>53.842435083242897</v>
      </c>
      <c r="AF499" s="10">
        <f t="shared" si="78"/>
        <v>1.3665592660721546</v>
      </c>
      <c r="AG499" s="10">
        <f t="shared" si="84"/>
        <v>2.6921217541621445</v>
      </c>
      <c r="AH499" s="10" t="str">
        <f>IF(AND(Q499&gt;0,Q499&lt;30,K499=216),'Udvaskning nøgletal'!$C$42,IF(AND(Q499&gt;0,Q499&lt;30,K499&gt;7,K499&lt;17),'Udvaskning nøgletal'!$C$61,IF(AND(Q499&gt;0,Q499&lt;30,K499&lt;7),'Udvaskning nøgletal'!$C$62,"")))</f>
        <v/>
      </c>
      <c r="AI499" s="10">
        <f t="shared" si="80"/>
        <v>260</v>
      </c>
      <c r="AJ499" s="10">
        <f>IF($X499=1,LOOKUP(AI499,'Udvaskning nøgletal'!$C$12:$C$62,'Udvaskning nøgletal'!$E$12:$E$62)+Markniveau!$Y499*Markniveau!$S499/100,IF($X499=2,LOOKUP(AI499,'Udvaskning nøgletal'!$C$12:$C$62,'Udvaskning nøgletal'!$F$12:$F$62)+Markniveau!$Y499*Markniveau!$S499/100,IF($X499=3,LOOKUP(AI499,'Udvaskning nøgletal'!$C$12:$C$62,'Udvaskning nøgletal'!Q509:Q559)+Markniveau!$Y499*Markniveau!$S499/100,"")))</f>
        <v>27.331185321443094</v>
      </c>
      <c r="AK499" s="10">
        <f t="shared" si="79"/>
        <v>53.842435083242897</v>
      </c>
      <c r="AL499" s="10">
        <f t="shared" si="81"/>
        <v>1.3665592660721546</v>
      </c>
      <c r="AM499" s="10">
        <f t="shared" si="82"/>
        <v>2.6921217541621445</v>
      </c>
    </row>
    <row r="500" spans="1:39" x14ac:dyDescent="0.25">
      <c r="A500" s="15">
        <v>18299674</v>
      </c>
      <c r="B500" s="15">
        <v>57.74</v>
      </c>
      <c r="C500" s="15">
        <v>330020</v>
      </c>
      <c r="D500" s="15">
        <v>82799</v>
      </c>
      <c r="E500" s="15" t="s">
        <v>421</v>
      </c>
      <c r="F500" s="15">
        <v>2011</v>
      </c>
      <c r="G500" s="15">
        <v>20110207</v>
      </c>
      <c r="H500" s="15">
        <v>17575</v>
      </c>
      <c r="I500" s="15">
        <v>1.76</v>
      </c>
      <c r="J500" s="6" t="s">
        <v>143</v>
      </c>
      <c r="K500" s="15">
        <v>260</v>
      </c>
      <c r="L500" s="15" t="s">
        <v>45</v>
      </c>
      <c r="M500" s="15" t="s">
        <v>5</v>
      </c>
      <c r="N500" s="11" t="s">
        <v>1391</v>
      </c>
      <c r="O500" s="11" t="s">
        <v>46</v>
      </c>
      <c r="P500" s="11" t="s">
        <v>29</v>
      </c>
      <c r="Q500" s="15">
        <v>95</v>
      </c>
      <c r="R500" s="11" t="s">
        <v>3</v>
      </c>
      <c r="S500" s="10">
        <v>112.35266272189</v>
      </c>
      <c r="T500" s="15">
        <v>80</v>
      </c>
      <c r="U500" s="15">
        <v>0</v>
      </c>
      <c r="V500" s="15">
        <v>1</v>
      </c>
      <c r="W500" s="15">
        <v>1</v>
      </c>
      <c r="X500" s="15">
        <f>IF(O500='Udvaskning nøgletal'!$D$65,1,IF(O500='Udvaskning nøgletal'!$D$66,2,IF(O500='Udvaskning nøgletal'!$D$67,3,IF(O500='Udvaskning nøgletal'!$D$68,2,""))))</f>
        <v>2</v>
      </c>
      <c r="Y500" s="15">
        <f>LOOKUP(K500,'Udvaskning nøgletal'!$C$12:$C$60,'Udvaskning nøgletal'!$H$12:$H$60)</f>
        <v>0</v>
      </c>
      <c r="Z500" s="10">
        <f>IF(X500=1,LOOKUP(K500,'Udvaskning nøgletal'!$C$12:$C$60,'Udvaskning nøgletal'!$E$12:$E$60)+Markniveau!Y500*Markniveau!S500/100,IF(X500=2,LOOKUP(K500,'Udvaskning nøgletal'!$C$12:$C$60,'Udvaskning nøgletal'!$F$12:$F$60)+Markniveau!Y500*Markniveau!S500/100,IF(X500=3,LOOKUP(K500,'Udvaskning nøgletal'!$C$12:$C$60,'Udvaskning nøgletal'!G510:G558)+Markniveau!Y500*Markniveau!S500/100,"")))</f>
        <v>27.331185321443094</v>
      </c>
      <c r="AA500" s="10">
        <f t="shared" si="76"/>
        <v>48.102886165739847</v>
      </c>
      <c r="AB500" s="10">
        <f t="shared" si="75"/>
        <v>1.3665592660721546</v>
      </c>
      <c r="AC500" s="10">
        <f t="shared" si="77"/>
        <v>2.4051443082869923</v>
      </c>
      <c r="AD500" s="10">
        <f>IF(AND(Q500&gt;0,Q500&lt;30,K500&lt;8),Markniveau!Z500*'Udvaskning nøgletal'!$I$12/100,IF(AND(Q500&gt;0,Q500&lt;30,K500=216),Markniveau!Z500*'Udvaskning nøgletal'!$I$34/100,Markniveau!Z500))</f>
        <v>27.331185321443094</v>
      </c>
      <c r="AE500" s="10">
        <f t="shared" si="83"/>
        <v>48.102886165739847</v>
      </c>
      <c r="AF500" s="10">
        <f t="shared" si="78"/>
        <v>1.3665592660721546</v>
      </c>
      <c r="AG500" s="10">
        <f t="shared" si="84"/>
        <v>2.4051443082869923</v>
      </c>
      <c r="AH500" s="10" t="str">
        <f>IF(AND(Q500&gt;0,Q500&lt;30,K500=216),'Udvaskning nøgletal'!$C$42,IF(AND(Q500&gt;0,Q500&lt;30,K500&gt;7,K500&lt;17),'Udvaskning nøgletal'!$C$61,IF(AND(Q500&gt;0,Q500&lt;30,K500&lt;7),'Udvaskning nøgletal'!$C$62,"")))</f>
        <v/>
      </c>
      <c r="AI500" s="10">
        <f t="shared" si="80"/>
        <v>260</v>
      </c>
      <c r="AJ500" s="10">
        <f>IF($X500=1,LOOKUP(AI500,'Udvaskning nøgletal'!$C$12:$C$62,'Udvaskning nøgletal'!$E$12:$E$62)+Markniveau!$Y500*Markniveau!$S500/100,IF($X500=2,LOOKUP(AI500,'Udvaskning nøgletal'!$C$12:$C$62,'Udvaskning nøgletal'!$F$12:$F$62)+Markniveau!$Y500*Markniveau!$S500/100,IF($X500=3,LOOKUP(AI500,'Udvaskning nøgletal'!$C$12:$C$62,'Udvaskning nøgletal'!Q510:Q560)+Markniveau!$Y500*Markniveau!$S500/100,"")))</f>
        <v>27.331185321443094</v>
      </c>
      <c r="AK500" s="10">
        <f t="shared" si="79"/>
        <v>48.102886165739847</v>
      </c>
      <c r="AL500" s="10">
        <f t="shared" si="81"/>
        <v>1.3665592660721546</v>
      </c>
      <c r="AM500" s="10">
        <f t="shared" si="82"/>
        <v>2.4051443082869923</v>
      </c>
    </row>
    <row r="501" spans="1:39" x14ac:dyDescent="0.25">
      <c r="A501" s="15">
        <v>18299674</v>
      </c>
      <c r="B501" s="15">
        <v>57.74</v>
      </c>
      <c r="C501" s="15">
        <v>330359</v>
      </c>
      <c r="D501" s="15">
        <v>82799</v>
      </c>
      <c r="E501" s="15" t="s">
        <v>412</v>
      </c>
      <c r="F501" s="15">
        <v>2011</v>
      </c>
      <c r="G501" s="15">
        <v>20110207</v>
      </c>
      <c r="H501" s="15">
        <v>107445</v>
      </c>
      <c r="I501" s="15">
        <v>10.74</v>
      </c>
      <c r="J501" s="6" t="s">
        <v>164</v>
      </c>
      <c r="K501" s="15">
        <v>216</v>
      </c>
      <c r="L501" s="15" t="s">
        <v>116</v>
      </c>
      <c r="M501" s="15" t="s">
        <v>5</v>
      </c>
      <c r="N501" s="11" t="s">
        <v>1391</v>
      </c>
      <c r="O501" s="11" t="s">
        <v>46</v>
      </c>
      <c r="P501" s="11" t="s">
        <v>29</v>
      </c>
      <c r="Q501" s="15">
        <v>0</v>
      </c>
      <c r="R501" s="11" t="s">
        <v>1386</v>
      </c>
      <c r="S501" s="10">
        <v>112.35266272189</v>
      </c>
      <c r="T501" s="15">
        <v>80</v>
      </c>
      <c r="U501" s="15">
        <v>0</v>
      </c>
      <c r="V501" s="15">
        <v>1</v>
      </c>
      <c r="W501" s="15">
        <v>1</v>
      </c>
      <c r="X501" s="15">
        <f>IF(O501='Udvaskning nøgletal'!$D$65,1,IF(O501='Udvaskning nøgletal'!$D$66,2,IF(O501='Udvaskning nøgletal'!$D$67,3,IF(O501='Udvaskning nøgletal'!$D$68,2,""))))</f>
        <v>2</v>
      </c>
      <c r="Y501" s="15">
        <f>LOOKUP(K501,'Udvaskning nøgletal'!$C$12:$C$60,'Udvaskning nøgletal'!$H$12:$H$60)</f>
        <v>0</v>
      </c>
      <c r="Z501" s="10">
        <f>IF(X501=1,LOOKUP(K501,'Udvaskning nøgletal'!$C$12:$C$60,'Udvaskning nøgletal'!$E$12:$E$60)+Markniveau!Y501*Markniveau!S501/100,IF(X501=2,LOOKUP(K501,'Udvaskning nøgletal'!$C$12:$C$60,'Udvaskning nøgletal'!$F$12:$F$60)+Markniveau!Y501*Markniveau!S501/100,IF(X501=3,LOOKUP(K501,'Udvaskning nøgletal'!$C$12:$C$60,'Udvaskning nøgletal'!G511:G559)+Markniveau!Y501*Markniveau!S501/100,"")))</f>
        <v>101.66744640811392</v>
      </c>
      <c r="AA501" s="10">
        <f t="shared" si="76"/>
        <v>1091.9083744231434</v>
      </c>
      <c r="AB501" s="10" t="str">
        <f t="shared" si="75"/>
        <v/>
      </c>
      <c r="AC501" s="10" t="str">
        <f t="shared" si="77"/>
        <v/>
      </c>
      <c r="AD501" s="10">
        <f>IF(AND(Q501&gt;0,Q501&lt;30,K501&lt;8),Markniveau!Z501*'Udvaskning nøgletal'!$I$12/100,IF(AND(Q501&gt;0,Q501&lt;30,K501=216),Markniveau!Z501*'Udvaskning nøgletal'!$I$34/100,Markniveau!Z501))</f>
        <v>101.66744640811392</v>
      </c>
      <c r="AE501" s="10">
        <f t="shared" si="83"/>
        <v>1091.9083744231434</v>
      </c>
      <c r="AF501" s="10" t="str">
        <f t="shared" si="78"/>
        <v/>
      </c>
      <c r="AG501" s="10" t="str">
        <f t="shared" si="84"/>
        <v/>
      </c>
      <c r="AH501" s="10" t="str">
        <f>IF(AND(Q501&gt;0,Q501&lt;30,K501=216),'Udvaskning nøgletal'!$C$42,IF(AND(Q501&gt;0,Q501&lt;30,K501&gt;7,K501&lt;17),'Udvaskning nøgletal'!$C$61,IF(AND(Q501&gt;0,Q501&lt;30,K501&lt;7),'Udvaskning nøgletal'!$C$62,"")))</f>
        <v/>
      </c>
      <c r="AI501" s="10">
        <f t="shared" si="80"/>
        <v>216</v>
      </c>
      <c r="AJ501" s="10">
        <f>IF($X501=1,LOOKUP(AI501,'Udvaskning nøgletal'!$C$12:$C$62,'Udvaskning nøgletal'!$E$12:$E$62)+Markniveau!$Y501*Markniveau!$S501/100,IF($X501=2,LOOKUP(AI501,'Udvaskning nøgletal'!$C$12:$C$62,'Udvaskning nøgletal'!$F$12:$F$62)+Markniveau!$Y501*Markniveau!$S501/100,IF($X501=3,LOOKUP(AI501,'Udvaskning nøgletal'!$C$12:$C$62,'Udvaskning nøgletal'!Q511:Q561)+Markniveau!$Y501*Markniveau!$S501/100,"")))</f>
        <v>101.66744640811392</v>
      </c>
      <c r="AK501" s="10">
        <f t="shared" si="79"/>
        <v>1091.9083744231434</v>
      </c>
      <c r="AL501" s="10" t="str">
        <f t="shared" si="81"/>
        <v/>
      </c>
      <c r="AM501" s="10" t="str">
        <f t="shared" si="82"/>
        <v/>
      </c>
    </row>
    <row r="502" spans="1:39" x14ac:dyDescent="0.25">
      <c r="A502" s="15">
        <v>18299674</v>
      </c>
      <c r="B502" s="15">
        <v>57.74</v>
      </c>
      <c r="C502" s="15">
        <v>330532</v>
      </c>
      <c r="D502" s="15">
        <v>82799</v>
      </c>
      <c r="E502" s="15" t="s">
        <v>422</v>
      </c>
      <c r="F502" s="15">
        <v>2011</v>
      </c>
      <c r="G502" s="15">
        <v>20110207</v>
      </c>
      <c r="H502" s="15">
        <v>29968</v>
      </c>
      <c r="I502" s="15">
        <v>3</v>
      </c>
      <c r="J502" s="6" t="s">
        <v>89</v>
      </c>
      <c r="K502" s="15">
        <v>260</v>
      </c>
      <c r="L502" s="15" t="s">
        <v>45</v>
      </c>
      <c r="M502" s="15" t="s">
        <v>5</v>
      </c>
      <c r="N502" s="11" t="s">
        <v>1391</v>
      </c>
      <c r="O502" s="11" t="s">
        <v>46</v>
      </c>
      <c r="P502" s="11" t="s">
        <v>33</v>
      </c>
      <c r="Q502" s="15">
        <v>0</v>
      </c>
      <c r="R502" s="11" t="s">
        <v>1386</v>
      </c>
      <c r="S502" s="10">
        <v>112.35266272189</v>
      </c>
      <c r="T502" s="15">
        <v>80</v>
      </c>
      <c r="U502" s="15">
        <v>0</v>
      </c>
      <c r="V502" s="15">
        <v>1</v>
      </c>
      <c r="W502" s="15">
        <v>1</v>
      </c>
      <c r="X502" s="15">
        <f>IF(O502='Udvaskning nøgletal'!$D$65,1,IF(O502='Udvaskning nøgletal'!$D$66,2,IF(O502='Udvaskning nøgletal'!$D$67,3,IF(O502='Udvaskning nøgletal'!$D$68,2,""))))</f>
        <v>2</v>
      </c>
      <c r="Y502" s="15">
        <f>LOOKUP(K502,'Udvaskning nøgletal'!$C$12:$C$60,'Udvaskning nøgletal'!$H$12:$H$60)</f>
        <v>0</v>
      </c>
      <c r="Z502" s="10">
        <f>IF(X502=1,LOOKUP(K502,'Udvaskning nøgletal'!$C$12:$C$60,'Udvaskning nøgletal'!$E$12:$E$60)+Markniveau!Y502*Markniveau!S502/100,IF(X502=2,LOOKUP(K502,'Udvaskning nøgletal'!$C$12:$C$60,'Udvaskning nøgletal'!$F$12:$F$60)+Markniveau!Y502*Markniveau!S502/100,IF(X502=3,LOOKUP(K502,'Udvaskning nøgletal'!$C$12:$C$60,'Udvaskning nøgletal'!G512:G560)+Markniveau!Y502*Markniveau!S502/100,"")))</f>
        <v>27.331185321443094</v>
      </c>
      <c r="AA502" s="10">
        <f t="shared" si="76"/>
        <v>81.993555964329289</v>
      </c>
      <c r="AB502" s="10" t="str">
        <f t="shared" si="75"/>
        <v/>
      </c>
      <c r="AC502" s="10" t="str">
        <f t="shared" si="77"/>
        <v/>
      </c>
      <c r="AD502" s="10">
        <f>IF(AND(Q502&gt;0,Q502&lt;30,K502&lt;8),Markniveau!Z502*'Udvaskning nøgletal'!$I$12/100,IF(AND(Q502&gt;0,Q502&lt;30,K502=216),Markniveau!Z502*'Udvaskning nøgletal'!$I$34/100,Markniveau!Z502))</f>
        <v>27.331185321443094</v>
      </c>
      <c r="AE502" s="10">
        <f t="shared" si="83"/>
        <v>81.993555964329289</v>
      </c>
      <c r="AF502" s="10" t="str">
        <f t="shared" si="78"/>
        <v/>
      </c>
      <c r="AG502" s="10" t="str">
        <f t="shared" si="84"/>
        <v/>
      </c>
      <c r="AH502" s="10" t="str">
        <f>IF(AND(Q502&gt;0,Q502&lt;30,K502=216),'Udvaskning nøgletal'!$C$42,IF(AND(Q502&gt;0,Q502&lt;30,K502&gt;7,K502&lt;17),'Udvaskning nøgletal'!$C$61,IF(AND(Q502&gt;0,Q502&lt;30,K502&lt;7),'Udvaskning nøgletal'!$C$62,"")))</f>
        <v/>
      </c>
      <c r="AI502" s="10">
        <f t="shared" si="80"/>
        <v>260</v>
      </c>
      <c r="AJ502" s="10">
        <f>IF($X502=1,LOOKUP(AI502,'Udvaskning nøgletal'!$C$12:$C$62,'Udvaskning nøgletal'!$E$12:$E$62)+Markniveau!$Y502*Markniveau!$S502/100,IF($X502=2,LOOKUP(AI502,'Udvaskning nøgletal'!$C$12:$C$62,'Udvaskning nøgletal'!$F$12:$F$62)+Markniveau!$Y502*Markniveau!$S502/100,IF($X502=3,LOOKUP(AI502,'Udvaskning nøgletal'!$C$12:$C$62,'Udvaskning nøgletal'!Q512:Q562)+Markniveau!$Y502*Markniveau!$S502/100,"")))</f>
        <v>27.331185321443094</v>
      </c>
      <c r="AK502" s="10">
        <f t="shared" si="79"/>
        <v>81.993555964329289</v>
      </c>
      <c r="AL502" s="10" t="str">
        <f t="shared" si="81"/>
        <v/>
      </c>
      <c r="AM502" s="10" t="str">
        <f t="shared" si="82"/>
        <v/>
      </c>
    </row>
    <row r="503" spans="1:39" x14ac:dyDescent="0.25">
      <c r="A503" s="15">
        <v>18299674</v>
      </c>
      <c r="B503" s="15">
        <v>57.74</v>
      </c>
      <c r="C503" s="15">
        <v>330535</v>
      </c>
      <c r="D503" s="15">
        <v>82799</v>
      </c>
      <c r="E503" s="15" t="s">
        <v>415</v>
      </c>
      <c r="F503" s="15">
        <v>2011</v>
      </c>
      <c r="G503" s="15">
        <v>20110207</v>
      </c>
      <c r="H503" s="15">
        <v>6734</v>
      </c>
      <c r="I503" s="15">
        <v>0.67</v>
      </c>
      <c r="J503" s="6" t="s">
        <v>1512</v>
      </c>
      <c r="K503" s="15">
        <v>591</v>
      </c>
      <c r="L503" s="15" t="s">
        <v>423</v>
      </c>
      <c r="M503" s="15" t="s">
        <v>424</v>
      </c>
      <c r="N503" s="11" t="s">
        <v>1391</v>
      </c>
      <c r="O503" s="11" t="s">
        <v>46</v>
      </c>
      <c r="P503" s="11" t="s">
        <v>33</v>
      </c>
      <c r="Q503" s="15">
        <v>0</v>
      </c>
      <c r="R503" s="11" t="s">
        <v>1386</v>
      </c>
      <c r="S503" s="10">
        <v>112.35266272189</v>
      </c>
      <c r="T503" s="15">
        <v>80</v>
      </c>
      <c r="U503" s="15">
        <v>0</v>
      </c>
      <c r="V503" s="15">
        <v>1</v>
      </c>
      <c r="W503" s="15">
        <v>1</v>
      </c>
      <c r="X503" s="15">
        <f>IF(O503='Udvaskning nøgletal'!$D$65,1,IF(O503='Udvaskning nøgletal'!$D$66,2,IF(O503='Udvaskning nøgletal'!$D$67,3,IF(O503='Udvaskning nøgletal'!$D$68,2,""))))</f>
        <v>2</v>
      </c>
      <c r="Y503" s="15">
        <f>LOOKUP(K503,'Udvaskning nøgletal'!$C$12:$C$60,'Udvaskning nøgletal'!$H$12:$H$60)</f>
        <v>0</v>
      </c>
      <c r="Z503" s="10">
        <f>IF(X503=1,LOOKUP(K503,'Udvaskning nøgletal'!$C$12:$C$60,'Udvaskning nøgletal'!$E$12:$E$60)+Markniveau!Y503*Markniveau!S503/100,IF(X503=2,LOOKUP(K503,'Udvaskning nøgletal'!$C$12:$C$60,'Udvaskning nøgletal'!$F$12:$F$60)+Markniveau!Y503*Markniveau!S503/100,IF(X503=3,LOOKUP(K503,'Udvaskning nøgletal'!$C$12:$C$60,'Udvaskning nøgletal'!G513:G561)+Markniveau!Y503*Markniveau!S503/100,"")))</f>
        <v>10</v>
      </c>
      <c r="AA503" s="10">
        <f t="shared" si="76"/>
        <v>6.7</v>
      </c>
      <c r="AB503" s="10" t="str">
        <f t="shared" si="75"/>
        <v/>
      </c>
      <c r="AC503" s="10" t="str">
        <f t="shared" si="77"/>
        <v/>
      </c>
      <c r="AD503" s="10">
        <f>IF(AND(Q503&gt;0,Q503&lt;30,K503&lt;8),Markniveau!Z503*'Udvaskning nøgletal'!$I$12/100,IF(AND(Q503&gt;0,Q503&lt;30,K503=216),Markniveau!Z503*'Udvaskning nøgletal'!$I$34/100,Markniveau!Z503))</f>
        <v>10</v>
      </c>
      <c r="AE503" s="10">
        <f t="shared" si="83"/>
        <v>6.7</v>
      </c>
      <c r="AF503" s="10" t="str">
        <f t="shared" si="78"/>
        <v/>
      </c>
      <c r="AG503" s="10" t="str">
        <f t="shared" si="84"/>
        <v/>
      </c>
      <c r="AH503" s="10" t="str">
        <f>IF(AND(Q503&gt;0,Q503&lt;30,K503=216),'Udvaskning nøgletal'!$C$42,IF(AND(Q503&gt;0,Q503&lt;30,K503&gt;7,K503&lt;17),'Udvaskning nøgletal'!$C$61,IF(AND(Q503&gt;0,Q503&lt;30,K503&lt;7),'Udvaskning nøgletal'!$C$62,"")))</f>
        <v/>
      </c>
      <c r="AI503" s="10">
        <f t="shared" si="80"/>
        <v>591</v>
      </c>
      <c r="AJ503" s="10">
        <f>IF($X503=1,LOOKUP(AI503,'Udvaskning nøgletal'!$C$12:$C$62,'Udvaskning nøgletal'!$E$12:$E$62)+Markniveau!$Y503*Markniveau!$S503/100,IF($X503=2,LOOKUP(AI503,'Udvaskning nøgletal'!$C$12:$C$62,'Udvaskning nøgletal'!$F$12:$F$62)+Markniveau!$Y503*Markniveau!$S503/100,IF($X503=3,LOOKUP(AI503,'Udvaskning nøgletal'!$C$12:$C$62,'Udvaskning nøgletal'!Q513:Q563)+Markniveau!$Y503*Markniveau!$S503/100,"")))</f>
        <v>10</v>
      </c>
      <c r="AK503" s="10">
        <f t="shared" si="79"/>
        <v>6.7</v>
      </c>
      <c r="AL503" s="10" t="str">
        <f t="shared" si="81"/>
        <v/>
      </c>
      <c r="AM503" s="10" t="str">
        <f t="shared" si="82"/>
        <v/>
      </c>
    </row>
    <row r="504" spans="1:39" x14ac:dyDescent="0.25">
      <c r="A504" s="15">
        <v>18299674</v>
      </c>
      <c r="B504" s="15">
        <v>57.74</v>
      </c>
      <c r="C504" s="15">
        <v>330536</v>
      </c>
      <c r="D504" s="15">
        <v>82799</v>
      </c>
      <c r="E504" s="15" t="s">
        <v>415</v>
      </c>
      <c r="F504" s="15">
        <v>2011</v>
      </c>
      <c r="G504" s="15">
        <v>20110207</v>
      </c>
      <c r="H504" s="15">
        <v>4043</v>
      </c>
      <c r="I504" s="15">
        <v>0.4</v>
      </c>
      <c r="J504" s="6" t="s">
        <v>1398</v>
      </c>
      <c r="K504" s="15">
        <v>2</v>
      </c>
      <c r="L504" s="15" t="s">
        <v>49</v>
      </c>
      <c r="M504" s="15" t="s">
        <v>5</v>
      </c>
      <c r="N504" s="11" t="s">
        <v>1391</v>
      </c>
      <c r="O504" s="11" t="s">
        <v>46</v>
      </c>
      <c r="P504" s="11" t="s">
        <v>33</v>
      </c>
      <c r="Q504" s="15">
        <v>0</v>
      </c>
      <c r="R504" s="11" t="s">
        <v>1386</v>
      </c>
      <c r="S504" s="10">
        <v>112.35266272189</v>
      </c>
      <c r="T504" s="15">
        <v>80</v>
      </c>
      <c r="U504" s="15">
        <v>0</v>
      </c>
      <c r="V504" s="15">
        <v>1</v>
      </c>
      <c r="W504" s="15">
        <v>1</v>
      </c>
      <c r="X504" s="15">
        <f>IF(O504='Udvaskning nøgletal'!$D$65,1,IF(O504='Udvaskning nøgletal'!$D$66,2,IF(O504='Udvaskning nøgletal'!$D$67,3,IF(O504='Udvaskning nøgletal'!$D$68,2,""))))</f>
        <v>2</v>
      </c>
      <c r="Y504" s="15">
        <f>LOOKUP(K504,'Udvaskning nøgletal'!$C$12:$C$60,'Udvaskning nøgletal'!$H$12:$H$60)</f>
        <v>5</v>
      </c>
      <c r="Z504" s="10">
        <f>IF(X504=1,LOOKUP(K504,'Udvaskning nøgletal'!$C$12:$C$60,'Udvaskning nøgletal'!$E$12:$E$60)+Markniveau!Y504*Markniveau!S504/100,IF(X504=2,LOOKUP(K504,'Udvaskning nøgletal'!$C$12:$C$60,'Udvaskning nøgletal'!$F$12:$F$60)+Markniveau!Y504*Markniveau!S504/100,IF(X504=3,LOOKUP(K504,'Udvaskning nøgletal'!$C$12:$C$60,'Udvaskning nøgletal'!G514:G562)+Markniveau!Y504*Markniveau!S504/100,"")))</f>
        <v>56.497633136094507</v>
      </c>
      <c r="AA504" s="10">
        <f t="shared" si="76"/>
        <v>22.599053254437806</v>
      </c>
      <c r="AB504" s="10" t="str">
        <f t="shared" si="75"/>
        <v/>
      </c>
      <c r="AC504" s="10" t="str">
        <f t="shared" si="77"/>
        <v/>
      </c>
      <c r="AD504" s="10">
        <f>IF(AND(Q504&gt;0,Q504&lt;30,K504&lt;8),Markniveau!Z504*'Udvaskning nøgletal'!$I$12/100,IF(AND(Q504&gt;0,Q504&lt;30,K504=216),Markniveau!Z504*'Udvaskning nøgletal'!$I$34/100,Markniveau!Z504))</f>
        <v>56.497633136094507</v>
      </c>
      <c r="AE504" s="10">
        <f t="shared" si="83"/>
        <v>22.599053254437806</v>
      </c>
      <c r="AF504" s="10" t="str">
        <f t="shared" si="78"/>
        <v/>
      </c>
      <c r="AG504" s="10" t="str">
        <f t="shared" si="84"/>
        <v/>
      </c>
      <c r="AH504" s="10" t="str">
        <f>IF(AND(Q504&gt;0,Q504&lt;30,K504=216),'Udvaskning nøgletal'!$C$42,IF(AND(Q504&gt;0,Q504&lt;30,K504&gt;7,K504&lt;17),'Udvaskning nøgletal'!$C$61,IF(AND(Q504&gt;0,Q504&lt;30,K504&lt;7),'Udvaskning nøgletal'!$C$62,"")))</f>
        <v/>
      </c>
      <c r="AI504" s="10">
        <f t="shared" si="80"/>
        <v>2</v>
      </c>
      <c r="AJ504" s="10">
        <f>IF($X504=1,LOOKUP(AI504,'Udvaskning nøgletal'!$C$12:$C$62,'Udvaskning nøgletal'!$E$12:$E$62)+Markniveau!$Y504*Markniveau!$S504/100,IF($X504=2,LOOKUP(AI504,'Udvaskning nøgletal'!$C$12:$C$62,'Udvaskning nøgletal'!$F$12:$F$62)+Markniveau!$Y504*Markniveau!$S504/100,IF($X504=3,LOOKUP(AI504,'Udvaskning nøgletal'!$C$12:$C$62,'Udvaskning nøgletal'!Q514:Q564)+Markniveau!$Y504*Markniveau!$S504/100,"")))</f>
        <v>56.497633136094507</v>
      </c>
      <c r="AK504" s="10">
        <f t="shared" si="79"/>
        <v>22.599053254437806</v>
      </c>
      <c r="AL504" s="10" t="str">
        <f t="shared" si="81"/>
        <v/>
      </c>
      <c r="AM504" s="10" t="str">
        <f t="shared" si="82"/>
        <v/>
      </c>
    </row>
    <row r="505" spans="1:39" x14ac:dyDescent="0.25">
      <c r="A505" s="15">
        <v>18299674</v>
      </c>
      <c r="B505" s="15">
        <v>57.74</v>
      </c>
      <c r="C505" s="15">
        <v>330537</v>
      </c>
      <c r="D505" s="15">
        <v>82799</v>
      </c>
      <c r="E505" s="15" t="s">
        <v>425</v>
      </c>
      <c r="F505" s="15">
        <v>2011</v>
      </c>
      <c r="G505" s="15">
        <v>20110207</v>
      </c>
      <c r="H505" s="15">
        <v>110318</v>
      </c>
      <c r="I505" s="15">
        <v>11.03</v>
      </c>
      <c r="J505" s="6" t="s">
        <v>75</v>
      </c>
      <c r="K505" s="15">
        <v>14</v>
      </c>
      <c r="L505" s="15" t="s">
        <v>83</v>
      </c>
      <c r="M505" s="15" t="s">
        <v>5</v>
      </c>
      <c r="N505" s="11" t="s">
        <v>1391</v>
      </c>
      <c r="O505" s="11" t="s">
        <v>46</v>
      </c>
      <c r="P505" s="11" t="s">
        <v>29</v>
      </c>
      <c r="Q505" s="15">
        <v>95</v>
      </c>
      <c r="R505" s="11" t="s">
        <v>3</v>
      </c>
      <c r="S505" s="10">
        <v>112.35266272189</v>
      </c>
      <c r="T505" s="15">
        <v>80</v>
      </c>
      <c r="U505" s="15">
        <v>0</v>
      </c>
      <c r="V505" s="15">
        <v>1</v>
      </c>
      <c r="W505" s="15">
        <v>1</v>
      </c>
      <c r="X505" s="15">
        <f>IF(O505='Udvaskning nøgletal'!$D$65,1,IF(O505='Udvaskning nøgletal'!$D$66,2,IF(O505='Udvaskning nøgletal'!$D$67,3,IF(O505='Udvaskning nøgletal'!$D$68,2,""))))</f>
        <v>2</v>
      </c>
      <c r="Y505" s="15">
        <f>LOOKUP(K505,'Udvaskning nøgletal'!$C$12:$C$60,'Udvaskning nøgletal'!$H$12:$H$60)</f>
        <v>5</v>
      </c>
      <c r="Z505" s="10">
        <f>IF(X505=1,LOOKUP(K505,'Udvaskning nøgletal'!$C$12:$C$60,'Udvaskning nøgletal'!$E$12:$E$60)+Markniveau!Y505*Markniveau!S505/100,IF(X505=2,LOOKUP(K505,'Udvaskning nøgletal'!$C$12:$C$60,'Udvaskning nøgletal'!$F$12:$F$60)+Markniveau!Y505*Markniveau!S505/100,IF(X505=3,LOOKUP(K505,'Udvaskning nøgletal'!$C$12:$C$60,'Udvaskning nøgletal'!G515:G563)+Markniveau!Y505*Markniveau!S505/100,"")))</f>
        <v>56.497633136094507</v>
      </c>
      <c r="AA505" s="10">
        <f t="shared" si="76"/>
        <v>623.16889349112239</v>
      </c>
      <c r="AB505" s="10">
        <f t="shared" si="75"/>
        <v>2.8248816568047257</v>
      </c>
      <c r="AC505" s="10">
        <f t="shared" si="77"/>
        <v>31.158444674556122</v>
      </c>
      <c r="AD505" s="10">
        <f>IF(AND(Q505&gt;0,Q505&lt;30,K505&lt;8),Markniveau!Z505*'Udvaskning nøgletal'!$I$12/100,IF(AND(Q505&gt;0,Q505&lt;30,K505=216),Markniveau!Z505*'Udvaskning nøgletal'!$I$34/100,Markniveau!Z505))</f>
        <v>56.497633136094507</v>
      </c>
      <c r="AE505" s="10">
        <f t="shared" si="83"/>
        <v>623.16889349112239</v>
      </c>
      <c r="AF505" s="10">
        <f t="shared" si="78"/>
        <v>2.8248816568047257</v>
      </c>
      <c r="AG505" s="10">
        <f t="shared" si="84"/>
        <v>31.158444674556122</v>
      </c>
      <c r="AH505" s="10" t="str">
        <f>IF(AND(Q505&gt;0,Q505&lt;30,K505=216),'Udvaskning nøgletal'!$C$42,IF(AND(Q505&gt;0,Q505&lt;30,K505&gt;7,K505&lt;17),'Udvaskning nøgletal'!$C$61,IF(AND(Q505&gt;0,Q505&lt;30,K505&lt;7),'Udvaskning nøgletal'!$C$62,"")))</f>
        <v/>
      </c>
      <c r="AI505" s="10">
        <f t="shared" si="80"/>
        <v>14</v>
      </c>
      <c r="AJ505" s="10">
        <f>IF($X505=1,LOOKUP(AI505,'Udvaskning nøgletal'!$C$12:$C$62,'Udvaskning nøgletal'!$E$12:$E$62)+Markniveau!$Y505*Markniveau!$S505/100,IF($X505=2,LOOKUP(AI505,'Udvaskning nøgletal'!$C$12:$C$62,'Udvaskning nøgletal'!$F$12:$F$62)+Markniveau!$Y505*Markniveau!$S505/100,IF($X505=3,LOOKUP(AI505,'Udvaskning nøgletal'!$C$12:$C$62,'Udvaskning nøgletal'!Q515:Q565)+Markniveau!$Y505*Markniveau!$S505/100,"")))</f>
        <v>56.497633136094507</v>
      </c>
      <c r="AK505" s="10">
        <f t="shared" si="79"/>
        <v>623.16889349112239</v>
      </c>
      <c r="AL505" s="10">
        <f t="shared" si="81"/>
        <v>2.8248816568047257</v>
      </c>
      <c r="AM505" s="10">
        <f t="shared" si="82"/>
        <v>31.158444674556122</v>
      </c>
    </row>
    <row r="506" spans="1:39" x14ac:dyDescent="0.25">
      <c r="A506" s="15">
        <v>18299674</v>
      </c>
      <c r="B506" s="15">
        <v>57.74</v>
      </c>
      <c r="C506" s="15">
        <v>330538</v>
      </c>
      <c r="D506" s="15">
        <v>82799</v>
      </c>
      <c r="E506" s="15" t="s">
        <v>425</v>
      </c>
      <c r="F506" s="15">
        <v>2011</v>
      </c>
      <c r="G506" s="15">
        <v>20110207</v>
      </c>
      <c r="H506" s="15">
        <v>70566</v>
      </c>
      <c r="I506" s="15">
        <v>7.06</v>
      </c>
      <c r="J506" s="6" t="s">
        <v>76</v>
      </c>
      <c r="K506" s="15">
        <v>14</v>
      </c>
      <c r="L506" s="15" t="s">
        <v>83</v>
      </c>
      <c r="M506" s="15" t="s">
        <v>5</v>
      </c>
      <c r="N506" s="11" t="s">
        <v>1391</v>
      </c>
      <c r="O506" s="11" t="s">
        <v>46</v>
      </c>
      <c r="P506" s="11" t="s">
        <v>29</v>
      </c>
      <c r="Q506" s="15">
        <v>95</v>
      </c>
      <c r="R506" s="11" t="s">
        <v>3</v>
      </c>
      <c r="S506" s="10">
        <v>112.35266272189</v>
      </c>
      <c r="T506" s="15">
        <v>80</v>
      </c>
      <c r="U506" s="15">
        <v>0</v>
      </c>
      <c r="V506" s="15">
        <v>1</v>
      </c>
      <c r="W506" s="15">
        <v>1</v>
      </c>
      <c r="X506" s="15">
        <f>IF(O506='Udvaskning nøgletal'!$D$65,1,IF(O506='Udvaskning nøgletal'!$D$66,2,IF(O506='Udvaskning nøgletal'!$D$67,3,IF(O506='Udvaskning nøgletal'!$D$68,2,""))))</f>
        <v>2</v>
      </c>
      <c r="Y506" s="15">
        <f>LOOKUP(K506,'Udvaskning nøgletal'!$C$12:$C$60,'Udvaskning nøgletal'!$H$12:$H$60)</f>
        <v>5</v>
      </c>
      <c r="Z506" s="10">
        <f>IF(X506=1,LOOKUP(K506,'Udvaskning nøgletal'!$C$12:$C$60,'Udvaskning nøgletal'!$E$12:$E$60)+Markniveau!Y506*Markniveau!S506/100,IF(X506=2,LOOKUP(K506,'Udvaskning nøgletal'!$C$12:$C$60,'Udvaskning nøgletal'!$F$12:$F$60)+Markniveau!Y506*Markniveau!S506/100,IF(X506=3,LOOKUP(K506,'Udvaskning nøgletal'!$C$12:$C$60,'Udvaskning nøgletal'!G516:G564)+Markniveau!Y506*Markniveau!S506/100,"")))</f>
        <v>56.497633136094507</v>
      </c>
      <c r="AA506" s="10">
        <f t="shared" si="76"/>
        <v>398.87328994082719</v>
      </c>
      <c r="AB506" s="10">
        <f t="shared" si="75"/>
        <v>2.8248816568047257</v>
      </c>
      <c r="AC506" s="10">
        <f t="shared" si="77"/>
        <v>19.943664497041361</v>
      </c>
      <c r="AD506" s="10">
        <f>IF(AND(Q506&gt;0,Q506&lt;30,K506&lt;8),Markniveau!Z506*'Udvaskning nøgletal'!$I$12/100,IF(AND(Q506&gt;0,Q506&lt;30,K506=216),Markniveau!Z506*'Udvaskning nøgletal'!$I$34/100,Markniveau!Z506))</f>
        <v>56.497633136094507</v>
      </c>
      <c r="AE506" s="10">
        <f t="shared" si="83"/>
        <v>398.87328994082719</v>
      </c>
      <c r="AF506" s="10">
        <f t="shared" si="78"/>
        <v>2.8248816568047257</v>
      </c>
      <c r="AG506" s="10">
        <f t="shared" si="84"/>
        <v>19.943664497041361</v>
      </c>
      <c r="AH506" s="10" t="str">
        <f>IF(AND(Q506&gt;0,Q506&lt;30,K506=216),'Udvaskning nøgletal'!$C$42,IF(AND(Q506&gt;0,Q506&lt;30,K506&gt;7,K506&lt;17),'Udvaskning nøgletal'!$C$61,IF(AND(Q506&gt;0,Q506&lt;30,K506&lt;7),'Udvaskning nøgletal'!$C$62,"")))</f>
        <v/>
      </c>
      <c r="AI506" s="10">
        <f t="shared" si="80"/>
        <v>14</v>
      </c>
      <c r="AJ506" s="10">
        <f>IF($X506=1,LOOKUP(AI506,'Udvaskning nøgletal'!$C$12:$C$62,'Udvaskning nøgletal'!$E$12:$E$62)+Markniveau!$Y506*Markniveau!$S506/100,IF($X506=2,LOOKUP(AI506,'Udvaskning nøgletal'!$C$12:$C$62,'Udvaskning nøgletal'!$F$12:$F$62)+Markniveau!$Y506*Markniveau!$S506/100,IF($X506=3,LOOKUP(AI506,'Udvaskning nøgletal'!$C$12:$C$62,'Udvaskning nøgletal'!Q516:Q566)+Markniveau!$Y506*Markniveau!$S506/100,"")))</f>
        <v>56.497633136094507</v>
      </c>
      <c r="AK506" s="10">
        <f t="shared" si="79"/>
        <v>398.87328994082719</v>
      </c>
      <c r="AL506" s="10">
        <f t="shared" si="81"/>
        <v>2.8248816568047257</v>
      </c>
      <c r="AM506" s="10">
        <f t="shared" si="82"/>
        <v>19.943664497041361</v>
      </c>
    </row>
    <row r="507" spans="1:39" x14ac:dyDescent="0.25">
      <c r="A507" s="15">
        <v>18299674</v>
      </c>
      <c r="B507" s="15">
        <v>57.74</v>
      </c>
      <c r="C507" s="15">
        <v>330539</v>
      </c>
      <c r="D507" s="15">
        <v>82799</v>
      </c>
      <c r="E507" s="15" t="s">
        <v>426</v>
      </c>
      <c r="F507" s="15">
        <v>2011</v>
      </c>
      <c r="G507" s="15">
        <v>20110207</v>
      </c>
      <c r="H507" s="15">
        <v>3937</v>
      </c>
      <c r="I507" s="15">
        <v>0.39</v>
      </c>
      <c r="J507" s="6" t="s">
        <v>1397</v>
      </c>
      <c r="K507" s="15">
        <v>591</v>
      </c>
      <c r="L507" s="15" t="s">
        <v>423</v>
      </c>
      <c r="M507" s="15" t="s">
        <v>424</v>
      </c>
      <c r="N507" s="11" t="s">
        <v>1391</v>
      </c>
      <c r="O507" s="11" t="s">
        <v>46</v>
      </c>
      <c r="P507" s="11" t="s">
        <v>33</v>
      </c>
      <c r="Q507" s="15">
        <v>0</v>
      </c>
      <c r="R507" s="11" t="s">
        <v>1386</v>
      </c>
      <c r="S507" s="10">
        <v>112.35266272189</v>
      </c>
      <c r="T507" s="15">
        <v>80</v>
      </c>
      <c r="U507" s="15">
        <v>0</v>
      </c>
      <c r="V507" s="15">
        <v>1</v>
      </c>
      <c r="W507" s="15">
        <v>1</v>
      </c>
      <c r="X507" s="15">
        <f>IF(O507='Udvaskning nøgletal'!$D$65,1,IF(O507='Udvaskning nøgletal'!$D$66,2,IF(O507='Udvaskning nøgletal'!$D$67,3,IF(O507='Udvaskning nøgletal'!$D$68,2,""))))</f>
        <v>2</v>
      </c>
      <c r="Y507" s="15">
        <f>LOOKUP(K507,'Udvaskning nøgletal'!$C$12:$C$60,'Udvaskning nøgletal'!$H$12:$H$60)</f>
        <v>0</v>
      </c>
      <c r="Z507" s="10">
        <f>IF(X507=1,LOOKUP(K507,'Udvaskning nøgletal'!$C$12:$C$60,'Udvaskning nøgletal'!$E$12:$E$60)+Markniveau!Y507*Markniveau!S507/100,IF(X507=2,LOOKUP(K507,'Udvaskning nøgletal'!$C$12:$C$60,'Udvaskning nøgletal'!$F$12:$F$60)+Markniveau!Y507*Markniveau!S507/100,IF(X507=3,LOOKUP(K507,'Udvaskning nøgletal'!$C$12:$C$60,'Udvaskning nøgletal'!G517:G565)+Markniveau!Y507*Markniveau!S507/100,"")))</f>
        <v>10</v>
      </c>
      <c r="AA507" s="10">
        <f t="shared" si="76"/>
        <v>3.9000000000000004</v>
      </c>
      <c r="AB507" s="10" t="str">
        <f t="shared" si="75"/>
        <v/>
      </c>
      <c r="AC507" s="10" t="str">
        <f t="shared" si="77"/>
        <v/>
      </c>
      <c r="AD507" s="10">
        <f>IF(AND(Q507&gt;0,Q507&lt;30,K507&lt;8),Markniveau!Z507*'Udvaskning nøgletal'!$I$12/100,IF(AND(Q507&gt;0,Q507&lt;30,K507=216),Markniveau!Z507*'Udvaskning nøgletal'!$I$34/100,Markniveau!Z507))</f>
        <v>10</v>
      </c>
      <c r="AE507" s="10">
        <f t="shared" si="83"/>
        <v>3.9000000000000004</v>
      </c>
      <c r="AF507" s="10" t="str">
        <f t="shared" si="78"/>
        <v/>
      </c>
      <c r="AG507" s="10" t="str">
        <f t="shared" si="84"/>
        <v/>
      </c>
      <c r="AH507" s="10" t="str">
        <f>IF(AND(Q507&gt;0,Q507&lt;30,K507=216),'Udvaskning nøgletal'!$C$42,IF(AND(Q507&gt;0,Q507&lt;30,K507&gt;7,K507&lt;17),'Udvaskning nøgletal'!$C$61,IF(AND(Q507&gt;0,Q507&lt;30,K507&lt;7),'Udvaskning nøgletal'!$C$62,"")))</f>
        <v/>
      </c>
      <c r="AI507" s="10">
        <f t="shared" si="80"/>
        <v>591</v>
      </c>
      <c r="AJ507" s="10">
        <f>IF($X507=1,LOOKUP(AI507,'Udvaskning nøgletal'!$C$12:$C$62,'Udvaskning nøgletal'!$E$12:$E$62)+Markniveau!$Y507*Markniveau!$S507/100,IF($X507=2,LOOKUP(AI507,'Udvaskning nøgletal'!$C$12:$C$62,'Udvaskning nøgletal'!$F$12:$F$62)+Markniveau!$Y507*Markniveau!$S507/100,IF($X507=3,LOOKUP(AI507,'Udvaskning nøgletal'!$C$12:$C$62,'Udvaskning nøgletal'!Q517:Q567)+Markniveau!$Y507*Markniveau!$S507/100,"")))</f>
        <v>10</v>
      </c>
      <c r="AK507" s="10">
        <f t="shared" si="79"/>
        <v>3.9000000000000004</v>
      </c>
      <c r="AL507" s="10" t="str">
        <f t="shared" si="81"/>
        <v/>
      </c>
      <c r="AM507" s="10" t="str">
        <f t="shared" si="82"/>
        <v/>
      </c>
    </row>
    <row r="508" spans="1:39" x14ac:dyDescent="0.25">
      <c r="A508" s="15">
        <v>18299674</v>
      </c>
      <c r="B508" s="15">
        <v>57.74</v>
      </c>
      <c r="C508" s="15">
        <v>331044</v>
      </c>
      <c r="D508" s="15">
        <v>82799</v>
      </c>
      <c r="E508" s="15" t="s">
        <v>427</v>
      </c>
      <c r="F508" s="15">
        <v>2011</v>
      </c>
      <c r="G508" s="15">
        <v>20110207</v>
      </c>
      <c r="H508" s="15">
        <v>6311</v>
      </c>
      <c r="I508" s="15">
        <v>0.63</v>
      </c>
      <c r="J508" s="6" t="s">
        <v>1513</v>
      </c>
      <c r="K508" s="15">
        <v>260</v>
      </c>
      <c r="L508" s="15" t="s">
        <v>45</v>
      </c>
      <c r="M508" s="15" t="s">
        <v>5</v>
      </c>
      <c r="N508" s="11" t="s">
        <v>1391</v>
      </c>
      <c r="O508" s="11" t="s">
        <v>46</v>
      </c>
      <c r="P508" s="11" t="s">
        <v>33</v>
      </c>
      <c r="Q508" s="15">
        <v>0</v>
      </c>
      <c r="R508" s="11" t="s">
        <v>1386</v>
      </c>
      <c r="S508" s="10">
        <v>112.35266272189</v>
      </c>
      <c r="T508" s="15">
        <v>80</v>
      </c>
      <c r="U508" s="15">
        <v>0</v>
      </c>
      <c r="V508" s="15">
        <v>1</v>
      </c>
      <c r="W508" s="15">
        <v>1</v>
      </c>
      <c r="X508" s="15">
        <f>IF(O508='Udvaskning nøgletal'!$D$65,1,IF(O508='Udvaskning nøgletal'!$D$66,2,IF(O508='Udvaskning nøgletal'!$D$67,3,IF(O508='Udvaskning nøgletal'!$D$68,2,""))))</f>
        <v>2</v>
      </c>
      <c r="Y508" s="15">
        <f>LOOKUP(K508,'Udvaskning nøgletal'!$C$12:$C$60,'Udvaskning nøgletal'!$H$12:$H$60)</f>
        <v>0</v>
      </c>
      <c r="Z508" s="10">
        <f>IF(X508=1,LOOKUP(K508,'Udvaskning nøgletal'!$C$12:$C$60,'Udvaskning nøgletal'!$E$12:$E$60)+Markniveau!Y508*Markniveau!S508/100,IF(X508=2,LOOKUP(K508,'Udvaskning nøgletal'!$C$12:$C$60,'Udvaskning nøgletal'!$F$12:$F$60)+Markniveau!Y508*Markniveau!S508/100,IF(X508=3,LOOKUP(K508,'Udvaskning nøgletal'!$C$12:$C$60,'Udvaskning nøgletal'!G518:G566)+Markniveau!Y508*Markniveau!S508/100,"")))</f>
        <v>27.331185321443094</v>
      </c>
      <c r="AA508" s="10">
        <f t="shared" si="76"/>
        <v>17.218646752509148</v>
      </c>
      <c r="AB508" s="10" t="str">
        <f t="shared" si="75"/>
        <v/>
      </c>
      <c r="AC508" s="10" t="str">
        <f t="shared" si="77"/>
        <v/>
      </c>
      <c r="AD508" s="10">
        <f>IF(AND(Q508&gt;0,Q508&lt;30,K508&lt;8),Markniveau!Z508*'Udvaskning nøgletal'!$I$12/100,IF(AND(Q508&gt;0,Q508&lt;30,K508=216),Markniveau!Z508*'Udvaskning nøgletal'!$I$34/100,Markniveau!Z508))</f>
        <v>27.331185321443094</v>
      </c>
      <c r="AE508" s="10">
        <f t="shared" si="83"/>
        <v>17.218646752509148</v>
      </c>
      <c r="AF508" s="10" t="str">
        <f t="shared" si="78"/>
        <v/>
      </c>
      <c r="AG508" s="10" t="str">
        <f t="shared" si="84"/>
        <v/>
      </c>
      <c r="AH508" s="10" t="str">
        <f>IF(AND(Q508&gt;0,Q508&lt;30,K508=216),'Udvaskning nøgletal'!$C$42,IF(AND(Q508&gt;0,Q508&lt;30,K508&gt;7,K508&lt;17),'Udvaskning nøgletal'!$C$61,IF(AND(Q508&gt;0,Q508&lt;30,K508&lt;7),'Udvaskning nøgletal'!$C$62,"")))</f>
        <v/>
      </c>
      <c r="AI508" s="10">
        <f t="shared" si="80"/>
        <v>260</v>
      </c>
      <c r="AJ508" s="10">
        <f>IF($X508=1,LOOKUP(AI508,'Udvaskning nøgletal'!$C$12:$C$62,'Udvaskning nøgletal'!$E$12:$E$62)+Markniveau!$Y508*Markniveau!$S508/100,IF($X508=2,LOOKUP(AI508,'Udvaskning nøgletal'!$C$12:$C$62,'Udvaskning nøgletal'!$F$12:$F$62)+Markniveau!$Y508*Markniveau!$S508/100,IF($X508=3,LOOKUP(AI508,'Udvaskning nøgletal'!$C$12:$C$62,'Udvaskning nøgletal'!Q518:Q568)+Markniveau!$Y508*Markniveau!$S508/100,"")))</f>
        <v>27.331185321443094</v>
      </c>
      <c r="AK508" s="10">
        <f t="shared" si="79"/>
        <v>17.218646752509148</v>
      </c>
      <c r="AL508" s="10" t="str">
        <f t="shared" si="81"/>
        <v/>
      </c>
      <c r="AM508" s="10" t="str">
        <f t="shared" si="82"/>
        <v/>
      </c>
    </row>
    <row r="509" spans="1:39" x14ac:dyDescent="0.25">
      <c r="A509" s="15">
        <v>18299674</v>
      </c>
      <c r="B509" s="15">
        <v>57.74</v>
      </c>
      <c r="C509" s="15">
        <v>331045</v>
      </c>
      <c r="D509" s="15">
        <v>82799</v>
      </c>
      <c r="E509" s="15" t="s">
        <v>428</v>
      </c>
      <c r="F509" s="15">
        <v>2011</v>
      </c>
      <c r="G509" s="15">
        <v>20110207</v>
      </c>
      <c r="H509" s="15">
        <v>31922</v>
      </c>
      <c r="I509" s="15">
        <v>3.19</v>
      </c>
      <c r="J509" s="6" t="s">
        <v>429</v>
      </c>
      <c r="K509" s="15">
        <v>260</v>
      </c>
      <c r="L509" s="15" t="s">
        <v>45</v>
      </c>
      <c r="M509" s="15" t="s">
        <v>5</v>
      </c>
      <c r="N509" s="11" t="s">
        <v>1391</v>
      </c>
      <c r="O509" s="11" t="s">
        <v>46</v>
      </c>
      <c r="P509" s="11" t="s">
        <v>33</v>
      </c>
      <c r="Q509" s="15">
        <v>0</v>
      </c>
      <c r="R509" s="11" t="s">
        <v>1386</v>
      </c>
      <c r="S509" s="10">
        <v>112.35266272189</v>
      </c>
      <c r="T509" s="15">
        <v>80</v>
      </c>
      <c r="U509" s="15">
        <v>0</v>
      </c>
      <c r="V509" s="15">
        <v>1</v>
      </c>
      <c r="W509" s="15">
        <v>1</v>
      </c>
      <c r="X509" s="15">
        <f>IF(O509='Udvaskning nøgletal'!$D$65,1,IF(O509='Udvaskning nøgletal'!$D$66,2,IF(O509='Udvaskning nøgletal'!$D$67,3,IF(O509='Udvaskning nøgletal'!$D$68,2,""))))</f>
        <v>2</v>
      </c>
      <c r="Y509" s="15">
        <f>LOOKUP(K509,'Udvaskning nøgletal'!$C$12:$C$60,'Udvaskning nøgletal'!$H$12:$H$60)</f>
        <v>0</v>
      </c>
      <c r="Z509" s="10">
        <f>IF(X509=1,LOOKUP(K509,'Udvaskning nøgletal'!$C$12:$C$60,'Udvaskning nøgletal'!$E$12:$E$60)+Markniveau!Y509*Markniveau!S509/100,IF(X509=2,LOOKUP(K509,'Udvaskning nøgletal'!$C$12:$C$60,'Udvaskning nøgletal'!$F$12:$F$60)+Markniveau!Y509*Markniveau!S509/100,IF(X509=3,LOOKUP(K509,'Udvaskning nøgletal'!$C$12:$C$60,'Udvaskning nøgletal'!G519:G567)+Markniveau!Y509*Markniveau!S509/100,"")))</f>
        <v>27.331185321443094</v>
      </c>
      <c r="AA509" s="10">
        <f t="shared" si="76"/>
        <v>87.186481175403472</v>
      </c>
      <c r="AB509" s="10" t="str">
        <f t="shared" si="75"/>
        <v/>
      </c>
      <c r="AC509" s="10" t="str">
        <f t="shared" si="77"/>
        <v/>
      </c>
      <c r="AD509" s="10">
        <f>IF(AND(Q509&gt;0,Q509&lt;30,K509&lt;8),Markniveau!Z509*'Udvaskning nøgletal'!$I$12/100,IF(AND(Q509&gt;0,Q509&lt;30,K509=216),Markniveau!Z509*'Udvaskning nøgletal'!$I$34/100,Markniveau!Z509))</f>
        <v>27.331185321443094</v>
      </c>
      <c r="AE509" s="10">
        <f t="shared" si="83"/>
        <v>87.186481175403472</v>
      </c>
      <c r="AF509" s="10" t="str">
        <f t="shared" si="78"/>
        <v/>
      </c>
      <c r="AG509" s="10" t="str">
        <f t="shared" si="84"/>
        <v/>
      </c>
      <c r="AH509" s="10" t="str">
        <f>IF(AND(Q509&gt;0,Q509&lt;30,K509=216),'Udvaskning nøgletal'!$C$42,IF(AND(Q509&gt;0,Q509&lt;30,K509&gt;7,K509&lt;17),'Udvaskning nøgletal'!$C$61,IF(AND(Q509&gt;0,Q509&lt;30,K509&lt;7),'Udvaskning nøgletal'!$C$62,"")))</f>
        <v/>
      </c>
      <c r="AI509" s="10">
        <f t="shared" si="80"/>
        <v>260</v>
      </c>
      <c r="AJ509" s="10">
        <f>IF($X509=1,LOOKUP(AI509,'Udvaskning nøgletal'!$C$12:$C$62,'Udvaskning nøgletal'!$E$12:$E$62)+Markniveau!$Y509*Markniveau!$S509/100,IF($X509=2,LOOKUP(AI509,'Udvaskning nøgletal'!$C$12:$C$62,'Udvaskning nøgletal'!$F$12:$F$62)+Markniveau!$Y509*Markniveau!$S509/100,IF($X509=3,LOOKUP(AI509,'Udvaskning nøgletal'!$C$12:$C$62,'Udvaskning nøgletal'!Q519:Q569)+Markniveau!$Y509*Markniveau!$S509/100,"")))</f>
        <v>27.331185321443094</v>
      </c>
      <c r="AK509" s="10">
        <f t="shared" si="79"/>
        <v>87.186481175403472</v>
      </c>
      <c r="AL509" s="10" t="str">
        <f t="shared" si="81"/>
        <v/>
      </c>
      <c r="AM509" s="10" t="str">
        <f t="shared" si="82"/>
        <v/>
      </c>
    </row>
    <row r="510" spans="1:39" x14ac:dyDescent="0.25">
      <c r="A510" s="15">
        <v>18299674</v>
      </c>
      <c r="B510" s="15">
        <v>57.74</v>
      </c>
      <c r="C510" s="15">
        <v>331046</v>
      </c>
      <c r="D510" s="15">
        <v>82799</v>
      </c>
      <c r="E510" s="15" t="s">
        <v>430</v>
      </c>
      <c r="F510" s="15">
        <v>2011</v>
      </c>
      <c r="G510" s="15">
        <v>20110207</v>
      </c>
      <c r="H510" s="15">
        <v>5623</v>
      </c>
      <c r="I510" s="15">
        <v>0.56000000000000005</v>
      </c>
      <c r="J510" s="6" t="s">
        <v>1514</v>
      </c>
      <c r="K510" s="15">
        <v>260</v>
      </c>
      <c r="L510" s="15" t="s">
        <v>45</v>
      </c>
      <c r="M510" s="15" t="s">
        <v>5</v>
      </c>
      <c r="N510" s="11" t="s">
        <v>1391</v>
      </c>
      <c r="O510" s="11" t="s">
        <v>46</v>
      </c>
      <c r="P510" s="11" t="s">
        <v>33</v>
      </c>
      <c r="Q510" s="15">
        <v>0</v>
      </c>
      <c r="R510" s="11" t="s">
        <v>1386</v>
      </c>
      <c r="S510" s="10">
        <v>112.35266272189</v>
      </c>
      <c r="T510" s="15">
        <v>80</v>
      </c>
      <c r="U510" s="15">
        <v>0</v>
      </c>
      <c r="V510" s="15">
        <v>1</v>
      </c>
      <c r="W510" s="15">
        <v>1</v>
      </c>
      <c r="X510" s="15">
        <f>IF(O510='Udvaskning nøgletal'!$D$65,1,IF(O510='Udvaskning nøgletal'!$D$66,2,IF(O510='Udvaskning nøgletal'!$D$67,3,IF(O510='Udvaskning nøgletal'!$D$68,2,""))))</f>
        <v>2</v>
      </c>
      <c r="Y510" s="15">
        <f>LOOKUP(K510,'Udvaskning nøgletal'!$C$12:$C$60,'Udvaskning nøgletal'!$H$12:$H$60)</f>
        <v>0</v>
      </c>
      <c r="Z510" s="10">
        <f>IF(X510=1,LOOKUP(K510,'Udvaskning nøgletal'!$C$12:$C$60,'Udvaskning nøgletal'!$E$12:$E$60)+Markniveau!Y510*Markniveau!S510/100,IF(X510=2,LOOKUP(K510,'Udvaskning nøgletal'!$C$12:$C$60,'Udvaskning nøgletal'!$F$12:$F$60)+Markniveau!Y510*Markniveau!S510/100,IF(X510=3,LOOKUP(K510,'Udvaskning nøgletal'!$C$12:$C$60,'Udvaskning nøgletal'!G520:G568)+Markniveau!Y510*Markniveau!S510/100,"")))</f>
        <v>27.331185321443094</v>
      </c>
      <c r="AA510" s="10">
        <f t="shared" si="76"/>
        <v>15.305463780008134</v>
      </c>
      <c r="AB510" s="10" t="str">
        <f t="shared" si="75"/>
        <v/>
      </c>
      <c r="AC510" s="10" t="str">
        <f t="shared" si="77"/>
        <v/>
      </c>
      <c r="AD510" s="10">
        <f>IF(AND(Q510&gt;0,Q510&lt;30,K510&lt;8),Markniveau!Z510*'Udvaskning nøgletal'!$I$12/100,IF(AND(Q510&gt;0,Q510&lt;30,K510=216),Markniveau!Z510*'Udvaskning nøgletal'!$I$34/100,Markniveau!Z510))</f>
        <v>27.331185321443094</v>
      </c>
      <c r="AE510" s="10">
        <f t="shared" si="83"/>
        <v>15.305463780008134</v>
      </c>
      <c r="AF510" s="10" t="str">
        <f t="shared" si="78"/>
        <v/>
      </c>
      <c r="AG510" s="10" t="str">
        <f t="shared" si="84"/>
        <v/>
      </c>
      <c r="AH510" s="10" t="str">
        <f>IF(AND(Q510&gt;0,Q510&lt;30,K510=216),'Udvaskning nøgletal'!$C$42,IF(AND(Q510&gt;0,Q510&lt;30,K510&gt;7,K510&lt;17),'Udvaskning nøgletal'!$C$61,IF(AND(Q510&gt;0,Q510&lt;30,K510&lt;7),'Udvaskning nøgletal'!$C$62,"")))</f>
        <v/>
      </c>
      <c r="AI510" s="10">
        <f t="shared" si="80"/>
        <v>260</v>
      </c>
      <c r="AJ510" s="10">
        <f>IF($X510=1,LOOKUP(AI510,'Udvaskning nøgletal'!$C$12:$C$62,'Udvaskning nøgletal'!$E$12:$E$62)+Markniveau!$Y510*Markniveau!$S510/100,IF($X510=2,LOOKUP(AI510,'Udvaskning nøgletal'!$C$12:$C$62,'Udvaskning nøgletal'!$F$12:$F$62)+Markniveau!$Y510*Markniveau!$S510/100,IF($X510=3,LOOKUP(AI510,'Udvaskning nøgletal'!$C$12:$C$62,'Udvaskning nøgletal'!Q520:Q570)+Markniveau!$Y510*Markniveau!$S510/100,"")))</f>
        <v>27.331185321443094</v>
      </c>
      <c r="AK510" s="10">
        <f t="shared" si="79"/>
        <v>15.305463780008134</v>
      </c>
      <c r="AL510" s="10" t="str">
        <f t="shared" si="81"/>
        <v/>
      </c>
      <c r="AM510" s="10" t="str">
        <f t="shared" si="82"/>
        <v/>
      </c>
    </row>
    <row r="511" spans="1:39" x14ac:dyDescent="0.25">
      <c r="A511" s="15">
        <v>18299674</v>
      </c>
      <c r="B511" s="15">
        <v>57.74</v>
      </c>
      <c r="C511" s="15">
        <v>331047</v>
      </c>
      <c r="D511" s="15">
        <v>82799</v>
      </c>
      <c r="E511" s="15" t="s">
        <v>430</v>
      </c>
      <c r="F511" s="15">
        <v>2011</v>
      </c>
      <c r="G511" s="15">
        <v>20110207</v>
      </c>
      <c r="H511" s="15">
        <v>37415</v>
      </c>
      <c r="I511" s="15">
        <v>3.74</v>
      </c>
      <c r="J511" s="6" t="s">
        <v>95</v>
      </c>
      <c r="K511" s="15">
        <v>260</v>
      </c>
      <c r="L511" s="15" t="s">
        <v>45</v>
      </c>
      <c r="M511" s="15" t="s">
        <v>5</v>
      </c>
      <c r="N511" s="11" t="s">
        <v>1391</v>
      </c>
      <c r="O511" s="11" t="s">
        <v>46</v>
      </c>
      <c r="P511" s="11" t="s">
        <v>33</v>
      </c>
      <c r="Q511" s="15">
        <v>0</v>
      </c>
      <c r="R511" s="11" t="s">
        <v>1386</v>
      </c>
      <c r="S511" s="10">
        <v>112.35266272189</v>
      </c>
      <c r="T511" s="15">
        <v>80</v>
      </c>
      <c r="U511" s="15">
        <v>0</v>
      </c>
      <c r="V511" s="15">
        <v>1</v>
      </c>
      <c r="W511" s="15">
        <v>1</v>
      </c>
      <c r="X511" s="15">
        <f>IF(O511='Udvaskning nøgletal'!$D$65,1,IF(O511='Udvaskning nøgletal'!$D$66,2,IF(O511='Udvaskning nøgletal'!$D$67,3,IF(O511='Udvaskning nøgletal'!$D$68,2,""))))</f>
        <v>2</v>
      </c>
      <c r="Y511" s="15">
        <f>LOOKUP(K511,'Udvaskning nøgletal'!$C$12:$C$60,'Udvaskning nøgletal'!$H$12:$H$60)</f>
        <v>0</v>
      </c>
      <c r="Z511" s="10">
        <f>IF(X511=1,LOOKUP(K511,'Udvaskning nøgletal'!$C$12:$C$60,'Udvaskning nøgletal'!$E$12:$E$60)+Markniveau!Y511*Markniveau!S511/100,IF(X511=2,LOOKUP(K511,'Udvaskning nøgletal'!$C$12:$C$60,'Udvaskning nøgletal'!$F$12:$F$60)+Markniveau!Y511*Markniveau!S511/100,IF(X511=3,LOOKUP(K511,'Udvaskning nøgletal'!$C$12:$C$60,'Udvaskning nøgletal'!G521:G569)+Markniveau!Y511*Markniveau!S511/100,"")))</f>
        <v>27.331185321443094</v>
      </c>
      <c r="AA511" s="10">
        <f t="shared" si="76"/>
        <v>102.21863310219717</v>
      </c>
      <c r="AB511" s="10" t="str">
        <f t="shared" si="75"/>
        <v/>
      </c>
      <c r="AC511" s="10" t="str">
        <f t="shared" si="77"/>
        <v/>
      </c>
      <c r="AD511" s="10">
        <f>IF(AND(Q511&gt;0,Q511&lt;30,K511&lt;8),Markniveau!Z511*'Udvaskning nøgletal'!$I$12/100,IF(AND(Q511&gt;0,Q511&lt;30,K511=216),Markniveau!Z511*'Udvaskning nøgletal'!$I$34/100,Markniveau!Z511))</f>
        <v>27.331185321443094</v>
      </c>
      <c r="AE511" s="10">
        <f t="shared" si="83"/>
        <v>102.21863310219717</v>
      </c>
      <c r="AF511" s="10" t="str">
        <f t="shared" si="78"/>
        <v/>
      </c>
      <c r="AG511" s="10" t="str">
        <f t="shared" si="84"/>
        <v/>
      </c>
      <c r="AH511" s="10" t="str">
        <f>IF(AND(Q511&gt;0,Q511&lt;30,K511=216),'Udvaskning nøgletal'!$C$42,IF(AND(Q511&gt;0,Q511&lt;30,K511&gt;7,K511&lt;17),'Udvaskning nøgletal'!$C$61,IF(AND(Q511&gt;0,Q511&lt;30,K511&lt;7),'Udvaskning nøgletal'!$C$62,"")))</f>
        <v/>
      </c>
      <c r="AI511" s="10">
        <f t="shared" si="80"/>
        <v>260</v>
      </c>
      <c r="AJ511" s="10">
        <f>IF($X511=1,LOOKUP(AI511,'Udvaskning nøgletal'!$C$12:$C$62,'Udvaskning nøgletal'!$E$12:$E$62)+Markniveau!$Y511*Markniveau!$S511/100,IF($X511=2,LOOKUP(AI511,'Udvaskning nøgletal'!$C$12:$C$62,'Udvaskning nøgletal'!$F$12:$F$62)+Markniveau!$Y511*Markniveau!$S511/100,IF($X511=3,LOOKUP(AI511,'Udvaskning nøgletal'!$C$12:$C$62,'Udvaskning nøgletal'!Q521:Q571)+Markniveau!$Y511*Markniveau!$S511/100,"")))</f>
        <v>27.331185321443094</v>
      </c>
      <c r="AK511" s="10">
        <f t="shared" si="79"/>
        <v>102.21863310219717</v>
      </c>
      <c r="AL511" s="10" t="str">
        <f t="shared" si="81"/>
        <v/>
      </c>
      <c r="AM511" s="10" t="str">
        <f t="shared" si="82"/>
        <v/>
      </c>
    </row>
    <row r="512" spans="1:39" x14ac:dyDescent="0.25">
      <c r="A512" s="15">
        <v>18299674</v>
      </c>
      <c r="B512" s="15">
        <v>57.74</v>
      </c>
      <c r="C512" s="15">
        <v>331049</v>
      </c>
      <c r="D512" s="15">
        <v>82799</v>
      </c>
      <c r="E512" s="15" t="s">
        <v>430</v>
      </c>
      <c r="F512" s="15">
        <v>2011</v>
      </c>
      <c r="G512" s="15">
        <v>20110207</v>
      </c>
      <c r="H512" s="15">
        <v>7815</v>
      </c>
      <c r="I512" s="15">
        <v>0.78</v>
      </c>
      <c r="J512" s="6" t="s">
        <v>1515</v>
      </c>
      <c r="K512" s="15">
        <v>260</v>
      </c>
      <c r="L512" s="15" t="s">
        <v>45</v>
      </c>
      <c r="M512" s="15" t="s">
        <v>5</v>
      </c>
      <c r="N512" s="11" t="s">
        <v>1391</v>
      </c>
      <c r="O512" s="11" t="s">
        <v>46</v>
      </c>
      <c r="P512" s="11" t="s">
        <v>33</v>
      </c>
      <c r="Q512" s="15">
        <v>0</v>
      </c>
      <c r="R512" s="11" t="s">
        <v>1386</v>
      </c>
      <c r="S512" s="10">
        <v>112.35266272189</v>
      </c>
      <c r="T512" s="15">
        <v>80</v>
      </c>
      <c r="U512" s="15">
        <v>0</v>
      </c>
      <c r="V512" s="15">
        <v>1</v>
      </c>
      <c r="W512" s="15">
        <v>1</v>
      </c>
      <c r="X512" s="15">
        <f>IF(O512='Udvaskning nøgletal'!$D$65,1,IF(O512='Udvaskning nøgletal'!$D$66,2,IF(O512='Udvaskning nøgletal'!$D$67,3,IF(O512='Udvaskning nøgletal'!$D$68,2,""))))</f>
        <v>2</v>
      </c>
      <c r="Y512" s="15">
        <f>LOOKUP(K512,'Udvaskning nøgletal'!$C$12:$C$60,'Udvaskning nøgletal'!$H$12:$H$60)</f>
        <v>0</v>
      </c>
      <c r="Z512" s="10">
        <f>IF(X512=1,LOOKUP(K512,'Udvaskning nøgletal'!$C$12:$C$60,'Udvaskning nøgletal'!$E$12:$E$60)+Markniveau!Y512*Markniveau!S512/100,IF(X512=2,LOOKUP(K512,'Udvaskning nøgletal'!$C$12:$C$60,'Udvaskning nøgletal'!$F$12:$F$60)+Markniveau!Y512*Markniveau!S512/100,IF(X512=3,LOOKUP(K512,'Udvaskning nøgletal'!$C$12:$C$60,'Udvaskning nøgletal'!G522:G570)+Markniveau!Y512*Markniveau!S512/100,"")))</f>
        <v>27.331185321443094</v>
      </c>
      <c r="AA512" s="10">
        <f t="shared" si="76"/>
        <v>21.318324550725613</v>
      </c>
      <c r="AB512" s="10" t="str">
        <f t="shared" si="75"/>
        <v/>
      </c>
      <c r="AC512" s="10" t="str">
        <f t="shared" si="77"/>
        <v/>
      </c>
      <c r="AD512" s="10">
        <f>IF(AND(Q512&gt;0,Q512&lt;30,K512&lt;8),Markniveau!Z512*'Udvaskning nøgletal'!$I$12/100,IF(AND(Q512&gt;0,Q512&lt;30,K512=216),Markniveau!Z512*'Udvaskning nøgletal'!$I$34/100,Markniveau!Z512))</f>
        <v>27.331185321443094</v>
      </c>
      <c r="AE512" s="10">
        <f t="shared" si="83"/>
        <v>21.318324550725613</v>
      </c>
      <c r="AF512" s="10" t="str">
        <f t="shared" si="78"/>
        <v/>
      </c>
      <c r="AG512" s="10" t="str">
        <f t="shared" si="84"/>
        <v/>
      </c>
      <c r="AH512" s="10" t="str">
        <f>IF(AND(Q512&gt;0,Q512&lt;30,K512=216),'Udvaskning nøgletal'!$C$42,IF(AND(Q512&gt;0,Q512&lt;30,K512&gt;7,K512&lt;17),'Udvaskning nøgletal'!$C$61,IF(AND(Q512&gt;0,Q512&lt;30,K512&lt;7),'Udvaskning nøgletal'!$C$62,"")))</f>
        <v/>
      </c>
      <c r="AI512" s="10">
        <f t="shared" si="80"/>
        <v>260</v>
      </c>
      <c r="AJ512" s="10">
        <f>IF($X512=1,LOOKUP(AI512,'Udvaskning nøgletal'!$C$12:$C$62,'Udvaskning nøgletal'!$E$12:$E$62)+Markniveau!$Y512*Markniveau!$S512/100,IF($X512=2,LOOKUP(AI512,'Udvaskning nøgletal'!$C$12:$C$62,'Udvaskning nøgletal'!$F$12:$F$62)+Markniveau!$Y512*Markniveau!$S512/100,IF($X512=3,LOOKUP(AI512,'Udvaskning nøgletal'!$C$12:$C$62,'Udvaskning nøgletal'!Q522:Q572)+Markniveau!$Y512*Markniveau!$S512/100,"")))</f>
        <v>27.331185321443094</v>
      </c>
      <c r="AK512" s="10">
        <f t="shared" si="79"/>
        <v>21.318324550725613</v>
      </c>
      <c r="AL512" s="10" t="str">
        <f t="shared" si="81"/>
        <v/>
      </c>
      <c r="AM512" s="10" t="str">
        <f t="shared" si="82"/>
        <v/>
      </c>
    </row>
    <row r="513" spans="1:39" x14ac:dyDescent="0.25">
      <c r="A513" s="15">
        <v>18299674</v>
      </c>
      <c r="B513" s="15">
        <v>57.74</v>
      </c>
      <c r="C513" s="15">
        <v>331050</v>
      </c>
      <c r="D513" s="15">
        <v>82799</v>
      </c>
      <c r="E513" s="15" t="s">
        <v>431</v>
      </c>
      <c r="F513" s="15">
        <v>2011</v>
      </c>
      <c r="G513" s="15">
        <v>20110207</v>
      </c>
      <c r="H513" s="15">
        <v>71689</v>
      </c>
      <c r="I513" s="15">
        <v>7.17</v>
      </c>
      <c r="J513" s="6" t="s">
        <v>73</v>
      </c>
      <c r="K513" s="15">
        <v>260</v>
      </c>
      <c r="L513" s="15" t="s">
        <v>45</v>
      </c>
      <c r="M513" s="15" t="s">
        <v>5</v>
      </c>
      <c r="N513" s="11" t="s">
        <v>1391</v>
      </c>
      <c r="O513" s="11" t="s">
        <v>46</v>
      </c>
      <c r="P513" s="11" t="s">
        <v>33</v>
      </c>
      <c r="Q513" s="15">
        <v>0</v>
      </c>
      <c r="R513" s="11" t="s">
        <v>1386</v>
      </c>
      <c r="S513" s="10">
        <v>112.35266272189</v>
      </c>
      <c r="T513" s="15">
        <v>80</v>
      </c>
      <c r="U513" s="15">
        <v>0</v>
      </c>
      <c r="V513" s="15">
        <v>1</v>
      </c>
      <c r="W513" s="15">
        <v>1</v>
      </c>
      <c r="X513" s="15">
        <f>IF(O513='Udvaskning nøgletal'!$D$65,1,IF(O513='Udvaskning nøgletal'!$D$66,2,IF(O513='Udvaskning nøgletal'!$D$67,3,IF(O513='Udvaskning nøgletal'!$D$68,2,""))))</f>
        <v>2</v>
      </c>
      <c r="Y513" s="15">
        <f>LOOKUP(K513,'Udvaskning nøgletal'!$C$12:$C$60,'Udvaskning nøgletal'!$H$12:$H$60)</f>
        <v>0</v>
      </c>
      <c r="Z513" s="10">
        <f>IF(X513=1,LOOKUP(K513,'Udvaskning nøgletal'!$C$12:$C$60,'Udvaskning nøgletal'!$E$12:$E$60)+Markniveau!Y513*Markniveau!S513/100,IF(X513=2,LOOKUP(K513,'Udvaskning nøgletal'!$C$12:$C$60,'Udvaskning nøgletal'!$F$12:$F$60)+Markniveau!Y513*Markniveau!S513/100,IF(X513=3,LOOKUP(K513,'Udvaskning nøgletal'!$C$12:$C$60,'Udvaskning nøgletal'!G523:G571)+Markniveau!Y513*Markniveau!S513/100,"")))</f>
        <v>27.331185321443094</v>
      </c>
      <c r="AA513" s="10">
        <f t="shared" si="76"/>
        <v>195.96459875474699</v>
      </c>
      <c r="AB513" s="10" t="str">
        <f t="shared" si="75"/>
        <v/>
      </c>
      <c r="AC513" s="10" t="str">
        <f t="shared" si="77"/>
        <v/>
      </c>
      <c r="AD513" s="10">
        <f>IF(AND(Q513&gt;0,Q513&lt;30,K513&lt;8),Markniveau!Z513*'Udvaskning nøgletal'!$I$12/100,IF(AND(Q513&gt;0,Q513&lt;30,K513=216),Markniveau!Z513*'Udvaskning nøgletal'!$I$34/100,Markniveau!Z513))</f>
        <v>27.331185321443094</v>
      </c>
      <c r="AE513" s="10">
        <f t="shared" si="83"/>
        <v>195.96459875474699</v>
      </c>
      <c r="AF513" s="10" t="str">
        <f t="shared" si="78"/>
        <v/>
      </c>
      <c r="AG513" s="10" t="str">
        <f t="shared" si="84"/>
        <v/>
      </c>
      <c r="AH513" s="10" t="str">
        <f>IF(AND(Q513&gt;0,Q513&lt;30,K513=216),'Udvaskning nøgletal'!$C$42,IF(AND(Q513&gt;0,Q513&lt;30,K513&gt;7,K513&lt;17),'Udvaskning nøgletal'!$C$61,IF(AND(Q513&gt;0,Q513&lt;30,K513&lt;7),'Udvaskning nøgletal'!$C$62,"")))</f>
        <v/>
      </c>
      <c r="AI513" s="10">
        <f t="shared" si="80"/>
        <v>260</v>
      </c>
      <c r="AJ513" s="10">
        <f>IF($X513=1,LOOKUP(AI513,'Udvaskning nøgletal'!$C$12:$C$62,'Udvaskning nøgletal'!$E$12:$E$62)+Markniveau!$Y513*Markniveau!$S513/100,IF($X513=2,LOOKUP(AI513,'Udvaskning nøgletal'!$C$12:$C$62,'Udvaskning nøgletal'!$F$12:$F$62)+Markniveau!$Y513*Markniveau!$S513/100,IF($X513=3,LOOKUP(AI513,'Udvaskning nøgletal'!$C$12:$C$62,'Udvaskning nøgletal'!Q523:Q573)+Markniveau!$Y513*Markniveau!$S513/100,"")))</f>
        <v>27.331185321443094</v>
      </c>
      <c r="AK513" s="10">
        <f t="shared" si="79"/>
        <v>195.96459875474699</v>
      </c>
      <c r="AL513" s="10" t="str">
        <f t="shared" si="81"/>
        <v/>
      </c>
      <c r="AM513" s="10" t="str">
        <f t="shared" si="82"/>
        <v/>
      </c>
    </row>
    <row r="514" spans="1:39" x14ac:dyDescent="0.25">
      <c r="A514" s="15">
        <v>18299674</v>
      </c>
      <c r="B514" s="15">
        <v>57.74</v>
      </c>
      <c r="C514" s="15">
        <v>331051</v>
      </c>
      <c r="D514" s="15">
        <v>82799</v>
      </c>
      <c r="E514" s="15" t="s">
        <v>432</v>
      </c>
      <c r="F514" s="15">
        <v>2011</v>
      </c>
      <c r="G514" s="15">
        <v>20110207</v>
      </c>
      <c r="H514" s="15">
        <v>105978</v>
      </c>
      <c r="I514" s="15">
        <v>10.6</v>
      </c>
      <c r="J514" s="6" t="s">
        <v>86</v>
      </c>
      <c r="K514" s="15">
        <v>260</v>
      </c>
      <c r="L514" s="15" t="s">
        <v>45</v>
      </c>
      <c r="M514" s="15" t="s">
        <v>5</v>
      </c>
      <c r="N514" s="11" t="s">
        <v>1391</v>
      </c>
      <c r="O514" s="11" t="s">
        <v>46</v>
      </c>
      <c r="P514" s="11" t="s">
        <v>33</v>
      </c>
      <c r="Q514" s="15">
        <v>0</v>
      </c>
      <c r="R514" s="11" t="s">
        <v>1386</v>
      </c>
      <c r="S514" s="10">
        <v>112.35266272189</v>
      </c>
      <c r="T514" s="15">
        <v>80</v>
      </c>
      <c r="U514" s="15">
        <v>0</v>
      </c>
      <c r="V514" s="15">
        <v>1</v>
      </c>
      <c r="W514" s="15">
        <v>1</v>
      </c>
      <c r="X514" s="15">
        <f>IF(O514='Udvaskning nøgletal'!$D$65,1,IF(O514='Udvaskning nøgletal'!$D$66,2,IF(O514='Udvaskning nøgletal'!$D$67,3,IF(O514='Udvaskning nøgletal'!$D$68,2,""))))</f>
        <v>2</v>
      </c>
      <c r="Y514" s="15">
        <f>LOOKUP(K514,'Udvaskning nøgletal'!$C$12:$C$60,'Udvaskning nøgletal'!$H$12:$H$60)</f>
        <v>0</v>
      </c>
      <c r="Z514" s="10">
        <f>IF(X514=1,LOOKUP(K514,'Udvaskning nøgletal'!$C$12:$C$60,'Udvaskning nøgletal'!$E$12:$E$60)+Markniveau!Y514*Markniveau!S514/100,IF(X514=2,LOOKUP(K514,'Udvaskning nøgletal'!$C$12:$C$60,'Udvaskning nøgletal'!$F$12:$F$60)+Markniveau!Y514*Markniveau!S514/100,IF(X514=3,LOOKUP(K514,'Udvaskning nøgletal'!$C$12:$C$60,'Udvaskning nøgletal'!G524:G572)+Markniveau!Y514*Markniveau!S514/100,"")))</f>
        <v>27.331185321443094</v>
      </c>
      <c r="AA514" s="10">
        <f t="shared" si="76"/>
        <v>289.71056440729677</v>
      </c>
      <c r="AB514" s="10" t="str">
        <f t="shared" ref="AB514:AB577" si="85">IF(Q514&gt;0,(100-Q514)*Z514/100,"")</f>
        <v/>
      </c>
      <c r="AC514" s="10" t="str">
        <f t="shared" si="77"/>
        <v/>
      </c>
      <c r="AD514" s="10">
        <f>IF(AND(Q514&gt;0,Q514&lt;30,K514&lt;8),Markniveau!Z514*'Udvaskning nøgletal'!$I$12/100,IF(AND(Q514&gt;0,Q514&lt;30,K514=216),Markniveau!Z514*'Udvaskning nøgletal'!$I$34/100,Markniveau!Z514))</f>
        <v>27.331185321443094</v>
      </c>
      <c r="AE514" s="10">
        <f t="shared" si="83"/>
        <v>289.71056440729677</v>
      </c>
      <c r="AF514" s="10" t="str">
        <f t="shared" si="78"/>
        <v/>
      </c>
      <c r="AG514" s="10" t="str">
        <f t="shared" si="84"/>
        <v/>
      </c>
      <c r="AH514" s="10" t="str">
        <f>IF(AND(Q514&gt;0,Q514&lt;30,K514=216),'Udvaskning nøgletal'!$C$42,IF(AND(Q514&gt;0,Q514&lt;30,K514&gt;7,K514&lt;17),'Udvaskning nøgletal'!$C$61,IF(AND(Q514&gt;0,Q514&lt;30,K514&lt;7),'Udvaskning nøgletal'!$C$62,"")))</f>
        <v/>
      </c>
      <c r="AI514" s="10">
        <f t="shared" si="80"/>
        <v>260</v>
      </c>
      <c r="AJ514" s="10">
        <f>IF($X514=1,LOOKUP(AI514,'Udvaskning nøgletal'!$C$12:$C$62,'Udvaskning nøgletal'!$E$12:$E$62)+Markniveau!$Y514*Markniveau!$S514/100,IF($X514=2,LOOKUP(AI514,'Udvaskning nøgletal'!$C$12:$C$62,'Udvaskning nøgletal'!$F$12:$F$62)+Markniveau!$Y514*Markniveau!$S514/100,IF($X514=3,LOOKUP(AI514,'Udvaskning nøgletal'!$C$12:$C$62,'Udvaskning nøgletal'!Q524:Q574)+Markniveau!$Y514*Markniveau!$S514/100,"")))</f>
        <v>27.331185321443094</v>
      </c>
      <c r="AK514" s="10">
        <f t="shared" si="79"/>
        <v>289.71056440729677</v>
      </c>
      <c r="AL514" s="10" t="str">
        <f t="shared" si="81"/>
        <v/>
      </c>
      <c r="AM514" s="10" t="str">
        <f t="shared" si="82"/>
        <v/>
      </c>
    </row>
    <row r="515" spans="1:39" x14ac:dyDescent="0.25">
      <c r="A515" s="15">
        <v>18299674</v>
      </c>
      <c r="B515" s="15">
        <v>57.74</v>
      </c>
      <c r="C515" s="15">
        <v>331381</v>
      </c>
      <c r="D515" s="15">
        <v>82799</v>
      </c>
      <c r="E515" s="15" t="s">
        <v>411</v>
      </c>
      <c r="F515" s="15">
        <v>2011</v>
      </c>
      <c r="G515" s="15">
        <v>20110207</v>
      </c>
      <c r="H515" s="15">
        <v>13162</v>
      </c>
      <c r="I515" s="15">
        <v>1.32</v>
      </c>
      <c r="J515" s="6" t="s">
        <v>1404</v>
      </c>
      <c r="K515" s="15">
        <v>254</v>
      </c>
      <c r="L515" s="15" t="s">
        <v>27</v>
      </c>
      <c r="M515" s="15" t="s">
        <v>4</v>
      </c>
      <c r="N515" s="11" t="s">
        <v>1390</v>
      </c>
      <c r="O515" s="11" t="s">
        <v>42</v>
      </c>
      <c r="P515" s="11" t="s">
        <v>33</v>
      </c>
      <c r="Q515" s="15">
        <v>0</v>
      </c>
      <c r="R515" s="11" t="s">
        <v>1386</v>
      </c>
      <c r="S515" s="10">
        <v>112.35266272189</v>
      </c>
      <c r="T515" s="15">
        <v>80</v>
      </c>
      <c r="U515" s="15">
        <v>0</v>
      </c>
      <c r="V515" s="15">
        <v>1</v>
      </c>
      <c r="W515" s="15">
        <v>1</v>
      </c>
      <c r="X515" s="15">
        <f>IF(O515='Udvaskning nøgletal'!$D$65,1,IF(O515='Udvaskning nøgletal'!$D$66,2,IF(O515='Udvaskning nøgletal'!$D$67,3,IF(O515='Udvaskning nøgletal'!$D$68,2,""))))</f>
        <v>2</v>
      </c>
      <c r="Y515" s="15">
        <f>LOOKUP(K515,'Udvaskning nøgletal'!$C$12:$C$60,'Udvaskning nøgletal'!$H$12:$H$60)</f>
        <v>0</v>
      </c>
      <c r="Z515" s="10">
        <f>IF(X515=1,LOOKUP(K515,'Udvaskning nøgletal'!$C$12:$C$60,'Udvaskning nøgletal'!$E$12:$E$60)+Markniveau!Y515*Markniveau!S515/100,IF(X515=2,LOOKUP(K515,'Udvaskning nøgletal'!$C$12:$C$60,'Udvaskning nøgletal'!$F$12:$F$60)+Markniveau!Y515*Markniveau!S515/100,IF(X515=3,LOOKUP(K515,'Udvaskning nøgletal'!$C$12:$C$60,'Udvaskning nøgletal'!G525:G573)+Markniveau!Y515*Markniveau!S515/100,"")))</f>
        <v>21.2</v>
      </c>
      <c r="AA515" s="10">
        <f t="shared" ref="AA515:AA578" si="86">Z515*I515</f>
        <v>27.984000000000002</v>
      </c>
      <c r="AB515" s="10" t="str">
        <f t="shared" si="85"/>
        <v/>
      </c>
      <c r="AC515" s="10" t="str">
        <f t="shared" ref="AC515:AC578" si="87">IF(Q515&gt;0,AB515*I515,"")</f>
        <v/>
      </c>
      <c r="AD515" s="10">
        <f>IF(AND(Q515&gt;0,Q515&lt;30,K515&lt;8),Markniveau!Z515*'Udvaskning nøgletal'!$I$12/100,IF(AND(Q515&gt;0,Q515&lt;30,K515=216),Markniveau!Z515*'Udvaskning nøgletal'!$I$34/100,Markniveau!Z515))</f>
        <v>21.2</v>
      </c>
      <c r="AE515" s="10">
        <f t="shared" si="83"/>
        <v>27.984000000000002</v>
      </c>
      <c r="AF515" s="10" t="str">
        <f t="shared" ref="AF515:AF578" si="88">IF($Q515&gt;0,(100-$Q515)*$AD515/100,"")</f>
        <v/>
      </c>
      <c r="AG515" s="10" t="str">
        <f t="shared" si="84"/>
        <v/>
      </c>
      <c r="AH515" s="10" t="str">
        <f>IF(AND(Q515&gt;0,Q515&lt;30,K515=216),'Udvaskning nøgletal'!$C$42,IF(AND(Q515&gt;0,Q515&lt;30,K515&gt;7,K515&lt;17),'Udvaskning nøgletal'!$C$61,IF(AND(Q515&gt;0,Q515&lt;30,K515&lt;7),'Udvaskning nøgletal'!$C$62,"")))</f>
        <v/>
      </c>
      <c r="AI515" s="10">
        <f t="shared" si="80"/>
        <v>254</v>
      </c>
      <c r="AJ515" s="10">
        <f>IF($X515=1,LOOKUP(AI515,'Udvaskning nøgletal'!$C$12:$C$62,'Udvaskning nøgletal'!$E$12:$E$62)+Markniveau!$Y515*Markniveau!$S515/100,IF($X515=2,LOOKUP(AI515,'Udvaskning nøgletal'!$C$12:$C$62,'Udvaskning nøgletal'!$F$12:$F$62)+Markniveau!$Y515*Markniveau!$S515/100,IF($X515=3,LOOKUP(AI515,'Udvaskning nøgletal'!$C$12:$C$62,'Udvaskning nøgletal'!Q525:Q575)+Markniveau!$Y515*Markniveau!$S515/100,"")))</f>
        <v>21.2</v>
      </c>
      <c r="AK515" s="10">
        <f t="shared" ref="AK515:AK578" si="89">AJ515*$I515</f>
        <v>27.984000000000002</v>
      </c>
      <c r="AL515" s="10" t="str">
        <f t="shared" si="81"/>
        <v/>
      </c>
      <c r="AM515" s="10" t="str">
        <f t="shared" si="82"/>
        <v/>
      </c>
    </row>
    <row r="516" spans="1:39" x14ac:dyDescent="0.25">
      <c r="A516" s="15">
        <v>18299674</v>
      </c>
      <c r="B516" s="15">
        <v>57.74</v>
      </c>
      <c r="C516" s="15">
        <v>331574</v>
      </c>
      <c r="D516" s="15">
        <v>82799</v>
      </c>
      <c r="E516" s="15" t="s">
        <v>432</v>
      </c>
      <c r="F516" s="15">
        <v>2011</v>
      </c>
      <c r="G516" s="15">
        <v>20110207</v>
      </c>
      <c r="H516" s="15">
        <v>9226</v>
      </c>
      <c r="I516" s="15">
        <v>0.92</v>
      </c>
      <c r="J516" s="6" t="s">
        <v>1407</v>
      </c>
      <c r="K516" s="15">
        <v>260</v>
      </c>
      <c r="L516" s="15" t="s">
        <v>45</v>
      </c>
      <c r="M516" s="15" t="s">
        <v>5</v>
      </c>
      <c r="N516" s="11" t="s">
        <v>1391</v>
      </c>
      <c r="O516" s="11" t="s">
        <v>46</v>
      </c>
      <c r="P516" s="11" t="s">
        <v>33</v>
      </c>
      <c r="Q516" s="15">
        <v>0</v>
      </c>
      <c r="R516" s="11" t="s">
        <v>1386</v>
      </c>
      <c r="S516" s="10">
        <v>112.35266272189</v>
      </c>
      <c r="T516" s="15">
        <v>80</v>
      </c>
      <c r="U516" s="15">
        <v>0</v>
      </c>
      <c r="V516" s="15">
        <v>1</v>
      </c>
      <c r="W516" s="15">
        <v>1</v>
      </c>
      <c r="X516" s="15">
        <f>IF(O516='Udvaskning nøgletal'!$D$65,1,IF(O516='Udvaskning nøgletal'!$D$66,2,IF(O516='Udvaskning nøgletal'!$D$67,3,IF(O516='Udvaskning nøgletal'!$D$68,2,""))))</f>
        <v>2</v>
      </c>
      <c r="Y516" s="15">
        <f>LOOKUP(K516,'Udvaskning nøgletal'!$C$12:$C$60,'Udvaskning nøgletal'!$H$12:$H$60)</f>
        <v>0</v>
      </c>
      <c r="Z516" s="10">
        <f>IF(X516=1,LOOKUP(K516,'Udvaskning nøgletal'!$C$12:$C$60,'Udvaskning nøgletal'!$E$12:$E$60)+Markniveau!Y516*Markniveau!S516/100,IF(X516=2,LOOKUP(K516,'Udvaskning nøgletal'!$C$12:$C$60,'Udvaskning nøgletal'!$F$12:$F$60)+Markniveau!Y516*Markniveau!S516/100,IF(X516=3,LOOKUP(K516,'Udvaskning nøgletal'!$C$12:$C$60,'Udvaskning nøgletal'!G526:G574)+Markniveau!Y516*Markniveau!S516/100,"")))</f>
        <v>27.331185321443094</v>
      </c>
      <c r="AA516" s="10">
        <f t="shared" si="86"/>
        <v>25.144690495727648</v>
      </c>
      <c r="AB516" s="10" t="str">
        <f t="shared" si="85"/>
        <v/>
      </c>
      <c r="AC516" s="10" t="str">
        <f t="shared" si="87"/>
        <v/>
      </c>
      <c r="AD516" s="10">
        <f>IF(AND(Q516&gt;0,Q516&lt;30,K516&lt;8),Markniveau!Z516*'Udvaskning nøgletal'!$I$12/100,IF(AND(Q516&gt;0,Q516&lt;30,K516=216),Markniveau!Z516*'Udvaskning nøgletal'!$I$34/100,Markniveau!Z516))</f>
        <v>27.331185321443094</v>
      </c>
      <c r="AE516" s="10">
        <f t="shared" si="83"/>
        <v>25.144690495727648</v>
      </c>
      <c r="AF516" s="10" t="str">
        <f t="shared" si="88"/>
        <v/>
      </c>
      <c r="AG516" s="10" t="str">
        <f t="shared" si="84"/>
        <v/>
      </c>
      <c r="AH516" s="10" t="str">
        <f>IF(AND(Q516&gt;0,Q516&lt;30,K516=216),'Udvaskning nøgletal'!$C$42,IF(AND(Q516&gt;0,Q516&lt;30,K516&gt;7,K516&lt;17),'Udvaskning nøgletal'!$C$61,IF(AND(Q516&gt;0,Q516&lt;30,K516&lt;7),'Udvaskning nøgletal'!$C$62,"")))</f>
        <v/>
      </c>
      <c r="AI516" s="10">
        <f t="shared" si="80"/>
        <v>260</v>
      </c>
      <c r="AJ516" s="10">
        <f>IF($X516=1,LOOKUP(AI516,'Udvaskning nøgletal'!$C$12:$C$62,'Udvaskning nøgletal'!$E$12:$E$62)+Markniveau!$Y516*Markniveau!$S516/100,IF($X516=2,LOOKUP(AI516,'Udvaskning nøgletal'!$C$12:$C$62,'Udvaskning nøgletal'!$F$12:$F$62)+Markniveau!$Y516*Markniveau!$S516/100,IF($X516=3,LOOKUP(AI516,'Udvaskning nøgletal'!$C$12:$C$62,'Udvaskning nøgletal'!Q526:Q576)+Markniveau!$Y516*Markniveau!$S516/100,"")))</f>
        <v>27.331185321443094</v>
      </c>
      <c r="AK516" s="10">
        <f t="shared" si="89"/>
        <v>25.144690495727648</v>
      </c>
      <c r="AL516" s="10" t="str">
        <f t="shared" si="81"/>
        <v/>
      </c>
      <c r="AM516" s="10" t="str">
        <f t="shared" si="82"/>
        <v/>
      </c>
    </row>
    <row r="517" spans="1:39" x14ac:dyDescent="0.25">
      <c r="A517" s="15">
        <v>18299674</v>
      </c>
      <c r="B517" s="15">
        <v>57.74</v>
      </c>
      <c r="C517" s="15">
        <v>331577</v>
      </c>
      <c r="D517" s="15">
        <v>82799</v>
      </c>
      <c r="E517" s="15" t="s">
        <v>412</v>
      </c>
      <c r="F517" s="15">
        <v>2011</v>
      </c>
      <c r="G517" s="15">
        <v>20110207</v>
      </c>
      <c r="H517" s="15">
        <v>53090</v>
      </c>
      <c r="I517" s="15">
        <v>5.31</v>
      </c>
      <c r="J517" s="6" t="s">
        <v>92</v>
      </c>
      <c r="K517" s="15">
        <v>4</v>
      </c>
      <c r="L517" s="15" t="s">
        <v>420</v>
      </c>
      <c r="M517" s="15" t="s">
        <v>5</v>
      </c>
      <c r="N517" s="11" t="s">
        <v>1391</v>
      </c>
      <c r="O517" s="11" t="s">
        <v>46</v>
      </c>
      <c r="P517" s="11" t="s">
        <v>33</v>
      </c>
      <c r="Q517" s="15">
        <v>0</v>
      </c>
      <c r="R517" s="11" t="s">
        <v>1386</v>
      </c>
      <c r="S517" s="10">
        <v>112.35266272189</v>
      </c>
      <c r="T517" s="15">
        <v>80</v>
      </c>
      <c r="U517" s="15">
        <v>0</v>
      </c>
      <c r="V517" s="15">
        <v>1</v>
      </c>
      <c r="W517" s="15">
        <v>1</v>
      </c>
      <c r="X517" s="15">
        <f>IF(O517='Udvaskning nøgletal'!$D$65,1,IF(O517='Udvaskning nøgletal'!$D$66,2,IF(O517='Udvaskning nøgletal'!$D$67,3,IF(O517='Udvaskning nøgletal'!$D$68,2,""))))</f>
        <v>2</v>
      </c>
      <c r="Y517" s="15">
        <f>LOOKUP(K517,'Udvaskning nøgletal'!$C$12:$C$60,'Udvaskning nøgletal'!$H$12:$H$60)</f>
        <v>5</v>
      </c>
      <c r="Z517" s="10">
        <f>IF(X517=1,LOOKUP(K517,'Udvaskning nøgletal'!$C$12:$C$60,'Udvaskning nøgletal'!$E$12:$E$60)+Markniveau!Y517*Markniveau!S517/100,IF(X517=2,LOOKUP(K517,'Udvaskning nøgletal'!$C$12:$C$60,'Udvaskning nøgletal'!$F$12:$F$60)+Markniveau!Y517*Markniveau!S517/100,IF(X517=3,LOOKUP(K517,'Udvaskning nøgletal'!$C$12:$C$60,'Udvaskning nøgletal'!G527:G575)+Markniveau!Y517*Markniveau!S517/100,"")))</f>
        <v>56.497633136094507</v>
      </c>
      <c r="AA517" s="10">
        <f t="shared" si="86"/>
        <v>300.00243195266182</v>
      </c>
      <c r="AB517" s="10" t="str">
        <f t="shared" si="85"/>
        <v/>
      </c>
      <c r="AC517" s="10" t="str">
        <f t="shared" si="87"/>
        <v/>
      </c>
      <c r="AD517" s="10">
        <f>IF(AND(Q517&gt;0,Q517&lt;30,K517&lt;8),Markniveau!Z517*'Udvaskning nøgletal'!$I$12/100,IF(AND(Q517&gt;0,Q517&lt;30,K517=216),Markniveau!Z517*'Udvaskning nøgletal'!$I$34/100,Markniveau!Z517))</f>
        <v>56.497633136094507</v>
      </c>
      <c r="AE517" s="10">
        <f t="shared" si="83"/>
        <v>300.00243195266182</v>
      </c>
      <c r="AF517" s="10" t="str">
        <f t="shared" si="88"/>
        <v/>
      </c>
      <c r="AG517" s="10" t="str">
        <f t="shared" si="84"/>
        <v/>
      </c>
      <c r="AH517" s="10" t="str">
        <f>IF(AND(Q517&gt;0,Q517&lt;30,K517=216),'Udvaskning nøgletal'!$C$42,IF(AND(Q517&gt;0,Q517&lt;30,K517&gt;7,K517&lt;17),'Udvaskning nøgletal'!$C$61,IF(AND(Q517&gt;0,Q517&lt;30,K517&lt;7),'Udvaskning nøgletal'!$C$62,"")))</f>
        <v/>
      </c>
      <c r="AI517" s="10">
        <f t="shared" si="80"/>
        <v>4</v>
      </c>
      <c r="AJ517" s="10">
        <f>IF($X517=1,LOOKUP(AI517,'Udvaskning nøgletal'!$C$12:$C$62,'Udvaskning nøgletal'!$E$12:$E$62)+Markniveau!$Y517*Markniveau!$S517/100,IF($X517=2,LOOKUP(AI517,'Udvaskning nøgletal'!$C$12:$C$62,'Udvaskning nøgletal'!$F$12:$F$62)+Markniveau!$Y517*Markniveau!$S517/100,IF($X517=3,LOOKUP(AI517,'Udvaskning nøgletal'!$C$12:$C$62,'Udvaskning nøgletal'!Q527:Q577)+Markniveau!$Y517*Markniveau!$S517/100,"")))</f>
        <v>56.497633136094507</v>
      </c>
      <c r="AK517" s="10">
        <f t="shared" si="89"/>
        <v>300.00243195266182</v>
      </c>
      <c r="AL517" s="10" t="str">
        <f t="shared" si="81"/>
        <v/>
      </c>
      <c r="AM517" s="10" t="str">
        <f t="shared" si="82"/>
        <v/>
      </c>
    </row>
    <row r="518" spans="1:39" x14ac:dyDescent="0.25">
      <c r="A518" s="15">
        <v>18299674</v>
      </c>
      <c r="B518" s="15">
        <v>57.74</v>
      </c>
      <c r="C518" s="15">
        <v>331578</v>
      </c>
      <c r="D518" s="15">
        <v>82799</v>
      </c>
      <c r="E518" s="15" t="s">
        <v>433</v>
      </c>
      <c r="F518" s="15">
        <v>2011</v>
      </c>
      <c r="G518" s="15">
        <v>20110207</v>
      </c>
      <c r="H518" s="15">
        <v>99845</v>
      </c>
      <c r="I518" s="15">
        <v>9.98</v>
      </c>
      <c r="J518" s="6" t="s">
        <v>97</v>
      </c>
      <c r="K518" s="15">
        <v>260</v>
      </c>
      <c r="L518" s="15" t="s">
        <v>45</v>
      </c>
      <c r="M518" s="15" t="s">
        <v>5</v>
      </c>
      <c r="N518" s="11" t="s">
        <v>1391</v>
      </c>
      <c r="O518" s="11" t="s">
        <v>46</v>
      </c>
      <c r="P518" s="11" t="s">
        <v>33</v>
      </c>
      <c r="Q518" s="15">
        <v>0</v>
      </c>
      <c r="R518" s="11" t="s">
        <v>1386</v>
      </c>
      <c r="S518" s="10">
        <v>112.35266272189</v>
      </c>
      <c r="T518" s="15">
        <v>80</v>
      </c>
      <c r="U518" s="15">
        <v>0</v>
      </c>
      <c r="V518" s="15">
        <v>1</v>
      </c>
      <c r="W518" s="15">
        <v>1</v>
      </c>
      <c r="X518" s="15">
        <f>IF(O518='Udvaskning nøgletal'!$D$65,1,IF(O518='Udvaskning nøgletal'!$D$66,2,IF(O518='Udvaskning nøgletal'!$D$67,3,IF(O518='Udvaskning nøgletal'!$D$68,2,""))))</f>
        <v>2</v>
      </c>
      <c r="Y518" s="15">
        <f>LOOKUP(K518,'Udvaskning nøgletal'!$C$12:$C$60,'Udvaskning nøgletal'!$H$12:$H$60)</f>
        <v>0</v>
      </c>
      <c r="Z518" s="10">
        <f>IF(X518=1,LOOKUP(K518,'Udvaskning nøgletal'!$C$12:$C$60,'Udvaskning nøgletal'!$E$12:$E$60)+Markniveau!Y518*Markniveau!S518/100,IF(X518=2,LOOKUP(K518,'Udvaskning nøgletal'!$C$12:$C$60,'Udvaskning nøgletal'!$F$12:$F$60)+Markniveau!Y518*Markniveau!S518/100,IF(X518=3,LOOKUP(K518,'Udvaskning nøgletal'!$C$12:$C$60,'Udvaskning nøgletal'!G528:G576)+Markniveau!Y518*Markniveau!S518/100,"")))</f>
        <v>27.331185321443094</v>
      </c>
      <c r="AA518" s="10">
        <f t="shared" si="86"/>
        <v>272.76522950800211</v>
      </c>
      <c r="AB518" s="10" t="str">
        <f t="shared" si="85"/>
        <v/>
      </c>
      <c r="AC518" s="10" t="str">
        <f t="shared" si="87"/>
        <v/>
      </c>
      <c r="AD518" s="10">
        <f>IF(AND(Q518&gt;0,Q518&lt;30,K518&lt;8),Markniveau!Z518*'Udvaskning nøgletal'!$I$12/100,IF(AND(Q518&gt;0,Q518&lt;30,K518=216),Markniveau!Z518*'Udvaskning nøgletal'!$I$34/100,Markniveau!Z518))</f>
        <v>27.331185321443094</v>
      </c>
      <c r="AE518" s="10">
        <f t="shared" si="83"/>
        <v>272.76522950800211</v>
      </c>
      <c r="AF518" s="10" t="str">
        <f t="shared" si="88"/>
        <v/>
      </c>
      <c r="AG518" s="10" t="str">
        <f t="shared" si="84"/>
        <v/>
      </c>
      <c r="AH518" s="10" t="str">
        <f>IF(AND(Q518&gt;0,Q518&lt;30,K518=216),'Udvaskning nøgletal'!$C$42,IF(AND(Q518&gt;0,Q518&lt;30,K518&gt;7,K518&lt;17),'Udvaskning nøgletal'!$C$61,IF(AND(Q518&gt;0,Q518&lt;30,K518&lt;7),'Udvaskning nøgletal'!$C$62,"")))</f>
        <v/>
      </c>
      <c r="AI518" s="10">
        <f t="shared" si="80"/>
        <v>260</v>
      </c>
      <c r="AJ518" s="10">
        <f>IF($X518=1,LOOKUP(AI518,'Udvaskning nøgletal'!$C$12:$C$62,'Udvaskning nøgletal'!$E$12:$E$62)+Markniveau!$Y518*Markniveau!$S518/100,IF($X518=2,LOOKUP(AI518,'Udvaskning nøgletal'!$C$12:$C$62,'Udvaskning nøgletal'!$F$12:$F$62)+Markniveau!$Y518*Markniveau!$S518/100,IF($X518=3,LOOKUP(AI518,'Udvaskning nøgletal'!$C$12:$C$62,'Udvaskning nøgletal'!Q528:Q578)+Markniveau!$Y518*Markniveau!$S518/100,"")))</f>
        <v>27.331185321443094</v>
      </c>
      <c r="AK518" s="10">
        <f t="shared" si="89"/>
        <v>272.76522950800211</v>
      </c>
      <c r="AL518" s="10" t="str">
        <f t="shared" si="81"/>
        <v/>
      </c>
      <c r="AM518" s="10" t="str">
        <f t="shared" si="82"/>
        <v/>
      </c>
    </row>
    <row r="519" spans="1:39" x14ac:dyDescent="0.25">
      <c r="A519" s="15">
        <v>18299674</v>
      </c>
      <c r="B519" s="15">
        <v>57.74</v>
      </c>
      <c r="C519" s="15">
        <v>332056</v>
      </c>
      <c r="D519" s="15">
        <v>82799</v>
      </c>
      <c r="E519" s="15" t="s">
        <v>434</v>
      </c>
      <c r="F519" s="15">
        <v>2011</v>
      </c>
      <c r="G519" s="15">
        <v>20110207</v>
      </c>
      <c r="H519" s="15">
        <v>48590</v>
      </c>
      <c r="I519" s="15">
        <v>4.8600000000000003</v>
      </c>
      <c r="J519" s="6" t="s">
        <v>397</v>
      </c>
      <c r="K519" s="15">
        <v>260</v>
      </c>
      <c r="L519" s="15" t="s">
        <v>45</v>
      </c>
      <c r="M519" s="15" t="s">
        <v>5</v>
      </c>
      <c r="N519" s="11" t="s">
        <v>1391</v>
      </c>
      <c r="O519" s="11" t="s">
        <v>46</v>
      </c>
      <c r="P519" s="11" t="s">
        <v>33</v>
      </c>
      <c r="Q519" s="15">
        <v>0</v>
      </c>
      <c r="R519" s="11" t="s">
        <v>1386</v>
      </c>
      <c r="S519" s="10">
        <v>112.35266272189</v>
      </c>
      <c r="T519" s="15">
        <v>80</v>
      </c>
      <c r="U519" s="15">
        <v>0</v>
      </c>
      <c r="V519" s="15">
        <v>1</v>
      </c>
      <c r="W519" s="15">
        <v>1</v>
      </c>
      <c r="X519" s="15">
        <f>IF(O519='Udvaskning nøgletal'!$D$65,1,IF(O519='Udvaskning nøgletal'!$D$66,2,IF(O519='Udvaskning nøgletal'!$D$67,3,IF(O519='Udvaskning nøgletal'!$D$68,2,""))))</f>
        <v>2</v>
      </c>
      <c r="Y519" s="15">
        <f>LOOKUP(K519,'Udvaskning nøgletal'!$C$12:$C$60,'Udvaskning nøgletal'!$H$12:$H$60)</f>
        <v>0</v>
      </c>
      <c r="Z519" s="10">
        <f>IF(X519=1,LOOKUP(K519,'Udvaskning nøgletal'!$C$12:$C$60,'Udvaskning nøgletal'!$E$12:$E$60)+Markniveau!Y519*Markniveau!S519/100,IF(X519=2,LOOKUP(K519,'Udvaskning nøgletal'!$C$12:$C$60,'Udvaskning nøgletal'!$F$12:$F$60)+Markniveau!Y519*Markniveau!S519/100,IF(X519=3,LOOKUP(K519,'Udvaskning nøgletal'!$C$12:$C$60,'Udvaskning nøgletal'!G529:G577)+Markniveau!Y519*Markniveau!S519/100,"")))</f>
        <v>27.331185321443094</v>
      </c>
      <c r="AA519" s="10">
        <f t="shared" si="86"/>
        <v>132.82956066221345</v>
      </c>
      <c r="AB519" s="10" t="str">
        <f t="shared" si="85"/>
        <v/>
      </c>
      <c r="AC519" s="10" t="str">
        <f t="shared" si="87"/>
        <v/>
      </c>
      <c r="AD519" s="10">
        <f>IF(AND(Q519&gt;0,Q519&lt;30,K519&lt;8),Markniveau!Z519*'Udvaskning nøgletal'!$I$12/100,IF(AND(Q519&gt;0,Q519&lt;30,K519=216),Markniveau!Z519*'Udvaskning nøgletal'!$I$34/100,Markniveau!Z519))</f>
        <v>27.331185321443094</v>
      </c>
      <c r="AE519" s="10">
        <f t="shared" si="83"/>
        <v>132.82956066221345</v>
      </c>
      <c r="AF519" s="10" t="str">
        <f t="shared" si="88"/>
        <v/>
      </c>
      <c r="AG519" s="10" t="str">
        <f t="shared" si="84"/>
        <v/>
      </c>
      <c r="AH519" s="10" t="str">
        <f>IF(AND(Q519&gt;0,Q519&lt;30,K519=216),'Udvaskning nøgletal'!$C$42,IF(AND(Q519&gt;0,Q519&lt;30,K519&gt;7,K519&lt;17),'Udvaskning nøgletal'!$C$61,IF(AND(Q519&gt;0,Q519&lt;30,K519&lt;7),'Udvaskning nøgletal'!$C$62,"")))</f>
        <v/>
      </c>
      <c r="AI519" s="10">
        <f t="shared" si="80"/>
        <v>260</v>
      </c>
      <c r="AJ519" s="10">
        <f>IF($X519=1,LOOKUP(AI519,'Udvaskning nøgletal'!$C$12:$C$62,'Udvaskning nøgletal'!$E$12:$E$62)+Markniveau!$Y519*Markniveau!$S519/100,IF($X519=2,LOOKUP(AI519,'Udvaskning nøgletal'!$C$12:$C$62,'Udvaskning nøgletal'!$F$12:$F$62)+Markniveau!$Y519*Markniveau!$S519/100,IF($X519=3,LOOKUP(AI519,'Udvaskning nøgletal'!$C$12:$C$62,'Udvaskning nøgletal'!Q529:Q579)+Markniveau!$Y519*Markniveau!$S519/100,"")))</f>
        <v>27.331185321443094</v>
      </c>
      <c r="AK519" s="10">
        <f t="shared" si="89"/>
        <v>132.82956066221345</v>
      </c>
      <c r="AL519" s="10" t="str">
        <f t="shared" si="81"/>
        <v/>
      </c>
      <c r="AM519" s="10" t="str">
        <f t="shared" si="82"/>
        <v/>
      </c>
    </row>
    <row r="520" spans="1:39" x14ac:dyDescent="0.25">
      <c r="A520" s="15">
        <v>18299674</v>
      </c>
      <c r="B520" s="15">
        <v>57.74</v>
      </c>
      <c r="C520" s="15">
        <v>332060</v>
      </c>
      <c r="D520" s="15">
        <v>82799</v>
      </c>
      <c r="E520" s="15" t="s">
        <v>411</v>
      </c>
      <c r="F520" s="15">
        <v>2011</v>
      </c>
      <c r="G520" s="15">
        <v>20110207</v>
      </c>
      <c r="H520" s="15">
        <v>10629</v>
      </c>
      <c r="I520" s="15">
        <v>1.06</v>
      </c>
      <c r="J520" s="6" t="s">
        <v>1394</v>
      </c>
      <c r="K520" s="15">
        <v>254</v>
      </c>
      <c r="L520" s="15" t="s">
        <v>27</v>
      </c>
      <c r="M520" s="15" t="s">
        <v>4</v>
      </c>
      <c r="N520" s="11" t="s">
        <v>1390</v>
      </c>
      <c r="O520" s="11" t="s">
        <v>42</v>
      </c>
      <c r="P520" s="11" t="s">
        <v>33</v>
      </c>
      <c r="Q520" s="15">
        <v>0</v>
      </c>
      <c r="R520" s="11" t="s">
        <v>1386</v>
      </c>
      <c r="S520" s="10">
        <v>112.35266272189</v>
      </c>
      <c r="T520" s="15">
        <v>80</v>
      </c>
      <c r="U520" s="15">
        <v>0</v>
      </c>
      <c r="V520" s="15">
        <v>1</v>
      </c>
      <c r="W520" s="15">
        <v>1</v>
      </c>
      <c r="X520" s="15">
        <f>IF(O520='Udvaskning nøgletal'!$D$65,1,IF(O520='Udvaskning nøgletal'!$D$66,2,IF(O520='Udvaskning nøgletal'!$D$67,3,IF(O520='Udvaskning nøgletal'!$D$68,2,""))))</f>
        <v>2</v>
      </c>
      <c r="Y520" s="15">
        <f>LOOKUP(K520,'Udvaskning nøgletal'!$C$12:$C$60,'Udvaskning nøgletal'!$H$12:$H$60)</f>
        <v>0</v>
      </c>
      <c r="Z520" s="10">
        <f>IF(X520=1,LOOKUP(K520,'Udvaskning nøgletal'!$C$12:$C$60,'Udvaskning nøgletal'!$E$12:$E$60)+Markniveau!Y520*Markniveau!S520/100,IF(X520=2,LOOKUP(K520,'Udvaskning nøgletal'!$C$12:$C$60,'Udvaskning nøgletal'!$F$12:$F$60)+Markniveau!Y520*Markniveau!S520/100,IF(X520=3,LOOKUP(K520,'Udvaskning nøgletal'!$C$12:$C$60,'Udvaskning nøgletal'!G530:G578)+Markniveau!Y520*Markniveau!S520/100,"")))</f>
        <v>21.2</v>
      </c>
      <c r="AA520" s="10">
        <f t="shared" si="86"/>
        <v>22.472000000000001</v>
      </c>
      <c r="AB520" s="10" t="str">
        <f t="shared" si="85"/>
        <v/>
      </c>
      <c r="AC520" s="10" t="str">
        <f t="shared" si="87"/>
        <v/>
      </c>
      <c r="AD520" s="10">
        <f>IF(AND(Q520&gt;0,Q520&lt;30,K520&lt;8),Markniveau!Z520*'Udvaskning nøgletal'!$I$12/100,IF(AND(Q520&gt;0,Q520&lt;30,K520=216),Markniveau!Z520*'Udvaskning nøgletal'!$I$34/100,Markniveau!Z520))</f>
        <v>21.2</v>
      </c>
      <c r="AE520" s="10">
        <f t="shared" si="83"/>
        <v>22.472000000000001</v>
      </c>
      <c r="AF520" s="10" t="str">
        <f t="shared" si="88"/>
        <v/>
      </c>
      <c r="AG520" s="10" t="str">
        <f t="shared" si="84"/>
        <v/>
      </c>
      <c r="AH520" s="10" t="str">
        <f>IF(AND(Q520&gt;0,Q520&lt;30,K520=216),'Udvaskning nøgletal'!$C$42,IF(AND(Q520&gt;0,Q520&lt;30,K520&gt;7,K520&lt;17),'Udvaskning nøgletal'!$C$61,IF(AND(Q520&gt;0,Q520&lt;30,K520&lt;7),'Udvaskning nøgletal'!$C$62,"")))</f>
        <v/>
      </c>
      <c r="AI520" s="10">
        <f t="shared" ref="AI520:AI583" si="90">IF(SUM(AH520)&gt;0,AH520,K520)</f>
        <v>254</v>
      </c>
      <c r="AJ520" s="10">
        <f>IF($X520=1,LOOKUP(AI520,'Udvaskning nøgletal'!$C$12:$C$62,'Udvaskning nøgletal'!$E$12:$E$62)+Markniveau!$Y520*Markniveau!$S520/100,IF($X520=2,LOOKUP(AI520,'Udvaskning nøgletal'!$C$12:$C$62,'Udvaskning nøgletal'!$F$12:$F$62)+Markniveau!$Y520*Markniveau!$S520/100,IF($X520=3,LOOKUP(AI520,'Udvaskning nøgletal'!$C$12:$C$62,'Udvaskning nøgletal'!Q530:Q580)+Markniveau!$Y520*Markniveau!$S520/100,"")))</f>
        <v>21.2</v>
      </c>
      <c r="AK520" s="10">
        <f t="shared" si="89"/>
        <v>22.472000000000001</v>
      </c>
      <c r="AL520" s="10" t="str">
        <f t="shared" si="81"/>
        <v/>
      </c>
      <c r="AM520" s="10" t="str">
        <f t="shared" si="82"/>
        <v/>
      </c>
    </row>
    <row r="521" spans="1:39" x14ac:dyDescent="0.25">
      <c r="A521" s="15">
        <v>18299674</v>
      </c>
      <c r="B521" s="15">
        <v>57.74</v>
      </c>
      <c r="C521" s="15">
        <v>332706</v>
      </c>
      <c r="D521" s="15">
        <v>82799</v>
      </c>
      <c r="E521" s="15" t="s">
        <v>411</v>
      </c>
      <c r="F521" s="15">
        <v>2011</v>
      </c>
      <c r="G521" s="15">
        <v>20110207</v>
      </c>
      <c r="H521" s="15">
        <v>9504</v>
      </c>
      <c r="I521" s="15">
        <v>0.95</v>
      </c>
      <c r="J521" s="6" t="s">
        <v>1405</v>
      </c>
      <c r="K521" s="15">
        <v>902</v>
      </c>
      <c r="L521" s="15" t="s">
        <v>160</v>
      </c>
      <c r="M521" s="15" t="s">
        <v>81</v>
      </c>
      <c r="N521" s="11" t="s">
        <v>1384</v>
      </c>
      <c r="O521" s="11" t="s">
        <v>28</v>
      </c>
      <c r="P521" s="11" t="s">
        <v>33</v>
      </c>
      <c r="Q521" s="15">
        <v>0</v>
      </c>
      <c r="R521" s="11" t="s">
        <v>1386</v>
      </c>
      <c r="S521" s="10">
        <v>112.35266272189</v>
      </c>
      <c r="T521" s="15">
        <v>80</v>
      </c>
      <c r="U521" s="15">
        <v>0</v>
      </c>
      <c r="V521" s="15">
        <v>1</v>
      </c>
      <c r="W521" s="15">
        <v>1</v>
      </c>
      <c r="X521" s="15">
        <f>IF(O521='Udvaskning nøgletal'!$D$65,1,IF(O521='Udvaskning nøgletal'!$D$66,2,IF(O521='Udvaskning nøgletal'!$D$67,3,IF(O521='Udvaskning nøgletal'!$D$68,2,""))))</f>
        <v>1</v>
      </c>
      <c r="Y521" s="15">
        <f>LOOKUP(K521,'Udvaskning nøgletal'!$C$12:$C$60,'Udvaskning nøgletal'!$H$12:$H$60)</f>
        <v>0</v>
      </c>
      <c r="Z521" s="10">
        <f>IF(X521=1,LOOKUP(K521,'Udvaskning nøgletal'!$C$12:$C$60,'Udvaskning nøgletal'!$E$12:$E$60)+Markniveau!Y521*Markniveau!S521/100,IF(X521=2,LOOKUP(K521,'Udvaskning nøgletal'!$C$12:$C$60,'Udvaskning nøgletal'!$F$12:$F$60)+Markniveau!Y521*Markniveau!S521/100,IF(X521=3,LOOKUP(K521,'Udvaskning nøgletal'!$C$12:$C$60,'Udvaskning nøgletal'!G531:G579)+Markniveau!Y521*Markniveau!S521/100,"")))</f>
        <v>10</v>
      </c>
      <c r="AA521" s="10">
        <f t="shared" si="86"/>
        <v>9.5</v>
      </c>
      <c r="AB521" s="10" t="str">
        <f t="shared" si="85"/>
        <v/>
      </c>
      <c r="AC521" s="10" t="str">
        <f t="shared" si="87"/>
        <v/>
      </c>
      <c r="AD521" s="10">
        <f>IF(AND(Q521&gt;0,Q521&lt;30,K521&lt;8),Markniveau!Z521*'Udvaskning nøgletal'!$I$12/100,IF(AND(Q521&gt;0,Q521&lt;30,K521=216),Markniveau!Z521*'Udvaskning nøgletal'!$I$34/100,Markniveau!Z521))</f>
        <v>10</v>
      </c>
      <c r="AE521" s="10">
        <f t="shared" si="83"/>
        <v>9.5</v>
      </c>
      <c r="AF521" s="10" t="str">
        <f t="shared" si="88"/>
        <v/>
      </c>
      <c r="AG521" s="10" t="str">
        <f t="shared" si="84"/>
        <v/>
      </c>
      <c r="AH521" s="10" t="str">
        <f>IF(AND(Q521&gt;0,Q521&lt;30,K521=216),'Udvaskning nøgletal'!$C$42,IF(AND(Q521&gt;0,Q521&lt;30,K521&gt;7,K521&lt;17),'Udvaskning nøgletal'!$C$61,IF(AND(Q521&gt;0,Q521&lt;30,K521&lt;7),'Udvaskning nøgletal'!$C$62,"")))</f>
        <v/>
      </c>
      <c r="AI521" s="10">
        <f t="shared" si="90"/>
        <v>902</v>
      </c>
      <c r="AJ521" s="10">
        <f>IF($X521=1,LOOKUP(AI521,'Udvaskning nøgletal'!$C$12:$C$62,'Udvaskning nøgletal'!$E$12:$E$62)+Markniveau!$Y521*Markniveau!$S521/100,IF($X521=2,LOOKUP(AI521,'Udvaskning nøgletal'!$C$12:$C$62,'Udvaskning nøgletal'!$F$12:$F$62)+Markniveau!$Y521*Markniveau!$S521/100,IF($X521=3,LOOKUP(AI521,'Udvaskning nøgletal'!$C$12:$C$62,'Udvaskning nøgletal'!Q531:Q581)+Markniveau!$Y521*Markniveau!$S521/100,"")))</f>
        <v>10</v>
      </c>
      <c r="AK521" s="10">
        <f t="shared" si="89"/>
        <v>9.5</v>
      </c>
      <c r="AL521" s="10" t="str">
        <f t="shared" si="81"/>
        <v/>
      </c>
      <c r="AM521" s="10" t="str">
        <f t="shared" si="82"/>
        <v/>
      </c>
    </row>
    <row r="522" spans="1:39" x14ac:dyDescent="0.25">
      <c r="A522" s="15">
        <v>18299674</v>
      </c>
      <c r="B522" s="15">
        <v>57.74</v>
      </c>
      <c r="C522" s="15">
        <v>398640</v>
      </c>
      <c r="D522" s="15">
        <v>82799</v>
      </c>
      <c r="E522" s="15" t="s">
        <v>435</v>
      </c>
      <c r="F522" s="15">
        <v>2011</v>
      </c>
      <c r="G522" s="15">
        <v>20110327</v>
      </c>
      <c r="H522" s="15">
        <v>19868</v>
      </c>
      <c r="I522" s="15">
        <v>1.99</v>
      </c>
      <c r="J522" s="6" t="s">
        <v>1396</v>
      </c>
      <c r="K522" s="15">
        <v>254</v>
      </c>
      <c r="L522" s="15" t="s">
        <v>27</v>
      </c>
      <c r="M522" s="15" t="s">
        <v>4</v>
      </c>
      <c r="N522" s="11" t="s">
        <v>1390</v>
      </c>
      <c r="O522" s="11" t="s">
        <v>42</v>
      </c>
      <c r="P522" s="11" t="s">
        <v>33</v>
      </c>
      <c r="Q522" s="15">
        <v>0</v>
      </c>
      <c r="R522" s="11" t="s">
        <v>1386</v>
      </c>
      <c r="S522" s="10">
        <v>112.35266272189</v>
      </c>
      <c r="T522" s="15">
        <v>80</v>
      </c>
      <c r="U522" s="15">
        <v>0</v>
      </c>
      <c r="V522" s="15">
        <v>1</v>
      </c>
      <c r="W522" s="15">
        <v>1</v>
      </c>
      <c r="X522" s="15">
        <f>IF(O522='Udvaskning nøgletal'!$D$65,1,IF(O522='Udvaskning nøgletal'!$D$66,2,IF(O522='Udvaskning nøgletal'!$D$67,3,IF(O522='Udvaskning nøgletal'!$D$68,2,""))))</f>
        <v>2</v>
      </c>
      <c r="Y522" s="15">
        <f>LOOKUP(K522,'Udvaskning nøgletal'!$C$12:$C$60,'Udvaskning nøgletal'!$H$12:$H$60)</f>
        <v>0</v>
      </c>
      <c r="Z522" s="10">
        <f>IF(X522=1,LOOKUP(K522,'Udvaskning nøgletal'!$C$12:$C$60,'Udvaskning nøgletal'!$E$12:$E$60)+Markniveau!Y522*Markniveau!S522/100,IF(X522=2,LOOKUP(K522,'Udvaskning nøgletal'!$C$12:$C$60,'Udvaskning nøgletal'!$F$12:$F$60)+Markniveau!Y522*Markniveau!S522/100,IF(X522=3,LOOKUP(K522,'Udvaskning nøgletal'!$C$12:$C$60,'Udvaskning nøgletal'!G532:G580)+Markniveau!Y522*Markniveau!S522/100,"")))</f>
        <v>21.2</v>
      </c>
      <c r="AA522" s="10">
        <f t="shared" si="86"/>
        <v>42.187999999999995</v>
      </c>
      <c r="AB522" s="10" t="str">
        <f t="shared" si="85"/>
        <v/>
      </c>
      <c r="AC522" s="10" t="str">
        <f t="shared" si="87"/>
        <v/>
      </c>
      <c r="AD522" s="10">
        <f>IF(AND(Q522&gt;0,Q522&lt;30,K522&lt;8),Markniveau!Z522*'Udvaskning nøgletal'!$I$12/100,IF(AND(Q522&gt;0,Q522&lt;30,K522=216),Markniveau!Z522*'Udvaskning nøgletal'!$I$34/100,Markniveau!Z522))</f>
        <v>21.2</v>
      </c>
      <c r="AE522" s="10">
        <f t="shared" si="83"/>
        <v>42.187999999999995</v>
      </c>
      <c r="AF522" s="10" t="str">
        <f t="shared" si="88"/>
        <v/>
      </c>
      <c r="AG522" s="10" t="str">
        <f t="shared" si="84"/>
        <v/>
      </c>
      <c r="AH522" s="10" t="str">
        <f>IF(AND(Q522&gt;0,Q522&lt;30,K522=216),'Udvaskning nøgletal'!$C$42,IF(AND(Q522&gt;0,Q522&lt;30,K522&gt;7,K522&lt;17),'Udvaskning nøgletal'!$C$61,IF(AND(Q522&gt;0,Q522&lt;30,K522&lt;7),'Udvaskning nøgletal'!$C$62,"")))</f>
        <v/>
      </c>
      <c r="AI522" s="10">
        <f t="shared" si="90"/>
        <v>254</v>
      </c>
      <c r="AJ522" s="10">
        <f>IF($X522=1,LOOKUP(AI522,'Udvaskning nøgletal'!$C$12:$C$62,'Udvaskning nøgletal'!$E$12:$E$62)+Markniveau!$Y522*Markniveau!$S522/100,IF($X522=2,LOOKUP(AI522,'Udvaskning nøgletal'!$C$12:$C$62,'Udvaskning nøgletal'!$F$12:$F$62)+Markniveau!$Y522*Markniveau!$S522/100,IF($X522=3,LOOKUP(AI522,'Udvaskning nøgletal'!$C$12:$C$62,'Udvaskning nøgletal'!Q532:Q582)+Markniveau!$Y522*Markniveau!$S522/100,"")))</f>
        <v>21.2</v>
      </c>
      <c r="AK522" s="10">
        <f t="shared" si="89"/>
        <v>42.187999999999995</v>
      </c>
      <c r="AL522" s="10" t="str">
        <f t="shared" si="81"/>
        <v/>
      </c>
      <c r="AM522" s="10" t="str">
        <f t="shared" si="82"/>
        <v/>
      </c>
    </row>
    <row r="523" spans="1:39" x14ac:dyDescent="0.25">
      <c r="A523" s="15">
        <v>18299674</v>
      </c>
      <c r="B523" s="15">
        <v>57.74</v>
      </c>
      <c r="C523" s="15">
        <v>529257</v>
      </c>
      <c r="D523" s="15">
        <v>82799</v>
      </c>
      <c r="E523" s="15" t="s">
        <v>432</v>
      </c>
      <c r="F523" s="15">
        <v>2011</v>
      </c>
      <c r="G523" s="15">
        <v>20110327</v>
      </c>
      <c r="H523" s="15">
        <v>14777</v>
      </c>
      <c r="I523" s="15">
        <v>1.48</v>
      </c>
      <c r="J523" s="6" t="s">
        <v>436</v>
      </c>
      <c r="K523" s="15">
        <v>4</v>
      </c>
      <c r="L523" s="15" t="s">
        <v>420</v>
      </c>
      <c r="M523" s="15" t="s">
        <v>5</v>
      </c>
      <c r="N523" s="11" t="s">
        <v>1391</v>
      </c>
      <c r="O523" s="11" t="s">
        <v>46</v>
      </c>
      <c r="P523" s="11" t="s">
        <v>33</v>
      </c>
      <c r="Q523" s="15">
        <v>0</v>
      </c>
      <c r="R523" s="11" t="s">
        <v>1386</v>
      </c>
      <c r="S523" s="10">
        <v>112.35266272189</v>
      </c>
      <c r="T523" s="15">
        <v>80</v>
      </c>
      <c r="U523" s="15">
        <v>0</v>
      </c>
      <c r="V523" s="15">
        <v>1</v>
      </c>
      <c r="W523" s="15">
        <v>1</v>
      </c>
      <c r="X523" s="15">
        <f>IF(O523='Udvaskning nøgletal'!$D$65,1,IF(O523='Udvaskning nøgletal'!$D$66,2,IF(O523='Udvaskning nøgletal'!$D$67,3,IF(O523='Udvaskning nøgletal'!$D$68,2,""))))</f>
        <v>2</v>
      </c>
      <c r="Y523" s="15">
        <f>LOOKUP(K523,'Udvaskning nøgletal'!$C$12:$C$60,'Udvaskning nøgletal'!$H$12:$H$60)</f>
        <v>5</v>
      </c>
      <c r="Z523" s="10">
        <f>IF(X523=1,LOOKUP(K523,'Udvaskning nøgletal'!$C$12:$C$60,'Udvaskning nøgletal'!$E$12:$E$60)+Markniveau!Y523*Markniveau!S523/100,IF(X523=2,LOOKUP(K523,'Udvaskning nøgletal'!$C$12:$C$60,'Udvaskning nøgletal'!$F$12:$F$60)+Markniveau!Y523*Markniveau!S523/100,IF(X523=3,LOOKUP(K523,'Udvaskning nøgletal'!$C$12:$C$60,'Udvaskning nøgletal'!G533:G581)+Markniveau!Y523*Markniveau!S523/100,"")))</f>
        <v>56.497633136094507</v>
      </c>
      <c r="AA523" s="10">
        <f t="shared" si="86"/>
        <v>83.616497041419862</v>
      </c>
      <c r="AB523" s="10" t="str">
        <f t="shared" si="85"/>
        <v/>
      </c>
      <c r="AC523" s="10" t="str">
        <f t="shared" si="87"/>
        <v/>
      </c>
      <c r="AD523" s="10">
        <f>IF(AND(Q523&gt;0,Q523&lt;30,K523&lt;8),Markniveau!Z523*'Udvaskning nøgletal'!$I$12/100,IF(AND(Q523&gt;0,Q523&lt;30,K523=216),Markniveau!Z523*'Udvaskning nøgletal'!$I$34/100,Markniveau!Z523))</f>
        <v>56.497633136094507</v>
      </c>
      <c r="AE523" s="10">
        <f t="shared" si="83"/>
        <v>83.616497041419862</v>
      </c>
      <c r="AF523" s="10" t="str">
        <f t="shared" si="88"/>
        <v/>
      </c>
      <c r="AG523" s="10" t="str">
        <f t="shared" si="84"/>
        <v/>
      </c>
      <c r="AH523" s="10" t="str">
        <f>IF(AND(Q523&gt;0,Q523&lt;30,K523=216),'Udvaskning nøgletal'!$C$42,IF(AND(Q523&gt;0,Q523&lt;30,K523&gt;7,K523&lt;17),'Udvaskning nøgletal'!$C$61,IF(AND(Q523&gt;0,Q523&lt;30,K523&lt;7),'Udvaskning nøgletal'!$C$62,"")))</f>
        <v/>
      </c>
      <c r="AI523" s="10">
        <f t="shared" si="90"/>
        <v>4</v>
      </c>
      <c r="AJ523" s="10">
        <f>IF($X523=1,LOOKUP(AI523,'Udvaskning nøgletal'!$C$12:$C$62,'Udvaskning nøgletal'!$E$12:$E$62)+Markniveau!$Y523*Markniveau!$S523/100,IF($X523=2,LOOKUP(AI523,'Udvaskning nøgletal'!$C$12:$C$62,'Udvaskning nøgletal'!$F$12:$F$62)+Markniveau!$Y523*Markniveau!$S523/100,IF($X523=3,LOOKUP(AI523,'Udvaskning nøgletal'!$C$12:$C$62,'Udvaskning nøgletal'!Q533:Q583)+Markniveau!$Y523*Markniveau!$S523/100,"")))</f>
        <v>56.497633136094507</v>
      </c>
      <c r="AK523" s="10">
        <f t="shared" si="89"/>
        <v>83.616497041419862</v>
      </c>
      <c r="AL523" s="10" t="str">
        <f t="shared" ref="AL523:AL586" si="91">IF($Q523&gt;0,(100-$Q523)*AJ523/100,"")</f>
        <v/>
      </c>
      <c r="AM523" s="10" t="str">
        <f t="shared" ref="AM523:AM586" si="92">IF($Q523&gt;0,(100-$Q523)*AJ523/100*I523,"")</f>
        <v/>
      </c>
    </row>
    <row r="524" spans="1:39" x14ac:dyDescent="0.25">
      <c r="A524" s="15">
        <v>18299674</v>
      </c>
      <c r="B524" s="15">
        <v>57.74</v>
      </c>
      <c r="C524" s="15">
        <v>545189</v>
      </c>
      <c r="D524" s="15">
        <v>82799</v>
      </c>
      <c r="E524" s="15" t="s">
        <v>435</v>
      </c>
      <c r="F524" s="15">
        <v>2011</v>
      </c>
      <c r="G524" s="15">
        <v>20110327</v>
      </c>
      <c r="H524" s="15">
        <v>23352</v>
      </c>
      <c r="I524" s="15">
        <v>2.34</v>
      </c>
      <c r="J524" s="6" t="s">
        <v>38</v>
      </c>
      <c r="K524" s="15">
        <v>254</v>
      </c>
      <c r="L524" s="15" t="s">
        <v>27</v>
      </c>
      <c r="M524" s="15" t="s">
        <v>4</v>
      </c>
      <c r="N524" s="11" t="s">
        <v>1390</v>
      </c>
      <c r="O524" s="11" t="s">
        <v>42</v>
      </c>
      <c r="P524" s="11" t="s">
        <v>33</v>
      </c>
      <c r="Q524" s="15">
        <v>0</v>
      </c>
      <c r="R524" s="11" t="s">
        <v>1386</v>
      </c>
      <c r="S524" s="10">
        <v>112.35266272189</v>
      </c>
      <c r="T524" s="15">
        <v>80</v>
      </c>
      <c r="U524" s="15">
        <v>0</v>
      </c>
      <c r="V524" s="15">
        <v>1</v>
      </c>
      <c r="W524" s="15">
        <v>1</v>
      </c>
      <c r="X524" s="15">
        <f>IF(O524='Udvaskning nøgletal'!$D$65,1,IF(O524='Udvaskning nøgletal'!$D$66,2,IF(O524='Udvaskning nøgletal'!$D$67,3,IF(O524='Udvaskning nøgletal'!$D$68,2,""))))</f>
        <v>2</v>
      </c>
      <c r="Y524" s="15">
        <f>LOOKUP(K524,'Udvaskning nøgletal'!$C$12:$C$60,'Udvaskning nøgletal'!$H$12:$H$60)</f>
        <v>0</v>
      </c>
      <c r="Z524" s="10">
        <f>IF(X524=1,LOOKUP(K524,'Udvaskning nøgletal'!$C$12:$C$60,'Udvaskning nøgletal'!$E$12:$E$60)+Markniveau!Y524*Markniveau!S524/100,IF(X524=2,LOOKUP(K524,'Udvaskning nøgletal'!$C$12:$C$60,'Udvaskning nøgletal'!$F$12:$F$60)+Markniveau!Y524*Markniveau!S524/100,IF(X524=3,LOOKUP(K524,'Udvaskning nøgletal'!$C$12:$C$60,'Udvaskning nøgletal'!G534:G582)+Markniveau!Y524*Markniveau!S524/100,"")))</f>
        <v>21.2</v>
      </c>
      <c r="AA524" s="10">
        <f t="shared" si="86"/>
        <v>49.607999999999997</v>
      </c>
      <c r="AB524" s="10" t="str">
        <f t="shared" si="85"/>
        <v/>
      </c>
      <c r="AC524" s="10" t="str">
        <f t="shared" si="87"/>
        <v/>
      </c>
      <c r="AD524" s="10">
        <f>IF(AND(Q524&gt;0,Q524&lt;30,K524&lt;8),Markniveau!Z524*'Udvaskning nøgletal'!$I$12/100,IF(AND(Q524&gt;0,Q524&lt;30,K524=216),Markniveau!Z524*'Udvaskning nøgletal'!$I$34/100,Markniveau!Z524))</f>
        <v>21.2</v>
      </c>
      <c r="AE524" s="10">
        <f t="shared" si="83"/>
        <v>49.607999999999997</v>
      </c>
      <c r="AF524" s="10" t="str">
        <f t="shared" si="88"/>
        <v/>
      </c>
      <c r="AG524" s="10" t="str">
        <f t="shared" si="84"/>
        <v/>
      </c>
      <c r="AH524" s="10" t="str">
        <f>IF(AND(Q524&gt;0,Q524&lt;30,K524=216),'Udvaskning nøgletal'!$C$42,IF(AND(Q524&gt;0,Q524&lt;30,K524&gt;7,K524&lt;17),'Udvaskning nøgletal'!$C$61,IF(AND(Q524&gt;0,Q524&lt;30,K524&lt;7),'Udvaskning nøgletal'!$C$62,"")))</f>
        <v/>
      </c>
      <c r="AI524" s="10">
        <f t="shared" si="90"/>
        <v>254</v>
      </c>
      <c r="AJ524" s="10">
        <f>IF($X524=1,LOOKUP(AI524,'Udvaskning nøgletal'!$C$12:$C$62,'Udvaskning nøgletal'!$E$12:$E$62)+Markniveau!$Y524*Markniveau!$S524/100,IF($X524=2,LOOKUP(AI524,'Udvaskning nøgletal'!$C$12:$C$62,'Udvaskning nøgletal'!$F$12:$F$62)+Markniveau!$Y524*Markniveau!$S524/100,IF($X524=3,LOOKUP(AI524,'Udvaskning nøgletal'!$C$12:$C$62,'Udvaskning nøgletal'!Q534:Q584)+Markniveau!$Y524*Markniveau!$S524/100,"")))</f>
        <v>21.2</v>
      </c>
      <c r="AK524" s="10">
        <f t="shared" si="89"/>
        <v>49.607999999999997</v>
      </c>
      <c r="AL524" s="10" t="str">
        <f t="shared" si="91"/>
        <v/>
      </c>
      <c r="AM524" s="10" t="str">
        <f t="shared" si="92"/>
        <v/>
      </c>
    </row>
    <row r="525" spans="1:39" x14ac:dyDescent="0.25">
      <c r="A525" s="15">
        <v>18299674</v>
      </c>
      <c r="B525" s="15">
        <v>57.74</v>
      </c>
      <c r="C525" s="15">
        <v>545787</v>
      </c>
      <c r="D525" s="15">
        <v>82799</v>
      </c>
      <c r="E525" s="15" t="s">
        <v>435</v>
      </c>
      <c r="F525" s="15">
        <v>2011</v>
      </c>
      <c r="G525" s="15">
        <v>20110327</v>
      </c>
      <c r="H525" s="15">
        <v>6085</v>
      </c>
      <c r="I525" s="15">
        <v>0.61</v>
      </c>
      <c r="J525" s="6" t="s">
        <v>1479</v>
      </c>
      <c r="K525" s="15">
        <v>902</v>
      </c>
      <c r="L525" s="15" t="s">
        <v>160</v>
      </c>
      <c r="M525" s="15" t="s">
        <v>81</v>
      </c>
      <c r="N525" s="11" t="s">
        <v>1390</v>
      </c>
      <c r="O525" s="11" t="s">
        <v>42</v>
      </c>
      <c r="P525" s="11" t="s">
        <v>33</v>
      </c>
      <c r="Q525" s="15">
        <v>0</v>
      </c>
      <c r="R525" s="11" t="s">
        <v>1386</v>
      </c>
      <c r="S525" s="10">
        <v>112.35266272189</v>
      </c>
      <c r="T525" s="15">
        <v>80</v>
      </c>
      <c r="U525" s="15">
        <v>0</v>
      </c>
      <c r="V525" s="15">
        <v>1</v>
      </c>
      <c r="W525" s="15">
        <v>1</v>
      </c>
      <c r="X525" s="15">
        <f>IF(O525='Udvaskning nøgletal'!$D$65,1,IF(O525='Udvaskning nøgletal'!$D$66,2,IF(O525='Udvaskning nøgletal'!$D$67,3,IF(O525='Udvaskning nøgletal'!$D$68,2,""))))</f>
        <v>2</v>
      </c>
      <c r="Y525" s="15">
        <f>LOOKUP(K525,'Udvaskning nøgletal'!$C$12:$C$60,'Udvaskning nøgletal'!$H$12:$H$60)</f>
        <v>0</v>
      </c>
      <c r="Z525" s="10">
        <f>IF(X525=1,LOOKUP(K525,'Udvaskning nøgletal'!$C$12:$C$60,'Udvaskning nøgletal'!$E$12:$E$60)+Markniveau!Y525*Markniveau!S525/100,IF(X525=2,LOOKUP(K525,'Udvaskning nøgletal'!$C$12:$C$60,'Udvaskning nøgletal'!$F$12:$F$60)+Markniveau!Y525*Markniveau!S525/100,IF(X525=3,LOOKUP(K525,'Udvaskning nøgletal'!$C$12:$C$60,'Udvaskning nøgletal'!G535:G583)+Markniveau!Y525*Markniveau!S525/100,"")))</f>
        <v>10</v>
      </c>
      <c r="AA525" s="10">
        <f t="shared" si="86"/>
        <v>6.1</v>
      </c>
      <c r="AB525" s="10" t="str">
        <f t="shared" si="85"/>
        <v/>
      </c>
      <c r="AC525" s="10" t="str">
        <f t="shared" si="87"/>
        <v/>
      </c>
      <c r="AD525" s="10">
        <f>IF(AND(Q525&gt;0,Q525&lt;30,K525&lt;8),Markniveau!Z525*'Udvaskning nøgletal'!$I$12/100,IF(AND(Q525&gt;0,Q525&lt;30,K525=216),Markniveau!Z525*'Udvaskning nøgletal'!$I$34/100,Markniveau!Z525))</f>
        <v>10</v>
      </c>
      <c r="AE525" s="10">
        <f t="shared" si="83"/>
        <v>6.1</v>
      </c>
      <c r="AF525" s="10" t="str">
        <f t="shared" si="88"/>
        <v/>
      </c>
      <c r="AG525" s="10" t="str">
        <f t="shared" si="84"/>
        <v/>
      </c>
      <c r="AH525" s="10" t="str">
        <f>IF(AND(Q525&gt;0,Q525&lt;30,K525=216),'Udvaskning nøgletal'!$C$42,IF(AND(Q525&gt;0,Q525&lt;30,K525&gt;7,K525&lt;17),'Udvaskning nøgletal'!$C$61,IF(AND(Q525&gt;0,Q525&lt;30,K525&lt;7),'Udvaskning nøgletal'!$C$62,"")))</f>
        <v/>
      </c>
      <c r="AI525" s="10">
        <f t="shared" si="90"/>
        <v>902</v>
      </c>
      <c r="AJ525" s="10">
        <f>IF($X525=1,LOOKUP(AI525,'Udvaskning nøgletal'!$C$12:$C$62,'Udvaskning nøgletal'!$E$12:$E$62)+Markniveau!$Y525*Markniveau!$S525/100,IF($X525=2,LOOKUP(AI525,'Udvaskning nøgletal'!$C$12:$C$62,'Udvaskning nøgletal'!$F$12:$F$62)+Markniveau!$Y525*Markniveau!$S525/100,IF($X525=3,LOOKUP(AI525,'Udvaskning nøgletal'!$C$12:$C$62,'Udvaskning nøgletal'!Q535:Q585)+Markniveau!$Y525*Markniveau!$S525/100,"")))</f>
        <v>10</v>
      </c>
      <c r="AK525" s="10">
        <f t="shared" si="89"/>
        <v>6.1</v>
      </c>
      <c r="AL525" s="10" t="str">
        <f t="shared" si="91"/>
        <v/>
      </c>
      <c r="AM525" s="10" t="str">
        <f t="shared" si="92"/>
        <v/>
      </c>
    </row>
    <row r="526" spans="1:39" x14ac:dyDescent="0.25">
      <c r="A526" s="15">
        <v>18299674</v>
      </c>
      <c r="B526" s="15">
        <v>57.74</v>
      </c>
      <c r="C526" s="15">
        <v>572771</v>
      </c>
      <c r="D526" s="15">
        <v>82799</v>
      </c>
      <c r="E526" s="15" t="s">
        <v>432</v>
      </c>
      <c r="F526" s="15">
        <v>2011</v>
      </c>
      <c r="G526" s="15">
        <v>20110327</v>
      </c>
      <c r="H526" s="15">
        <v>91002</v>
      </c>
      <c r="I526" s="15">
        <v>9.1</v>
      </c>
      <c r="J526" s="6" t="s">
        <v>61</v>
      </c>
      <c r="K526" s="15">
        <v>4</v>
      </c>
      <c r="L526" s="15" t="s">
        <v>420</v>
      </c>
      <c r="M526" s="15" t="s">
        <v>5</v>
      </c>
      <c r="N526" s="11" t="s">
        <v>1391</v>
      </c>
      <c r="O526" s="11" t="s">
        <v>46</v>
      </c>
      <c r="P526" s="11" t="s">
        <v>33</v>
      </c>
      <c r="Q526" s="15">
        <v>0</v>
      </c>
      <c r="R526" s="11" t="s">
        <v>1386</v>
      </c>
      <c r="S526" s="10">
        <v>112.35266272189</v>
      </c>
      <c r="T526" s="15">
        <v>80</v>
      </c>
      <c r="U526" s="15">
        <v>0</v>
      </c>
      <c r="V526" s="15">
        <v>1</v>
      </c>
      <c r="W526" s="15">
        <v>1</v>
      </c>
      <c r="X526" s="15">
        <f>IF(O526='Udvaskning nøgletal'!$D$65,1,IF(O526='Udvaskning nøgletal'!$D$66,2,IF(O526='Udvaskning nøgletal'!$D$67,3,IF(O526='Udvaskning nøgletal'!$D$68,2,""))))</f>
        <v>2</v>
      </c>
      <c r="Y526" s="15">
        <f>LOOKUP(K526,'Udvaskning nøgletal'!$C$12:$C$60,'Udvaskning nøgletal'!$H$12:$H$60)</f>
        <v>5</v>
      </c>
      <c r="Z526" s="10">
        <f>IF(X526=1,LOOKUP(K526,'Udvaskning nøgletal'!$C$12:$C$60,'Udvaskning nøgletal'!$E$12:$E$60)+Markniveau!Y526*Markniveau!S526/100,IF(X526=2,LOOKUP(K526,'Udvaskning nøgletal'!$C$12:$C$60,'Udvaskning nøgletal'!$F$12:$F$60)+Markniveau!Y526*Markniveau!S526/100,IF(X526=3,LOOKUP(K526,'Udvaskning nøgletal'!$C$12:$C$60,'Udvaskning nøgletal'!G536:G584)+Markniveau!Y526*Markniveau!S526/100,"")))</f>
        <v>56.497633136094507</v>
      </c>
      <c r="AA526" s="10">
        <f t="shared" si="86"/>
        <v>514.12846153845999</v>
      </c>
      <c r="AB526" s="10" t="str">
        <f t="shared" si="85"/>
        <v/>
      </c>
      <c r="AC526" s="10" t="str">
        <f t="shared" si="87"/>
        <v/>
      </c>
      <c r="AD526" s="10">
        <f>IF(AND(Q526&gt;0,Q526&lt;30,K526&lt;8),Markniveau!Z526*'Udvaskning nøgletal'!$I$12/100,IF(AND(Q526&gt;0,Q526&lt;30,K526=216),Markniveau!Z526*'Udvaskning nøgletal'!$I$34/100,Markniveau!Z526))</f>
        <v>56.497633136094507</v>
      </c>
      <c r="AE526" s="10">
        <f t="shared" si="83"/>
        <v>514.12846153845999</v>
      </c>
      <c r="AF526" s="10" t="str">
        <f t="shared" si="88"/>
        <v/>
      </c>
      <c r="AG526" s="10" t="str">
        <f t="shared" si="84"/>
        <v/>
      </c>
      <c r="AH526" s="10" t="str">
        <f>IF(AND(Q526&gt;0,Q526&lt;30,K526=216),'Udvaskning nøgletal'!$C$42,IF(AND(Q526&gt;0,Q526&lt;30,K526&gt;7,K526&lt;17),'Udvaskning nøgletal'!$C$61,IF(AND(Q526&gt;0,Q526&lt;30,K526&lt;7),'Udvaskning nøgletal'!$C$62,"")))</f>
        <v/>
      </c>
      <c r="AI526" s="10">
        <f t="shared" si="90"/>
        <v>4</v>
      </c>
      <c r="AJ526" s="10">
        <f>IF($X526=1,LOOKUP(AI526,'Udvaskning nøgletal'!$C$12:$C$62,'Udvaskning nøgletal'!$E$12:$E$62)+Markniveau!$Y526*Markniveau!$S526/100,IF($X526=2,LOOKUP(AI526,'Udvaskning nøgletal'!$C$12:$C$62,'Udvaskning nøgletal'!$F$12:$F$62)+Markniveau!$Y526*Markniveau!$S526/100,IF($X526=3,LOOKUP(AI526,'Udvaskning nøgletal'!$C$12:$C$62,'Udvaskning nøgletal'!Q536:Q586)+Markniveau!$Y526*Markniveau!$S526/100,"")))</f>
        <v>56.497633136094507</v>
      </c>
      <c r="AK526" s="10">
        <f t="shared" si="89"/>
        <v>514.12846153845999</v>
      </c>
      <c r="AL526" s="10" t="str">
        <f t="shared" si="91"/>
        <v/>
      </c>
      <c r="AM526" s="10" t="str">
        <f t="shared" si="92"/>
        <v/>
      </c>
    </row>
    <row r="527" spans="1:39" x14ac:dyDescent="0.25">
      <c r="A527" s="15">
        <v>18299674</v>
      </c>
      <c r="B527" s="15">
        <v>57.74</v>
      </c>
      <c r="C527" s="15">
        <v>35826</v>
      </c>
      <c r="D527" s="15">
        <v>82799</v>
      </c>
      <c r="E527" s="15" t="s">
        <v>437</v>
      </c>
      <c r="F527" s="15">
        <v>2011</v>
      </c>
      <c r="G527" s="15">
        <v>20110406</v>
      </c>
      <c r="H527" s="15">
        <v>15977</v>
      </c>
      <c r="I527" s="15">
        <v>1.6</v>
      </c>
      <c r="J527" s="6" t="s">
        <v>1509</v>
      </c>
      <c r="K527" s="15">
        <v>591</v>
      </c>
      <c r="L527" s="15" t="s">
        <v>423</v>
      </c>
      <c r="M527" s="15" t="s">
        <v>424</v>
      </c>
      <c r="N527" s="11" t="s">
        <v>1391</v>
      </c>
      <c r="O527" s="11" t="s">
        <v>46</v>
      </c>
      <c r="P527" s="11" t="s">
        <v>33</v>
      </c>
      <c r="Q527" s="15">
        <v>0</v>
      </c>
      <c r="R527" s="11" t="s">
        <v>1386</v>
      </c>
      <c r="S527" s="10">
        <v>112.35266272189</v>
      </c>
      <c r="T527" s="15">
        <v>80</v>
      </c>
      <c r="U527" s="15">
        <v>0</v>
      </c>
      <c r="V527" s="15">
        <v>1</v>
      </c>
      <c r="W527" s="15">
        <v>1</v>
      </c>
      <c r="X527" s="15">
        <f>IF(O527='Udvaskning nøgletal'!$D$65,1,IF(O527='Udvaskning nøgletal'!$D$66,2,IF(O527='Udvaskning nøgletal'!$D$67,3,IF(O527='Udvaskning nøgletal'!$D$68,2,""))))</f>
        <v>2</v>
      </c>
      <c r="Y527" s="15">
        <f>LOOKUP(K527,'Udvaskning nøgletal'!$C$12:$C$60,'Udvaskning nøgletal'!$H$12:$H$60)</f>
        <v>0</v>
      </c>
      <c r="Z527" s="10">
        <f>IF(X527=1,LOOKUP(K527,'Udvaskning nøgletal'!$C$12:$C$60,'Udvaskning nøgletal'!$E$12:$E$60)+Markniveau!Y527*Markniveau!S527/100,IF(X527=2,LOOKUP(K527,'Udvaskning nøgletal'!$C$12:$C$60,'Udvaskning nøgletal'!$F$12:$F$60)+Markniveau!Y527*Markniveau!S527/100,IF(X527=3,LOOKUP(K527,'Udvaskning nøgletal'!$C$12:$C$60,'Udvaskning nøgletal'!G537:G585)+Markniveau!Y527*Markniveau!S527/100,"")))</f>
        <v>10</v>
      </c>
      <c r="AA527" s="10">
        <f t="shared" si="86"/>
        <v>16</v>
      </c>
      <c r="AB527" s="10" t="str">
        <f t="shared" si="85"/>
        <v/>
      </c>
      <c r="AC527" s="10" t="str">
        <f t="shared" si="87"/>
        <v/>
      </c>
      <c r="AD527" s="10">
        <f>IF(AND(Q527&gt;0,Q527&lt;30,K527&lt;8),Markniveau!Z527*'Udvaskning nøgletal'!$I$12/100,IF(AND(Q527&gt;0,Q527&lt;30,K527=216),Markniveau!Z527*'Udvaskning nøgletal'!$I$34/100,Markniveau!Z527))</f>
        <v>10</v>
      </c>
      <c r="AE527" s="10">
        <f t="shared" si="83"/>
        <v>16</v>
      </c>
      <c r="AF527" s="10" t="str">
        <f t="shared" si="88"/>
        <v/>
      </c>
      <c r="AG527" s="10" t="str">
        <f t="shared" si="84"/>
        <v/>
      </c>
      <c r="AH527" s="10" t="str">
        <f>IF(AND(Q527&gt;0,Q527&lt;30,K527=216),'Udvaskning nøgletal'!$C$42,IF(AND(Q527&gt;0,Q527&lt;30,K527&gt;7,K527&lt;17),'Udvaskning nøgletal'!$C$61,IF(AND(Q527&gt;0,Q527&lt;30,K527&lt;7),'Udvaskning nøgletal'!$C$62,"")))</f>
        <v/>
      </c>
      <c r="AI527" s="10">
        <f t="shared" si="90"/>
        <v>591</v>
      </c>
      <c r="AJ527" s="10">
        <f>IF($X527=1,LOOKUP(AI527,'Udvaskning nøgletal'!$C$12:$C$62,'Udvaskning nøgletal'!$E$12:$E$62)+Markniveau!$Y527*Markniveau!$S527/100,IF($X527=2,LOOKUP(AI527,'Udvaskning nøgletal'!$C$12:$C$62,'Udvaskning nøgletal'!$F$12:$F$62)+Markniveau!$Y527*Markniveau!$S527/100,IF($X527=3,LOOKUP(AI527,'Udvaskning nøgletal'!$C$12:$C$62,'Udvaskning nøgletal'!Q537:Q587)+Markniveau!$Y527*Markniveau!$S527/100,"")))</f>
        <v>10</v>
      </c>
      <c r="AK527" s="10">
        <f t="shared" si="89"/>
        <v>16</v>
      </c>
      <c r="AL527" s="10" t="str">
        <f t="shared" si="91"/>
        <v/>
      </c>
      <c r="AM527" s="10" t="str">
        <f t="shared" si="92"/>
        <v/>
      </c>
    </row>
    <row r="528" spans="1:39" x14ac:dyDescent="0.25">
      <c r="A528" s="15">
        <v>18299674</v>
      </c>
      <c r="B528" s="15">
        <v>57.74</v>
      </c>
      <c r="C528" s="15">
        <v>321865</v>
      </c>
      <c r="D528" s="15">
        <v>82799</v>
      </c>
      <c r="E528" s="15" t="s">
        <v>411</v>
      </c>
      <c r="F528" s="15">
        <v>2011</v>
      </c>
      <c r="G528" s="15">
        <v>20110207</v>
      </c>
      <c r="H528" s="15">
        <v>11212</v>
      </c>
      <c r="I528" s="15">
        <v>1.1200000000000001</v>
      </c>
      <c r="J528" s="6" t="s">
        <v>53</v>
      </c>
      <c r="K528" s="15">
        <v>254</v>
      </c>
      <c r="L528" s="15" t="s">
        <v>27</v>
      </c>
      <c r="M528" s="15" t="s">
        <v>4</v>
      </c>
      <c r="N528" s="11" t="s">
        <v>1384</v>
      </c>
      <c r="O528" s="11" t="s">
        <v>28</v>
      </c>
      <c r="P528" s="11" t="s">
        <v>33</v>
      </c>
      <c r="Q528" s="15">
        <v>0</v>
      </c>
      <c r="R528" s="11" t="s">
        <v>1386</v>
      </c>
      <c r="S528" s="10">
        <v>112.35266272189</v>
      </c>
      <c r="T528" s="15">
        <v>80</v>
      </c>
      <c r="U528" s="15">
        <v>0</v>
      </c>
      <c r="V528" s="15">
        <v>1</v>
      </c>
      <c r="W528" s="15">
        <v>1</v>
      </c>
      <c r="X528" s="15">
        <f>IF(O528='Udvaskning nøgletal'!$D$65,1,IF(O528='Udvaskning nøgletal'!$D$66,2,IF(O528='Udvaskning nøgletal'!$D$67,3,IF(O528='Udvaskning nøgletal'!$D$68,2,""))))</f>
        <v>1</v>
      </c>
      <c r="Y528" s="15">
        <f>LOOKUP(K528,'Udvaskning nøgletal'!$C$12:$C$60,'Udvaskning nøgletal'!$H$12:$H$60)</f>
        <v>0</v>
      </c>
      <c r="Z528" s="10">
        <f>IF(X528=1,LOOKUP(K528,'Udvaskning nøgletal'!$C$12:$C$60,'Udvaskning nøgletal'!$E$12:$E$60)+Markniveau!Y528*Markniveau!S528/100,IF(X528=2,LOOKUP(K528,'Udvaskning nøgletal'!$C$12:$C$60,'Udvaskning nøgletal'!$F$12:$F$60)+Markniveau!Y528*Markniveau!S528/100,IF(X528=3,LOOKUP(K528,'Udvaskning nøgletal'!$C$12:$C$60,'Udvaskning nøgletal'!G538:G586)+Markniveau!Y528*Markniveau!S528/100,"")))</f>
        <v>21.2</v>
      </c>
      <c r="AA528" s="10">
        <f t="shared" si="86"/>
        <v>23.744</v>
      </c>
      <c r="AB528" s="10" t="str">
        <f t="shared" si="85"/>
        <v/>
      </c>
      <c r="AC528" s="10" t="str">
        <f t="shared" si="87"/>
        <v/>
      </c>
      <c r="AD528" s="10">
        <f>IF(AND(Q528&gt;0,Q528&lt;30,K528&lt;8),Markniveau!Z528*'Udvaskning nøgletal'!$I$12/100,IF(AND(Q528&gt;0,Q528&lt;30,K528=216),Markniveau!Z528*'Udvaskning nøgletal'!$I$34/100,Markniveau!Z528))</f>
        <v>21.2</v>
      </c>
      <c r="AE528" s="10">
        <f t="shared" si="83"/>
        <v>23.744</v>
      </c>
      <c r="AF528" s="10" t="str">
        <f t="shared" si="88"/>
        <v/>
      </c>
      <c r="AG528" s="10" t="str">
        <f t="shared" si="84"/>
        <v/>
      </c>
      <c r="AH528" s="10" t="str">
        <f>IF(AND(Q528&gt;0,Q528&lt;30,K528=216),'Udvaskning nøgletal'!$C$42,IF(AND(Q528&gt;0,Q528&lt;30,K528&gt;7,K528&lt;17),'Udvaskning nøgletal'!$C$61,IF(AND(Q528&gt;0,Q528&lt;30,K528&lt;7),'Udvaskning nøgletal'!$C$62,"")))</f>
        <v/>
      </c>
      <c r="AI528" s="10">
        <f t="shared" si="90"/>
        <v>254</v>
      </c>
      <c r="AJ528" s="10">
        <f>IF($X528=1,LOOKUP(AI528,'Udvaskning nøgletal'!$C$12:$C$62,'Udvaskning nøgletal'!$E$12:$E$62)+Markniveau!$Y528*Markniveau!$S528/100,IF($X528=2,LOOKUP(AI528,'Udvaskning nøgletal'!$C$12:$C$62,'Udvaskning nøgletal'!$F$12:$F$62)+Markniveau!$Y528*Markniveau!$S528/100,IF($X528=3,LOOKUP(AI528,'Udvaskning nøgletal'!$C$12:$C$62,'Udvaskning nøgletal'!Q538:Q588)+Markniveau!$Y528*Markniveau!$S528/100,"")))</f>
        <v>21.2</v>
      </c>
      <c r="AK528" s="10">
        <f t="shared" si="89"/>
        <v>23.744</v>
      </c>
      <c r="AL528" s="10" t="str">
        <f t="shared" si="91"/>
        <v/>
      </c>
      <c r="AM528" s="10" t="str">
        <f t="shared" si="92"/>
        <v/>
      </c>
    </row>
    <row r="529" spans="1:39" x14ac:dyDescent="0.25">
      <c r="A529" s="15">
        <v>19117537</v>
      </c>
      <c r="B529" s="15">
        <v>61.66</v>
      </c>
      <c r="C529" s="15">
        <v>16572</v>
      </c>
      <c r="D529" s="15">
        <v>87369</v>
      </c>
      <c r="E529" s="15" t="s">
        <v>438</v>
      </c>
      <c r="F529" s="15">
        <v>2011</v>
      </c>
      <c r="G529" s="15">
        <v>20110409</v>
      </c>
      <c r="H529" s="15">
        <v>49085</v>
      </c>
      <c r="I529" s="15">
        <v>4.91</v>
      </c>
      <c r="J529" s="6" t="s">
        <v>1400</v>
      </c>
      <c r="K529" s="15">
        <v>1</v>
      </c>
      <c r="L529" s="15" t="s">
        <v>32</v>
      </c>
      <c r="M529" s="15" t="s">
        <v>5</v>
      </c>
      <c r="N529" s="11" t="s">
        <v>1384</v>
      </c>
      <c r="O529" s="11" t="s">
        <v>28</v>
      </c>
      <c r="P529" s="11" t="s">
        <v>29</v>
      </c>
      <c r="Q529" s="15">
        <v>95</v>
      </c>
      <c r="R529" s="11" t="s">
        <v>3</v>
      </c>
      <c r="S529" s="10">
        <v>119.3137487301</v>
      </c>
      <c r="T529" s="15">
        <v>80</v>
      </c>
      <c r="U529" s="15">
        <v>0</v>
      </c>
      <c r="V529" s="15">
        <v>0</v>
      </c>
      <c r="W529" s="15">
        <v>0</v>
      </c>
      <c r="X529" s="15">
        <f>IF(O529='Udvaskning nøgletal'!$D$65,1,IF(O529='Udvaskning nøgletal'!$D$66,2,IF(O529='Udvaskning nøgletal'!$D$67,3,IF(O529='Udvaskning nøgletal'!$D$68,2,""))))</f>
        <v>1</v>
      </c>
      <c r="Y529" s="15">
        <f>LOOKUP(K529,'Udvaskning nøgletal'!$C$12:$C$60,'Udvaskning nøgletal'!$H$12:$H$60)</f>
        <v>5</v>
      </c>
      <c r="Z529" s="10">
        <f>IF(X529=1,LOOKUP(K529,'Udvaskning nøgletal'!$C$12:$C$60,'Udvaskning nøgletal'!$E$12:$E$60)+Markniveau!Y529*Markniveau!S529/100,IF(X529=2,LOOKUP(K529,'Udvaskning nøgletal'!$C$12:$C$60,'Udvaskning nøgletal'!$F$12:$F$60)+Markniveau!Y529*Markniveau!S529/100,IF(X529=3,LOOKUP(K529,'Udvaskning nøgletal'!$C$12:$C$60,'Udvaskning nøgletal'!G539:G587)+Markniveau!Y529*Markniveau!S529/100,"")))</f>
        <v>70.62568743650499</v>
      </c>
      <c r="AA529" s="10">
        <f t="shared" si="86"/>
        <v>346.77212531323948</v>
      </c>
      <c r="AB529" s="10">
        <f t="shared" si="85"/>
        <v>3.5312843718252496</v>
      </c>
      <c r="AC529" s="10">
        <f t="shared" si="87"/>
        <v>17.338606265661976</v>
      </c>
      <c r="AD529" s="10">
        <f>IF(AND(Q529&gt;0,Q529&lt;30,K529&lt;8),Markniveau!Z529*'Udvaskning nøgletal'!$I$12/100,IF(AND(Q529&gt;0,Q529&lt;30,K529=216),Markniveau!Z529*'Udvaskning nøgletal'!$I$34/100,Markniveau!Z529))</f>
        <v>70.62568743650499</v>
      </c>
      <c r="AE529" s="10">
        <f t="shared" ref="AE529:AE592" si="93">AD529*I529</f>
        <v>346.77212531323948</v>
      </c>
      <c r="AF529" s="10">
        <f t="shared" si="88"/>
        <v>3.5312843718252496</v>
      </c>
      <c r="AG529" s="10">
        <f t="shared" ref="AG529:AG592" si="94">IF($Q529&gt;0,(100-$Q529)*$AD529/100*I529,"")</f>
        <v>17.338606265661976</v>
      </c>
      <c r="AH529" s="10" t="str">
        <f>IF(AND(Q529&gt;0,Q529&lt;30,K529=216),'Udvaskning nøgletal'!$C$42,IF(AND(Q529&gt;0,Q529&lt;30,K529&gt;7,K529&lt;17),'Udvaskning nøgletal'!$C$61,IF(AND(Q529&gt;0,Q529&lt;30,K529&lt;7),'Udvaskning nøgletal'!$C$62,"")))</f>
        <v/>
      </c>
      <c r="AI529" s="10">
        <f t="shared" si="90"/>
        <v>1</v>
      </c>
      <c r="AJ529" s="10">
        <f>IF($X529=1,LOOKUP(AI529,'Udvaskning nøgletal'!$C$12:$C$62,'Udvaskning nøgletal'!$E$12:$E$62)+Markniveau!$Y529*Markniveau!$S529/100,IF($X529=2,LOOKUP(AI529,'Udvaskning nøgletal'!$C$12:$C$62,'Udvaskning nøgletal'!$F$12:$F$62)+Markniveau!$Y529*Markniveau!$S529/100,IF($X529=3,LOOKUP(AI529,'Udvaskning nøgletal'!$C$12:$C$62,'Udvaskning nøgletal'!Q539:Q589)+Markniveau!$Y529*Markniveau!$S529/100,"")))</f>
        <v>70.62568743650499</v>
      </c>
      <c r="AK529" s="10">
        <f t="shared" si="89"/>
        <v>346.77212531323948</v>
      </c>
      <c r="AL529" s="10">
        <f t="shared" si="91"/>
        <v>3.5312843718252496</v>
      </c>
      <c r="AM529" s="10">
        <f t="shared" si="92"/>
        <v>17.338606265661976</v>
      </c>
    </row>
    <row r="530" spans="1:39" x14ac:dyDescent="0.25">
      <c r="A530" s="15">
        <v>19117537</v>
      </c>
      <c r="B530" s="15">
        <v>61.66</v>
      </c>
      <c r="C530" s="15">
        <v>17079</v>
      </c>
      <c r="D530" s="15">
        <v>87369</v>
      </c>
      <c r="E530" s="15" t="s">
        <v>438</v>
      </c>
      <c r="F530" s="15">
        <v>2011</v>
      </c>
      <c r="G530" s="15">
        <v>20110409</v>
      </c>
      <c r="H530" s="15">
        <v>7329</v>
      </c>
      <c r="I530" s="15">
        <v>0.73</v>
      </c>
      <c r="J530" s="6" t="s">
        <v>125</v>
      </c>
      <c r="K530" s="15">
        <v>260</v>
      </c>
      <c r="L530" s="15" t="s">
        <v>45</v>
      </c>
      <c r="M530" s="15" t="s">
        <v>5</v>
      </c>
      <c r="N530" s="11" t="s">
        <v>1384</v>
      </c>
      <c r="O530" s="11" t="s">
        <v>28</v>
      </c>
      <c r="P530" s="11" t="s">
        <v>29</v>
      </c>
      <c r="Q530" s="15">
        <v>95</v>
      </c>
      <c r="R530" s="11" t="s">
        <v>3</v>
      </c>
      <c r="S530" s="10">
        <v>119.3137487301</v>
      </c>
      <c r="T530" s="15">
        <v>80</v>
      </c>
      <c r="U530" s="15">
        <v>0</v>
      </c>
      <c r="V530" s="15">
        <v>0</v>
      </c>
      <c r="W530" s="15">
        <v>0</v>
      </c>
      <c r="X530" s="15">
        <f>IF(O530='Udvaskning nøgletal'!$D$65,1,IF(O530='Udvaskning nøgletal'!$D$66,2,IF(O530='Udvaskning nøgletal'!$D$67,3,IF(O530='Udvaskning nøgletal'!$D$68,2,""))))</f>
        <v>1</v>
      </c>
      <c r="Y530" s="15">
        <f>LOOKUP(K530,'Udvaskning nøgletal'!$C$12:$C$60,'Udvaskning nøgletal'!$H$12:$H$60)</f>
        <v>0</v>
      </c>
      <c r="Z530" s="10">
        <f>IF(X530=1,LOOKUP(K530,'Udvaskning nøgletal'!$C$12:$C$60,'Udvaskning nøgletal'!$E$12:$E$60)+Markniveau!Y530*Markniveau!S530/100,IF(X530=2,LOOKUP(K530,'Udvaskning nøgletal'!$C$12:$C$60,'Udvaskning nøgletal'!$F$12:$F$60)+Markniveau!Y530*Markniveau!S530/100,IF(X530=3,LOOKUP(K530,'Udvaskning nøgletal'!$C$12:$C$60,'Udvaskning nøgletal'!G540:G588)+Markniveau!Y530*Markniveau!S530/100,"")))</f>
        <v>33.723295792149436</v>
      </c>
      <c r="AA530" s="10">
        <f t="shared" si="86"/>
        <v>24.618005928269088</v>
      </c>
      <c r="AB530" s="10">
        <f t="shared" si="85"/>
        <v>1.6861647896074716</v>
      </c>
      <c r="AC530" s="10">
        <f t="shared" si="87"/>
        <v>1.2309002964134543</v>
      </c>
      <c r="AD530" s="10">
        <f>IF(AND(Q530&gt;0,Q530&lt;30,K530&lt;8),Markniveau!Z530*'Udvaskning nøgletal'!$I$12/100,IF(AND(Q530&gt;0,Q530&lt;30,K530=216),Markniveau!Z530*'Udvaskning nøgletal'!$I$34/100,Markniveau!Z530))</f>
        <v>33.723295792149436</v>
      </c>
      <c r="AE530" s="10">
        <f t="shared" si="93"/>
        <v>24.618005928269088</v>
      </c>
      <c r="AF530" s="10">
        <f t="shared" si="88"/>
        <v>1.6861647896074716</v>
      </c>
      <c r="AG530" s="10">
        <f t="shared" si="94"/>
        <v>1.2309002964134543</v>
      </c>
      <c r="AH530" s="10" t="str">
        <f>IF(AND(Q530&gt;0,Q530&lt;30,K530=216),'Udvaskning nøgletal'!$C$42,IF(AND(Q530&gt;0,Q530&lt;30,K530&gt;7,K530&lt;17),'Udvaskning nøgletal'!$C$61,IF(AND(Q530&gt;0,Q530&lt;30,K530&lt;7),'Udvaskning nøgletal'!$C$62,"")))</f>
        <v/>
      </c>
      <c r="AI530" s="10">
        <f t="shared" si="90"/>
        <v>260</v>
      </c>
      <c r="AJ530" s="10">
        <f>IF($X530=1,LOOKUP(AI530,'Udvaskning nøgletal'!$C$12:$C$62,'Udvaskning nøgletal'!$E$12:$E$62)+Markniveau!$Y530*Markniveau!$S530/100,IF($X530=2,LOOKUP(AI530,'Udvaskning nøgletal'!$C$12:$C$62,'Udvaskning nøgletal'!$F$12:$F$62)+Markniveau!$Y530*Markniveau!$S530/100,IF($X530=3,LOOKUP(AI530,'Udvaskning nøgletal'!$C$12:$C$62,'Udvaskning nøgletal'!Q540:Q590)+Markniveau!$Y530*Markniveau!$S530/100,"")))</f>
        <v>33.723295792149436</v>
      </c>
      <c r="AK530" s="10">
        <f t="shared" si="89"/>
        <v>24.618005928269088</v>
      </c>
      <c r="AL530" s="10">
        <f t="shared" si="91"/>
        <v>1.6861647896074716</v>
      </c>
      <c r="AM530" s="10">
        <f t="shared" si="92"/>
        <v>1.2309002964134543</v>
      </c>
    </row>
    <row r="531" spans="1:39" x14ac:dyDescent="0.25">
      <c r="A531" s="15">
        <v>19117537</v>
      </c>
      <c r="B531" s="15">
        <v>61.66</v>
      </c>
      <c r="C531" s="15">
        <v>17080</v>
      </c>
      <c r="D531" s="15">
        <v>87369</v>
      </c>
      <c r="E531" s="15" t="s">
        <v>438</v>
      </c>
      <c r="F531" s="15">
        <v>2011</v>
      </c>
      <c r="G531" s="15">
        <v>20110409</v>
      </c>
      <c r="H531" s="15">
        <v>47000</v>
      </c>
      <c r="I531" s="15">
        <v>4.7</v>
      </c>
      <c r="J531" s="6" t="s">
        <v>61</v>
      </c>
      <c r="K531" s="15">
        <v>30</v>
      </c>
      <c r="L531" s="15" t="s">
        <v>101</v>
      </c>
      <c r="M531" s="15" t="s">
        <v>5</v>
      </c>
      <c r="N531" s="11" t="s">
        <v>1384</v>
      </c>
      <c r="O531" s="11" t="s">
        <v>28</v>
      </c>
      <c r="P531" s="11" t="s">
        <v>29</v>
      </c>
      <c r="Q531" s="15">
        <v>95</v>
      </c>
      <c r="R531" s="11" t="s">
        <v>3</v>
      </c>
      <c r="S531" s="10">
        <v>119.3137487301</v>
      </c>
      <c r="T531" s="15">
        <v>80</v>
      </c>
      <c r="U531" s="15">
        <v>0</v>
      </c>
      <c r="V531" s="15">
        <v>0</v>
      </c>
      <c r="W531" s="15">
        <v>0</v>
      </c>
      <c r="X531" s="15">
        <f>IF(O531='Udvaskning nøgletal'!$D$65,1,IF(O531='Udvaskning nøgletal'!$D$66,2,IF(O531='Udvaskning nøgletal'!$D$67,3,IF(O531='Udvaskning nøgletal'!$D$68,2,""))))</f>
        <v>1</v>
      </c>
      <c r="Y531" s="15">
        <f>LOOKUP(K531,'Udvaskning nøgletal'!$C$12:$C$60,'Udvaskning nøgletal'!$H$12:$H$60)</f>
        <v>5</v>
      </c>
      <c r="Z531" s="10">
        <f>IF(X531=1,LOOKUP(K531,'Udvaskning nøgletal'!$C$12:$C$60,'Udvaskning nøgletal'!$E$12:$E$60)+Markniveau!Y531*Markniveau!S531/100,IF(X531=2,LOOKUP(K531,'Udvaskning nøgletal'!$C$12:$C$60,'Udvaskning nøgletal'!$F$12:$F$60)+Markniveau!Y531*Markniveau!S531/100,IF(X531=3,LOOKUP(K531,'Udvaskning nøgletal'!$C$12:$C$60,'Udvaskning nøgletal'!G541:G589)+Markniveau!Y531*Markniveau!S531/100,"")))</f>
        <v>70.62568743650499</v>
      </c>
      <c r="AA531" s="10">
        <f t="shared" si="86"/>
        <v>331.94073095157347</v>
      </c>
      <c r="AB531" s="10">
        <f t="shared" si="85"/>
        <v>3.5312843718252496</v>
      </c>
      <c r="AC531" s="10">
        <f t="shared" si="87"/>
        <v>16.597036547578675</v>
      </c>
      <c r="AD531" s="10">
        <f>IF(AND(Q531&gt;0,Q531&lt;30,K531&lt;8),Markniveau!Z531*'Udvaskning nøgletal'!$I$12/100,IF(AND(Q531&gt;0,Q531&lt;30,K531=216),Markniveau!Z531*'Udvaskning nøgletal'!$I$34/100,Markniveau!Z531))</f>
        <v>70.62568743650499</v>
      </c>
      <c r="AE531" s="10">
        <f t="shared" si="93"/>
        <v>331.94073095157347</v>
      </c>
      <c r="AF531" s="10">
        <f t="shared" si="88"/>
        <v>3.5312843718252496</v>
      </c>
      <c r="AG531" s="10">
        <f t="shared" si="94"/>
        <v>16.597036547578675</v>
      </c>
      <c r="AH531" s="10" t="str">
        <f>IF(AND(Q531&gt;0,Q531&lt;30,K531=216),'Udvaskning nøgletal'!$C$42,IF(AND(Q531&gt;0,Q531&lt;30,K531&gt;7,K531&lt;17),'Udvaskning nøgletal'!$C$61,IF(AND(Q531&gt;0,Q531&lt;30,K531&lt;7),'Udvaskning nøgletal'!$C$62,"")))</f>
        <v/>
      </c>
      <c r="AI531" s="10">
        <f t="shared" si="90"/>
        <v>30</v>
      </c>
      <c r="AJ531" s="10">
        <f>IF($X531=1,LOOKUP(AI531,'Udvaskning nøgletal'!$C$12:$C$62,'Udvaskning nøgletal'!$E$12:$E$62)+Markniveau!$Y531*Markniveau!$S531/100,IF($X531=2,LOOKUP(AI531,'Udvaskning nøgletal'!$C$12:$C$62,'Udvaskning nøgletal'!$F$12:$F$62)+Markniveau!$Y531*Markniveau!$S531/100,IF($X531=3,LOOKUP(AI531,'Udvaskning nøgletal'!$C$12:$C$62,'Udvaskning nøgletal'!Q541:Q591)+Markniveau!$Y531*Markniveau!$S531/100,"")))</f>
        <v>70.62568743650499</v>
      </c>
      <c r="AK531" s="10">
        <f t="shared" si="89"/>
        <v>331.94073095157347</v>
      </c>
      <c r="AL531" s="10">
        <f t="shared" si="91"/>
        <v>3.5312843718252496</v>
      </c>
      <c r="AM531" s="10">
        <f t="shared" si="92"/>
        <v>16.597036547578675</v>
      </c>
    </row>
    <row r="532" spans="1:39" x14ac:dyDescent="0.25">
      <c r="A532" s="15">
        <v>19117537</v>
      </c>
      <c r="B532" s="15">
        <v>61.66</v>
      </c>
      <c r="C532" s="15">
        <v>17610</v>
      </c>
      <c r="D532" s="15">
        <v>87369</v>
      </c>
      <c r="E532" s="15" t="s">
        <v>439</v>
      </c>
      <c r="F532" s="15">
        <v>2011</v>
      </c>
      <c r="G532" s="15">
        <v>20110409</v>
      </c>
      <c r="H532" s="15">
        <v>3789</v>
      </c>
      <c r="I532" s="15">
        <v>0.38</v>
      </c>
      <c r="J532" s="6" t="s">
        <v>144</v>
      </c>
      <c r="K532" s="15">
        <v>230</v>
      </c>
      <c r="L532" s="15" t="s">
        <v>120</v>
      </c>
      <c r="M532" s="15" t="s">
        <v>5</v>
      </c>
      <c r="N532" s="11" t="s">
        <v>1384</v>
      </c>
      <c r="O532" s="11" t="s">
        <v>28</v>
      </c>
      <c r="P532" s="11" t="s">
        <v>29</v>
      </c>
      <c r="Q532" s="15">
        <v>95</v>
      </c>
      <c r="R532" s="11" t="s">
        <v>3</v>
      </c>
      <c r="S532" s="10">
        <v>119.3137487301</v>
      </c>
      <c r="T532" s="15">
        <v>80</v>
      </c>
      <c r="U532" s="15">
        <v>0</v>
      </c>
      <c r="V532" s="15">
        <v>0</v>
      </c>
      <c r="W532" s="15">
        <v>0</v>
      </c>
      <c r="X532" s="15">
        <f>IF(O532='Udvaskning nøgletal'!$D$65,1,IF(O532='Udvaskning nøgletal'!$D$66,2,IF(O532='Udvaskning nøgletal'!$D$67,3,IF(O532='Udvaskning nøgletal'!$D$68,2,""))))</f>
        <v>1</v>
      </c>
      <c r="Y532" s="15">
        <f>LOOKUP(K532,'Udvaskning nøgletal'!$C$12:$C$60,'Udvaskning nøgletal'!$H$12:$H$60)</f>
        <v>0</v>
      </c>
      <c r="Z532" s="10">
        <f>IF(X532=1,LOOKUP(K532,'Udvaskning nøgletal'!$C$12:$C$60,'Udvaskning nøgletal'!$E$12:$E$60)+Markniveau!Y532*Markniveau!S532/100,IF(X532=2,LOOKUP(K532,'Udvaskning nøgletal'!$C$12:$C$60,'Udvaskning nøgletal'!$F$12:$F$60)+Markniveau!Y532*Markniveau!S532/100,IF(X532=3,LOOKUP(K532,'Udvaskning nøgletal'!$C$12:$C$60,'Udvaskning nøgletal'!G542:G590)+Markniveau!Y532*Markniveau!S532/100,"")))</f>
        <v>38.620385460262987</v>
      </c>
      <c r="AA532" s="10">
        <f t="shared" si="86"/>
        <v>14.675746474899935</v>
      </c>
      <c r="AB532" s="10">
        <f t="shared" si="85"/>
        <v>1.9310192730131492</v>
      </c>
      <c r="AC532" s="10">
        <f t="shared" si="87"/>
        <v>0.73378732374499667</v>
      </c>
      <c r="AD532" s="10">
        <f>IF(AND(Q532&gt;0,Q532&lt;30,K532&lt;8),Markniveau!Z532*'Udvaskning nøgletal'!$I$12/100,IF(AND(Q532&gt;0,Q532&lt;30,K532=216),Markniveau!Z532*'Udvaskning nøgletal'!$I$34/100,Markniveau!Z532))</f>
        <v>38.620385460262987</v>
      </c>
      <c r="AE532" s="10">
        <f t="shared" si="93"/>
        <v>14.675746474899935</v>
      </c>
      <c r="AF532" s="10">
        <f t="shared" si="88"/>
        <v>1.9310192730131492</v>
      </c>
      <c r="AG532" s="10">
        <f t="shared" si="94"/>
        <v>0.73378732374499667</v>
      </c>
      <c r="AH532" s="10" t="str">
        <f>IF(AND(Q532&gt;0,Q532&lt;30,K532=216),'Udvaskning nøgletal'!$C$42,IF(AND(Q532&gt;0,Q532&lt;30,K532&gt;7,K532&lt;17),'Udvaskning nøgletal'!$C$61,IF(AND(Q532&gt;0,Q532&lt;30,K532&lt;7),'Udvaskning nøgletal'!$C$62,"")))</f>
        <v/>
      </c>
      <c r="AI532" s="10">
        <f t="shared" si="90"/>
        <v>230</v>
      </c>
      <c r="AJ532" s="10">
        <f>IF($X532=1,LOOKUP(AI532,'Udvaskning nøgletal'!$C$12:$C$62,'Udvaskning nøgletal'!$E$12:$E$62)+Markniveau!$Y532*Markniveau!$S532/100,IF($X532=2,LOOKUP(AI532,'Udvaskning nøgletal'!$C$12:$C$62,'Udvaskning nøgletal'!$F$12:$F$62)+Markniveau!$Y532*Markniveau!$S532/100,IF($X532=3,LOOKUP(AI532,'Udvaskning nøgletal'!$C$12:$C$62,'Udvaskning nøgletal'!Q542:Q592)+Markniveau!$Y532*Markniveau!$S532/100,"")))</f>
        <v>38.620385460262987</v>
      </c>
      <c r="AK532" s="10">
        <f t="shared" si="89"/>
        <v>14.675746474899935</v>
      </c>
      <c r="AL532" s="10">
        <f t="shared" si="91"/>
        <v>1.9310192730131492</v>
      </c>
      <c r="AM532" s="10">
        <f t="shared" si="92"/>
        <v>0.73378732374499667</v>
      </c>
    </row>
    <row r="533" spans="1:39" x14ac:dyDescent="0.25">
      <c r="A533" s="15">
        <v>19117537</v>
      </c>
      <c r="B533" s="15">
        <v>61.66</v>
      </c>
      <c r="C533" s="15">
        <v>17611</v>
      </c>
      <c r="D533" s="15">
        <v>87369</v>
      </c>
      <c r="E533" s="15" t="s">
        <v>440</v>
      </c>
      <c r="F533" s="15">
        <v>2011</v>
      </c>
      <c r="G533" s="15">
        <v>20110409</v>
      </c>
      <c r="H533" s="15">
        <v>7114</v>
      </c>
      <c r="I533" s="15">
        <v>0.71</v>
      </c>
      <c r="J533" s="6" t="s">
        <v>173</v>
      </c>
      <c r="K533" s="15">
        <v>230</v>
      </c>
      <c r="L533" s="15" t="s">
        <v>120</v>
      </c>
      <c r="M533" s="15" t="s">
        <v>5</v>
      </c>
      <c r="N533" s="11" t="s">
        <v>1384</v>
      </c>
      <c r="O533" s="11" t="s">
        <v>28</v>
      </c>
      <c r="P533" s="11" t="s">
        <v>29</v>
      </c>
      <c r="Q533" s="15">
        <v>95</v>
      </c>
      <c r="R533" s="11" t="s">
        <v>3</v>
      </c>
      <c r="S533" s="10">
        <v>119.3137487301</v>
      </c>
      <c r="T533" s="15">
        <v>80</v>
      </c>
      <c r="U533" s="15">
        <v>0</v>
      </c>
      <c r="V533" s="15">
        <v>0</v>
      </c>
      <c r="W533" s="15">
        <v>0</v>
      </c>
      <c r="X533" s="15">
        <f>IF(O533='Udvaskning nøgletal'!$D$65,1,IF(O533='Udvaskning nøgletal'!$D$66,2,IF(O533='Udvaskning nøgletal'!$D$67,3,IF(O533='Udvaskning nøgletal'!$D$68,2,""))))</f>
        <v>1</v>
      </c>
      <c r="Y533" s="15">
        <f>LOOKUP(K533,'Udvaskning nøgletal'!$C$12:$C$60,'Udvaskning nøgletal'!$H$12:$H$60)</f>
        <v>0</v>
      </c>
      <c r="Z533" s="10">
        <f>IF(X533=1,LOOKUP(K533,'Udvaskning nøgletal'!$C$12:$C$60,'Udvaskning nøgletal'!$E$12:$E$60)+Markniveau!Y533*Markniveau!S533/100,IF(X533=2,LOOKUP(K533,'Udvaskning nøgletal'!$C$12:$C$60,'Udvaskning nøgletal'!$F$12:$F$60)+Markniveau!Y533*Markniveau!S533/100,IF(X533=3,LOOKUP(K533,'Udvaskning nøgletal'!$C$12:$C$60,'Udvaskning nøgletal'!G543:G591)+Markniveau!Y533*Markniveau!S533/100,"")))</f>
        <v>38.620385460262987</v>
      </c>
      <c r="AA533" s="10">
        <f t="shared" si="86"/>
        <v>27.42047367678672</v>
      </c>
      <c r="AB533" s="10">
        <f t="shared" si="85"/>
        <v>1.9310192730131492</v>
      </c>
      <c r="AC533" s="10">
        <f t="shared" si="87"/>
        <v>1.3710236838393359</v>
      </c>
      <c r="AD533" s="10">
        <f>IF(AND(Q533&gt;0,Q533&lt;30,K533&lt;8),Markniveau!Z533*'Udvaskning nøgletal'!$I$12/100,IF(AND(Q533&gt;0,Q533&lt;30,K533=216),Markniveau!Z533*'Udvaskning nøgletal'!$I$34/100,Markniveau!Z533))</f>
        <v>38.620385460262987</v>
      </c>
      <c r="AE533" s="10">
        <f t="shared" si="93"/>
        <v>27.42047367678672</v>
      </c>
      <c r="AF533" s="10">
        <f t="shared" si="88"/>
        <v>1.9310192730131492</v>
      </c>
      <c r="AG533" s="10">
        <f t="shared" si="94"/>
        <v>1.3710236838393359</v>
      </c>
      <c r="AH533" s="10" t="str">
        <f>IF(AND(Q533&gt;0,Q533&lt;30,K533=216),'Udvaskning nøgletal'!$C$42,IF(AND(Q533&gt;0,Q533&lt;30,K533&gt;7,K533&lt;17),'Udvaskning nøgletal'!$C$61,IF(AND(Q533&gt;0,Q533&lt;30,K533&lt;7),'Udvaskning nøgletal'!$C$62,"")))</f>
        <v/>
      </c>
      <c r="AI533" s="10">
        <f t="shared" si="90"/>
        <v>230</v>
      </c>
      <c r="AJ533" s="10">
        <f>IF($X533=1,LOOKUP(AI533,'Udvaskning nøgletal'!$C$12:$C$62,'Udvaskning nøgletal'!$E$12:$E$62)+Markniveau!$Y533*Markniveau!$S533/100,IF($X533=2,LOOKUP(AI533,'Udvaskning nøgletal'!$C$12:$C$62,'Udvaskning nøgletal'!$F$12:$F$62)+Markniveau!$Y533*Markniveau!$S533/100,IF($X533=3,LOOKUP(AI533,'Udvaskning nøgletal'!$C$12:$C$62,'Udvaskning nøgletal'!Q543:Q593)+Markniveau!$Y533*Markniveau!$S533/100,"")))</f>
        <v>38.620385460262987</v>
      </c>
      <c r="AK533" s="10">
        <f t="shared" si="89"/>
        <v>27.42047367678672</v>
      </c>
      <c r="AL533" s="10">
        <f t="shared" si="91"/>
        <v>1.9310192730131492</v>
      </c>
      <c r="AM533" s="10">
        <f t="shared" si="92"/>
        <v>1.3710236838393359</v>
      </c>
    </row>
    <row r="534" spans="1:39" x14ac:dyDescent="0.25">
      <c r="A534" s="15">
        <v>19117537</v>
      </c>
      <c r="B534" s="15">
        <v>61.66</v>
      </c>
      <c r="C534" s="15">
        <v>17612</v>
      </c>
      <c r="D534" s="15">
        <v>87369</v>
      </c>
      <c r="E534" s="15" t="s">
        <v>440</v>
      </c>
      <c r="F534" s="15">
        <v>2011</v>
      </c>
      <c r="G534" s="15">
        <v>20110409</v>
      </c>
      <c r="H534" s="15">
        <v>33409</v>
      </c>
      <c r="I534" s="15">
        <v>3.34</v>
      </c>
      <c r="J534" s="6" t="s">
        <v>26</v>
      </c>
      <c r="K534" s="15">
        <v>11</v>
      </c>
      <c r="L534" s="15" t="s">
        <v>102</v>
      </c>
      <c r="M534" s="15" t="s">
        <v>5</v>
      </c>
      <c r="N534" s="11" t="s">
        <v>1384</v>
      </c>
      <c r="O534" s="11" t="s">
        <v>28</v>
      </c>
      <c r="P534" s="11" t="s">
        <v>29</v>
      </c>
      <c r="Q534" s="15">
        <v>95</v>
      </c>
      <c r="R534" s="11" t="s">
        <v>3</v>
      </c>
      <c r="S534" s="10">
        <v>119.3137487301</v>
      </c>
      <c r="T534" s="15">
        <v>80</v>
      </c>
      <c r="U534" s="15">
        <v>0</v>
      </c>
      <c r="V534" s="15">
        <v>0</v>
      </c>
      <c r="W534" s="15">
        <v>0</v>
      </c>
      <c r="X534" s="15">
        <f>IF(O534='Udvaskning nøgletal'!$D$65,1,IF(O534='Udvaskning nøgletal'!$D$66,2,IF(O534='Udvaskning nøgletal'!$D$67,3,IF(O534='Udvaskning nøgletal'!$D$68,2,""))))</f>
        <v>1</v>
      </c>
      <c r="Y534" s="15">
        <f>LOOKUP(K534,'Udvaskning nøgletal'!$C$12:$C$60,'Udvaskning nøgletal'!$H$12:$H$60)</f>
        <v>5</v>
      </c>
      <c r="Z534" s="10">
        <f>IF(X534=1,LOOKUP(K534,'Udvaskning nøgletal'!$C$12:$C$60,'Udvaskning nøgletal'!$E$12:$E$60)+Markniveau!Y534*Markniveau!S534/100,IF(X534=2,LOOKUP(K534,'Udvaskning nøgletal'!$C$12:$C$60,'Udvaskning nøgletal'!$F$12:$F$60)+Markniveau!Y534*Markniveau!S534/100,IF(X534=3,LOOKUP(K534,'Udvaskning nøgletal'!$C$12:$C$60,'Udvaskning nøgletal'!G544:G592)+Markniveau!Y534*Markniveau!S534/100,"")))</f>
        <v>70.62568743650499</v>
      </c>
      <c r="AA534" s="10">
        <f t="shared" si="86"/>
        <v>235.88979603792666</v>
      </c>
      <c r="AB534" s="10">
        <f t="shared" si="85"/>
        <v>3.5312843718252496</v>
      </c>
      <c r="AC534" s="10">
        <f t="shared" si="87"/>
        <v>11.794489801896333</v>
      </c>
      <c r="AD534" s="10">
        <f>IF(AND(Q534&gt;0,Q534&lt;30,K534&lt;8),Markniveau!Z534*'Udvaskning nøgletal'!$I$12/100,IF(AND(Q534&gt;0,Q534&lt;30,K534=216),Markniveau!Z534*'Udvaskning nøgletal'!$I$34/100,Markniveau!Z534))</f>
        <v>70.62568743650499</v>
      </c>
      <c r="AE534" s="10">
        <f t="shared" si="93"/>
        <v>235.88979603792666</v>
      </c>
      <c r="AF534" s="10">
        <f t="shared" si="88"/>
        <v>3.5312843718252496</v>
      </c>
      <c r="AG534" s="10">
        <f t="shared" si="94"/>
        <v>11.794489801896333</v>
      </c>
      <c r="AH534" s="10" t="str">
        <f>IF(AND(Q534&gt;0,Q534&lt;30,K534=216),'Udvaskning nøgletal'!$C$42,IF(AND(Q534&gt;0,Q534&lt;30,K534&gt;7,K534&lt;17),'Udvaskning nøgletal'!$C$61,IF(AND(Q534&gt;0,Q534&lt;30,K534&lt;7),'Udvaskning nøgletal'!$C$62,"")))</f>
        <v/>
      </c>
      <c r="AI534" s="10">
        <f t="shared" si="90"/>
        <v>11</v>
      </c>
      <c r="AJ534" s="10">
        <f>IF($X534=1,LOOKUP(AI534,'Udvaskning nøgletal'!$C$12:$C$62,'Udvaskning nøgletal'!$E$12:$E$62)+Markniveau!$Y534*Markniveau!$S534/100,IF($X534=2,LOOKUP(AI534,'Udvaskning nøgletal'!$C$12:$C$62,'Udvaskning nøgletal'!$F$12:$F$62)+Markniveau!$Y534*Markniveau!$S534/100,IF($X534=3,LOOKUP(AI534,'Udvaskning nøgletal'!$C$12:$C$62,'Udvaskning nøgletal'!Q544:Q594)+Markniveau!$Y534*Markniveau!$S534/100,"")))</f>
        <v>70.62568743650499</v>
      </c>
      <c r="AK534" s="10">
        <f t="shared" si="89"/>
        <v>235.88979603792666</v>
      </c>
      <c r="AL534" s="10">
        <f t="shared" si="91"/>
        <v>3.5312843718252496</v>
      </c>
      <c r="AM534" s="10">
        <f t="shared" si="92"/>
        <v>11.794489801896333</v>
      </c>
    </row>
    <row r="535" spans="1:39" x14ac:dyDescent="0.25">
      <c r="A535" s="15">
        <v>19117537</v>
      </c>
      <c r="B535" s="15">
        <v>61.66</v>
      </c>
      <c r="C535" s="15">
        <v>17614</v>
      </c>
      <c r="D535" s="15">
        <v>87369</v>
      </c>
      <c r="E535" s="15" t="s">
        <v>441</v>
      </c>
      <c r="F535" s="15">
        <v>2011</v>
      </c>
      <c r="G535" s="15">
        <v>20110409</v>
      </c>
      <c r="H535" s="15">
        <v>20173</v>
      </c>
      <c r="I535" s="15">
        <v>2.02</v>
      </c>
      <c r="J535" s="6" t="s">
        <v>73</v>
      </c>
      <c r="K535" s="15">
        <v>11</v>
      </c>
      <c r="L535" s="15" t="s">
        <v>102</v>
      </c>
      <c r="M535" s="15" t="s">
        <v>5</v>
      </c>
      <c r="N535" s="11" t="s">
        <v>1384</v>
      </c>
      <c r="O535" s="11" t="s">
        <v>28</v>
      </c>
      <c r="P535" s="11" t="s">
        <v>29</v>
      </c>
      <c r="Q535" s="15">
        <v>95</v>
      </c>
      <c r="R535" s="11" t="s">
        <v>3</v>
      </c>
      <c r="S535" s="10">
        <v>119.3137487301</v>
      </c>
      <c r="T535" s="15">
        <v>80</v>
      </c>
      <c r="U535" s="15">
        <v>0</v>
      </c>
      <c r="V535" s="15">
        <v>0</v>
      </c>
      <c r="W535" s="15">
        <v>0</v>
      </c>
      <c r="X535" s="15">
        <f>IF(O535='Udvaskning nøgletal'!$D$65,1,IF(O535='Udvaskning nøgletal'!$D$66,2,IF(O535='Udvaskning nøgletal'!$D$67,3,IF(O535='Udvaskning nøgletal'!$D$68,2,""))))</f>
        <v>1</v>
      </c>
      <c r="Y535" s="15">
        <f>LOOKUP(K535,'Udvaskning nøgletal'!$C$12:$C$60,'Udvaskning nøgletal'!$H$12:$H$60)</f>
        <v>5</v>
      </c>
      <c r="Z535" s="10">
        <f>IF(X535=1,LOOKUP(K535,'Udvaskning nøgletal'!$C$12:$C$60,'Udvaskning nøgletal'!$E$12:$E$60)+Markniveau!Y535*Markniveau!S535/100,IF(X535=2,LOOKUP(K535,'Udvaskning nøgletal'!$C$12:$C$60,'Udvaskning nøgletal'!$F$12:$F$60)+Markniveau!Y535*Markniveau!S535/100,IF(X535=3,LOOKUP(K535,'Udvaskning nøgletal'!$C$12:$C$60,'Udvaskning nøgletal'!G545:G593)+Markniveau!Y535*Markniveau!S535/100,"")))</f>
        <v>70.62568743650499</v>
      </c>
      <c r="AA535" s="10">
        <f t="shared" si="86"/>
        <v>142.66388862174009</v>
      </c>
      <c r="AB535" s="10">
        <f t="shared" si="85"/>
        <v>3.5312843718252496</v>
      </c>
      <c r="AC535" s="10">
        <f t="shared" si="87"/>
        <v>7.1331944310870039</v>
      </c>
      <c r="AD535" s="10">
        <f>IF(AND(Q535&gt;0,Q535&lt;30,K535&lt;8),Markniveau!Z535*'Udvaskning nøgletal'!$I$12/100,IF(AND(Q535&gt;0,Q535&lt;30,K535=216),Markniveau!Z535*'Udvaskning nøgletal'!$I$34/100,Markniveau!Z535))</f>
        <v>70.62568743650499</v>
      </c>
      <c r="AE535" s="10">
        <f t="shared" si="93"/>
        <v>142.66388862174009</v>
      </c>
      <c r="AF535" s="10">
        <f t="shared" si="88"/>
        <v>3.5312843718252496</v>
      </c>
      <c r="AG535" s="10">
        <f t="shared" si="94"/>
        <v>7.1331944310870039</v>
      </c>
      <c r="AH535" s="10" t="str">
        <f>IF(AND(Q535&gt;0,Q535&lt;30,K535=216),'Udvaskning nøgletal'!$C$42,IF(AND(Q535&gt;0,Q535&lt;30,K535&gt;7,K535&lt;17),'Udvaskning nøgletal'!$C$61,IF(AND(Q535&gt;0,Q535&lt;30,K535&lt;7),'Udvaskning nøgletal'!$C$62,"")))</f>
        <v/>
      </c>
      <c r="AI535" s="10">
        <f t="shared" si="90"/>
        <v>11</v>
      </c>
      <c r="AJ535" s="10">
        <f>IF($X535=1,LOOKUP(AI535,'Udvaskning nøgletal'!$C$12:$C$62,'Udvaskning nøgletal'!$E$12:$E$62)+Markniveau!$Y535*Markniveau!$S535/100,IF($X535=2,LOOKUP(AI535,'Udvaskning nøgletal'!$C$12:$C$62,'Udvaskning nøgletal'!$F$12:$F$62)+Markniveau!$Y535*Markniveau!$S535/100,IF($X535=3,LOOKUP(AI535,'Udvaskning nøgletal'!$C$12:$C$62,'Udvaskning nøgletal'!Q545:Q595)+Markniveau!$Y535*Markniveau!$S535/100,"")))</f>
        <v>70.62568743650499</v>
      </c>
      <c r="AK535" s="10">
        <f t="shared" si="89"/>
        <v>142.66388862174009</v>
      </c>
      <c r="AL535" s="10">
        <f t="shared" si="91"/>
        <v>3.5312843718252496</v>
      </c>
      <c r="AM535" s="10">
        <f t="shared" si="92"/>
        <v>7.1331944310870039</v>
      </c>
    </row>
    <row r="536" spans="1:39" x14ac:dyDescent="0.25">
      <c r="A536" s="15">
        <v>19117537</v>
      </c>
      <c r="B536" s="15">
        <v>61.66</v>
      </c>
      <c r="C536" s="15">
        <v>17615</v>
      </c>
      <c r="D536" s="15">
        <v>87369</v>
      </c>
      <c r="E536" s="15" t="s">
        <v>442</v>
      </c>
      <c r="F536" s="15">
        <v>2011</v>
      </c>
      <c r="G536" s="15">
        <v>20110409</v>
      </c>
      <c r="H536" s="15">
        <v>6728</v>
      </c>
      <c r="I536" s="15">
        <v>0.67</v>
      </c>
      <c r="J536" s="6" t="s">
        <v>122</v>
      </c>
      <c r="K536" s="15">
        <v>11</v>
      </c>
      <c r="L536" s="15" t="s">
        <v>102</v>
      </c>
      <c r="M536" s="15" t="s">
        <v>5</v>
      </c>
      <c r="N536" s="11" t="s">
        <v>1384</v>
      </c>
      <c r="O536" s="11" t="s">
        <v>28</v>
      </c>
      <c r="P536" s="11" t="s">
        <v>29</v>
      </c>
      <c r="Q536" s="15">
        <v>95</v>
      </c>
      <c r="R536" s="11" t="s">
        <v>3</v>
      </c>
      <c r="S536" s="10">
        <v>119.3137487301</v>
      </c>
      <c r="T536" s="15">
        <v>80</v>
      </c>
      <c r="U536" s="15">
        <v>0</v>
      </c>
      <c r="V536" s="15">
        <v>0</v>
      </c>
      <c r="W536" s="15">
        <v>0</v>
      </c>
      <c r="X536" s="15">
        <f>IF(O536='Udvaskning nøgletal'!$D$65,1,IF(O536='Udvaskning nøgletal'!$D$66,2,IF(O536='Udvaskning nøgletal'!$D$67,3,IF(O536='Udvaskning nøgletal'!$D$68,2,""))))</f>
        <v>1</v>
      </c>
      <c r="Y536" s="15">
        <f>LOOKUP(K536,'Udvaskning nøgletal'!$C$12:$C$60,'Udvaskning nøgletal'!$H$12:$H$60)</f>
        <v>5</v>
      </c>
      <c r="Z536" s="10">
        <f>IF(X536=1,LOOKUP(K536,'Udvaskning nøgletal'!$C$12:$C$60,'Udvaskning nøgletal'!$E$12:$E$60)+Markniveau!Y536*Markniveau!S536/100,IF(X536=2,LOOKUP(K536,'Udvaskning nøgletal'!$C$12:$C$60,'Udvaskning nøgletal'!$F$12:$F$60)+Markniveau!Y536*Markniveau!S536/100,IF(X536=3,LOOKUP(K536,'Udvaskning nøgletal'!$C$12:$C$60,'Udvaskning nøgletal'!G546:G594)+Markniveau!Y536*Markniveau!S536/100,"")))</f>
        <v>70.62568743650499</v>
      </c>
      <c r="AA536" s="10">
        <f t="shared" si="86"/>
        <v>47.319210582458346</v>
      </c>
      <c r="AB536" s="10">
        <f t="shared" si="85"/>
        <v>3.5312843718252496</v>
      </c>
      <c r="AC536" s="10">
        <f t="shared" si="87"/>
        <v>2.3659605291229173</v>
      </c>
      <c r="AD536" s="10">
        <f>IF(AND(Q536&gt;0,Q536&lt;30,K536&lt;8),Markniveau!Z536*'Udvaskning nøgletal'!$I$12/100,IF(AND(Q536&gt;0,Q536&lt;30,K536=216),Markniveau!Z536*'Udvaskning nøgletal'!$I$34/100,Markniveau!Z536))</f>
        <v>70.62568743650499</v>
      </c>
      <c r="AE536" s="10">
        <f t="shared" si="93"/>
        <v>47.319210582458346</v>
      </c>
      <c r="AF536" s="10">
        <f t="shared" si="88"/>
        <v>3.5312843718252496</v>
      </c>
      <c r="AG536" s="10">
        <f t="shared" si="94"/>
        <v>2.3659605291229173</v>
      </c>
      <c r="AH536" s="10" t="str">
        <f>IF(AND(Q536&gt;0,Q536&lt;30,K536=216),'Udvaskning nøgletal'!$C$42,IF(AND(Q536&gt;0,Q536&lt;30,K536&gt;7,K536&lt;17),'Udvaskning nøgletal'!$C$61,IF(AND(Q536&gt;0,Q536&lt;30,K536&lt;7),'Udvaskning nøgletal'!$C$62,"")))</f>
        <v/>
      </c>
      <c r="AI536" s="10">
        <f t="shared" si="90"/>
        <v>11</v>
      </c>
      <c r="AJ536" s="10">
        <f>IF($X536=1,LOOKUP(AI536,'Udvaskning nøgletal'!$C$12:$C$62,'Udvaskning nøgletal'!$E$12:$E$62)+Markniveau!$Y536*Markniveau!$S536/100,IF($X536=2,LOOKUP(AI536,'Udvaskning nøgletal'!$C$12:$C$62,'Udvaskning nøgletal'!$F$12:$F$62)+Markniveau!$Y536*Markniveau!$S536/100,IF($X536=3,LOOKUP(AI536,'Udvaskning nøgletal'!$C$12:$C$62,'Udvaskning nøgletal'!Q546:Q596)+Markniveau!$Y536*Markniveau!$S536/100,"")))</f>
        <v>70.62568743650499</v>
      </c>
      <c r="AK536" s="10">
        <f t="shared" si="89"/>
        <v>47.319210582458346</v>
      </c>
      <c r="AL536" s="10">
        <f t="shared" si="91"/>
        <v>3.5312843718252496</v>
      </c>
      <c r="AM536" s="10">
        <f t="shared" si="92"/>
        <v>2.3659605291229173</v>
      </c>
    </row>
    <row r="537" spans="1:39" x14ac:dyDescent="0.25">
      <c r="A537" s="15">
        <v>19117537</v>
      </c>
      <c r="B537" s="15">
        <v>61.66</v>
      </c>
      <c r="C537" s="15">
        <v>21951</v>
      </c>
      <c r="D537" s="15">
        <v>87369</v>
      </c>
      <c r="E537" s="15" t="s">
        <v>440</v>
      </c>
      <c r="F537" s="15">
        <v>2011</v>
      </c>
      <c r="G537" s="15">
        <v>20110409</v>
      </c>
      <c r="H537" s="15">
        <v>5877</v>
      </c>
      <c r="I537" s="15">
        <v>0.59</v>
      </c>
      <c r="J537" s="6" t="s">
        <v>164</v>
      </c>
      <c r="K537" s="15">
        <v>230</v>
      </c>
      <c r="L537" s="15" t="s">
        <v>120</v>
      </c>
      <c r="M537" s="15" t="s">
        <v>5</v>
      </c>
      <c r="N537" s="11" t="s">
        <v>1384</v>
      </c>
      <c r="O537" s="11" t="s">
        <v>28</v>
      </c>
      <c r="P537" s="11" t="s">
        <v>29</v>
      </c>
      <c r="Q537" s="15">
        <v>95</v>
      </c>
      <c r="R537" s="11" t="s">
        <v>3</v>
      </c>
      <c r="S537" s="10">
        <v>119.3137487301</v>
      </c>
      <c r="T537" s="15">
        <v>80</v>
      </c>
      <c r="U537" s="15">
        <v>0</v>
      </c>
      <c r="V537" s="15">
        <v>0</v>
      </c>
      <c r="W537" s="15">
        <v>0</v>
      </c>
      <c r="X537" s="15">
        <f>IF(O537='Udvaskning nøgletal'!$D$65,1,IF(O537='Udvaskning nøgletal'!$D$66,2,IF(O537='Udvaskning nøgletal'!$D$67,3,IF(O537='Udvaskning nøgletal'!$D$68,2,""))))</f>
        <v>1</v>
      </c>
      <c r="Y537" s="15">
        <f>LOOKUP(K537,'Udvaskning nøgletal'!$C$12:$C$60,'Udvaskning nøgletal'!$H$12:$H$60)</f>
        <v>0</v>
      </c>
      <c r="Z537" s="10">
        <f>IF(X537=1,LOOKUP(K537,'Udvaskning nøgletal'!$C$12:$C$60,'Udvaskning nøgletal'!$E$12:$E$60)+Markniveau!Y537*Markniveau!S537/100,IF(X537=2,LOOKUP(K537,'Udvaskning nøgletal'!$C$12:$C$60,'Udvaskning nøgletal'!$F$12:$F$60)+Markniveau!Y537*Markniveau!S537/100,IF(X537=3,LOOKUP(K537,'Udvaskning nøgletal'!$C$12:$C$60,'Udvaskning nøgletal'!G547:G595)+Markniveau!Y537*Markniveau!S537/100,"")))</f>
        <v>38.620385460262987</v>
      </c>
      <c r="AA537" s="10">
        <f t="shared" si="86"/>
        <v>22.786027421555161</v>
      </c>
      <c r="AB537" s="10">
        <f t="shared" si="85"/>
        <v>1.9310192730131492</v>
      </c>
      <c r="AC537" s="10">
        <f t="shared" si="87"/>
        <v>1.139301371077758</v>
      </c>
      <c r="AD537" s="10">
        <f>IF(AND(Q537&gt;0,Q537&lt;30,K537&lt;8),Markniveau!Z537*'Udvaskning nøgletal'!$I$12/100,IF(AND(Q537&gt;0,Q537&lt;30,K537=216),Markniveau!Z537*'Udvaskning nøgletal'!$I$34/100,Markniveau!Z537))</f>
        <v>38.620385460262987</v>
      </c>
      <c r="AE537" s="10">
        <f t="shared" si="93"/>
        <v>22.786027421555161</v>
      </c>
      <c r="AF537" s="10">
        <f t="shared" si="88"/>
        <v>1.9310192730131492</v>
      </c>
      <c r="AG537" s="10">
        <f t="shared" si="94"/>
        <v>1.139301371077758</v>
      </c>
      <c r="AH537" s="10" t="str">
        <f>IF(AND(Q537&gt;0,Q537&lt;30,K537=216),'Udvaskning nøgletal'!$C$42,IF(AND(Q537&gt;0,Q537&lt;30,K537&gt;7,K537&lt;17),'Udvaskning nøgletal'!$C$61,IF(AND(Q537&gt;0,Q537&lt;30,K537&lt;7),'Udvaskning nøgletal'!$C$62,"")))</f>
        <v/>
      </c>
      <c r="AI537" s="10">
        <f t="shared" si="90"/>
        <v>230</v>
      </c>
      <c r="AJ537" s="10">
        <f>IF($X537=1,LOOKUP(AI537,'Udvaskning nøgletal'!$C$12:$C$62,'Udvaskning nøgletal'!$E$12:$E$62)+Markniveau!$Y537*Markniveau!$S537/100,IF($X537=2,LOOKUP(AI537,'Udvaskning nøgletal'!$C$12:$C$62,'Udvaskning nøgletal'!$F$12:$F$62)+Markniveau!$Y537*Markniveau!$S537/100,IF($X537=3,LOOKUP(AI537,'Udvaskning nøgletal'!$C$12:$C$62,'Udvaskning nøgletal'!Q547:Q597)+Markniveau!$Y537*Markniveau!$S537/100,"")))</f>
        <v>38.620385460262987</v>
      </c>
      <c r="AK537" s="10">
        <f t="shared" si="89"/>
        <v>22.786027421555161</v>
      </c>
      <c r="AL537" s="10">
        <f t="shared" si="91"/>
        <v>1.9310192730131492</v>
      </c>
      <c r="AM537" s="10">
        <f t="shared" si="92"/>
        <v>1.139301371077758</v>
      </c>
    </row>
    <row r="538" spans="1:39" x14ac:dyDescent="0.25">
      <c r="A538" s="15">
        <v>19117537</v>
      </c>
      <c r="B538" s="15">
        <v>61.66</v>
      </c>
      <c r="C538" s="15">
        <v>44694</v>
      </c>
      <c r="D538" s="15">
        <v>87369</v>
      </c>
      <c r="E538" s="15" t="s">
        <v>438</v>
      </c>
      <c r="F538" s="15">
        <v>2011</v>
      </c>
      <c r="G538" s="15">
        <v>20110409</v>
      </c>
      <c r="H538" s="15">
        <v>57186</v>
      </c>
      <c r="I538" s="15">
        <v>5.72</v>
      </c>
      <c r="J538" s="6" t="s">
        <v>36</v>
      </c>
      <c r="K538" s="15">
        <v>1</v>
      </c>
      <c r="L538" s="15" t="s">
        <v>32</v>
      </c>
      <c r="M538" s="15" t="s">
        <v>5</v>
      </c>
      <c r="N538" s="11" t="s">
        <v>1384</v>
      </c>
      <c r="O538" s="11" t="s">
        <v>28</v>
      </c>
      <c r="P538" s="11" t="s">
        <v>29</v>
      </c>
      <c r="Q538" s="15">
        <v>95</v>
      </c>
      <c r="R538" s="11" t="s">
        <v>3</v>
      </c>
      <c r="S538" s="10">
        <v>119.3137487301</v>
      </c>
      <c r="T538" s="15">
        <v>80</v>
      </c>
      <c r="U538" s="15">
        <v>0</v>
      </c>
      <c r="V538" s="15">
        <v>0</v>
      </c>
      <c r="W538" s="15">
        <v>0</v>
      </c>
      <c r="X538" s="15">
        <f>IF(O538='Udvaskning nøgletal'!$D$65,1,IF(O538='Udvaskning nøgletal'!$D$66,2,IF(O538='Udvaskning nøgletal'!$D$67,3,IF(O538='Udvaskning nøgletal'!$D$68,2,""))))</f>
        <v>1</v>
      </c>
      <c r="Y538" s="15">
        <f>LOOKUP(K538,'Udvaskning nøgletal'!$C$12:$C$60,'Udvaskning nøgletal'!$H$12:$H$60)</f>
        <v>5</v>
      </c>
      <c r="Z538" s="10">
        <f>IF(X538=1,LOOKUP(K538,'Udvaskning nøgletal'!$C$12:$C$60,'Udvaskning nøgletal'!$E$12:$E$60)+Markniveau!Y538*Markniveau!S538/100,IF(X538=2,LOOKUP(K538,'Udvaskning nøgletal'!$C$12:$C$60,'Udvaskning nøgletal'!$F$12:$F$60)+Markniveau!Y538*Markniveau!S538/100,IF(X538=3,LOOKUP(K538,'Udvaskning nøgletal'!$C$12:$C$60,'Udvaskning nøgletal'!G548:G596)+Markniveau!Y538*Markniveau!S538/100,"")))</f>
        <v>70.62568743650499</v>
      </c>
      <c r="AA538" s="10">
        <f t="shared" si="86"/>
        <v>403.97893213680851</v>
      </c>
      <c r="AB538" s="10">
        <f t="shared" si="85"/>
        <v>3.5312843718252496</v>
      </c>
      <c r="AC538" s="10">
        <f t="shared" si="87"/>
        <v>20.198946606840426</v>
      </c>
      <c r="AD538" s="10">
        <f>IF(AND(Q538&gt;0,Q538&lt;30,K538&lt;8),Markniveau!Z538*'Udvaskning nøgletal'!$I$12/100,IF(AND(Q538&gt;0,Q538&lt;30,K538=216),Markniveau!Z538*'Udvaskning nøgletal'!$I$34/100,Markniveau!Z538))</f>
        <v>70.62568743650499</v>
      </c>
      <c r="AE538" s="10">
        <f t="shared" si="93"/>
        <v>403.97893213680851</v>
      </c>
      <c r="AF538" s="10">
        <f t="shared" si="88"/>
        <v>3.5312843718252496</v>
      </c>
      <c r="AG538" s="10">
        <f t="shared" si="94"/>
        <v>20.198946606840426</v>
      </c>
      <c r="AH538" s="10" t="str">
        <f>IF(AND(Q538&gt;0,Q538&lt;30,K538=216),'Udvaskning nøgletal'!$C$42,IF(AND(Q538&gt;0,Q538&lt;30,K538&gt;7,K538&lt;17),'Udvaskning nøgletal'!$C$61,IF(AND(Q538&gt;0,Q538&lt;30,K538&lt;7),'Udvaskning nøgletal'!$C$62,"")))</f>
        <v/>
      </c>
      <c r="AI538" s="10">
        <f t="shared" si="90"/>
        <v>1</v>
      </c>
      <c r="AJ538" s="10">
        <f>IF($X538=1,LOOKUP(AI538,'Udvaskning nøgletal'!$C$12:$C$62,'Udvaskning nøgletal'!$E$12:$E$62)+Markniveau!$Y538*Markniveau!$S538/100,IF($X538=2,LOOKUP(AI538,'Udvaskning nøgletal'!$C$12:$C$62,'Udvaskning nøgletal'!$F$12:$F$62)+Markniveau!$Y538*Markniveau!$S538/100,IF($X538=3,LOOKUP(AI538,'Udvaskning nøgletal'!$C$12:$C$62,'Udvaskning nøgletal'!Q548:Q598)+Markniveau!$Y538*Markniveau!$S538/100,"")))</f>
        <v>70.62568743650499</v>
      </c>
      <c r="AK538" s="10">
        <f t="shared" si="89"/>
        <v>403.97893213680851</v>
      </c>
      <c r="AL538" s="10">
        <f t="shared" si="91"/>
        <v>3.5312843718252496</v>
      </c>
      <c r="AM538" s="10">
        <f t="shared" si="92"/>
        <v>20.198946606840426</v>
      </c>
    </row>
    <row r="539" spans="1:39" x14ac:dyDescent="0.25">
      <c r="A539" s="15">
        <v>19117537</v>
      </c>
      <c r="B539" s="15">
        <v>61.66</v>
      </c>
      <c r="C539" s="15">
        <v>50238</v>
      </c>
      <c r="D539" s="15">
        <v>87369</v>
      </c>
      <c r="E539" s="15" t="s">
        <v>443</v>
      </c>
      <c r="F539" s="15">
        <v>2011</v>
      </c>
      <c r="G539" s="15">
        <v>20110409</v>
      </c>
      <c r="H539" s="15">
        <v>21563</v>
      </c>
      <c r="I539" s="15">
        <v>2.16</v>
      </c>
      <c r="J539" s="6" t="s">
        <v>87</v>
      </c>
      <c r="K539" s="15">
        <v>11</v>
      </c>
      <c r="L539" s="15" t="s">
        <v>102</v>
      </c>
      <c r="M539" s="15" t="s">
        <v>5</v>
      </c>
      <c r="N539" s="11" t="s">
        <v>1406</v>
      </c>
      <c r="O539" s="11" t="s">
        <v>46</v>
      </c>
      <c r="P539" s="11" t="s">
        <v>29</v>
      </c>
      <c r="Q539" s="15">
        <v>95</v>
      </c>
      <c r="R539" s="11" t="s">
        <v>3</v>
      </c>
      <c r="S539" s="10">
        <v>119.3137487301</v>
      </c>
      <c r="T539" s="15">
        <v>80</v>
      </c>
      <c r="U539" s="15">
        <v>0</v>
      </c>
      <c r="V539" s="15">
        <v>0</v>
      </c>
      <c r="W539" s="15">
        <v>0</v>
      </c>
      <c r="X539" s="15">
        <f>IF(O539='Udvaskning nøgletal'!$D$65,1,IF(O539='Udvaskning nøgletal'!$D$66,2,IF(O539='Udvaskning nøgletal'!$D$67,3,IF(O539='Udvaskning nøgletal'!$D$68,2,""))))</f>
        <v>2</v>
      </c>
      <c r="Y539" s="15">
        <f>LOOKUP(K539,'Udvaskning nøgletal'!$C$12:$C$60,'Udvaskning nøgletal'!$H$12:$H$60)</f>
        <v>5</v>
      </c>
      <c r="Z539" s="10">
        <f>IF(X539=1,LOOKUP(K539,'Udvaskning nøgletal'!$C$12:$C$60,'Udvaskning nøgletal'!$E$12:$E$60)+Markniveau!Y539*Markniveau!S539/100,IF(X539=2,LOOKUP(K539,'Udvaskning nøgletal'!$C$12:$C$60,'Udvaskning nøgletal'!$F$12:$F$60)+Markniveau!Y539*Markniveau!S539/100,IF(X539=3,LOOKUP(K539,'Udvaskning nøgletal'!$C$12:$C$60,'Udvaskning nøgletal'!G549:G597)+Markniveau!Y539*Markniveau!S539/100,"")))</f>
        <v>56.845687436505003</v>
      </c>
      <c r="AA539" s="10">
        <f t="shared" si="86"/>
        <v>122.78668486285082</v>
      </c>
      <c r="AB539" s="10">
        <f t="shared" si="85"/>
        <v>2.84228437182525</v>
      </c>
      <c r="AC539" s="10">
        <f t="shared" si="87"/>
        <v>6.1393342431425406</v>
      </c>
      <c r="AD539" s="10">
        <f>IF(AND(Q539&gt;0,Q539&lt;30,K539&lt;8),Markniveau!Z539*'Udvaskning nøgletal'!$I$12/100,IF(AND(Q539&gt;0,Q539&lt;30,K539=216),Markniveau!Z539*'Udvaskning nøgletal'!$I$34/100,Markniveau!Z539))</f>
        <v>56.845687436505003</v>
      </c>
      <c r="AE539" s="10">
        <f t="shared" si="93"/>
        <v>122.78668486285082</v>
      </c>
      <c r="AF539" s="10">
        <f t="shared" si="88"/>
        <v>2.84228437182525</v>
      </c>
      <c r="AG539" s="10">
        <f t="shared" si="94"/>
        <v>6.1393342431425406</v>
      </c>
      <c r="AH539" s="10" t="str">
        <f>IF(AND(Q539&gt;0,Q539&lt;30,K539=216),'Udvaskning nøgletal'!$C$42,IF(AND(Q539&gt;0,Q539&lt;30,K539&gt;7,K539&lt;17),'Udvaskning nøgletal'!$C$61,IF(AND(Q539&gt;0,Q539&lt;30,K539&lt;7),'Udvaskning nøgletal'!$C$62,"")))</f>
        <v/>
      </c>
      <c r="AI539" s="10">
        <f t="shared" si="90"/>
        <v>11</v>
      </c>
      <c r="AJ539" s="10">
        <f>IF($X539=1,LOOKUP(AI539,'Udvaskning nøgletal'!$C$12:$C$62,'Udvaskning nøgletal'!$E$12:$E$62)+Markniveau!$Y539*Markniveau!$S539/100,IF($X539=2,LOOKUP(AI539,'Udvaskning nøgletal'!$C$12:$C$62,'Udvaskning nøgletal'!$F$12:$F$62)+Markniveau!$Y539*Markniveau!$S539/100,IF($X539=3,LOOKUP(AI539,'Udvaskning nøgletal'!$C$12:$C$62,'Udvaskning nøgletal'!Q549:Q599)+Markniveau!$Y539*Markniveau!$S539/100,"")))</f>
        <v>56.845687436505003</v>
      </c>
      <c r="AK539" s="10">
        <f t="shared" si="89"/>
        <v>122.78668486285082</v>
      </c>
      <c r="AL539" s="10">
        <f t="shared" si="91"/>
        <v>2.84228437182525</v>
      </c>
      <c r="AM539" s="10">
        <f t="shared" si="92"/>
        <v>6.1393342431425406</v>
      </c>
    </row>
    <row r="540" spans="1:39" x14ac:dyDescent="0.25">
      <c r="A540" s="15">
        <v>19117537</v>
      </c>
      <c r="B540" s="15">
        <v>61.66</v>
      </c>
      <c r="C540" s="15">
        <v>62277</v>
      </c>
      <c r="D540" s="15">
        <v>87369</v>
      </c>
      <c r="E540" s="15" t="s">
        <v>438</v>
      </c>
      <c r="F540" s="15">
        <v>2011</v>
      </c>
      <c r="G540" s="15">
        <v>20110409</v>
      </c>
      <c r="H540" s="15">
        <v>51270</v>
      </c>
      <c r="I540" s="15">
        <v>5.13</v>
      </c>
      <c r="J540" s="6" t="s">
        <v>97</v>
      </c>
      <c r="K540" s="15">
        <v>1</v>
      </c>
      <c r="L540" s="15" t="s">
        <v>32</v>
      </c>
      <c r="M540" s="15" t="s">
        <v>5</v>
      </c>
      <c r="N540" s="11" t="s">
        <v>1384</v>
      </c>
      <c r="O540" s="11" t="s">
        <v>28</v>
      </c>
      <c r="P540" s="11" t="s">
        <v>29</v>
      </c>
      <c r="Q540" s="15">
        <v>95</v>
      </c>
      <c r="R540" s="11" t="s">
        <v>3</v>
      </c>
      <c r="S540" s="10">
        <v>119.3137487301</v>
      </c>
      <c r="T540" s="15">
        <v>80</v>
      </c>
      <c r="U540" s="15">
        <v>0</v>
      </c>
      <c r="V540" s="15">
        <v>0</v>
      </c>
      <c r="W540" s="15">
        <v>0</v>
      </c>
      <c r="X540" s="15">
        <f>IF(O540='Udvaskning nøgletal'!$D$65,1,IF(O540='Udvaskning nøgletal'!$D$66,2,IF(O540='Udvaskning nøgletal'!$D$67,3,IF(O540='Udvaskning nøgletal'!$D$68,2,""))))</f>
        <v>1</v>
      </c>
      <c r="Y540" s="15">
        <f>LOOKUP(K540,'Udvaskning nøgletal'!$C$12:$C$60,'Udvaskning nøgletal'!$H$12:$H$60)</f>
        <v>5</v>
      </c>
      <c r="Z540" s="10">
        <f>IF(X540=1,LOOKUP(K540,'Udvaskning nøgletal'!$C$12:$C$60,'Udvaskning nøgletal'!$E$12:$E$60)+Markniveau!Y540*Markniveau!S540/100,IF(X540=2,LOOKUP(K540,'Udvaskning nøgletal'!$C$12:$C$60,'Udvaskning nøgletal'!$F$12:$F$60)+Markniveau!Y540*Markniveau!S540/100,IF(X540=3,LOOKUP(K540,'Udvaskning nøgletal'!$C$12:$C$60,'Udvaskning nøgletal'!G550:G598)+Markniveau!Y540*Markniveau!S540/100,"")))</f>
        <v>70.62568743650499</v>
      </c>
      <c r="AA540" s="10">
        <f t="shared" si="86"/>
        <v>362.30977654927057</v>
      </c>
      <c r="AB540" s="10">
        <f t="shared" si="85"/>
        <v>3.5312843718252496</v>
      </c>
      <c r="AC540" s="10">
        <f t="shared" si="87"/>
        <v>18.11548882746353</v>
      </c>
      <c r="AD540" s="10">
        <f>IF(AND(Q540&gt;0,Q540&lt;30,K540&lt;8),Markniveau!Z540*'Udvaskning nøgletal'!$I$12/100,IF(AND(Q540&gt;0,Q540&lt;30,K540=216),Markniveau!Z540*'Udvaskning nøgletal'!$I$34/100,Markniveau!Z540))</f>
        <v>70.62568743650499</v>
      </c>
      <c r="AE540" s="10">
        <f t="shared" si="93"/>
        <v>362.30977654927057</v>
      </c>
      <c r="AF540" s="10">
        <f t="shared" si="88"/>
        <v>3.5312843718252496</v>
      </c>
      <c r="AG540" s="10">
        <f t="shared" si="94"/>
        <v>18.11548882746353</v>
      </c>
      <c r="AH540" s="10" t="str">
        <f>IF(AND(Q540&gt;0,Q540&lt;30,K540=216),'Udvaskning nøgletal'!$C$42,IF(AND(Q540&gt;0,Q540&lt;30,K540&gt;7,K540&lt;17),'Udvaskning nøgletal'!$C$61,IF(AND(Q540&gt;0,Q540&lt;30,K540&lt;7),'Udvaskning nøgletal'!$C$62,"")))</f>
        <v/>
      </c>
      <c r="AI540" s="10">
        <f t="shared" si="90"/>
        <v>1</v>
      </c>
      <c r="AJ540" s="10">
        <f>IF($X540=1,LOOKUP(AI540,'Udvaskning nøgletal'!$C$12:$C$62,'Udvaskning nøgletal'!$E$12:$E$62)+Markniveau!$Y540*Markniveau!$S540/100,IF($X540=2,LOOKUP(AI540,'Udvaskning nøgletal'!$C$12:$C$62,'Udvaskning nøgletal'!$F$12:$F$62)+Markniveau!$Y540*Markniveau!$S540/100,IF($X540=3,LOOKUP(AI540,'Udvaskning nøgletal'!$C$12:$C$62,'Udvaskning nøgletal'!Q550:Q600)+Markniveau!$Y540*Markniveau!$S540/100,"")))</f>
        <v>70.62568743650499</v>
      </c>
      <c r="AK540" s="10">
        <f t="shared" si="89"/>
        <v>362.30977654927057</v>
      </c>
      <c r="AL540" s="10">
        <f t="shared" si="91"/>
        <v>3.5312843718252496</v>
      </c>
      <c r="AM540" s="10">
        <f t="shared" si="92"/>
        <v>18.11548882746353</v>
      </c>
    </row>
    <row r="541" spans="1:39" x14ac:dyDescent="0.25">
      <c r="A541" s="15">
        <v>19117537</v>
      </c>
      <c r="B541" s="15">
        <v>61.66</v>
      </c>
      <c r="C541" s="15">
        <v>78553</v>
      </c>
      <c r="D541" s="15">
        <v>87369</v>
      </c>
      <c r="E541" s="15" t="s">
        <v>438</v>
      </c>
      <c r="F541" s="15">
        <v>2011</v>
      </c>
      <c r="G541" s="15">
        <v>20110409</v>
      </c>
      <c r="H541" s="15">
        <v>62398</v>
      </c>
      <c r="I541" s="15">
        <v>6.24</v>
      </c>
      <c r="J541" s="6" t="s">
        <v>37</v>
      </c>
      <c r="K541" s="15">
        <v>3</v>
      </c>
      <c r="L541" s="15" t="s">
        <v>114</v>
      </c>
      <c r="M541" s="15" t="s">
        <v>5</v>
      </c>
      <c r="N541" s="11" t="s">
        <v>1384</v>
      </c>
      <c r="O541" s="11" t="s">
        <v>28</v>
      </c>
      <c r="P541" s="11" t="s">
        <v>29</v>
      </c>
      <c r="Q541" s="15">
        <v>95</v>
      </c>
      <c r="R541" s="11" t="s">
        <v>3</v>
      </c>
      <c r="S541" s="10">
        <v>119.3137487301</v>
      </c>
      <c r="T541" s="15">
        <v>80</v>
      </c>
      <c r="U541" s="15">
        <v>0</v>
      </c>
      <c r="V541" s="15">
        <v>0</v>
      </c>
      <c r="W541" s="15">
        <v>0</v>
      </c>
      <c r="X541" s="15">
        <f>IF(O541='Udvaskning nøgletal'!$D$65,1,IF(O541='Udvaskning nøgletal'!$D$66,2,IF(O541='Udvaskning nøgletal'!$D$67,3,IF(O541='Udvaskning nøgletal'!$D$68,2,""))))</f>
        <v>1</v>
      </c>
      <c r="Y541" s="15">
        <f>LOOKUP(K541,'Udvaskning nøgletal'!$C$12:$C$60,'Udvaskning nøgletal'!$H$12:$H$60)</f>
        <v>5</v>
      </c>
      <c r="Z541" s="10">
        <f>IF(X541=1,LOOKUP(K541,'Udvaskning nøgletal'!$C$12:$C$60,'Udvaskning nøgletal'!$E$12:$E$60)+Markniveau!Y541*Markniveau!S541/100,IF(X541=2,LOOKUP(K541,'Udvaskning nøgletal'!$C$12:$C$60,'Udvaskning nøgletal'!$F$12:$F$60)+Markniveau!Y541*Markniveau!S541/100,IF(X541=3,LOOKUP(K541,'Udvaskning nøgletal'!$C$12:$C$60,'Udvaskning nøgletal'!G551:G599)+Markniveau!Y541*Markniveau!S541/100,"")))</f>
        <v>70.62568743650499</v>
      </c>
      <c r="AA541" s="10">
        <f t="shared" si="86"/>
        <v>440.70428960379115</v>
      </c>
      <c r="AB541" s="10">
        <f t="shared" si="85"/>
        <v>3.5312843718252496</v>
      </c>
      <c r="AC541" s="10">
        <f t="shared" si="87"/>
        <v>22.035214480189559</v>
      </c>
      <c r="AD541" s="10">
        <f>IF(AND(Q541&gt;0,Q541&lt;30,K541&lt;8),Markniveau!Z541*'Udvaskning nøgletal'!$I$12/100,IF(AND(Q541&gt;0,Q541&lt;30,K541=216),Markniveau!Z541*'Udvaskning nøgletal'!$I$34/100,Markniveau!Z541))</f>
        <v>70.62568743650499</v>
      </c>
      <c r="AE541" s="10">
        <f t="shared" si="93"/>
        <v>440.70428960379115</v>
      </c>
      <c r="AF541" s="10">
        <f t="shared" si="88"/>
        <v>3.5312843718252496</v>
      </c>
      <c r="AG541" s="10">
        <f t="shared" si="94"/>
        <v>22.035214480189559</v>
      </c>
      <c r="AH541" s="10" t="str">
        <f>IF(AND(Q541&gt;0,Q541&lt;30,K541=216),'Udvaskning nøgletal'!$C$42,IF(AND(Q541&gt;0,Q541&lt;30,K541&gt;7,K541&lt;17),'Udvaskning nøgletal'!$C$61,IF(AND(Q541&gt;0,Q541&lt;30,K541&lt;7),'Udvaskning nøgletal'!$C$62,"")))</f>
        <v/>
      </c>
      <c r="AI541" s="10">
        <f t="shared" si="90"/>
        <v>3</v>
      </c>
      <c r="AJ541" s="10">
        <f>IF($X541=1,LOOKUP(AI541,'Udvaskning nøgletal'!$C$12:$C$62,'Udvaskning nøgletal'!$E$12:$E$62)+Markniveau!$Y541*Markniveau!$S541/100,IF($X541=2,LOOKUP(AI541,'Udvaskning nøgletal'!$C$12:$C$62,'Udvaskning nøgletal'!$F$12:$F$62)+Markniveau!$Y541*Markniveau!$S541/100,IF($X541=3,LOOKUP(AI541,'Udvaskning nøgletal'!$C$12:$C$62,'Udvaskning nøgletal'!Q551:Q601)+Markniveau!$Y541*Markniveau!$S541/100,"")))</f>
        <v>70.62568743650499</v>
      </c>
      <c r="AK541" s="10">
        <f t="shared" si="89"/>
        <v>440.70428960379115</v>
      </c>
      <c r="AL541" s="10">
        <f t="shared" si="91"/>
        <v>3.5312843718252496</v>
      </c>
      <c r="AM541" s="10">
        <f t="shared" si="92"/>
        <v>22.035214480189559</v>
      </c>
    </row>
    <row r="542" spans="1:39" x14ac:dyDescent="0.25">
      <c r="A542" s="15">
        <v>19117537</v>
      </c>
      <c r="B542" s="15">
        <v>61.66</v>
      </c>
      <c r="C542" s="15">
        <v>304759</v>
      </c>
      <c r="D542" s="15">
        <v>87369</v>
      </c>
      <c r="E542" s="15" t="s">
        <v>438</v>
      </c>
      <c r="F542" s="15">
        <v>2011</v>
      </c>
      <c r="G542" s="15">
        <v>20110409</v>
      </c>
      <c r="H542" s="15">
        <v>18325</v>
      </c>
      <c r="I542" s="15">
        <v>1.83</v>
      </c>
      <c r="J542" s="6" t="s">
        <v>1398</v>
      </c>
      <c r="K542" s="15">
        <v>260</v>
      </c>
      <c r="L542" s="15" t="s">
        <v>45</v>
      </c>
      <c r="M542" s="15" t="s">
        <v>5</v>
      </c>
      <c r="N542" s="11" t="s">
        <v>1384</v>
      </c>
      <c r="O542" s="11" t="s">
        <v>28</v>
      </c>
      <c r="P542" s="11" t="s">
        <v>29</v>
      </c>
      <c r="Q542" s="15">
        <v>95</v>
      </c>
      <c r="R542" s="11" t="s">
        <v>3</v>
      </c>
      <c r="S542" s="10">
        <v>119.3137487301</v>
      </c>
      <c r="T542" s="15">
        <v>80</v>
      </c>
      <c r="U542" s="15">
        <v>0</v>
      </c>
      <c r="V542" s="15">
        <v>0</v>
      </c>
      <c r="W542" s="15">
        <v>0</v>
      </c>
      <c r="X542" s="15">
        <f>IF(O542='Udvaskning nøgletal'!$D$65,1,IF(O542='Udvaskning nøgletal'!$D$66,2,IF(O542='Udvaskning nøgletal'!$D$67,3,IF(O542='Udvaskning nøgletal'!$D$68,2,""))))</f>
        <v>1</v>
      </c>
      <c r="Y542" s="15">
        <f>LOOKUP(K542,'Udvaskning nøgletal'!$C$12:$C$60,'Udvaskning nøgletal'!$H$12:$H$60)</f>
        <v>0</v>
      </c>
      <c r="Z542" s="10">
        <f>IF(X542=1,LOOKUP(K542,'Udvaskning nøgletal'!$C$12:$C$60,'Udvaskning nøgletal'!$E$12:$E$60)+Markniveau!Y542*Markniveau!S542/100,IF(X542=2,LOOKUP(K542,'Udvaskning nøgletal'!$C$12:$C$60,'Udvaskning nøgletal'!$F$12:$F$60)+Markniveau!Y542*Markniveau!S542/100,IF(X542=3,LOOKUP(K542,'Udvaskning nøgletal'!$C$12:$C$60,'Udvaskning nøgletal'!G552:G600)+Markniveau!Y542*Markniveau!S542/100,"")))</f>
        <v>33.723295792149436</v>
      </c>
      <c r="AA542" s="10">
        <f t="shared" si="86"/>
        <v>61.713631299633469</v>
      </c>
      <c r="AB542" s="10">
        <f t="shared" si="85"/>
        <v>1.6861647896074716</v>
      </c>
      <c r="AC542" s="10">
        <f t="shared" si="87"/>
        <v>3.0856815649816731</v>
      </c>
      <c r="AD542" s="10">
        <f>IF(AND(Q542&gt;0,Q542&lt;30,K542&lt;8),Markniveau!Z542*'Udvaskning nøgletal'!$I$12/100,IF(AND(Q542&gt;0,Q542&lt;30,K542=216),Markniveau!Z542*'Udvaskning nøgletal'!$I$34/100,Markniveau!Z542))</f>
        <v>33.723295792149436</v>
      </c>
      <c r="AE542" s="10">
        <f t="shared" si="93"/>
        <v>61.713631299633469</v>
      </c>
      <c r="AF542" s="10">
        <f t="shared" si="88"/>
        <v>1.6861647896074716</v>
      </c>
      <c r="AG542" s="10">
        <f t="shared" si="94"/>
        <v>3.0856815649816731</v>
      </c>
      <c r="AH542" s="10" t="str">
        <f>IF(AND(Q542&gt;0,Q542&lt;30,K542=216),'Udvaskning nøgletal'!$C$42,IF(AND(Q542&gt;0,Q542&lt;30,K542&gt;7,K542&lt;17),'Udvaskning nøgletal'!$C$61,IF(AND(Q542&gt;0,Q542&lt;30,K542&lt;7),'Udvaskning nøgletal'!$C$62,"")))</f>
        <v/>
      </c>
      <c r="AI542" s="10">
        <f t="shared" si="90"/>
        <v>260</v>
      </c>
      <c r="AJ542" s="10">
        <f>IF($X542=1,LOOKUP(AI542,'Udvaskning nøgletal'!$C$12:$C$62,'Udvaskning nøgletal'!$E$12:$E$62)+Markniveau!$Y542*Markniveau!$S542/100,IF($X542=2,LOOKUP(AI542,'Udvaskning nøgletal'!$C$12:$C$62,'Udvaskning nøgletal'!$F$12:$F$62)+Markniveau!$Y542*Markniveau!$S542/100,IF($X542=3,LOOKUP(AI542,'Udvaskning nøgletal'!$C$12:$C$62,'Udvaskning nøgletal'!Q552:Q602)+Markniveau!$Y542*Markniveau!$S542/100,"")))</f>
        <v>33.723295792149436</v>
      </c>
      <c r="AK542" s="10">
        <f t="shared" si="89"/>
        <v>61.713631299633469</v>
      </c>
      <c r="AL542" s="10">
        <f t="shared" si="91"/>
        <v>1.6861647896074716</v>
      </c>
      <c r="AM542" s="10">
        <f t="shared" si="92"/>
        <v>3.0856815649816731</v>
      </c>
    </row>
    <row r="543" spans="1:39" x14ac:dyDescent="0.25">
      <c r="A543" s="15">
        <v>19117537</v>
      </c>
      <c r="B543" s="15">
        <v>61.66</v>
      </c>
      <c r="C543" s="15">
        <v>391892</v>
      </c>
      <c r="D543" s="15">
        <v>87369</v>
      </c>
      <c r="E543" s="15" t="s">
        <v>440</v>
      </c>
      <c r="F543" s="15">
        <v>2011</v>
      </c>
      <c r="G543" s="15">
        <v>20110409</v>
      </c>
      <c r="H543" s="15">
        <v>26016</v>
      </c>
      <c r="I543" s="15">
        <v>2.6</v>
      </c>
      <c r="J543" s="6" t="s">
        <v>137</v>
      </c>
      <c r="K543" s="15">
        <v>251</v>
      </c>
      <c r="L543" s="15" t="s">
        <v>355</v>
      </c>
      <c r="M543" s="15" t="s">
        <v>4</v>
      </c>
      <c r="N543" s="11" t="s">
        <v>1384</v>
      </c>
      <c r="O543" s="11" t="s">
        <v>28</v>
      </c>
      <c r="P543" s="11" t="s">
        <v>29</v>
      </c>
      <c r="Q543" s="15">
        <v>95</v>
      </c>
      <c r="R543" s="11" t="s">
        <v>3</v>
      </c>
      <c r="S543" s="10">
        <v>119.3137487301</v>
      </c>
      <c r="T543" s="15">
        <v>80</v>
      </c>
      <c r="U543" s="15">
        <v>0</v>
      </c>
      <c r="V543" s="15">
        <v>0</v>
      </c>
      <c r="W543" s="15">
        <v>0</v>
      </c>
      <c r="X543" s="15">
        <f>IF(O543='Udvaskning nøgletal'!$D$65,1,IF(O543='Udvaskning nøgletal'!$D$66,2,IF(O543='Udvaskning nøgletal'!$D$67,3,IF(O543='Udvaskning nøgletal'!$D$68,2,""))))</f>
        <v>1</v>
      </c>
      <c r="Y543" s="15">
        <f>LOOKUP(K543,'Udvaskning nøgletal'!$C$12:$C$60,'Udvaskning nøgletal'!$H$12:$H$60)</f>
        <v>0</v>
      </c>
      <c r="Z543" s="10">
        <f>IF(X543=1,LOOKUP(K543,'Udvaskning nøgletal'!$C$12:$C$60,'Udvaskning nøgletal'!$E$12:$E$60)+Markniveau!Y543*Markniveau!S543/100,IF(X543=2,LOOKUP(K543,'Udvaskning nøgletal'!$C$12:$C$60,'Udvaskning nøgletal'!$F$12:$F$60)+Markniveau!Y543*Markniveau!S543/100,IF(X543=3,LOOKUP(K543,'Udvaskning nøgletal'!$C$12:$C$60,'Udvaskning nøgletal'!G553:G601)+Markniveau!Y543*Markniveau!S543/100,"")))</f>
        <v>21.2</v>
      </c>
      <c r="AA543" s="10">
        <f t="shared" si="86"/>
        <v>55.12</v>
      </c>
      <c r="AB543" s="10">
        <f t="shared" si="85"/>
        <v>1.06</v>
      </c>
      <c r="AC543" s="10">
        <f t="shared" si="87"/>
        <v>2.7560000000000002</v>
      </c>
      <c r="AD543" s="10">
        <f>IF(AND(Q543&gt;0,Q543&lt;30,K543&lt;8),Markniveau!Z543*'Udvaskning nøgletal'!$I$12/100,IF(AND(Q543&gt;0,Q543&lt;30,K543=216),Markniveau!Z543*'Udvaskning nøgletal'!$I$34/100,Markniveau!Z543))</f>
        <v>21.2</v>
      </c>
      <c r="AE543" s="10">
        <f t="shared" si="93"/>
        <v>55.12</v>
      </c>
      <c r="AF543" s="10">
        <f t="shared" si="88"/>
        <v>1.06</v>
      </c>
      <c r="AG543" s="10">
        <f t="shared" si="94"/>
        <v>2.7560000000000002</v>
      </c>
      <c r="AH543" s="10" t="str">
        <f>IF(AND(Q543&gt;0,Q543&lt;30,K543=216),'Udvaskning nøgletal'!$C$42,IF(AND(Q543&gt;0,Q543&lt;30,K543&gt;7,K543&lt;17),'Udvaskning nøgletal'!$C$61,IF(AND(Q543&gt;0,Q543&lt;30,K543&lt;7),'Udvaskning nøgletal'!$C$62,"")))</f>
        <v/>
      </c>
      <c r="AI543" s="10">
        <f t="shared" si="90"/>
        <v>251</v>
      </c>
      <c r="AJ543" s="10">
        <f>IF($X543=1,LOOKUP(AI543,'Udvaskning nøgletal'!$C$12:$C$62,'Udvaskning nøgletal'!$E$12:$E$62)+Markniveau!$Y543*Markniveau!$S543/100,IF($X543=2,LOOKUP(AI543,'Udvaskning nøgletal'!$C$12:$C$62,'Udvaskning nøgletal'!$F$12:$F$62)+Markniveau!$Y543*Markniveau!$S543/100,IF($X543=3,LOOKUP(AI543,'Udvaskning nøgletal'!$C$12:$C$62,'Udvaskning nøgletal'!Q553:Q603)+Markniveau!$Y543*Markniveau!$S543/100,"")))</f>
        <v>21.2</v>
      </c>
      <c r="AK543" s="10">
        <f t="shared" si="89"/>
        <v>55.12</v>
      </c>
      <c r="AL543" s="10">
        <f t="shared" si="91"/>
        <v>1.06</v>
      </c>
      <c r="AM543" s="10">
        <f t="shared" si="92"/>
        <v>2.7560000000000002</v>
      </c>
    </row>
    <row r="544" spans="1:39" x14ac:dyDescent="0.25">
      <c r="A544" s="15">
        <v>19117537</v>
      </c>
      <c r="B544" s="15">
        <v>61.66</v>
      </c>
      <c r="C544" s="15">
        <v>436886</v>
      </c>
      <c r="D544" s="15">
        <v>87369</v>
      </c>
      <c r="E544" s="15" t="s">
        <v>443</v>
      </c>
      <c r="F544" s="15">
        <v>2011</v>
      </c>
      <c r="G544" s="15">
        <v>20110409</v>
      </c>
      <c r="H544" s="15">
        <v>42335</v>
      </c>
      <c r="I544" s="15">
        <v>4.2300000000000004</v>
      </c>
      <c r="J544" s="6" t="s">
        <v>86</v>
      </c>
      <c r="K544" s="15">
        <v>11</v>
      </c>
      <c r="L544" s="15" t="s">
        <v>102</v>
      </c>
      <c r="M544" s="15" t="s">
        <v>5</v>
      </c>
      <c r="N544" s="11" t="s">
        <v>1384</v>
      </c>
      <c r="O544" s="11" t="s">
        <v>28</v>
      </c>
      <c r="P544" s="11" t="s">
        <v>29</v>
      </c>
      <c r="Q544" s="15">
        <v>95</v>
      </c>
      <c r="R544" s="11" t="s">
        <v>3</v>
      </c>
      <c r="S544" s="10">
        <v>119.3137487301</v>
      </c>
      <c r="T544" s="15">
        <v>80</v>
      </c>
      <c r="U544" s="15">
        <v>0</v>
      </c>
      <c r="V544" s="15">
        <v>0</v>
      </c>
      <c r="W544" s="15">
        <v>0</v>
      </c>
      <c r="X544" s="15">
        <f>IF(O544='Udvaskning nøgletal'!$D$65,1,IF(O544='Udvaskning nøgletal'!$D$66,2,IF(O544='Udvaskning nøgletal'!$D$67,3,IF(O544='Udvaskning nøgletal'!$D$68,2,""))))</f>
        <v>1</v>
      </c>
      <c r="Y544" s="15">
        <f>LOOKUP(K544,'Udvaskning nøgletal'!$C$12:$C$60,'Udvaskning nøgletal'!$H$12:$H$60)</f>
        <v>5</v>
      </c>
      <c r="Z544" s="10">
        <f>IF(X544=1,LOOKUP(K544,'Udvaskning nøgletal'!$C$12:$C$60,'Udvaskning nøgletal'!$E$12:$E$60)+Markniveau!Y544*Markniveau!S544/100,IF(X544=2,LOOKUP(K544,'Udvaskning nøgletal'!$C$12:$C$60,'Udvaskning nøgletal'!$F$12:$F$60)+Markniveau!Y544*Markniveau!S544/100,IF(X544=3,LOOKUP(K544,'Udvaskning nøgletal'!$C$12:$C$60,'Udvaskning nøgletal'!G554:G602)+Markniveau!Y544*Markniveau!S544/100,"")))</f>
        <v>70.62568743650499</v>
      </c>
      <c r="AA544" s="10">
        <f t="shared" si="86"/>
        <v>298.74665785641616</v>
      </c>
      <c r="AB544" s="10">
        <f t="shared" si="85"/>
        <v>3.5312843718252496</v>
      </c>
      <c r="AC544" s="10">
        <f t="shared" si="87"/>
        <v>14.937332892820807</v>
      </c>
      <c r="AD544" s="10">
        <f>IF(AND(Q544&gt;0,Q544&lt;30,K544&lt;8),Markniveau!Z544*'Udvaskning nøgletal'!$I$12/100,IF(AND(Q544&gt;0,Q544&lt;30,K544=216),Markniveau!Z544*'Udvaskning nøgletal'!$I$34/100,Markniveau!Z544))</f>
        <v>70.62568743650499</v>
      </c>
      <c r="AE544" s="10">
        <f t="shared" si="93"/>
        <v>298.74665785641616</v>
      </c>
      <c r="AF544" s="10">
        <f t="shared" si="88"/>
        <v>3.5312843718252496</v>
      </c>
      <c r="AG544" s="10">
        <f t="shared" si="94"/>
        <v>14.937332892820807</v>
      </c>
      <c r="AH544" s="10" t="str">
        <f>IF(AND(Q544&gt;0,Q544&lt;30,K544=216),'Udvaskning nøgletal'!$C$42,IF(AND(Q544&gt;0,Q544&lt;30,K544&gt;7,K544&lt;17),'Udvaskning nøgletal'!$C$61,IF(AND(Q544&gt;0,Q544&lt;30,K544&lt;7),'Udvaskning nøgletal'!$C$62,"")))</f>
        <v/>
      </c>
      <c r="AI544" s="10">
        <f t="shared" si="90"/>
        <v>11</v>
      </c>
      <c r="AJ544" s="10">
        <f>IF($X544=1,LOOKUP(AI544,'Udvaskning nøgletal'!$C$12:$C$62,'Udvaskning nøgletal'!$E$12:$E$62)+Markniveau!$Y544*Markniveau!$S544/100,IF($X544=2,LOOKUP(AI544,'Udvaskning nøgletal'!$C$12:$C$62,'Udvaskning nøgletal'!$F$12:$F$62)+Markniveau!$Y544*Markniveau!$S544/100,IF($X544=3,LOOKUP(AI544,'Udvaskning nøgletal'!$C$12:$C$62,'Udvaskning nøgletal'!Q554:Q604)+Markniveau!$Y544*Markniveau!$S544/100,"")))</f>
        <v>70.62568743650499</v>
      </c>
      <c r="AK544" s="10">
        <f t="shared" si="89"/>
        <v>298.74665785641616</v>
      </c>
      <c r="AL544" s="10">
        <f t="shared" si="91"/>
        <v>3.5312843718252496</v>
      </c>
      <c r="AM544" s="10">
        <f t="shared" si="92"/>
        <v>14.937332892820807</v>
      </c>
    </row>
    <row r="545" spans="1:39" x14ac:dyDescent="0.25">
      <c r="A545" s="15">
        <v>19117537</v>
      </c>
      <c r="B545" s="15">
        <v>61.66</v>
      </c>
      <c r="C545" s="15">
        <v>8153</v>
      </c>
      <c r="D545" s="15">
        <v>87369</v>
      </c>
      <c r="E545" s="15" t="s">
        <v>438</v>
      </c>
      <c r="F545" s="15">
        <v>2011</v>
      </c>
      <c r="G545" s="15">
        <v>20110409</v>
      </c>
      <c r="H545" s="15">
        <v>50578</v>
      </c>
      <c r="I545" s="15">
        <v>5.0599999999999996</v>
      </c>
      <c r="J545" s="6" t="s">
        <v>1455</v>
      </c>
      <c r="K545" s="15">
        <v>1</v>
      </c>
      <c r="L545" s="15" t="s">
        <v>32</v>
      </c>
      <c r="M545" s="15" t="s">
        <v>5</v>
      </c>
      <c r="N545" s="11" t="s">
        <v>1384</v>
      </c>
      <c r="O545" s="11" t="s">
        <v>28</v>
      </c>
      <c r="P545" s="11" t="s">
        <v>29</v>
      </c>
      <c r="Q545" s="15">
        <v>95</v>
      </c>
      <c r="R545" s="11" t="s">
        <v>3</v>
      </c>
      <c r="S545" s="10">
        <v>119.3137487301</v>
      </c>
      <c r="T545" s="15">
        <v>80</v>
      </c>
      <c r="U545" s="15">
        <v>0</v>
      </c>
      <c r="V545" s="15">
        <v>0</v>
      </c>
      <c r="W545" s="15">
        <v>0</v>
      </c>
      <c r="X545" s="15">
        <f>IF(O545='Udvaskning nøgletal'!$D$65,1,IF(O545='Udvaskning nøgletal'!$D$66,2,IF(O545='Udvaskning nøgletal'!$D$67,3,IF(O545='Udvaskning nøgletal'!$D$68,2,""))))</f>
        <v>1</v>
      </c>
      <c r="Y545" s="15">
        <f>LOOKUP(K545,'Udvaskning nøgletal'!$C$12:$C$60,'Udvaskning nøgletal'!$H$12:$H$60)</f>
        <v>5</v>
      </c>
      <c r="Z545" s="10">
        <f>IF(X545=1,LOOKUP(K545,'Udvaskning nøgletal'!$C$12:$C$60,'Udvaskning nøgletal'!$E$12:$E$60)+Markniveau!Y545*Markniveau!S545/100,IF(X545=2,LOOKUP(K545,'Udvaskning nøgletal'!$C$12:$C$60,'Udvaskning nøgletal'!$F$12:$F$60)+Markniveau!Y545*Markniveau!S545/100,IF(X545=3,LOOKUP(K545,'Udvaskning nøgletal'!$C$12:$C$60,'Udvaskning nøgletal'!G555:G603)+Markniveau!Y545*Markniveau!S545/100,"")))</f>
        <v>70.62568743650499</v>
      </c>
      <c r="AA545" s="10">
        <f t="shared" si="86"/>
        <v>357.36597842871521</v>
      </c>
      <c r="AB545" s="10">
        <f t="shared" si="85"/>
        <v>3.5312843718252496</v>
      </c>
      <c r="AC545" s="10">
        <f t="shared" si="87"/>
        <v>17.868298921435763</v>
      </c>
      <c r="AD545" s="10">
        <f>IF(AND(Q545&gt;0,Q545&lt;30,K545&lt;8),Markniveau!Z545*'Udvaskning nøgletal'!$I$12/100,IF(AND(Q545&gt;0,Q545&lt;30,K545=216),Markniveau!Z545*'Udvaskning nøgletal'!$I$34/100,Markniveau!Z545))</f>
        <v>70.62568743650499</v>
      </c>
      <c r="AE545" s="10">
        <f t="shared" si="93"/>
        <v>357.36597842871521</v>
      </c>
      <c r="AF545" s="10">
        <f t="shared" si="88"/>
        <v>3.5312843718252496</v>
      </c>
      <c r="AG545" s="10">
        <f t="shared" si="94"/>
        <v>17.868298921435763</v>
      </c>
      <c r="AH545" s="10" t="str">
        <f>IF(AND(Q545&gt;0,Q545&lt;30,K545=216),'Udvaskning nøgletal'!$C$42,IF(AND(Q545&gt;0,Q545&lt;30,K545&gt;7,K545&lt;17),'Udvaskning nøgletal'!$C$61,IF(AND(Q545&gt;0,Q545&lt;30,K545&lt;7),'Udvaskning nøgletal'!$C$62,"")))</f>
        <v/>
      </c>
      <c r="AI545" s="10">
        <f t="shared" si="90"/>
        <v>1</v>
      </c>
      <c r="AJ545" s="10">
        <f>IF($X545=1,LOOKUP(AI545,'Udvaskning nøgletal'!$C$12:$C$62,'Udvaskning nøgletal'!$E$12:$E$62)+Markniveau!$Y545*Markniveau!$S545/100,IF($X545=2,LOOKUP(AI545,'Udvaskning nøgletal'!$C$12:$C$62,'Udvaskning nøgletal'!$F$12:$F$62)+Markniveau!$Y545*Markniveau!$S545/100,IF($X545=3,LOOKUP(AI545,'Udvaskning nøgletal'!$C$12:$C$62,'Udvaskning nøgletal'!Q555:Q605)+Markniveau!$Y545*Markniveau!$S545/100,"")))</f>
        <v>70.62568743650499</v>
      </c>
      <c r="AK545" s="10">
        <f t="shared" si="89"/>
        <v>357.36597842871521</v>
      </c>
      <c r="AL545" s="10">
        <f t="shared" si="91"/>
        <v>3.5312843718252496</v>
      </c>
      <c r="AM545" s="10">
        <f t="shared" si="92"/>
        <v>17.868298921435763</v>
      </c>
    </row>
    <row r="546" spans="1:39" x14ac:dyDescent="0.25">
      <c r="A546" s="15">
        <v>19117537</v>
      </c>
      <c r="B546" s="15">
        <v>61.66</v>
      </c>
      <c r="C546" s="15">
        <v>16570</v>
      </c>
      <c r="D546" s="15">
        <v>87369</v>
      </c>
      <c r="E546" s="15" t="s">
        <v>444</v>
      </c>
      <c r="F546" s="15">
        <v>2011</v>
      </c>
      <c r="G546" s="15">
        <v>20110409</v>
      </c>
      <c r="H546" s="15">
        <v>106390</v>
      </c>
      <c r="I546" s="15">
        <v>10.64</v>
      </c>
      <c r="J546" s="6" t="s">
        <v>69</v>
      </c>
      <c r="K546" s="15">
        <v>10</v>
      </c>
      <c r="L546" s="15" t="s">
        <v>107</v>
      </c>
      <c r="M546" s="15" t="s">
        <v>5</v>
      </c>
      <c r="N546" s="11" t="s">
        <v>1384</v>
      </c>
      <c r="O546" s="11" t="s">
        <v>28</v>
      </c>
      <c r="P546" s="11" t="s">
        <v>29</v>
      </c>
      <c r="Q546" s="15">
        <v>95</v>
      </c>
      <c r="R546" s="11" t="s">
        <v>3</v>
      </c>
      <c r="S546" s="10">
        <v>119.3137487301</v>
      </c>
      <c r="T546" s="15">
        <v>80</v>
      </c>
      <c r="U546" s="15">
        <v>0</v>
      </c>
      <c r="V546" s="15">
        <v>0</v>
      </c>
      <c r="W546" s="15">
        <v>0</v>
      </c>
      <c r="X546" s="15">
        <f>IF(O546='Udvaskning nøgletal'!$D$65,1,IF(O546='Udvaskning nøgletal'!$D$66,2,IF(O546='Udvaskning nøgletal'!$D$67,3,IF(O546='Udvaskning nøgletal'!$D$68,2,""))))</f>
        <v>1</v>
      </c>
      <c r="Y546" s="15">
        <f>LOOKUP(K546,'Udvaskning nøgletal'!$C$12:$C$60,'Udvaskning nøgletal'!$H$12:$H$60)</f>
        <v>5</v>
      </c>
      <c r="Z546" s="10">
        <f>IF(X546=1,LOOKUP(K546,'Udvaskning nøgletal'!$C$12:$C$60,'Udvaskning nøgletal'!$E$12:$E$60)+Markniveau!Y546*Markniveau!S546/100,IF(X546=2,LOOKUP(K546,'Udvaskning nøgletal'!$C$12:$C$60,'Udvaskning nøgletal'!$F$12:$F$60)+Markniveau!Y546*Markniveau!S546/100,IF(X546=3,LOOKUP(K546,'Udvaskning nøgletal'!$C$12:$C$60,'Udvaskning nøgletal'!G556:G604)+Markniveau!Y546*Markniveau!S546/100,"")))</f>
        <v>70.62568743650499</v>
      </c>
      <c r="AA546" s="10">
        <f t="shared" si="86"/>
        <v>751.45731432441312</v>
      </c>
      <c r="AB546" s="10">
        <f t="shared" si="85"/>
        <v>3.5312843718252496</v>
      </c>
      <c r="AC546" s="10">
        <f t="shared" si="87"/>
        <v>37.572865716220655</v>
      </c>
      <c r="AD546" s="10">
        <f>IF(AND(Q546&gt;0,Q546&lt;30,K546&lt;8),Markniveau!Z546*'Udvaskning nøgletal'!$I$12/100,IF(AND(Q546&gt;0,Q546&lt;30,K546=216),Markniveau!Z546*'Udvaskning nøgletal'!$I$34/100,Markniveau!Z546))</f>
        <v>70.62568743650499</v>
      </c>
      <c r="AE546" s="10">
        <f t="shared" si="93"/>
        <v>751.45731432441312</v>
      </c>
      <c r="AF546" s="10">
        <f t="shared" si="88"/>
        <v>3.5312843718252496</v>
      </c>
      <c r="AG546" s="10">
        <f t="shared" si="94"/>
        <v>37.572865716220655</v>
      </c>
      <c r="AH546" s="10" t="str">
        <f>IF(AND(Q546&gt;0,Q546&lt;30,K546=216),'Udvaskning nøgletal'!$C$42,IF(AND(Q546&gt;0,Q546&lt;30,K546&gt;7,K546&lt;17),'Udvaskning nøgletal'!$C$61,IF(AND(Q546&gt;0,Q546&lt;30,K546&lt;7),'Udvaskning nøgletal'!$C$62,"")))</f>
        <v/>
      </c>
      <c r="AI546" s="10">
        <f t="shared" si="90"/>
        <v>10</v>
      </c>
      <c r="AJ546" s="10">
        <f>IF($X546=1,LOOKUP(AI546,'Udvaskning nøgletal'!$C$12:$C$62,'Udvaskning nøgletal'!$E$12:$E$62)+Markniveau!$Y546*Markniveau!$S546/100,IF($X546=2,LOOKUP(AI546,'Udvaskning nøgletal'!$C$12:$C$62,'Udvaskning nøgletal'!$F$12:$F$62)+Markniveau!$Y546*Markniveau!$S546/100,IF($X546=3,LOOKUP(AI546,'Udvaskning nøgletal'!$C$12:$C$62,'Udvaskning nøgletal'!Q556:Q606)+Markniveau!$Y546*Markniveau!$S546/100,"")))</f>
        <v>70.62568743650499</v>
      </c>
      <c r="AK546" s="10">
        <f t="shared" si="89"/>
        <v>751.45731432441312</v>
      </c>
      <c r="AL546" s="10">
        <f t="shared" si="91"/>
        <v>3.5312843718252496</v>
      </c>
      <c r="AM546" s="10">
        <f t="shared" si="92"/>
        <v>37.572865716220655</v>
      </c>
    </row>
    <row r="547" spans="1:39" x14ac:dyDescent="0.25">
      <c r="A547" s="15">
        <v>19153606</v>
      </c>
      <c r="B547" s="15">
        <v>39.89</v>
      </c>
      <c r="C547" s="15">
        <v>105881</v>
      </c>
      <c r="D547" s="15">
        <v>153090</v>
      </c>
      <c r="E547" s="15" t="s">
        <v>445</v>
      </c>
      <c r="F547" s="15">
        <v>2011</v>
      </c>
      <c r="G547" s="15">
        <v>20110427</v>
      </c>
      <c r="H547" s="15">
        <v>34438</v>
      </c>
      <c r="I547" s="15">
        <v>3.44</v>
      </c>
      <c r="J547" s="6" t="s">
        <v>53</v>
      </c>
      <c r="K547" s="15">
        <v>3</v>
      </c>
      <c r="L547" s="15" t="s">
        <v>114</v>
      </c>
      <c r="M547" s="15" t="s">
        <v>5</v>
      </c>
      <c r="N547" s="11" t="s">
        <v>1391</v>
      </c>
      <c r="O547" s="11" t="s">
        <v>46</v>
      </c>
      <c r="P547" s="11" t="s">
        <v>29</v>
      </c>
      <c r="Q547" s="15">
        <v>95</v>
      </c>
      <c r="R547" s="11" t="s">
        <v>3</v>
      </c>
      <c r="S547" s="10">
        <v>144.37842343414999</v>
      </c>
      <c r="T547" s="15">
        <v>80</v>
      </c>
      <c r="U547" s="15">
        <v>0</v>
      </c>
      <c r="V547" s="15">
        <v>0</v>
      </c>
      <c r="W547" s="15">
        <v>1</v>
      </c>
      <c r="X547" s="15">
        <f>IF(O547='Udvaskning nøgletal'!$D$65,1,IF(O547='Udvaskning nøgletal'!$D$66,2,IF(O547='Udvaskning nøgletal'!$D$67,3,IF(O547='Udvaskning nøgletal'!$D$68,2,""))))</f>
        <v>2</v>
      </c>
      <c r="Y547" s="15">
        <f>LOOKUP(K547,'Udvaskning nøgletal'!$C$12:$C$60,'Udvaskning nøgletal'!$H$12:$H$60)</f>
        <v>5</v>
      </c>
      <c r="Z547" s="10">
        <f>IF(X547=1,LOOKUP(K547,'Udvaskning nøgletal'!$C$12:$C$60,'Udvaskning nøgletal'!$E$12:$E$60)+Markniveau!Y547*Markniveau!S547/100,IF(X547=2,LOOKUP(K547,'Udvaskning nøgletal'!$C$12:$C$60,'Udvaskning nøgletal'!$F$12:$F$60)+Markniveau!Y547*Markniveau!S547/100,IF(X547=3,LOOKUP(K547,'Udvaskning nøgletal'!$C$12:$C$60,'Udvaskning nøgletal'!G557:G605)+Markniveau!Y547*Markniveau!S547/100,"")))</f>
        <v>58.098921171707502</v>
      </c>
      <c r="AA547" s="10">
        <f t="shared" si="86"/>
        <v>199.8602888306738</v>
      </c>
      <c r="AB547" s="10">
        <f t="shared" si="85"/>
        <v>2.904946058585375</v>
      </c>
      <c r="AC547" s="10">
        <f t="shared" si="87"/>
        <v>9.9930144415336901</v>
      </c>
      <c r="AD547" s="10">
        <f>IF(AND(Q547&gt;0,Q547&lt;30,K547&lt;8),Markniveau!Z547*'Udvaskning nøgletal'!$I$12/100,IF(AND(Q547&gt;0,Q547&lt;30,K547=216),Markniveau!Z547*'Udvaskning nøgletal'!$I$34/100,Markniveau!Z547))</f>
        <v>58.098921171707502</v>
      </c>
      <c r="AE547" s="10">
        <f t="shared" si="93"/>
        <v>199.8602888306738</v>
      </c>
      <c r="AF547" s="10">
        <f t="shared" si="88"/>
        <v>2.904946058585375</v>
      </c>
      <c r="AG547" s="10">
        <f t="shared" si="94"/>
        <v>9.9930144415336901</v>
      </c>
      <c r="AH547" s="10" t="str">
        <f>IF(AND(Q547&gt;0,Q547&lt;30,K547=216),'Udvaskning nøgletal'!$C$42,IF(AND(Q547&gt;0,Q547&lt;30,K547&gt;7,K547&lt;17),'Udvaskning nøgletal'!$C$61,IF(AND(Q547&gt;0,Q547&lt;30,K547&lt;7),'Udvaskning nøgletal'!$C$62,"")))</f>
        <v/>
      </c>
      <c r="AI547" s="10">
        <f t="shared" si="90"/>
        <v>3</v>
      </c>
      <c r="AJ547" s="10">
        <f>IF($X547=1,LOOKUP(AI547,'Udvaskning nøgletal'!$C$12:$C$62,'Udvaskning nøgletal'!$E$12:$E$62)+Markniveau!$Y547*Markniveau!$S547/100,IF($X547=2,LOOKUP(AI547,'Udvaskning nøgletal'!$C$12:$C$62,'Udvaskning nøgletal'!$F$12:$F$62)+Markniveau!$Y547*Markniveau!$S547/100,IF($X547=3,LOOKUP(AI547,'Udvaskning nøgletal'!$C$12:$C$62,'Udvaskning nøgletal'!Q557:Q607)+Markniveau!$Y547*Markniveau!$S547/100,"")))</f>
        <v>58.098921171707502</v>
      </c>
      <c r="AK547" s="10">
        <f t="shared" si="89"/>
        <v>199.8602888306738</v>
      </c>
      <c r="AL547" s="10">
        <f t="shared" si="91"/>
        <v>2.904946058585375</v>
      </c>
      <c r="AM547" s="10">
        <f t="shared" si="92"/>
        <v>9.9930144415336901</v>
      </c>
    </row>
    <row r="548" spans="1:39" x14ac:dyDescent="0.25">
      <c r="A548" s="15">
        <v>19153606</v>
      </c>
      <c r="B548" s="15">
        <v>39.89</v>
      </c>
      <c r="C548" s="15">
        <v>116069</v>
      </c>
      <c r="D548" s="15">
        <v>153090</v>
      </c>
      <c r="E548" s="15" t="s">
        <v>446</v>
      </c>
      <c r="F548" s="15">
        <v>2011</v>
      </c>
      <c r="G548" s="15">
        <v>20110427</v>
      </c>
      <c r="H548" s="15">
        <v>20988</v>
      </c>
      <c r="I548" s="15">
        <v>2.1</v>
      </c>
      <c r="J548" s="6" t="s">
        <v>144</v>
      </c>
      <c r="K548" s="15">
        <v>260</v>
      </c>
      <c r="L548" s="15" t="s">
        <v>45</v>
      </c>
      <c r="M548" s="15" t="s">
        <v>5</v>
      </c>
      <c r="N548" s="11" t="s">
        <v>1391</v>
      </c>
      <c r="O548" s="11" t="s">
        <v>46</v>
      </c>
      <c r="P548" s="11" t="s">
        <v>33</v>
      </c>
      <c r="Q548" s="15">
        <v>0</v>
      </c>
      <c r="R548" s="11" t="s">
        <v>1386</v>
      </c>
      <c r="S548" s="10">
        <v>144.37842343414999</v>
      </c>
      <c r="T548" s="15">
        <v>80</v>
      </c>
      <c r="U548" s="15">
        <v>0</v>
      </c>
      <c r="V548" s="15">
        <v>0</v>
      </c>
      <c r="W548" s="15">
        <v>1</v>
      </c>
      <c r="X548" s="15">
        <f>IF(O548='Udvaskning nøgletal'!$D$65,1,IF(O548='Udvaskning nøgletal'!$D$66,2,IF(O548='Udvaskning nøgletal'!$D$67,3,IF(O548='Udvaskning nøgletal'!$D$68,2,""))))</f>
        <v>2</v>
      </c>
      <c r="Y548" s="15">
        <f>LOOKUP(K548,'Udvaskning nøgletal'!$C$12:$C$60,'Udvaskning nøgletal'!$H$12:$H$60)</f>
        <v>0</v>
      </c>
      <c r="Z548" s="10">
        <f>IF(X548=1,LOOKUP(K548,'Udvaskning nøgletal'!$C$12:$C$60,'Udvaskning nøgletal'!$E$12:$E$60)+Markniveau!Y548*Markniveau!S548/100,IF(X548=2,LOOKUP(K548,'Udvaskning nøgletal'!$C$12:$C$60,'Udvaskning nøgletal'!$F$12:$F$60)+Markniveau!Y548*Markniveau!S548/100,IF(X548=3,LOOKUP(K548,'Udvaskning nøgletal'!$C$12:$C$60,'Udvaskning nøgletal'!G558:G606)+Markniveau!Y548*Markniveau!S548/100,"")))</f>
        <v>27.331185321443094</v>
      </c>
      <c r="AA548" s="10">
        <f t="shared" si="86"/>
        <v>57.395489175030498</v>
      </c>
      <c r="AB548" s="10" t="str">
        <f t="shared" si="85"/>
        <v/>
      </c>
      <c r="AC548" s="10" t="str">
        <f t="shared" si="87"/>
        <v/>
      </c>
      <c r="AD548" s="10">
        <f>IF(AND(Q548&gt;0,Q548&lt;30,K548&lt;8),Markniveau!Z548*'Udvaskning nøgletal'!$I$12/100,IF(AND(Q548&gt;0,Q548&lt;30,K548=216),Markniveau!Z548*'Udvaskning nøgletal'!$I$34/100,Markniveau!Z548))</f>
        <v>27.331185321443094</v>
      </c>
      <c r="AE548" s="10">
        <f t="shared" si="93"/>
        <v>57.395489175030498</v>
      </c>
      <c r="AF548" s="10" t="str">
        <f t="shared" si="88"/>
        <v/>
      </c>
      <c r="AG548" s="10" t="str">
        <f t="shared" si="94"/>
        <v/>
      </c>
      <c r="AH548" s="10" t="str">
        <f>IF(AND(Q548&gt;0,Q548&lt;30,K548=216),'Udvaskning nøgletal'!$C$42,IF(AND(Q548&gt;0,Q548&lt;30,K548&gt;7,K548&lt;17),'Udvaskning nøgletal'!$C$61,IF(AND(Q548&gt;0,Q548&lt;30,K548&lt;7),'Udvaskning nøgletal'!$C$62,"")))</f>
        <v/>
      </c>
      <c r="AI548" s="10">
        <f t="shared" si="90"/>
        <v>260</v>
      </c>
      <c r="AJ548" s="10">
        <f>IF($X548=1,LOOKUP(AI548,'Udvaskning nøgletal'!$C$12:$C$62,'Udvaskning nøgletal'!$E$12:$E$62)+Markniveau!$Y548*Markniveau!$S548/100,IF($X548=2,LOOKUP(AI548,'Udvaskning nøgletal'!$C$12:$C$62,'Udvaskning nøgletal'!$F$12:$F$62)+Markniveau!$Y548*Markniveau!$S548/100,IF($X548=3,LOOKUP(AI548,'Udvaskning nøgletal'!$C$12:$C$62,'Udvaskning nøgletal'!Q558:Q608)+Markniveau!$Y548*Markniveau!$S548/100,"")))</f>
        <v>27.331185321443094</v>
      </c>
      <c r="AK548" s="10">
        <f t="shared" si="89"/>
        <v>57.395489175030498</v>
      </c>
      <c r="AL548" s="10" t="str">
        <f t="shared" si="91"/>
        <v/>
      </c>
      <c r="AM548" s="10" t="str">
        <f t="shared" si="92"/>
        <v/>
      </c>
    </row>
    <row r="549" spans="1:39" x14ac:dyDescent="0.25">
      <c r="A549" s="15">
        <v>19153606</v>
      </c>
      <c r="B549" s="15">
        <v>39.89</v>
      </c>
      <c r="C549" s="15">
        <v>116070</v>
      </c>
      <c r="D549" s="15">
        <v>153090</v>
      </c>
      <c r="E549" s="15" t="s">
        <v>371</v>
      </c>
      <c r="F549" s="15">
        <v>2011</v>
      </c>
      <c r="G549" s="15">
        <v>20110427</v>
      </c>
      <c r="H549" s="15">
        <v>29208</v>
      </c>
      <c r="I549" s="15">
        <v>2.92</v>
      </c>
      <c r="J549" s="6" t="s">
        <v>69</v>
      </c>
      <c r="K549" s="15">
        <v>11</v>
      </c>
      <c r="L549" s="15" t="s">
        <v>102</v>
      </c>
      <c r="M549" s="15" t="s">
        <v>5</v>
      </c>
      <c r="N549" s="11" t="s">
        <v>1391</v>
      </c>
      <c r="O549" s="11" t="s">
        <v>46</v>
      </c>
      <c r="P549" s="11" t="s">
        <v>29</v>
      </c>
      <c r="Q549" s="15">
        <v>95</v>
      </c>
      <c r="R549" s="11" t="s">
        <v>3</v>
      </c>
      <c r="S549" s="10">
        <v>144.37842343414999</v>
      </c>
      <c r="T549" s="15">
        <v>80</v>
      </c>
      <c r="U549" s="15">
        <v>0</v>
      </c>
      <c r="V549" s="15">
        <v>0</v>
      </c>
      <c r="W549" s="15">
        <v>1</v>
      </c>
      <c r="X549" s="15">
        <f>IF(O549='Udvaskning nøgletal'!$D$65,1,IF(O549='Udvaskning nøgletal'!$D$66,2,IF(O549='Udvaskning nøgletal'!$D$67,3,IF(O549='Udvaskning nøgletal'!$D$68,2,""))))</f>
        <v>2</v>
      </c>
      <c r="Y549" s="15">
        <f>LOOKUP(K549,'Udvaskning nøgletal'!$C$12:$C$60,'Udvaskning nøgletal'!$H$12:$H$60)</f>
        <v>5</v>
      </c>
      <c r="Z549" s="10">
        <f>IF(X549=1,LOOKUP(K549,'Udvaskning nøgletal'!$C$12:$C$60,'Udvaskning nøgletal'!$E$12:$E$60)+Markniveau!Y549*Markniveau!S549/100,IF(X549=2,LOOKUP(K549,'Udvaskning nøgletal'!$C$12:$C$60,'Udvaskning nøgletal'!$F$12:$F$60)+Markniveau!Y549*Markniveau!S549/100,IF(X549=3,LOOKUP(K549,'Udvaskning nøgletal'!$C$12:$C$60,'Udvaskning nøgletal'!G559:G607)+Markniveau!Y549*Markniveau!S549/100,"")))</f>
        <v>58.098921171707502</v>
      </c>
      <c r="AA549" s="10">
        <f t="shared" si="86"/>
        <v>169.64884982138591</v>
      </c>
      <c r="AB549" s="10">
        <f t="shared" si="85"/>
        <v>2.904946058585375</v>
      </c>
      <c r="AC549" s="10">
        <f t="shared" si="87"/>
        <v>8.4824424910692944</v>
      </c>
      <c r="AD549" s="10">
        <f>IF(AND(Q549&gt;0,Q549&lt;30,K549&lt;8),Markniveau!Z549*'Udvaskning nøgletal'!$I$12/100,IF(AND(Q549&gt;0,Q549&lt;30,K549=216),Markniveau!Z549*'Udvaskning nøgletal'!$I$34/100,Markniveau!Z549))</f>
        <v>58.098921171707502</v>
      </c>
      <c r="AE549" s="10">
        <f t="shared" si="93"/>
        <v>169.64884982138591</v>
      </c>
      <c r="AF549" s="10">
        <f t="shared" si="88"/>
        <v>2.904946058585375</v>
      </c>
      <c r="AG549" s="10">
        <f t="shared" si="94"/>
        <v>8.4824424910692944</v>
      </c>
      <c r="AH549" s="10" t="str">
        <f>IF(AND(Q549&gt;0,Q549&lt;30,K549=216),'Udvaskning nøgletal'!$C$42,IF(AND(Q549&gt;0,Q549&lt;30,K549&gt;7,K549&lt;17),'Udvaskning nøgletal'!$C$61,IF(AND(Q549&gt;0,Q549&lt;30,K549&lt;7),'Udvaskning nøgletal'!$C$62,"")))</f>
        <v/>
      </c>
      <c r="AI549" s="10">
        <f t="shared" si="90"/>
        <v>11</v>
      </c>
      <c r="AJ549" s="10">
        <f>IF($X549=1,LOOKUP(AI549,'Udvaskning nøgletal'!$C$12:$C$62,'Udvaskning nøgletal'!$E$12:$E$62)+Markniveau!$Y549*Markniveau!$S549/100,IF($X549=2,LOOKUP(AI549,'Udvaskning nøgletal'!$C$12:$C$62,'Udvaskning nøgletal'!$F$12:$F$62)+Markniveau!$Y549*Markniveau!$S549/100,IF($X549=3,LOOKUP(AI549,'Udvaskning nøgletal'!$C$12:$C$62,'Udvaskning nøgletal'!Q559:Q609)+Markniveau!$Y549*Markniveau!$S549/100,"")))</f>
        <v>58.098921171707502</v>
      </c>
      <c r="AK549" s="10">
        <f t="shared" si="89"/>
        <v>169.64884982138591</v>
      </c>
      <c r="AL549" s="10">
        <f t="shared" si="91"/>
        <v>2.904946058585375</v>
      </c>
      <c r="AM549" s="10">
        <f t="shared" si="92"/>
        <v>8.4824424910692944</v>
      </c>
    </row>
    <row r="550" spans="1:39" x14ac:dyDescent="0.25">
      <c r="A550" s="15">
        <v>19153606</v>
      </c>
      <c r="B550" s="15">
        <v>39.89</v>
      </c>
      <c r="C550" s="15">
        <v>116075</v>
      </c>
      <c r="D550" s="15">
        <v>153090</v>
      </c>
      <c r="E550" s="15" t="s">
        <v>446</v>
      </c>
      <c r="F550" s="15">
        <v>2011</v>
      </c>
      <c r="G550" s="15">
        <v>20110427</v>
      </c>
      <c r="H550" s="15">
        <v>2619</v>
      </c>
      <c r="I550" s="15">
        <v>0.26</v>
      </c>
      <c r="J550" s="6" t="s">
        <v>58</v>
      </c>
      <c r="K550" s="15">
        <v>252</v>
      </c>
      <c r="L550" s="15" t="s">
        <v>41</v>
      </c>
      <c r="M550" s="15" t="s">
        <v>4</v>
      </c>
      <c r="N550" s="11" t="s">
        <v>1391</v>
      </c>
      <c r="O550" s="11" t="s">
        <v>46</v>
      </c>
      <c r="P550" s="11" t="s">
        <v>33</v>
      </c>
      <c r="Q550" s="15">
        <v>0</v>
      </c>
      <c r="R550" s="11" t="s">
        <v>1386</v>
      </c>
      <c r="S550" s="10">
        <v>144.37842343414999</v>
      </c>
      <c r="T550" s="15">
        <v>80</v>
      </c>
      <c r="U550" s="15">
        <v>0</v>
      </c>
      <c r="V550" s="15">
        <v>0</v>
      </c>
      <c r="W550" s="15">
        <v>1</v>
      </c>
      <c r="X550" s="15">
        <f>IF(O550='Udvaskning nøgletal'!$D$65,1,IF(O550='Udvaskning nøgletal'!$D$66,2,IF(O550='Udvaskning nøgletal'!$D$67,3,IF(O550='Udvaskning nøgletal'!$D$68,2,""))))</f>
        <v>2</v>
      </c>
      <c r="Y550" s="15">
        <f>LOOKUP(K550,'Udvaskning nøgletal'!$C$12:$C$60,'Udvaskning nøgletal'!$H$12:$H$60)</f>
        <v>0</v>
      </c>
      <c r="Z550" s="10">
        <f>IF(X550=1,LOOKUP(K550,'Udvaskning nøgletal'!$C$12:$C$60,'Udvaskning nøgletal'!$E$12:$E$60)+Markniveau!Y550*Markniveau!S550/100,IF(X550=2,LOOKUP(K550,'Udvaskning nøgletal'!$C$12:$C$60,'Udvaskning nøgletal'!$F$12:$F$60)+Markniveau!Y550*Markniveau!S550/100,IF(X550=3,LOOKUP(K550,'Udvaskning nøgletal'!$C$12:$C$60,'Udvaskning nøgletal'!G560:G608)+Markniveau!Y550*Markniveau!S550/100,"")))</f>
        <v>21.2</v>
      </c>
      <c r="AA550" s="10">
        <f t="shared" si="86"/>
        <v>5.5119999999999996</v>
      </c>
      <c r="AB550" s="10" t="str">
        <f t="shared" si="85"/>
        <v/>
      </c>
      <c r="AC550" s="10" t="str">
        <f t="shared" si="87"/>
        <v/>
      </c>
      <c r="AD550" s="10">
        <f>IF(AND(Q550&gt;0,Q550&lt;30,K550&lt;8),Markniveau!Z550*'Udvaskning nøgletal'!$I$12/100,IF(AND(Q550&gt;0,Q550&lt;30,K550=216),Markniveau!Z550*'Udvaskning nøgletal'!$I$34/100,Markniveau!Z550))</f>
        <v>21.2</v>
      </c>
      <c r="AE550" s="10">
        <f t="shared" si="93"/>
        <v>5.5119999999999996</v>
      </c>
      <c r="AF550" s="10" t="str">
        <f t="shared" si="88"/>
        <v/>
      </c>
      <c r="AG550" s="10" t="str">
        <f t="shared" si="94"/>
        <v/>
      </c>
      <c r="AH550" s="10" t="str">
        <f>IF(AND(Q550&gt;0,Q550&lt;30,K550=216),'Udvaskning nøgletal'!$C$42,IF(AND(Q550&gt;0,Q550&lt;30,K550&gt;7,K550&lt;17),'Udvaskning nøgletal'!$C$61,IF(AND(Q550&gt;0,Q550&lt;30,K550&lt;7),'Udvaskning nøgletal'!$C$62,"")))</f>
        <v/>
      </c>
      <c r="AI550" s="10">
        <f t="shared" si="90"/>
        <v>252</v>
      </c>
      <c r="AJ550" s="10">
        <f>IF($X550=1,LOOKUP(AI550,'Udvaskning nøgletal'!$C$12:$C$62,'Udvaskning nøgletal'!$E$12:$E$62)+Markniveau!$Y550*Markniveau!$S550/100,IF($X550=2,LOOKUP(AI550,'Udvaskning nøgletal'!$C$12:$C$62,'Udvaskning nøgletal'!$F$12:$F$62)+Markniveau!$Y550*Markniveau!$S550/100,IF($X550=3,LOOKUP(AI550,'Udvaskning nøgletal'!$C$12:$C$62,'Udvaskning nøgletal'!Q560:Q610)+Markniveau!$Y550*Markniveau!$S550/100,"")))</f>
        <v>21.2</v>
      </c>
      <c r="AK550" s="10">
        <f t="shared" si="89"/>
        <v>5.5119999999999996</v>
      </c>
      <c r="AL550" s="10" t="str">
        <f t="shared" si="91"/>
        <v/>
      </c>
      <c r="AM550" s="10" t="str">
        <f t="shared" si="92"/>
        <v/>
      </c>
    </row>
    <row r="551" spans="1:39" x14ac:dyDescent="0.25">
      <c r="A551" s="15">
        <v>19153606</v>
      </c>
      <c r="B551" s="15">
        <v>39.89</v>
      </c>
      <c r="C551" s="15">
        <v>116077</v>
      </c>
      <c r="D551" s="15">
        <v>153090</v>
      </c>
      <c r="E551" s="15" t="s">
        <v>371</v>
      </c>
      <c r="F551" s="15">
        <v>2011</v>
      </c>
      <c r="G551" s="15">
        <v>20110427</v>
      </c>
      <c r="H551" s="15">
        <v>26030</v>
      </c>
      <c r="I551" s="15">
        <v>2.6</v>
      </c>
      <c r="J551" s="6" t="s">
        <v>35</v>
      </c>
      <c r="K551" s="15">
        <v>11</v>
      </c>
      <c r="L551" s="15" t="s">
        <v>102</v>
      </c>
      <c r="M551" s="15" t="s">
        <v>5</v>
      </c>
      <c r="N551" s="11" t="s">
        <v>1391</v>
      </c>
      <c r="O551" s="11" t="s">
        <v>46</v>
      </c>
      <c r="P551" s="11" t="s">
        <v>29</v>
      </c>
      <c r="Q551" s="15">
        <v>95</v>
      </c>
      <c r="R551" s="11" t="s">
        <v>3</v>
      </c>
      <c r="S551" s="10">
        <v>144.37842343414999</v>
      </c>
      <c r="T551" s="15">
        <v>80</v>
      </c>
      <c r="U551" s="15">
        <v>0</v>
      </c>
      <c r="V551" s="15">
        <v>0</v>
      </c>
      <c r="W551" s="15">
        <v>1</v>
      </c>
      <c r="X551" s="15">
        <f>IF(O551='Udvaskning nøgletal'!$D$65,1,IF(O551='Udvaskning nøgletal'!$D$66,2,IF(O551='Udvaskning nøgletal'!$D$67,3,IF(O551='Udvaskning nøgletal'!$D$68,2,""))))</f>
        <v>2</v>
      </c>
      <c r="Y551" s="15">
        <f>LOOKUP(K551,'Udvaskning nøgletal'!$C$12:$C$60,'Udvaskning nøgletal'!$H$12:$H$60)</f>
        <v>5</v>
      </c>
      <c r="Z551" s="10">
        <f>IF(X551=1,LOOKUP(K551,'Udvaskning nøgletal'!$C$12:$C$60,'Udvaskning nøgletal'!$E$12:$E$60)+Markniveau!Y551*Markniveau!S551/100,IF(X551=2,LOOKUP(K551,'Udvaskning nøgletal'!$C$12:$C$60,'Udvaskning nøgletal'!$F$12:$F$60)+Markniveau!Y551*Markniveau!S551/100,IF(X551=3,LOOKUP(K551,'Udvaskning nøgletal'!$C$12:$C$60,'Udvaskning nøgletal'!G561:G609)+Markniveau!Y551*Markniveau!S551/100,"")))</f>
        <v>58.098921171707502</v>
      </c>
      <c r="AA551" s="10">
        <f t="shared" si="86"/>
        <v>151.05719504643952</v>
      </c>
      <c r="AB551" s="10">
        <f t="shared" si="85"/>
        <v>2.904946058585375</v>
      </c>
      <c r="AC551" s="10">
        <f t="shared" si="87"/>
        <v>7.5528597523219752</v>
      </c>
      <c r="AD551" s="10">
        <f>IF(AND(Q551&gt;0,Q551&lt;30,K551&lt;8),Markniveau!Z551*'Udvaskning nøgletal'!$I$12/100,IF(AND(Q551&gt;0,Q551&lt;30,K551=216),Markniveau!Z551*'Udvaskning nøgletal'!$I$34/100,Markniveau!Z551))</f>
        <v>58.098921171707502</v>
      </c>
      <c r="AE551" s="10">
        <f t="shared" si="93"/>
        <v>151.05719504643952</v>
      </c>
      <c r="AF551" s="10">
        <f t="shared" si="88"/>
        <v>2.904946058585375</v>
      </c>
      <c r="AG551" s="10">
        <f t="shared" si="94"/>
        <v>7.5528597523219752</v>
      </c>
      <c r="AH551" s="10" t="str">
        <f>IF(AND(Q551&gt;0,Q551&lt;30,K551=216),'Udvaskning nøgletal'!$C$42,IF(AND(Q551&gt;0,Q551&lt;30,K551&gt;7,K551&lt;17),'Udvaskning nøgletal'!$C$61,IF(AND(Q551&gt;0,Q551&lt;30,K551&lt;7),'Udvaskning nøgletal'!$C$62,"")))</f>
        <v/>
      </c>
      <c r="AI551" s="10">
        <f t="shared" si="90"/>
        <v>11</v>
      </c>
      <c r="AJ551" s="10">
        <f>IF($X551=1,LOOKUP(AI551,'Udvaskning nøgletal'!$C$12:$C$62,'Udvaskning nøgletal'!$E$12:$E$62)+Markniveau!$Y551*Markniveau!$S551/100,IF($X551=2,LOOKUP(AI551,'Udvaskning nøgletal'!$C$12:$C$62,'Udvaskning nøgletal'!$F$12:$F$62)+Markniveau!$Y551*Markniveau!$S551/100,IF($X551=3,LOOKUP(AI551,'Udvaskning nøgletal'!$C$12:$C$62,'Udvaskning nøgletal'!Q561:Q611)+Markniveau!$Y551*Markniveau!$S551/100,"")))</f>
        <v>58.098921171707502</v>
      </c>
      <c r="AK551" s="10">
        <f t="shared" si="89"/>
        <v>151.05719504643952</v>
      </c>
      <c r="AL551" s="10">
        <f t="shared" si="91"/>
        <v>2.904946058585375</v>
      </c>
      <c r="AM551" s="10">
        <f t="shared" si="92"/>
        <v>7.5528597523219752</v>
      </c>
    </row>
    <row r="552" spans="1:39" x14ac:dyDescent="0.25">
      <c r="A552" s="15">
        <v>19153606</v>
      </c>
      <c r="B552" s="15">
        <v>39.89</v>
      </c>
      <c r="C552" s="15">
        <v>118635</v>
      </c>
      <c r="D552" s="15">
        <v>153090</v>
      </c>
      <c r="E552" s="15" t="s">
        <v>445</v>
      </c>
      <c r="F552" s="15">
        <v>2011</v>
      </c>
      <c r="G552" s="15">
        <v>20110427</v>
      </c>
      <c r="H552" s="15">
        <v>13958</v>
      </c>
      <c r="I552" s="15">
        <v>1.4</v>
      </c>
      <c r="J552" s="6" t="s">
        <v>1462</v>
      </c>
      <c r="K552" s="15">
        <v>260</v>
      </c>
      <c r="L552" s="15" t="s">
        <v>45</v>
      </c>
      <c r="M552" s="15" t="s">
        <v>5</v>
      </c>
      <c r="N552" s="11" t="s">
        <v>1391</v>
      </c>
      <c r="O552" s="11" t="s">
        <v>46</v>
      </c>
      <c r="P552" s="11" t="s">
        <v>29</v>
      </c>
      <c r="Q552" s="15">
        <v>95</v>
      </c>
      <c r="R552" s="11" t="s">
        <v>3</v>
      </c>
      <c r="S552" s="10">
        <v>144.37842343414999</v>
      </c>
      <c r="T552" s="15">
        <v>80</v>
      </c>
      <c r="U552" s="15">
        <v>0</v>
      </c>
      <c r="V552" s="15">
        <v>0</v>
      </c>
      <c r="W552" s="15">
        <v>1</v>
      </c>
      <c r="X552" s="15">
        <f>IF(O552='Udvaskning nøgletal'!$D$65,1,IF(O552='Udvaskning nøgletal'!$D$66,2,IF(O552='Udvaskning nøgletal'!$D$67,3,IF(O552='Udvaskning nøgletal'!$D$68,2,""))))</f>
        <v>2</v>
      </c>
      <c r="Y552" s="15">
        <f>LOOKUP(K552,'Udvaskning nøgletal'!$C$12:$C$60,'Udvaskning nøgletal'!$H$12:$H$60)</f>
        <v>0</v>
      </c>
      <c r="Z552" s="10">
        <f>IF(X552=1,LOOKUP(K552,'Udvaskning nøgletal'!$C$12:$C$60,'Udvaskning nøgletal'!$E$12:$E$60)+Markniveau!Y552*Markniveau!S552/100,IF(X552=2,LOOKUP(K552,'Udvaskning nøgletal'!$C$12:$C$60,'Udvaskning nøgletal'!$F$12:$F$60)+Markniveau!Y552*Markniveau!S552/100,IF(X552=3,LOOKUP(K552,'Udvaskning nøgletal'!$C$12:$C$60,'Udvaskning nøgletal'!G562:G610)+Markniveau!Y552*Markniveau!S552/100,"")))</f>
        <v>27.331185321443094</v>
      </c>
      <c r="AA552" s="10">
        <f t="shared" si="86"/>
        <v>38.263659450020327</v>
      </c>
      <c r="AB552" s="10">
        <f t="shared" si="85"/>
        <v>1.3665592660721546</v>
      </c>
      <c r="AC552" s="10">
        <f t="shared" si="87"/>
        <v>1.9131829725010163</v>
      </c>
      <c r="AD552" s="10">
        <f>IF(AND(Q552&gt;0,Q552&lt;30,K552&lt;8),Markniveau!Z552*'Udvaskning nøgletal'!$I$12/100,IF(AND(Q552&gt;0,Q552&lt;30,K552=216),Markniveau!Z552*'Udvaskning nøgletal'!$I$34/100,Markniveau!Z552))</f>
        <v>27.331185321443094</v>
      </c>
      <c r="AE552" s="10">
        <f t="shared" si="93"/>
        <v>38.263659450020327</v>
      </c>
      <c r="AF552" s="10">
        <f t="shared" si="88"/>
        <v>1.3665592660721546</v>
      </c>
      <c r="AG552" s="10">
        <f t="shared" si="94"/>
        <v>1.9131829725010163</v>
      </c>
      <c r="AH552" s="10" t="str">
        <f>IF(AND(Q552&gt;0,Q552&lt;30,K552=216),'Udvaskning nøgletal'!$C$42,IF(AND(Q552&gt;0,Q552&lt;30,K552&gt;7,K552&lt;17),'Udvaskning nøgletal'!$C$61,IF(AND(Q552&gt;0,Q552&lt;30,K552&lt;7),'Udvaskning nøgletal'!$C$62,"")))</f>
        <v/>
      </c>
      <c r="AI552" s="10">
        <f t="shared" si="90"/>
        <v>260</v>
      </c>
      <c r="AJ552" s="10">
        <f>IF($X552=1,LOOKUP(AI552,'Udvaskning nøgletal'!$C$12:$C$62,'Udvaskning nøgletal'!$E$12:$E$62)+Markniveau!$Y552*Markniveau!$S552/100,IF($X552=2,LOOKUP(AI552,'Udvaskning nøgletal'!$C$12:$C$62,'Udvaskning nøgletal'!$F$12:$F$62)+Markniveau!$Y552*Markniveau!$S552/100,IF($X552=3,LOOKUP(AI552,'Udvaskning nøgletal'!$C$12:$C$62,'Udvaskning nøgletal'!Q562:Q612)+Markniveau!$Y552*Markniveau!$S552/100,"")))</f>
        <v>27.331185321443094</v>
      </c>
      <c r="AK552" s="10">
        <f t="shared" si="89"/>
        <v>38.263659450020327</v>
      </c>
      <c r="AL552" s="10">
        <f t="shared" si="91"/>
        <v>1.3665592660721546</v>
      </c>
      <c r="AM552" s="10">
        <f t="shared" si="92"/>
        <v>1.9131829725010163</v>
      </c>
    </row>
    <row r="553" spans="1:39" x14ac:dyDescent="0.25">
      <c r="A553" s="15">
        <v>19153606</v>
      </c>
      <c r="B553" s="15">
        <v>39.89</v>
      </c>
      <c r="C553" s="15">
        <v>118637</v>
      </c>
      <c r="D553" s="15">
        <v>153090</v>
      </c>
      <c r="E553" s="15" t="s">
        <v>445</v>
      </c>
      <c r="F553" s="15">
        <v>2011</v>
      </c>
      <c r="G553" s="15">
        <v>20110427</v>
      </c>
      <c r="H553" s="15">
        <v>10751</v>
      </c>
      <c r="I553" s="15">
        <v>1.08</v>
      </c>
      <c r="J553" s="6" t="s">
        <v>1436</v>
      </c>
      <c r="K553" s="15">
        <v>260</v>
      </c>
      <c r="L553" s="15" t="s">
        <v>45</v>
      </c>
      <c r="M553" s="15" t="s">
        <v>5</v>
      </c>
      <c r="N553" s="11" t="s">
        <v>1391</v>
      </c>
      <c r="O553" s="11" t="s">
        <v>46</v>
      </c>
      <c r="P553" s="11" t="s">
        <v>29</v>
      </c>
      <c r="Q553" s="15">
        <v>95</v>
      </c>
      <c r="R553" s="11" t="s">
        <v>3</v>
      </c>
      <c r="S553" s="10">
        <v>144.37842343414999</v>
      </c>
      <c r="T553" s="15">
        <v>80</v>
      </c>
      <c r="U553" s="15">
        <v>0</v>
      </c>
      <c r="V553" s="15">
        <v>0</v>
      </c>
      <c r="W553" s="15">
        <v>1</v>
      </c>
      <c r="X553" s="15">
        <f>IF(O553='Udvaskning nøgletal'!$D$65,1,IF(O553='Udvaskning nøgletal'!$D$66,2,IF(O553='Udvaskning nøgletal'!$D$67,3,IF(O553='Udvaskning nøgletal'!$D$68,2,""))))</f>
        <v>2</v>
      </c>
      <c r="Y553" s="15">
        <f>LOOKUP(K553,'Udvaskning nøgletal'!$C$12:$C$60,'Udvaskning nøgletal'!$H$12:$H$60)</f>
        <v>0</v>
      </c>
      <c r="Z553" s="10">
        <f>IF(X553=1,LOOKUP(K553,'Udvaskning nøgletal'!$C$12:$C$60,'Udvaskning nøgletal'!$E$12:$E$60)+Markniveau!Y553*Markniveau!S553/100,IF(X553=2,LOOKUP(K553,'Udvaskning nøgletal'!$C$12:$C$60,'Udvaskning nøgletal'!$F$12:$F$60)+Markniveau!Y553*Markniveau!S553/100,IF(X553=3,LOOKUP(K553,'Udvaskning nøgletal'!$C$12:$C$60,'Udvaskning nøgletal'!G563:G611)+Markniveau!Y553*Markniveau!S553/100,"")))</f>
        <v>27.331185321443094</v>
      </c>
      <c r="AA553" s="10">
        <f t="shared" si="86"/>
        <v>29.517680147158543</v>
      </c>
      <c r="AB553" s="10">
        <f t="shared" si="85"/>
        <v>1.3665592660721546</v>
      </c>
      <c r="AC553" s="10">
        <f t="shared" si="87"/>
        <v>1.4758840073579271</v>
      </c>
      <c r="AD553" s="10">
        <f>IF(AND(Q553&gt;0,Q553&lt;30,K553&lt;8),Markniveau!Z553*'Udvaskning nøgletal'!$I$12/100,IF(AND(Q553&gt;0,Q553&lt;30,K553=216),Markniveau!Z553*'Udvaskning nøgletal'!$I$34/100,Markniveau!Z553))</f>
        <v>27.331185321443094</v>
      </c>
      <c r="AE553" s="10">
        <f t="shared" si="93"/>
        <v>29.517680147158543</v>
      </c>
      <c r="AF553" s="10">
        <f t="shared" si="88"/>
        <v>1.3665592660721546</v>
      </c>
      <c r="AG553" s="10">
        <f t="shared" si="94"/>
        <v>1.4758840073579271</v>
      </c>
      <c r="AH553" s="10" t="str">
        <f>IF(AND(Q553&gt;0,Q553&lt;30,K553=216),'Udvaskning nøgletal'!$C$42,IF(AND(Q553&gt;0,Q553&lt;30,K553&gt;7,K553&lt;17),'Udvaskning nøgletal'!$C$61,IF(AND(Q553&gt;0,Q553&lt;30,K553&lt;7),'Udvaskning nøgletal'!$C$62,"")))</f>
        <v/>
      </c>
      <c r="AI553" s="10">
        <f t="shared" si="90"/>
        <v>260</v>
      </c>
      <c r="AJ553" s="10">
        <f>IF($X553=1,LOOKUP(AI553,'Udvaskning nøgletal'!$C$12:$C$62,'Udvaskning nøgletal'!$E$12:$E$62)+Markniveau!$Y553*Markniveau!$S553/100,IF($X553=2,LOOKUP(AI553,'Udvaskning nøgletal'!$C$12:$C$62,'Udvaskning nøgletal'!$F$12:$F$62)+Markniveau!$Y553*Markniveau!$S553/100,IF($X553=3,LOOKUP(AI553,'Udvaskning nøgletal'!$C$12:$C$62,'Udvaskning nøgletal'!Q563:Q613)+Markniveau!$Y553*Markniveau!$S553/100,"")))</f>
        <v>27.331185321443094</v>
      </c>
      <c r="AK553" s="10">
        <f t="shared" si="89"/>
        <v>29.517680147158543</v>
      </c>
      <c r="AL553" s="10">
        <f t="shared" si="91"/>
        <v>1.3665592660721546</v>
      </c>
      <c r="AM553" s="10">
        <f t="shared" si="92"/>
        <v>1.4758840073579271</v>
      </c>
    </row>
    <row r="554" spans="1:39" x14ac:dyDescent="0.25">
      <c r="A554" s="15">
        <v>19153606</v>
      </c>
      <c r="B554" s="15">
        <v>39.89</v>
      </c>
      <c r="C554" s="15">
        <v>118641</v>
      </c>
      <c r="D554" s="15">
        <v>153090</v>
      </c>
      <c r="E554" s="15" t="s">
        <v>445</v>
      </c>
      <c r="F554" s="15">
        <v>2011</v>
      </c>
      <c r="G554" s="15">
        <v>20110427</v>
      </c>
      <c r="H554" s="15">
        <v>13879</v>
      </c>
      <c r="I554" s="15">
        <v>1.39</v>
      </c>
      <c r="J554" s="6" t="s">
        <v>1437</v>
      </c>
      <c r="K554" s="15">
        <v>260</v>
      </c>
      <c r="L554" s="15" t="s">
        <v>45</v>
      </c>
      <c r="M554" s="15" t="s">
        <v>5</v>
      </c>
      <c r="N554" s="11" t="s">
        <v>1391</v>
      </c>
      <c r="O554" s="11" t="s">
        <v>46</v>
      </c>
      <c r="P554" s="11" t="s">
        <v>29</v>
      </c>
      <c r="Q554" s="15">
        <v>95</v>
      </c>
      <c r="R554" s="11" t="s">
        <v>3</v>
      </c>
      <c r="S554" s="10">
        <v>144.37842343414999</v>
      </c>
      <c r="T554" s="15">
        <v>80</v>
      </c>
      <c r="U554" s="15">
        <v>0</v>
      </c>
      <c r="V554" s="15">
        <v>0</v>
      </c>
      <c r="W554" s="15">
        <v>1</v>
      </c>
      <c r="X554" s="15">
        <f>IF(O554='Udvaskning nøgletal'!$D$65,1,IF(O554='Udvaskning nøgletal'!$D$66,2,IF(O554='Udvaskning nøgletal'!$D$67,3,IF(O554='Udvaskning nøgletal'!$D$68,2,""))))</f>
        <v>2</v>
      </c>
      <c r="Y554" s="15">
        <f>LOOKUP(K554,'Udvaskning nøgletal'!$C$12:$C$60,'Udvaskning nøgletal'!$H$12:$H$60)</f>
        <v>0</v>
      </c>
      <c r="Z554" s="10">
        <f>IF(X554=1,LOOKUP(K554,'Udvaskning nøgletal'!$C$12:$C$60,'Udvaskning nøgletal'!$E$12:$E$60)+Markniveau!Y554*Markniveau!S554/100,IF(X554=2,LOOKUP(K554,'Udvaskning nøgletal'!$C$12:$C$60,'Udvaskning nøgletal'!$F$12:$F$60)+Markniveau!Y554*Markniveau!S554/100,IF(X554=3,LOOKUP(K554,'Udvaskning nøgletal'!$C$12:$C$60,'Udvaskning nøgletal'!G564:G612)+Markniveau!Y554*Markniveau!S554/100,"")))</f>
        <v>27.331185321443094</v>
      </c>
      <c r="AA554" s="10">
        <f t="shared" si="86"/>
        <v>37.990347596805897</v>
      </c>
      <c r="AB554" s="10">
        <f t="shared" si="85"/>
        <v>1.3665592660721546</v>
      </c>
      <c r="AC554" s="10">
        <f t="shared" si="87"/>
        <v>1.8995173798402947</v>
      </c>
      <c r="AD554" s="10">
        <f>IF(AND(Q554&gt;0,Q554&lt;30,K554&lt;8),Markniveau!Z554*'Udvaskning nøgletal'!$I$12/100,IF(AND(Q554&gt;0,Q554&lt;30,K554=216),Markniveau!Z554*'Udvaskning nøgletal'!$I$34/100,Markniveau!Z554))</f>
        <v>27.331185321443094</v>
      </c>
      <c r="AE554" s="10">
        <f t="shared" si="93"/>
        <v>37.990347596805897</v>
      </c>
      <c r="AF554" s="10">
        <f t="shared" si="88"/>
        <v>1.3665592660721546</v>
      </c>
      <c r="AG554" s="10">
        <f t="shared" si="94"/>
        <v>1.8995173798402947</v>
      </c>
      <c r="AH554" s="10" t="str">
        <f>IF(AND(Q554&gt;0,Q554&lt;30,K554=216),'Udvaskning nøgletal'!$C$42,IF(AND(Q554&gt;0,Q554&lt;30,K554&gt;7,K554&lt;17),'Udvaskning nøgletal'!$C$61,IF(AND(Q554&gt;0,Q554&lt;30,K554&lt;7),'Udvaskning nøgletal'!$C$62,"")))</f>
        <v/>
      </c>
      <c r="AI554" s="10">
        <f t="shared" si="90"/>
        <v>260</v>
      </c>
      <c r="AJ554" s="10">
        <f>IF($X554=1,LOOKUP(AI554,'Udvaskning nøgletal'!$C$12:$C$62,'Udvaskning nøgletal'!$E$12:$E$62)+Markniveau!$Y554*Markniveau!$S554/100,IF($X554=2,LOOKUP(AI554,'Udvaskning nøgletal'!$C$12:$C$62,'Udvaskning nøgletal'!$F$12:$F$62)+Markniveau!$Y554*Markniveau!$S554/100,IF($X554=3,LOOKUP(AI554,'Udvaskning nøgletal'!$C$12:$C$62,'Udvaskning nøgletal'!Q564:Q614)+Markniveau!$Y554*Markniveau!$S554/100,"")))</f>
        <v>27.331185321443094</v>
      </c>
      <c r="AK554" s="10">
        <f t="shared" si="89"/>
        <v>37.990347596805897</v>
      </c>
      <c r="AL554" s="10">
        <f t="shared" si="91"/>
        <v>1.3665592660721546</v>
      </c>
      <c r="AM554" s="10">
        <f t="shared" si="92"/>
        <v>1.8995173798402947</v>
      </c>
    </row>
    <row r="555" spans="1:39" x14ac:dyDescent="0.25">
      <c r="A555" s="15">
        <v>19153606</v>
      </c>
      <c r="B555" s="15">
        <v>39.89</v>
      </c>
      <c r="C555" s="15">
        <v>118642</v>
      </c>
      <c r="D555" s="15">
        <v>153090</v>
      </c>
      <c r="E555" s="15" t="s">
        <v>445</v>
      </c>
      <c r="F555" s="15">
        <v>2011</v>
      </c>
      <c r="G555" s="15">
        <v>20110427</v>
      </c>
      <c r="H555" s="15">
        <v>11538</v>
      </c>
      <c r="I555" s="15">
        <v>1.1499999999999999</v>
      </c>
      <c r="J555" s="6" t="s">
        <v>86</v>
      </c>
      <c r="K555" s="15">
        <v>260</v>
      </c>
      <c r="L555" s="15" t="s">
        <v>45</v>
      </c>
      <c r="M555" s="15" t="s">
        <v>5</v>
      </c>
      <c r="N555" s="11" t="s">
        <v>1391</v>
      </c>
      <c r="O555" s="11" t="s">
        <v>46</v>
      </c>
      <c r="P555" s="11" t="s">
        <v>29</v>
      </c>
      <c r="Q555" s="15">
        <v>95</v>
      </c>
      <c r="R555" s="11" t="s">
        <v>3</v>
      </c>
      <c r="S555" s="10">
        <v>144.37842343414999</v>
      </c>
      <c r="T555" s="15">
        <v>80</v>
      </c>
      <c r="U555" s="15">
        <v>0</v>
      </c>
      <c r="V555" s="15">
        <v>0</v>
      </c>
      <c r="W555" s="15">
        <v>1</v>
      </c>
      <c r="X555" s="15">
        <f>IF(O555='Udvaskning nøgletal'!$D$65,1,IF(O555='Udvaskning nøgletal'!$D$66,2,IF(O555='Udvaskning nøgletal'!$D$67,3,IF(O555='Udvaskning nøgletal'!$D$68,2,""))))</f>
        <v>2</v>
      </c>
      <c r="Y555" s="15">
        <f>LOOKUP(K555,'Udvaskning nøgletal'!$C$12:$C$60,'Udvaskning nøgletal'!$H$12:$H$60)</f>
        <v>0</v>
      </c>
      <c r="Z555" s="10">
        <f>IF(X555=1,LOOKUP(K555,'Udvaskning nøgletal'!$C$12:$C$60,'Udvaskning nøgletal'!$E$12:$E$60)+Markniveau!Y555*Markniveau!S555/100,IF(X555=2,LOOKUP(K555,'Udvaskning nøgletal'!$C$12:$C$60,'Udvaskning nøgletal'!$F$12:$F$60)+Markniveau!Y555*Markniveau!S555/100,IF(X555=3,LOOKUP(K555,'Udvaskning nøgletal'!$C$12:$C$60,'Udvaskning nøgletal'!G565:G613)+Markniveau!Y555*Markniveau!S555/100,"")))</f>
        <v>27.331185321443094</v>
      </c>
      <c r="AA555" s="10">
        <f t="shared" si="86"/>
        <v>31.430863119659556</v>
      </c>
      <c r="AB555" s="10">
        <f t="shared" si="85"/>
        <v>1.3665592660721546</v>
      </c>
      <c r="AC555" s="10">
        <f t="shared" si="87"/>
        <v>1.5715431559829778</v>
      </c>
      <c r="AD555" s="10">
        <f>IF(AND(Q555&gt;0,Q555&lt;30,K555&lt;8),Markniveau!Z555*'Udvaskning nøgletal'!$I$12/100,IF(AND(Q555&gt;0,Q555&lt;30,K555=216),Markniveau!Z555*'Udvaskning nøgletal'!$I$34/100,Markniveau!Z555))</f>
        <v>27.331185321443094</v>
      </c>
      <c r="AE555" s="10">
        <f t="shared" si="93"/>
        <v>31.430863119659556</v>
      </c>
      <c r="AF555" s="10">
        <f t="shared" si="88"/>
        <v>1.3665592660721546</v>
      </c>
      <c r="AG555" s="10">
        <f t="shared" si="94"/>
        <v>1.5715431559829778</v>
      </c>
      <c r="AH555" s="10" t="str">
        <f>IF(AND(Q555&gt;0,Q555&lt;30,K555=216),'Udvaskning nøgletal'!$C$42,IF(AND(Q555&gt;0,Q555&lt;30,K555&gt;7,K555&lt;17),'Udvaskning nøgletal'!$C$61,IF(AND(Q555&gt;0,Q555&lt;30,K555&lt;7),'Udvaskning nøgletal'!$C$62,"")))</f>
        <v/>
      </c>
      <c r="AI555" s="10">
        <f t="shared" si="90"/>
        <v>260</v>
      </c>
      <c r="AJ555" s="10">
        <f>IF($X555=1,LOOKUP(AI555,'Udvaskning nøgletal'!$C$12:$C$62,'Udvaskning nøgletal'!$E$12:$E$62)+Markniveau!$Y555*Markniveau!$S555/100,IF($X555=2,LOOKUP(AI555,'Udvaskning nøgletal'!$C$12:$C$62,'Udvaskning nøgletal'!$F$12:$F$62)+Markniveau!$Y555*Markniveau!$S555/100,IF($X555=3,LOOKUP(AI555,'Udvaskning nøgletal'!$C$12:$C$62,'Udvaskning nøgletal'!Q565:Q615)+Markniveau!$Y555*Markniveau!$S555/100,"")))</f>
        <v>27.331185321443094</v>
      </c>
      <c r="AK555" s="10">
        <f t="shared" si="89"/>
        <v>31.430863119659556</v>
      </c>
      <c r="AL555" s="10">
        <f t="shared" si="91"/>
        <v>1.3665592660721546</v>
      </c>
      <c r="AM555" s="10">
        <f t="shared" si="92"/>
        <v>1.5715431559829778</v>
      </c>
    </row>
    <row r="556" spans="1:39" x14ac:dyDescent="0.25">
      <c r="A556" s="15">
        <v>19153606</v>
      </c>
      <c r="B556" s="15">
        <v>39.89</v>
      </c>
      <c r="C556" s="15">
        <v>118643</v>
      </c>
      <c r="D556" s="15">
        <v>153090</v>
      </c>
      <c r="E556" s="15" t="s">
        <v>445</v>
      </c>
      <c r="F556" s="15">
        <v>2011</v>
      </c>
      <c r="G556" s="15">
        <v>20110427</v>
      </c>
      <c r="H556" s="15">
        <v>22452</v>
      </c>
      <c r="I556" s="15">
        <v>2.25</v>
      </c>
      <c r="J556" s="6" t="s">
        <v>38</v>
      </c>
      <c r="K556" s="15">
        <v>3</v>
      </c>
      <c r="L556" s="15" t="s">
        <v>114</v>
      </c>
      <c r="M556" s="15" t="s">
        <v>5</v>
      </c>
      <c r="N556" s="11" t="s">
        <v>1391</v>
      </c>
      <c r="O556" s="11" t="s">
        <v>46</v>
      </c>
      <c r="P556" s="11" t="s">
        <v>29</v>
      </c>
      <c r="Q556" s="15">
        <v>95</v>
      </c>
      <c r="R556" s="11" t="s">
        <v>3</v>
      </c>
      <c r="S556" s="10">
        <v>144.37842343414999</v>
      </c>
      <c r="T556" s="15">
        <v>80</v>
      </c>
      <c r="U556" s="15">
        <v>0</v>
      </c>
      <c r="V556" s="15">
        <v>0</v>
      </c>
      <c r="W556" s="15">
        <v>1</v>
      </c>
      <c r="X556" s="15">
        <f>IF(O556='Udvaskning nøgletal'!$D$65,1,IF(O556='Udvaskning nøgletal'!$D$66,2,IF(O556='Udvaskning nøgletal'!$D$67,3,IF(O556='Udvaskning nøgletal'!$D$68,2,""))))</f>
        <v>2</v>
      </c>
      <c r="Y556" s="15">
        <f>LOOKUP(K556,'Udvaskning nøgletal'!$C$12:$C$60,'Udvaskning nøgletal'!$H$12:$H$60)</f>
        <v>5</v>
      </c>
      <c r="Z556" s="10">
        <f>IF(X556=1,LOOKUP(K556,'Udvaskning nøgletal'!$C$12:$C$60,'Udvaskning nøgletal'!$E$12:$E$60)+Markniveau!Y556*Markniveau!S556/100,IF(X556=2,LOOKUP(K556,'Udvaskning nøgletal'!$C$12:$C$60,'Udvaskning nøgletal'!$F$12:$F$60)+Markniveau!Y556*Markniveau!S556/100,IF(X556=3,LOOKUP(K556,'Udvaskning nøgletal'!$C$12:$C$60,'Udvaskning nøgletal'!G566:G614)+Markniveau!Y556*Markniveau!S556/100,"")))</f>
        <v>58.098921171707502</v>
      </c>
      <c r="AA556" s="10">
        <f t="shared" si="86"/>
        <v>130.72257263634188</v>
      </c>
      <c r="AB556" s="10">
        <f t="shared" si="85"/>
        <v>2.904946058585375</v>
      </c>
      <c r="AC556" s="10">
        <f t="shared" si="87"/>
        <v>6.5361286318170935</v>
      </c>
      <c r="AD556" s="10">
        <f>IF(AND(Q556&gt;0,Q556&lt;30,K556&lt;8),Markniveau!Z556*'Udvaskning nøgletal'!$I$12/100,IF(AND(Q556&gt;0,Q556&lt;30,K556=216),Markniveau!Z556*'Udvaskning nøgletal'!$I$34/100,Markniveau!Z556))</f>
        <v>58.098921171707502</v>
      </c>
      <c r="AE556" s="10">
        <f t="shared" si="93"/>
        <v>130.72257263634188</v>
      </c>
      <c r="AF556" s="10">
        <f t="shared" si="88"/>
        <v>2.904946058585375</v>
      </c>
      <c r="AG556" s="10">
        <f t="shared" si="94"/>
        <v>6.5361286318170935</v>
      </c>
      <c r="AH556" s="10" t="str">
        <f>IF(AND(Q556&gt;0,Q556&lt;30,K556=216),'Udvaskning nøgletal'!$C$42,IF(AND(Q556&gt;0,Q556&lt;30,K556&gt;7,K556&lt;17),'Udvaskning nøgletal'!$C$61,IF(AND(Q556&gt;0,Q556&lt;30,K556&lt;7),'Udvaskning nøgletal'!$C$62,"")))</f>
        <v/>
      </c>
      <c r="AI556" s="10">
        <f t="shared" si="90"/>
        <v>3</v>
      </c>
      <c r="AJ556" s="10">
        <f>IF($X556=1,LOOKUP(AI556,'Udvaskning nøgletal'!$C$12:$C$62,'Udvaskning nøgletal'!$E$12:$E$62)+Markniveau!$Y556*Markniveau!$S556/100,IF($X556=2,LOOKUP(AI556,'Udvaskning nøgletal'!$C$12:$C$62,'Udvaskning nøgletal'!$F$12:$F$62)+Markniveau!$Y556*Markniveau!$S556/100,IF($X556=3,LOOKUP(AI556,'Udvaskning nøgletal'!$C$12:$C$62,'Udvaskning nøgletal'!Q566:Q616)+Markniveau!$Y556*Markniveau!$S556/100,"")))</f>
        <v>58.098921171707502</v>
      </c>
      <c r="AK556" s="10">
        <f t="shared" si="89"/>
        <v>130.72257263634188</v>
      </c>
      <c r="AL556" s="10">
        <f t="shared" si="91"/>
        <v>2.904946058585375</v>
      </c>
      <c r="AM556" s="10">
        <f t="shared" si="92"/>
        <v>6.5361286318170935</v>
      </c>
    </row>
    <row r="557" spans="1:39" x14ac:dyDescent="0.25">
      <c r="A557" s="15">
        <v>19153606</v>
      </c>
      <c r="B557" s="15">
        <v>39.89</v>
      </c>
      <c r="C557" s="15">
        <v>118644</v>
      </c>
      <c r="D557" s="15">
        <v>153090</v>
      </c>
      <c r="E557" s="15" t="s">
        <v>445</v>
      </c>
      <c r="F557" s="15">
        <v>2011</v>
      </c>
      <c r="G557" s="15">
        <v>20110427</v>
      </c>
      <c r="H557" s="15">
        <v>17965</v>
      </c>
      <c r="I557" s="15">
        <v>1.8</v>
      </c>
      <c r="J557" s="6" t="s">
        <v>91</v>
      </c>
      <c r="K557" s="15">
        <v>3</v>
      </c>
      <c r="L557" s="15" t="s">
        <v>114</v>
      </c>
      <c r="M557" s="15" t="s">
        <v>5</v>
      </c>
      <c r="N557" s="11" t="s">
        <v>1391</v>
      </c>
      <c r="O557" s="11" t="s">
        <v>46</v>
      </c>
      <c r="P557" s="11" t="s">
        <v>29</v>
      </c>
      <c r="Q557" s="15">
        <v>95</v>
      </c>
      <c r="R557" s="11" t="s">
        <v>3</v>
      </c>
      <c r="S557" s="10">
        <v>144.37842343414999</v>
      </c>
      <c r="T557" s="15">
        <v>80</v>
      </c>
      <c r="U557" s="15">
        <v>0</v>
      </c>
      <c r="V557" s="15">
        <v>0</v>
      </c>
      <c r="W557" s="15">
        <v>1</v>
      </c>
      <c r="X557" s="15">
        <f>IF(O557='Udvaskning nøgletal'!$D$65,1,IF(O557='Udvaskning nøgletal'!$D$66,2,IF(O557='Udvaskning nøgletal'!$D$67,3,IF(O557='Udvaskning nøgletal'!$D$68,2,""))))</f>
        <v>2</v>
      </c>
      <c r="Y557" s="15">
        <f>LOOKUP(K557,'Udvaskning nøgletal'!$C$12:$C$60,'Udvaskning nøgletal'!$H$12:$H$60)</f>
        <v>5</v>
      </c>
      <c r="Z557" s="10">
        <f>IF(X557=1,LOOKUP(K557,'Udvaskning nøgletal'!$C$12:$C$60,'Udvaskning nøgletal'!$E$12:$E$60)+Markniveau!Y557*Markniveau!S557/100,IF(X557=2,LOOKUP(K557,'Udvaskning nøgletal'!$C$12:$C$60,'Udvaskning nøgletal'!$F$12:$F$60)+Markniveau!Y557*Markniveau!S557/100,IF(X557=3,LOOKUP(K557,'Udvaskning nøgletal'!$C$12:$C$60,'Udvaskning nøgletal'!G567:G615)+Markniveau!Y557*Markniveau!S557/100,"")))</f>
        <v>58.098921171707502</v>
      </c>
      <c r="AA557" s="10">
        <f t="shared" si="86"/>
        <v>104.57805810907351</v>
      </c>
      <c r="AB557" s="10">
        <f t="shared" si="85"/>
        <v>2.904946058585375</v>
      </c>
      <c r="AC557" s="10">
        <f t="shared" si="87"/>
        <v>5.2289029054536753</v>
      </c>
      <c r="AD557" s="10">
        <f>IF(AND(Q557&gt;0,Q557&lt;30,K557&lt;8),Markniveau!Z557*'Udvaskning nøgletal'!$I$12/100,IF(AND(Q557&gt;0,Q557&lt;30,K557=216),Markniveau!Z557*'Udvaskning nøgletal'!$I$34/100,Markniveau!Z557))</f>
        <v>58.098921171707502</v>
      </c>
      <c r="AE557" s="10">
        <f t="shared" si="93"/>
        <v>104.57805810907351</v>
      </c>
      <c r="AF557" s="10">
        <f t="shared" si="88"/>
        <v>2.904946058585375</v>
      </c>
      <c r="AG557" s="10">
        <f t="shared" si="94"/>
        <v>5.2289029054536753</v>
      </c>
      <c r="AH557" s="10" t="str">
        <f>IF(AND(Q557&gt;0,Q557&lt;30,K557=216),'Udvaskning nøgletal'!$C$42,IF(AND(Q557&gt;0,Q557&lt;30,K557&gt;7,K557&lt;17),'Udvaskning nøgletal'!$C$61,IF(AND(Q557&gt;0,Q557&lt;30,K557&lt;7),'Udvaskning nøgletal'!$C$62,"")))</f>
        <v/>
      </c>
      <c r="AI557" s="10">
        <f t="shared" si="90"/>
        <v>3</v>
      </c>
      <c r="AJ557" s="10">
        <f>IF($X557=1,LOOKUP(AI557,'Udvaskning nøgletal'!$C$12:$C$62,'Udvaskning nøgletal'!$E$12:$E$62)+Markniveau!$Y557*Markniveau!$S557/100,IF($X557=2,LOOKUP(AI557,'Udvaskning nøgletal'!$C$12:$C$62,'Udvaskning nøgletal'!$F$12:$F$62)+Markniveau!$Y557*Markniveau!$S557/100,IF($X557=3,LOOKUP(AI557,'Udvaskning nøgletal'!$C$12:$C$62,'Udvaskning nøgletal'!Q567:Q617)+Markniveau!$Y557*Markniveau!$S557/100,"")))</f>
        <v>58.098921171707502</v>
      </c>
      <c r="AK557" s="10">
        <f t="shared" si="89"/>
        <v>104.57805810907351</v>
      </c>
      <c r="AL557" s="10">
        <f t="shared" si="91"/>
        <v>2.904946058585375</v>
      </c>
      <c r="AM557" s="10">
        <f t="shared" si="92"/>
        <v>5.2289029054536753</v>
      </c>
    </row>
    <row r="558" spans="1:39" x14ac:dyDescent="0.25">
      <c r="A558" s="15">
        <v>19153606</v>
      </c>
      <c r="B558" s="15">
        <v>39.89</v>
      </c>
      <c r="C558" s="15">
        <v>118645</v>
      </c>
      <c r="D558" s="15">
        <v>153090</v>
      </c>
      <c r="E558" s="15" t="s">
        <v>446</v>
      </c>
      <c r="F558" s="15">
        <v>2011</v>
      </c>
      <c r="G558" s="15">
        <v>20110427</v>
      </c>
      <c r="H558" s="15">
        <v>3086</v>
      </c>
      <c r="I558" s="15">
        <v>0.31</v>
      </c>
      <c r="J558" s="6" t="s">
        <v>92</v>
      </c>
      <c r="K558" s="15">
        <v>252</v>
      </c>
      <c r="L558" s="15" t="s">
        <v>41</v>
      </c>
      <c r="M558" s="15" t="s">
        <v>4</v>
      </c>
      <c r="N558" s="11" t="s">
        <v>1391</v>
      </c>
      <c r="O558" s="11" t="s">
        <v>46</v>
      </c>
      <c r="P558" s="11" t="s">
        <v>33</v>
      </c>
      <c r="Q558" s="15">
        <v>0</v>
      </c>
      <c r="R558" s="11" t="s">
        <v>1386</v>
      </c>
      <c r="S558" s="10">
        <v>144.37842343414999</v>
      </c>
      <c r="T558" s="15">
        <v>80</v>
      </c>
      <c r="U558" s="15">
        <v>0</v>
      </c>
      <c r="V558" s="15">
        <v>0</v>
      </c>
      <c r="W558" s="15">
        <v>1</v>
      </c>
      <c r="X558" s="15">
        <f>IF(O558='Udvaskning nøgletal'!$D$65,1,IF(O558='Udvaskning nøgletal'!$D$66,2,IF(O558='Udvaskning nøgletal'!$D$67,3,IF(O558='Udvaskning nøgletal'!$D$68,2,""))))</f>
        <v>2</v>
      </c>
      <c r="Y558" s="15">
        <f>LOOKUP(K558,'Udvaskning nøgletal'!$C$12:$C$60,'Udvaskning nøgletal'!$H$12:$H$60)</f>
        <v>0</v>
      </c>
      <c r="Z558" s="10">
        <f>IF(X558=1,LOOKUP(K558,'Udvaskning nøgletal'!$C$12:$C$60,'Udvaskning nøgletal'!$E$12:$E$60)+Markniveau!Y558*Markniveau!S558/100,IF(X558=2,LOOKUP(K558,'Udvaskning nøgletal'!$C$12:$C$60,'Udvaskning nøgletal'!$F$12:$F$60)+Markniveau!Y558*Markniveau!S558/100,IF(X558=3,LOOKUP(K558,'Udvaskning nøgletal'!$C$12:$C$60,'Udvaskning nøgletal'!G568:G616)+Markniveau!Y558*Markniveau!S558/100,"")))</f>
        <v>21.2</v>
      </c>
      <c r="AA558" s="10">
        <f t="shared" si="86"/>
        <v>6.5720000000000001</v>
      </c>
      <c r="AB558" s="10" t="str">
        <f t="shared" si="85"/>
        <v/>
      </c>
      <c r="AC558" s="10" t="str">
        <f t="shared" si="87"/>
        <v/>
      </c>
      <c r="AD558" s="10">
        <f>IF(AND(Q558&gt;0,Q558&lt;30,K558&lt;8),Markniveau!Z558*'Udvaskning nøgletal'!$I$12/100,IF(AND(Q558&gt;0,Q558&lt;30,K558=216),Markniveau!Z558*'Udvaskning nøgletal'!$I$34/100,Markniveau!Z558))</f>
        <v>21.2</v>
      </c>
      <c r="AE558" s="10">
        <f t="shared" si="93"/>
        <v>6.5720000000000001</v>
      </c>
      <c r="AF558" s="10" t="str">
        <f t="shared" si="88"/>
        <v/>
      </c>
      <c r="AG558" s="10" t="str">
        <f t="shared" si="94"/>
        <v/>
      </c>
      <c r="AH558" s="10" t="str">
        <f>IF(AND(Q558&gt;0,Q558&lt;30,K558=216),'Udvaskning nøgletal'!$C$42,IF(AND(Q558&gt;0,Q558&lt;30,K558&gt;7,K558&lt;17),'Udvaskning nøgletal'!$C$61,IF(AND(Q558&gt;0,Q558&lt;30,K558&lt;7),'Udvaskning nøgletal'!$C$62,"")))</f>
        <v/>
      </c>
      <c r="AI558" s="10">
        <f t="shared" si="90"/>
        <v>252</v>
      </c>
      <c r="AJ558" s="10">
        <f>IF($X558=1,LOOKUP(AI558,'Udvaskning nøgletal'!$C$12:$C$62,'Udvaskning nøgletal'!$E$12:$E$62)+Markniveau!$Y558*Markniveau!$S558/100,IF($X558=2,LOOKUP(AI558,'Udvaskning nøgletal'!$C$12:$C$62,'Udvaskning nøgletal'!$F$12:$F$62)+Markniveau!$Y558*Markniveau!$S558/100,IF($X558=3,LOOKUP(AI558,'Udvaskning nøgletal'!$C$12:$C$62,'Udvaskning nøgletal'!Q568:Q618)+Markniveau!$Y558*Markniveau!$S558/100,"")))</f>
        <v>21.2</v>
      </c>
      <c r="AK558" s="10">
        <f t="shared" si="89"/>
        <v>6.5720000000000001</v>
      </c>
      <c r="AL558" s="10" t="str">
        <f t="shared" si="91"/>
        <v/>
      </c>
      <c r="AM558" s="10" t="str">
        <f t="shared" si="92"/>
        <v/>
      </c>
    </row>
    <row r="559" spans="1:39" x14ac:dyDescent="0.25">
      <c r="A559" s="15">
        <v>19153606</v>
      </c>
      <c r="B559" s="15">
        <v>39.89</v>
      </c>
      <c r="C559" s="15">
        <v>168484</v>
      </c>
      <c r="D559" s="15">
        <v>153090</v>
      </c>
      <c r="E559" s="15" t="s">
        <v>447</v>
      </c>
      <c r="F559" s="15">
        <v>2011</v>
      </c>
      <c r="G559" s="15">
        <v>20110427</v>
      </c>
      <c r="H559" s="15">
        <v>5231</v>
      </c>
      <c r="I559" s="15">
        <v>0.52</v>
      </c>
      <c r="J559" s="6" t="s">
        <v>34</v>
      </c>
      <c r="K559" s="15">
        <v>260</v>
      </c>
      <c r="L559" s="15" t="s">
        <v>45</v>
      </c>
      <c r="M559" s="15" t="s">
        <v>5</v>
      </c>
      <c r="N559" s="11" t="s">
        <v>1391</v>
      </c>
      <c r="O559" s="11" t="s">
        <v>46</v>
      </c>
      <c r="P559" s="11" t="s">
        <v>29</v>
      </c>
      <c r="Q559" s="15">
        <v>95</v>
      </c>
      <c r="R559" s="11" t="s">
        <v>3</v>
      </c>
      <c r="S559" s="10">
        <v>144.37842343414999</v>
      </c>
      <c r="T559" s="15">
        <v>80</v>
      </c>
      <c r="U559" s="15">
        <v>0</v>
      </c>
      <c r="V559" s="15">
        <v>0</v>
      </c>
      <c r="W559" s="15">
        <v>1</v>
      </c>
      <c r="X559" s="15">
        <f>IF(O559='Udvaskning nøgletal'!$D$65,1,IF(O559='Udvaskning nøgletal'!$D$66,2,IF(O559='Udvaskning nøgletal'!$D$67,3,IF(O559='Udvaskning nøgletal'!$D$68,2,""))))</f>
        <v>2</v>
      </c>
      <c r="Y559" s="15">
        <f>LOOKUP(K559,'Udvaskning nøgletal'!$C$12:$C$60,'Udvaskning nøgletal'!$H$12:$H$60)</f>
        <v>0</v>
      </c>
      <c r="Z559" s="10">
        <f>IF(X559=1,LOOKUP(K559,'Udvaskning nøgletal'!$C$12:$C$60,'Udvaskning nøgletal'!$E$12:$E$60)+Markniveau!Y559*Markniveau!S559/100,IF(X559=2,LOOKUP(K559,'Udvaskning nøgletal'!$C$12:$C$60,'Udvaskning nøgletal'!$F$12:$F$60)+Markniveau!Y559*Markniveau!S559/100,IF(X559=3,LOOKUP(K559,'Udvaskning nøgletal'!$C$12:$C$60,'Udvaskning nøgletal'!G569:G617)+Markniveau!Y559*Markniveau!S559/100,"")))</f>
        <v>27.331185321443094</v>
      </c>
      <c r="AA559" s="10">
        <f t="shared" si="86"/>
        <v>14.212216367150409</v>
      </c>
      <c r="AB559" s="10">
        <f t="shared" si="85"/>
        <v>1.3665592660721546</v>
      </c>
      <c r="AC559" s="10">
        <f t="shared" si="87"/>
        <v>0.71061081835752038</v>
      </c>
      <c r="AD559" s="10">
        <f>IF(AND(Q559&gt;0,Q559&lt;30,K559&lt;8),Markniveau!Z559*'Udvaskning nøgletal'!$I$12/100,IF(AND(Q559&gt;0,Q559&lt;30,K559=216),Markniveau!Z559*'Udvaskning nøgletal'!$I$34/100,Markniveau!Z559))</f>
        <v>27.331185321443094</v>
      </c>
      <c r="AE559" s="10">
        <f t="shared" si="93"/>
        <v>14.212216367150409</v>
      </c>
      <c r="AF559" s="10">
        <f t="shared" si="88"/>
        <v>1.3665592660721546</v>
      </c>
      <c r="AG559" s="10">
        <f t="shared" si="94"/>
        <v>0.71061081835752038</v>
      </c>
      <c r="AH559" s="10" t="str">
        <f>IF(AND(Q559&gt;0,Q559&lt;30,K559=216),'Udvaskning nøgletal'!$C$42,IF(AND(Q559&gt;0,Q559&lt;30,K559&gt;7,K559&lt;17),'Udvaskning nøgletal'!$C$61,IF(AND(Q559&gt;0,Q559&lt;30,K559&lt;7),'Udvaskning nøgletal'!$C$62,"")))</f>
        <v/>
      </c>
      <c r="AI559" s="10">
        <f t="shared" si="90"/>
        <v>260</v>
      </c>
      <c r="AJ559" s="10">
        <f>IF($X559=1,LOOKUP(AI559,'Udvaskning nøgletal'!$C$12:$C$62,'Udvaskning nøgletal'!$E$12:$E$62)+Markniveau!$Y559*Markniveau!$S559/100,IF($X559=2,LOOKUP(AI559,'Udvaskning nøgletal'!$C$12:$C$62,'Udvaskning nøgletal'!$F$12:$F$62)+Markniveau!$Y559*Markniveau!$S559/100,IF($X559=3,LOOKUP(AI559,'Udvaskning nøgletal'!$C$12:$C$62,'Udvaskning nøgletal'!Q569:Q619)+Markniveau!$Y559*Markniveau!$S559/100,"")))</f>
        <v>27.331185321443094</v>
      </c>
      <c r="AK559" s="10">
        <f t="shared" si="89"/>
        <v>14.212216367150409</v>
      </c>
      <c r="AL559" s="10">
        <f t="shared" si="91"/>
        <v>1.3665592660721546</v>
      </c>
      <c r="AM559" s="10">
        <f t="shared" si="92"/>
        <v>0.71061081835752038</v>
      </c>
    </row>
    <row r="560" spans="1:39" x14ac:dyDescent="0.25">
      <c r="A560" s="15">
        <v>19153606</v>
      </c>
      <c r="B560" s="15">
        <v>39.89</v>
      </c>
      <c r="C560" s="15">
        <v>168487</v>
      </c>
      <c r="D560" s="15">
        <v>153090</v>
      </c>
      <c r="E560" s="15" t="s">
        <v>448</v>
      </c>
      <c r="F560" s="15">
        <v>2011</v>
      </c>
      <c r="G560" s="15">
        <v>20110427</v>
      </c>
      <c r="H560" s="15">
        <v>7044</v>
      </c>
      <c r="I560" s="15">
        <v>0.7</v>
      </c>
      <c r="J560" s="6" t="s">
        <v>1401</v>
      </c>
      <c r="K560" s="15">
        <v>263</v>
      </c>
      <c r="L560" s="15" t="s">
        <v>39</v>
      </c>
      <c r="M560" s="15" t="s">
        <v>5</v>
      </c>
      <c r="N560" s="11" t="s">
        <v>1391</v>
      </c>
      <c r="O560" s="11" t="s">
        <v>46</v>
      </c>
      <c r="P560" s="11" t="s">
        <v>29</v>
      </c>
      <c r="Q560" s="15">
        <v>95</v>
      </c>
      <c r="R560" s="11" t="s">
        <v>3</v>
      </c>
      <c r="S560" s="10">
        <v>144.37842343414999</v>
      </c>
      <c r="T560" s="15">
        <v>80</v>
      </c>
      <c r="U560" s="15">
        <v>0</v>
      </c>
      <c r="V560" s="15">
        <v>0</v>
      </c>
      <c r="W560" s="15">
        <v>1</v>
      </c>
      <c r="X560" s="15">
        <f>IF(O560='Udvaskning nøgletal'!$D$65,1,IF(O560='Udvaskning nøgletal'!$D$66,2,IF(O560='Udvaskning nøgletal'!$D$67,3,IF(O560='Udvaskning nøgletal'!$D$68,2,""))))</f>
        <v>2</v>
      </c>
      <c r="Y560" s="15">
        <f>LOOKUP(K560,'Udvaskning nøgletal'!$C$12:$C$60,'Udvaskning nøgletal'!$H$12:$H$60)</f>
        <v>0</v>
      </c>
      <c r="Z560" s="10">
        <f>IF(X560=1,LOOKUP(K560,'Udvaskning nøgletal'!$C$12:$C$60,'Udvaskning nøgletal'!$E$12:$E$60)+Markniveau!Y560*Markniveau!S560/100,IF(X560=2,LOOKUP(K560,'Udvaskning nøgletal'!$C$12:$C$60,'Udvaskning nøgletal'!$F$12:$F$60)+Markniveau!Y560*Markniveau!S560/100,IF(X560=3,LOOKUP(K560,'Udvaskning nøgletal'!$C$12:$C$60,'Udvaskning nøgletal'!G570:G618)+Markniveau!Y560*Markniveau!S560/100,"")))</f>
        <v>27.331185321443094</v>
      </c>
      <c r="AA560" s="10">
        <f t="shared" si="86"/>
        <v>19.131829725010164</v>
      </c>
      <c r="AB560" s="10">
        <f t="shared" si="85"/>
        <v>1.3665592660721546</v>
      </c>
      <c r="AC560" s="10">
        <f t="shared" si="87"/>
        <v>0.95659148625050816</v>
      </c>
      <c r="AD560" s="10">
        <f>IF(AND(Q560&gt;0,Q560&lt;30,K560&lt;8),Markniveau!Z560*'Udvaskning nøgletal'!$I$12/100,IF(AND(Q560&gt;0,Q560&lt;30,K560=216),Markniveau!Z560*'Udvaskning nøgletal'!$I$34/100,Markniveau!Z560))</f>
        <v>27.331185321443094</v>
      </c>
      <c r="AE560" s="10">
        <f t="shared" si="93"/>
        <v>19.131829725010164</v>
      </c>
      <c r="AF560" s="10">
        <f t="shared" si="88"/>
        <v>1.3665592660721546</v>
      </c>
      <c r="AG560" s="10">
        <f t="shared" si="94"/>
        <v>0.95659148625050816</v>
      </c>
      <c r="AH560" s="10" t="str">
        <f>IF(AND(Q560&gt;0,Q560&lt;30,K560=216),'Udvaskning nøgletal'!$C$42,IF(AND(Q560&gt;0,Q560&lt;30,K560&gt;7,K560&lt;17),'Udvaskning nøgletal'!$C$61,IF(AND(Q560&gt;0,Q560&lt;30,K560&lt;7),'Udvaskning nøgletal'!$C$62,"")))</f>
        <v/>
      </c>
      <c r="AI560" s="10">
        <f t="shared" si="90"/>
        <v>263</v>
      </c>
      <c r="AJ560" s="10">
        <f>IF($X560=1,LOOKUP(AI560,'Udvaskning nøgletal'!$C$12:$C$62,'Udvaskning nøgletal'!$E$12:$E$62)+Markniveau!$Y560*Markniveau!$S560/100,IF($X560=2,LOOKUP(AI560,'Udvaskning nøgletal'!$C$12:$C$62,'Udvaskning nøgletal'!$F$12:$F$62)+Markniveau!$Y560*Markniveau!$S560/100,IF($X560=3,LOOKUP(AI560,'Udvaskning nøgletal'!$C$12:$C$62,'Udvaskning nøgletal'!Q570:Q620)+Markniveau!$Y560*Markniveau!$S560/100,"")))</f>
        <v>27.331185321443094</v>
      </c>
      <c r="AK560" s="10">
        <f t="shared" si="89"/>
        <v>19.131829725010164</v>
      </c>
      <c r="AL560" s="10">
        <f t="shared" si="91"/>
        <v>1.3665592660721546</v>
      </c>
      <c r="AM560" s="10">
        <f t="shared" si="92"/>
        <v>0.95659148625050816</v>
      </c>
    </row>
    <row r="561" spans="1:39" x14ac:dyDescent="0.25">
      <c r="A561" s="15">
        <v>19153606</v>
      </c>
      <c r="B561" s="15">
        <v>39.89</v>
      </c>
      <c r="C561" s="15">
        <v>168488</v>
      </c>
      <c r="D561" s="15">
        <v>153090</v>
      </c>
      <c r="E561" s="15" t="s">
        <v>448</v>
      </c>
      <c r="F561" s="15">
        <v>2011</v>
      </c>
      <c r="G561" s="15">
        <v>20110427</v>
      </c>
      <c r="H561" s="15">
        <v>43511</v>
      </c>
      <c r="I561" s="15">
        <v>4.3499999999999996</v>
      </c>
      <c r="J561" s="6" t="s">
        <v>97</v>
      </c>
      <c r="K561" s="15">
        <v>1</v>
      </c>
      <c r="L561" s="15" t="s">
        <v>32</v>
      </c>
      <c r="M561" s="15" t="s">
        <v>5</v>
      </c>
      <c r="N561" s="11" t="s">
        <v>1391</v>
      </c>
      <c r="O561" s="11" t="s">
        <v>46</v>
      </c>
      <c r="P561" s="11" t="s">
        <v>29</v>
      </c>
      <c r="Q561" s="15">
        <v>95</v>
      </c>
      <c r="R561" s="11" t="s">
        <v>3</v>
      </c>
      <c r="S561" s="10">
        <v>144.37842343414999</v>
      </c>
      <c r="T561" s="15">
        <v>80</v>
      </c>
      <c r="U561" s="15">
        <v>0</v>
      </c>
      <c r="V561" s="15">
        <v>0</v>
      </c>
      <c r="W561" s="15">
        <v>1</v>
      </c>
      <c r="X561" s="15">
        <f>IF(O561='Udvaskning nøgletal'!$D$65,1,IF(O561='Udvaskning nøgletal'!$D$66,2,IF(O561='Udvaskning nøgletal'!$D$67,3,IF(O561='Udvaskning nøgletal'!$D$68,2,""))))</f>
        <v>2</v>
      </c>
      <c r="Y561" s="15">
        <f>LOOKUP(K561,'Udvaskning nøgletal'!$C$12:$C$60,'Udvaskning nøgletal'!$H$12:$H$60)</f>
        <v>5</v>
      </c>
      <c r="Z561" s="10">
        <f>IF(X561=1,LOOKUP(K561,'Udvaskning nøgletal'!$C$12:$C$60,'Udvaskning nøgletal'!$E$12:$E$60)+Markniveau!Y561*Markniveau!S561/100,IF(X561=2,LOOKUP(K561,'Udvaskning nøgletal'!$C$12:$C$60,'Udvaskning nøgletal'!$F$12:$F$60)+Markniveau!Y561*Markniveau!S561/100,IF(X561=3,LOOKUP(K561,'Udvaskning nøgletal'!$C$12:$C$60,'Udvaskning nøgletal'!G571:G619)+Markniveau!Y561*Markniveau!S561/100,"")))</f>
        <v>58.098921171707502</v>
      </c>
      <c r="AA561" s="10">
        <f t="shared" si="86"/>
        <v>252.73030709692762</v>
      </c>
      <c r="AB561" s="10">
        <f t="shared" si="85"/>
        <v>2.904946058585375</v>
      </c>
      <c r="AC561" s="10">
        <f t="shared" si="87"/>
        <v>12.636515354846381</v>
      </c>
      <c r="AD561" s="10">
        <f>IF(AND(Q561&gt;0,Q561&lt;30,K561&lt;8),Markniveau!Z561*'Udvaskning nøgletal'!$I$12/100,IF(AND(Q561&gt;0,Q561&lt;30,K561=216),Markniveau!Z561*'Udvaskning nøgletal'!$I$34/100,Markniveau!Z561))</f>
        <v>58.098921171707502</v>
      </c>
      <c r="AE561" s="10">
        <f t="shared" si="93"/>
        <v>252.73030709692762</v>
      </c>
      <c r="AF561" s="10">
        <f t="shared" si="88"/>
        <v>2.904946058585375</v>
      </c>
      <c r="AG561" s="10">
        <f t="shared" si="94"/>
        <v>12.636515354846381</v>
      </c>
      <c r="AH561" s="10" t="str">
        <f>IF(AND(Q561&gt;0,Q561&lt;30,K561=216),'Udvaskning nøgletal'!$C$42,IF(AND(Q561&gt;0,Q561&lt;30,K561&gt;7,K561&lt;17),'Udvaskning nøgletal'!$C$61,IF(AND(Q561&gt;0,Q561&lt;30,K561&lt;7),'Udvaskning nøgletal'!$C$62,"")))</f>
        <v/>
      </c>
      <c r="AI561" s="10">
        <f t="shared" si="90"/>
        <v>1</v>
      </c>
      <c r="AJ561" s="10">
        <f>IF($X561=1,LOOKUP(AI561,'Udvaskning nøgletal'!$C$12:$C$62,'Udvaskning nøgletal'!$E$12:$E$62)+Markniveau!$Y561*Markniveau!$S561/100,IF($X561=2,LOOKUP(AI561,'Udvaskning nøgletal'!$C$12:$C$62,'Udvaskning nøgletal'!$F$12:$F$62)+Markniveau!$Y561*Markniveau!$S561/100,IF($X561=3,LOOKUP(AI561,'Udvaskning nøgletal'!$C$12:$C$62,'Udvaskning nøgletal'!Q571:Q621)+Markniveau!$Y561*Markniveau!$S561/100,"")))</f>
        <v>58.098921171707502</v>
      </c>
      <c r="AK561" s="10">
        <f t="shared" si="89"/>
        <v>252.73030709692762</v>
      </c>
      <c r="AL561" s="10">
        <f t="shared" si="91"/>
        <v>2.904946058585375</v>
      </c>
      <c r="AM561" s="10">
        <f t="shared" si="92"/>
        <v>12.636515354846381</v>
      </c>
    </row>
    <row r="562" spans="1:39" x14ac:dyDescent="0.25">
      <c r="A562" s="15">
        <v>19153606</v>
      </c>
      <c r="B562" s="15">
        <v>39.89</v>
      </c>
      <c r="C562" s="15">
        <v>168489</v>
      </c>
      <c r="D562" s="15">
        <v>153090</v>
      </c>
      <c r="E562" s="15" t="s">
        <v>448</v>
      </c>
      <c r="F562" s="15">
        <v>2011</v>
      </c>
      <c r="G562" s="15">
        <v>20110427</v>
      </c>
      <c r="H562" s="15">
        <v>51474</v>
      </c>
      <c r="I562" s="15">
        <v>5.15</v>
      </c>
      <c r="J562" s="6" t="s">
        <v>37</v>
      </c>
      <c r="K562" s="15">
        <v>1</v>
      </c>
      <c r="L562" s="15" t="s">
        <v>32</v>
      </c>
      <c r="M562" s="15" t="s">
        <v>5</v>
      </c>
      <c r="N562" s="11" t="s">
        <v>1391</v>
      </c>
      <c r="O562" s="11" t="s">
        <v>46</v>
      </c>
      <c r="P562" s="11" t="s">
        <v>29</v>
      </c>
      <c r="Q562" s="15">
        <v>95</v>
      </c>
      <c r="R562" s="11" t="s">
        <v>3</v>
      </c>
      <c r="S562" s="10">
        <v>144.37842343414999</v>
      </c>
      <c r="T562" s="15">
        <v>80</v>
      </c>
      <c r="U562" s="15">
        <v>0</v>
      </c>
      <c r="V562" s="15">
        <v>0</v>
      </c>
      <c r="W562" s="15">
        <v>1</v>
      </c>
      <c r="X562" s="15">
        <f>IF(O562='Udvaskning nøgletal'!$D$65,1,IF(O562='Udvaskning nøgletal'!$D$66,2,IF(O562='Udvaskning nøgletal'!$D$67,3,IF(O562='Udvaskning nøgletal'!$D$68,2,""))))</f>
        <v>2</v>
      </c>
      <c r="Y562" s="15">
        <f>LOOKUP(K562,'Udvaskning nøgletal'!$C$12:$C$60,'Udvaskning nøgletal'!$H$12:$H$60)</f>
        <v>5</v>
      </c>
      <c r="Z562" s="10">
        <f>IF(X562=1,LOOKUP(K562,'Udvaskning nøgletal'!$C$12:$C$60,'Udvaskning nøgletal'!$E$12:$E$60)+Markniveau!Y562*Markniveau!S562/100,IF(X562=2,LOOKUP(K562,'Udvaskning nøgletal'!$C$12:$C$60,'Udvaskning nøgletal'!$F$12:$F$60)+Markniveau!Y562*Markniveau!S562/100,IF(X562=3,LOOKUP(K562,'Udvaskning nøgletal'!$C$12:$C$60,'Udvaskning nøgletal'!G572:G620)+Markniveau!Y562*Markniveau!S562/100,"")))</f>
        <v>58.098921171707502</v>
      </c>
      <c r="AA562" s="10">
        <f t="shared" si="86"/>
        <v>299.20944403429365</v>
      </c>
      <c r="AB562" s="10">
        <f t="shared" si="85"/>
        <v>2.904946058585375</v>
      </c>
      <c r="AC562" s="10">
        <f t="shared" si="87"/>
        <v>14.960472201714682</v>
      </c>
      <c r="AD562" s="10">
        <f>IF(AND(Q562&gt;0,Q562&lt;30,K562&lt;8),Markniveau!Z562*'Udvaskning nøgletal'!$I$12/100,IF(AND(Q562&gt;0,Q562&lt;30,K562=216),Markniveau!Z562*'Udvaskning nøgletal'!$I$34/100,Markniveau!Z562))</f>
        <v>58.098921171707502</v>
      </c>
      <c r="AE562" s="10">
        <f t="shared" si="93"/>
        <v>299.20944403429365</v>
      </c>
      <c r="AF562" s="10">
        <f t="shared" si="88"/>
        <v>2.904946058585375</v>
      </c>
      <c r="AG562" s="10">
        <f t="shared" si="94"/>
        <v>14.960472201714682</v>
      </c>
      <c r="AH562" s="10" t="str">
        <f>IF(AND(Q562&gt;0,Q562&lt;30,K562=216),'Udvaskning nøgletal'!$C$42,IF(AND(Q562&gt;0,Q562&lt;30,K562&gt;7,K562&lt;17),'Udvaskning nøgletal'!$C$61,IF(AND(Q562&gt;0,Q562&lt;30,K562&lt;7),'Udvaskning nøgletal'!$C$62,"")))</f>
        <v/>
      </c>
      <c r="AI562" s="10">
        <f t="shared" si="90"/>
        <v>1</v>
      </c>
      <c r="AJ562" s="10">
        <f>IF($X562=1,LOOKUP(AI562,'Udvaskning nøgletal'!$C$12:$C$62,'Udvaskning nøgletal'!$E$12:$E$62)+Markniveau!$Y562*Markniveau!$S562/100,IF($X562=2,LOOKUP(AI562,'Udvaskning nøgletal'!$C$12:$C$62,'Udvaskning nøgletal'!$F$12:$F$62)+Markniveau!$Y562*Markniveau!$S562/100,IF($X562=3,LOOKUP(AI562,'Udvaskning nøgletal'!$C$12:$C$62,'Udvaskning nøgletal'!Q572:Q622)+Markniveau!$Y562*Markniveau!$S562/100,"")))</f>
        <v>58.098921171707502</v>
      </c>
      <c r="AK562" s="10">
        <f t="shared" si="89"/>
        <v>299.20944403429365</v>
      </c>
      <c r="AL562" s="10">
        <f t="shared" si="91"/>
        <v>2.904946058585375</v>
      </c>
      <c r="AM562" s="10">
        <f t="shared" si="92"/>
        <v>14.960472201714682</v>
      </c>
    </row>
    <row r="563" spans="1:39" x14ac:dyDescent="0.25">
      <c r="A563" s="15">
        <v>19153606</v>
      </c>
      <c r="B563" s="15">
        <v>39.89</v>
      </c>
      <c r="C563" s="15">
        <v>168490</v>
      </c>
      <c r="D563" s="15">
        <v>153090</v>
      </c>
      <c r="E563" s="15" t="s">
        <v>448</v>
      </c>
      <c r="F563" s="15">
        <v>2011</v>
      </c>
      <c r="G563" s="15">
        <v>20110427</v>
      </c>
      <c r="H563" s="15">
        <v>47855</v>
      </c>
      <c r="I563" s="15">
        <v>4.79</v>
      </c>
      <c r="J563" s="6" t="s">
        <v>61</v>
      </c>
      <c r="K563" s="15">
        <v>3</v>
      </c>
      <c r="L563" s="15" t="s">
        <v>114</v>
      </c>
      <c r="M563" s="15" t="s">
        <v>5</v>
      </c>
      <c r="N563" s="11" t="s">
        <v>1391</v>
      </c>
      <c r="O563" s="11" t="s">
        <v>46</v>
      </c>
      <c r="P563" s="11" t="s">
        <v>29</v>
      </c>
      <c r="Q563" s="15">
        <v>95</v>
      </c>
      <c r="R563" s="11" t="s">
        <v>3</v>
      </c>
      <c r="S563" s="10">
        <v>144.37842343414999</v>
      </c>
      <c r="T563" s="15">
        <v>80</v>
      </c>
      <c r="U563" s="15">
        <v>0</v>
      </c>
      <c r="V563" s="15">
        <v>0</v>
      </c>
      <c r="W563" s="15">
        <v>1</v>
      </c>
      <c r="X563" s="15">
        <f>IF(O563='Udvaskning nøgletal'!$D$65,1,IF(O563='Udvaskning nøgletal'!$D$66,2,IF(O563='Udvaskning nøgletal'!$D$67,3,IF(O563='Udvaskning nøgletal'!$D$68,2,""))))</f>
        <v>2</v>
      </c>
      <c r="Y563" s="15">
        <f>LOOKUP(K563,'Udvaskning nøgletal'!$C$12:$C$60,'Udvaskning nøgletal'!$H$12:$H$60)</f>
        <v>5</v>
      </c>
      <c r="Z563" s="10">
        <f>IF(X563=1,LOOKUP(K563,'Udvaskning nøgletal'!$C$12:$C$60,'Udvaskning nøgletal'!$E$12:$E$60)+Markniveau!Y563*Markniveau!S563/100,IF(X563=2,LOOKUP(K563,'Udvaskning nøgletal'!$C$12:$C$60,'Udvaskning nøgletal'!$F$12:$F$60)+Markniveau!Y563*Markniveau!S563/100,IF(X563=3,LOOKUP(K563,'Udvaskning nøgletal'!$C$12:$C$60,'Udvaskning nøgletal'!G573:G621)+Markniveau!Y563*Markniveau!S563/100,"")))</f>
        <v>58.098921171707502</v>
      </c>
      <c r="AA563" s="10">
        <f t="shared" si="86"/>
        <v>278.29383241247893</v>
      </c>
      <c r="AB563" s="10">
        <f t="shared" si="85"/>
        <v>2.904946058585375</v>
      </c>
      <c r="AC563" s="10">
        <f t="shared" si="87"/>
        <v>13.914691620623946</v>
      </c>
      <c r="AD563" s="10">
        <f>IF(AND(Q563&gt;0,Q563&lt;30,K563&lt;8),Markniveau!Z563*'Udvaskning nøgletal'!$I$12/100,IF(AND(Q563&gt;0,Q563&lt;30,K563=216),Markniveau!Z563*'Udvaskning nøgletal'!$I$34/100,Markniveau!Z563))</f>
        <v>58.098921171707502</v>
      </c>
      <c r="AE563" s="10">
        <f t="shared" si="93"/>
        <v>278.29383241247893</v>
      </c>
      <c r="AF563" s="10">
        <f t="shared" si="88"/>
        <v>2.904946058585375</v>
      </c>
      <c r="AG563" s="10">
        <f t="shared" si="94"/>
        <v>13.914691620623946</v>
      </c>
      <c r="AH563" s="10" t="str">
        <f>IF(AND(Q563&gt;0,Q563&lt;30,K563=216),'Udvaskning nøgletal'!$C$42,IF(AND(Q563&gt;0,Q563&lt;30,K563&gt;7,K563&lt;17),'Udvaskning nøgletal'!$C$61,IF(AND(Q563&gt;0,Q563&lt;30,K563&lt;7),'Udvaskning nøgletal'!$C$62,"")))</f>
        <v/>
      </c>
      <c r="AI563" s="10">
        <f t="shared" si="90"/>
        <v>3</v>
      </c>
      <c r="AJ563" s="10">
        <f>IF($X563=1,LOOKUP(AI563,'Udvaskning nøgletal'!$C$12:$C$62,'Udvaskning nøgletal'!$E$12:$E$62)+Markniveau!$Y563*Markniveau!$S563/100,IF($X563=2,LOOKUP(AI563,'Udvaskning nøgletal'!$C$12:$C$62,'Udvaskning nøgletal'!$F$12:$F$62)+Markniveau!$Y563*Markniveau!$S563/100,IF($X563=3,LOOKUP(AI563,'Udvaskning nøgletal'!$C$12:$C$62,'Udvaskning nøgletal'!Q573:Q623)+Markniveau!$Y563*Markniveau!$S563/100,"")))</f>
        <v>58.098921171707502</v>
      </c>
      <c r="AK563" s="10">
        <f t="shared" si="89"/>
        <v>278.29383241247893</v>
      </c>
      <c r="AL563" s="10">
        <f t="shared" si="91"/>
        <v>2.904946058585375</v>
      </c>
      <c r="AM563" s="10">
        <f t="shared" si="92"/>
        <v>13.914691620623946</v>
      </c>
    </row>
    <row r="564" spans="1:39" x14ac:dyDescent="0.25">
      <c r="A564" s="15">
        <v>19153606</v>
      </c>
      <c r="B564" s="15">
        <v>39.89</v>
      </c>
      <c r="C564" s="15">
        <v>168491</v>
      </c>
      <c r="D564" s="15">
        <v>153090</v>
      </c>
      <c r="E564" s="15" t="s">
        <v>445</v>
      </c>
      <c r="F564" s="15">
        <v>2011</v>
      </c>
      <c r="G564" s="15">
        <v>20110427</v>
      </c>
      <c r="H564" s="15">
        <v>13799</v>
      </c>
      <c r="I564" s="15">
        <v>1.38</v>
      </c>
      <c r="J564" s="6" t="s">
        <v>87</v>
      </c>
      <c r="K564" s="15">
        <v>260</v>
      </c>
      <c r="L564" s="15" t="s">
        <v>45</v>
      </c>
      <c r="M564" s="15" t="s">
        <v>5</v>
      </c>
      <c r="N564" s="11" t="s">
        <v>1391</v>
      </c>
      <c r="O564" s="11" t="s">
        <v>46</v>
      </c>
      <c r="P564" s="11" t="s">
        <v>29</v>
      </c>
      <c r="Q564" s="15">
        <v>95</v>
      </c>
      <c r="R564" s="11" t="s">
        <v>3</v>
      </c>
      <c r="S564" s="10">
        <v>144.37842343414999</v>
      </c>
      <c r="T564" s="15">
        <v>80</v>
      </c>
      <c r="U564" s="15">
        <v>0</v>
      </c>
      <c r="V564" s="15">
        <v>0</v>
      </c>
      <c r="W564" s="15">
        <v>1</v>
      </c>
      <c r="X564" s="15">
        <f>IF(O564='Udvaskning nøgletal'!$D$65,1,IF(O564='Udvaskning nøgletal'!$D$66,2,IF(O564='Udvaskning nøgletal'!$D$67,3,IF(O564='Udvaskning nøgletal'!$D$68,2,""))))</f>
        <v>2</v>
      </c>
      <c r="Y564" s="15">
        <f>LOOKUP(K564,'Udvaskning nøgletal'!$C$12:$C$60,'Udvaskning nøgletal'!$H$12:$H$60)</f>
        <v>0</v>
      </c>
      <c r="Z564" s="10">
        <f>IF(X564=1,LOOKUP(K564,'Udvaskning nøgletal'!$C$12:$C$60,'Udvaskning nøgletal'!$E$12:$E$60)+Markniveau!Y564*Markniveau!S564/100,IF(X564=2,LOOKUP(K564,'Udvaskning nøgletal'!$C$12:$C$60,'Udvaskning nøgletal'!$F$12:$F$60)+Markniveau!Y564*Markniveau!S564/100,IF(X564=3,LOOKUP(K564,'Udvaskning nøgletal'!$C$12:$C$60,'Udvaskning nøgletal'!G574:G622)+Markniveau!Y564*Markniveau!S564/100,"")))</f>
        <v>27.331185321443094</v>
      </c>
      <c r="AA564" s="10">
        <f t="shared" si="86"/>
        <v>37.717035743591467</v>
      </c>
      <c r="AB564" s="10">
        <f t="shared" si="85"/>
        <v>1.3665592660721546</v>
      </c>
      <c r="AC564" s="10">
        <f t="shared" si="87"/>
        <v>1.8858517871795732</v>
      </c>
      <c r="AD564" s="10">
        <f>IF(AND(Q564&gt;0,Q564&lt;30,K564&lt;8),Markniveau!Z564*'Udvaskning nøgletal'!$I$12/100,IF(AND(Q564&gt;0,Q564&lt;30,K564=216),Markniveau!Z564*'Udvaskning nøgletal'!$I$34/100,Markniveau!Z564))</f>
        <v>27.331185321443094</v>
      </c>
      <c r="AE564" s="10">
        <f t="shared" si="93"/>
        <v>37.717035743591467</v>
      </c>
      <c r="AF564" s="10">
        <f t="shared" si="88"/>
        <v>1.3665592660721546</v>
      </c>
      <c r="AG564" s="10">
        <f t="shared" si="94"/>
        <v>1.8858517871795732</v>
      </c>
      <c r="AH564" s="10" t="str">
        <f>IF(AND(Q564&gt;0,Q564&lt;30,K564=216),'Udvaskning nøgletal'!$C$42,IF(AND(Q564&gt;0,Q564&lt;30,K564&gt;7,K564&lt;17),'Udvaskning nøgletal'!$C$61,IF(AND(Q564&gt;0,Q564&lt;30,K564&lt;7),'Udvaskning nøgletal'!$C$62,"")))</f>
        <v/>
      </c>
      <c r="AI564" s="10">
        <f t="shared" si="90"/>
        <v>260</v>
      </c>
      <c r="AJ564" s="10">
        <f>IF($X564=1,LOOKUP(AI564,'Udvaskning nøgletal'!$C$12:$C$62,'Udvaskning nøgletal'!$E$12:$E$62)+Markniveau!$Y564*Markniveau!$S564/100,IF($X564=2,LOOKUP(AI564,'Udvaskning nøgletal'!$C$12:$C$62,'Udvaskning nøgletal'!$F$12:$F$62)+Markniveau!$Y564*Markniveau!$S564/100,IF($X564=3,LOOKUP(AI564,'Udvaskning nøgletal'!$C$12:$C$62,'Udvaskning nøgletal'!Q574:Q624)+Markniveau!$Y564*Markniveau!$S564/100,"")))</f>
        <v>27.331185321443094</v>
      </c>
      <c r="AK564" s="10">
        <f t="shared" si="89"/>
        <v>37.717035743591467</v>
      </c>
      <c r="AL564" s="10">
        <f t="shared" si="91"/>
        <v>1.3665592660721546</v>
      </c>
      <c r="AM564" s="10">
        <f t="shared" si="92"/>
        <v>1.8858517871795732</v>
      </c>
    </row>
    <row r="565" spans="1:39" x14ac:dyDescent="0.25">
      <c r="A565" s="15">
        <v>19153606</v>
      </c>
      <c r="B565" s="15">
        <v>39.89</v>
      </c>
      <c r="C565" s="15">
        <v>105877</v>
      </c>
      <c r="D565" s="15">
        <v>153090</v>
      </c>
      <c r="E565" s="15" t="s">
        <v>445</v>
      </c>
      <c r="F565" s="15">
        <v>2011</v>
      </c>
      <c r="G565" s="15">
        <v>20110427</v>
      </c>
      <c r="H565" s="15">
        <v>10030</v>
      </c>
      <c r="I565" s="15">
        <v>1</v>
      </c>
      <c r="J565" s="6" t="s">
        <v>1410</v>
      </c>
      <c r="K565" s="15">
        <v>260</v>
      </c>
      <c r="L565" s="15" t="s">
        <v>45</v>
      </c>
      <c r="M565" s="15" t="s">
        <v>5</v>
      </c>
      <c r="N565" s="11" t="s">
        <v>1391</v>
      </c>
      <c r="O565" s="11" t="s">
        <v>46</v>
      </c>
      <c r="P565" s="11" t="s">
        <v>29</v>
      </c>
      <c r="Q565" s="15">
        <v>95</v>
      </c>
      <c r="R565" s="11" t="s">
        <v>3</v>
      </c>
      <c r="S565" s="10">
        <v>144.37842343414999</v>
      </c>
      <c r="T565" s="15">
        <v>80</v>
      </c>
      <c r="U565" s="15">
        <v>0</v>
      </c>
      <c r="V565" s="15">
        <v>0</v>
      </c>
      <c r="W565" s="15">
        <v>1</v>
      </c>
      <c r="X565" s="15">
        <f>IF(O565='Udvaskning nøgletal'!$D$65,1,IF(O565='Udvaskning nøgletal'!$D$66,2,IF(O565='Udvaskning nøgletal'!$D$67,3,IF(O565='Udvaskning nøgletal'!$D$68,2,""))))</f>
        <v>2</v>
      </c>
      <c r="Y565" s="15">
        <f>LOOKUP(K565,'Udvaskning nøgletal'!$C$12:$C$60,'Udvaskning nøgletal'!$H$12:$H$60)</f>
        <v>0</v>
      </c>
      <c r="Z565" s="10">
        <f>IF(X565=1,LOOKUP(K565,'Udvaskning nøgletal'!$C$12:$C$60,'Udvaskning nøgletal'!$E$12:$E$60)+Markniveau!Y565*Markniveau!S565/100,IF(X565=2,LOOKUP(K565,'Udvaskning nøgletal'!$C$12:$C$60,'Udvaskning nøgletal'!$F$12:$F$60)+Markniveau!Y565*Markniveau!S565/100,IF(X565=3,LOOKUP(K565,'Udvaskning nøgletal'!$C$12:$C$60,'Udvaskning nøgletal'!G575:G623)+Markniveau!Y565*Markniveau!S565/100,"")))</f>
        <v>27.331185321443094</v>
      </c>
      <c r="AA565" s="10">
        <f t="shared" si="86"/>
        <v>27.331185321443094</v>
      </c>
      <c r="AB565" s="10">
        <f t="shared" si="85"/>
        <v>1.3665592660721546</v>
      </c>
      <c r="AC565" s="10">
        <f t="shared" si="87"/>
        <v>1.3665592660721546</v>
      </c>
      <c r="AD565" s="10">
        <f>IF(AND(Q565&gt;0,Q565&lt;30,K565&lt;8),Markniveau!Z565*'Udvaskning nøgletal'!$I$12/100,IF(AND(Q565&gt;0,Q565&lt;30,K565=216),Markniveau!Z565*'Udvaskning nøgletal'!$I$34/100,Markniveau!Z565))</f>
        <v>27.331185321443094</v>
      </c>
      <c r="AE565" s="10">
        <f t="shared" si="93"/>
        <v>27.331185321443094</v>
      </c>
      <c r="AF565" s="10">
        <f t="shared" si="88"/>
        <v>1.3665592660721546</v>
      </c>
      <c r="AG565" s="10">
        <f t="shared" si="94"/>
        <v>1.3665592660721546</v>
      </c>
      <c r="AH565" s="10" t="str">
        <f>IF(AND(Q565&gt;0,Q565&lt;30,K565=216),'Udvaskning nøgletal'!$C$42,IF(AND(Q565&gt;0,Q565&lt;30,K565&gt;7,K565&lt;17),'Udvaskning nøgletal'!$C$61,IF(AND(Q565&gt;0,Q565&lt;30,K565&lt;7),'Udvaskning nøgletal'!$C$62,"")))</f>
        <v/>
      </c>
      <c r="AI565" s="10">
        <f t="shared" si="90"/>
        <v>260</v>
      </c>
      <c r="AJ565" s="10">
        <f>IF($X565=1,LOOKUP(AI565,'Udvaskning nøgletal'!$C$12:$C$62,'Udvaskning nøgletal'!$E$12:$E$62)+Markniveau!$Y565*Markniveau!$S565/100,IF($X565=2,LOOKUP(AI565,'Udvaskning nøgletal'!$C$12:$C$62,'Udvaskning nøgletal'!$F$12:$F$62)+Markniveau!$Y565*Markniveau!$S565/100,IF($X565=3,LOOKUP(AI565,'Udvaskning nøgletal'!$C$12:$C$62,'Udvaskning nøgletal'!Q575:Q625)+Markniveau!$Y565*Markniveau!$S565/100,"")))</f>
        <v>27.331185321443094</v>
      </c>
      <c r="AK565" s="10">
        <f t="shared" si="89"/>
        <v>27.331185321443094</v>
      </c>
      <c r="AL565" s="10">
        <f t="shared" si="91"/>
        <v>1.3665592660721546</v>
      </c>
      <c r="AM565" s="10">
        <f t="shared" si="92"/>
        <v>1.3665592660721546</v>
      </c>
    </row>
    <row r="566" spans="1:39" x14ac:dyDescent="0.25">
      <c r="A566" s="15">
        <v>19153606</v>
      </c>
      <c r="B566" s="15">
        <v>39.89</v>
      </c>
      <c r="C566" s="15">
        <v>105880</v>
      </c>
      <c r="D566" s="15">
        <v>153090</v>
      </c>
      <c r="E566" s="15" t="s">
        <v>445</v>
      </c>
      <c r="F566" s="15">
        <v>2011</v>
      </c>
      <c r="G566" s="15">
        <v>20110427</v>
      </c>
      <c r="H566" s="15">
        <v>39738</v>
      </c>
      <c r="I566" s="15">
        <v>3.97</v>
      </c>
      <c r="J566" s="6" t="s">
        <v>31</v>
      </c>
      <c r="K566" s="15">
        <v>11</v>
      </c>
      <c r="L566" s="15" t="s">
        <v>102</v>
      </c>
      <c r="M566" s="15" t="s">
        <v>5</v>
      </c>
      <c r="N566" s="11" t="s">
        <v>1391</v>
      </c>
      <c r="O566" s="11" t="s">
        <v>46</v>
      </c>
      <c r="P566" s="11" t="s">
        <v>29</v>
      </c>
      <c r="Q566" s="15">
        <v>95</v>
      </c>
      <c r="R566" s="11" t="s">
        <v>3</v>
      </c>
      <c r="S566" s="10">
        <v>144.37842343414999</v>
      </c>
      <c r="T566" s="15">
        <v>80</v>
      </c>
      <c r="U566" s="15">
        <v>0</v>
      </c>
      <c r="V566" s="15">
        <v>0</v>
      </c>
      <c r="W566" s="15">
        <v>1</v>
      </c>
      <c r="X566" s="15">
        <f>IF(O566='Udvaskning nøgletal'!$D$65,1,IF(O566='Udvaskning nøgletal'!$D$66,2,IF(O566='Udvaskning nøgletal'!$D$67,3,IF(O566='Udvaskning nøgletal'!$D$68,2,""))))</f>
        <v>2</v>
      </c>
      <c r="Y566" s="15">
        <f>LOOKUP(K566,'Udvaskning nøgletal'!$C$12:$C$60,'Udvaskning nøgletal'!$H$12:$H$60)</f>
        <v>5</v>
      </c>
      <c r="Z566" s="10">
        <f>IF(X566=1,LOOKUP(K566,'Udvaskning nøgletal'!$C$12:$C$60,'Udvaskning nøgletal'!$E$12:$E$60)+Markniveau!Y566*Markniveau!S566/100,IF(X566=2,LOOKUP(K566,'Udvaskning nøgletal'!$C$12:$C$60,'Udvaskning nøgletal'!$F$12:$F$60)+Markniveau!Y566*Markniveau!S566/100,IF(X566=3,LOOKUP(K566,'Udvaskning nøgletal'!$C$12:$C$60,'Udvaskning nøgletal'!G576:G624)+Markniveau!Y566*Markniveau!S566/100,"")))</f>
        <v>58.098921171707502</v>
      </c>
      <c r="AA566" s="10">
        <f t="shared" si="86"/>
        <v>230.65271705167879</v>
      </c>
      <c r="AB566" s="10">
        <f t="shared" si="85"/>
        <v>2.904946058585375</v>
      </c>
      <c r="AC566" s="10">
        <f t="shared" si="87"/>
        <v>11.532635852583939</v>
      </c>
      <c r="AD566" s="10">
        <f>IF(AND(Q566&gt;0,Q566&lt;30,K566&lt;8),Markniveau!Z566*'Udvaskning nøgletal'!$I$12/100,IF(AND(Q566&gt;0,Q566&lt;30,K566=216),Markniveau!Z566*'Udvaskning nøgletal'!$I$34/100,Markniveau!Z566))</f>
        <v>58.098921171707502</v>
      </c>
      <c r="AE566" s="10">
        <f t="shared" si="93"/>
        <v>230.65271705167879</v>
      </c>
      <c r="AF566" s="10">
        <f t="shared" si="88"/>
        <v>2.904946058585375</v>
      </c>
      <c r="AG566" s="10">
        <f t="shared" si="94"/>
        <v>11.532635852583939</v>
      </c>
      <c r="AH566" s="10" t="str">
        <f>IF(AND(Q566&gt;0,Q566&lt;30,K566=216),'Udvaskning nøgletal'!$C$42,IF(AND(Q566&gt;0,Q566&lt;30,K566&gt;7,K566&lt;17),'Udvaskning nøgletal'!$C$61,IF(AND(Q566&gt;0,Q566&lt;30,K566&lt;7),'Udvaskning nøgletal'!$C$62,"")))</f>
        <v/>
      </c>
      <c r="AI566" s="10">
        <f t="shared" si="90"/>
        <v>11</v>
      </c>
      <c r="AJ566" s="10">
        <f>IF($X566=1,LOOKUP(AI566,'Udvaskning nøgletal'!$C$12:$C$62,'Udvaskning nøgletal'!$E$12:$E$62)+Markniveau!$Y566*Markniveau!$S566/100,IF($X566=2,LOOKUP(AI566,'Udvaskning nøgletal'!$C$12:$C$62,'Udvaskning nøgletal'!$F$12:$F$62)+Markniveau!$Y566*Markniveau!$S566/100,IF($X566=3,LOOKUP(AI566,'Udvaskning nøgletal'!$C$12:$C$62,'Udvaskning nøgletal'!Q576:Q626)+Markniveau!$Y566*Markniveau!$S566/100,"")))</f>
        <v>58.098921171707502</v>
      </c>
      <c r="AK566" s="10">
        <f t="shared" si="89"/>
        <v>230.65271705167879</v>
      </c>
      <c r="AL566" s="10">
        <f t="shared" si="91"/>
        <v>2.904946058585375</v>
      </c>
      <c r="AM566" s="10">
        <f t="shared" si="92"/>
        <v>11.532635852583939</v>
      </c>
    </row>
    <row r="567" spans="1:39" x14ac:dyDescent="0.25">
      <c r="A567" s="15">
        <v>19401545</v>
      </c>
      <c r="B567" s="15">
        <v>7.58</v>
      </c>
      <c r="C567" s="15">
        <v>151281</v>
      </c>
      <c r="D567" s="15">
        <v>90864</v>
      </c>
      <c r="E567" s="15" t="s">
        <v>449</v>
      </c>
      <c r="F567" s="15">
        <v>2011</v>
      </c>
      <c r="G567" s="15">
        <v>20110418</v>
      </c>
      <c r="H567" s="15">
        <v>75815</v>
      </c>
      <c r="I567" s="15">
        <v>7.58</v>
      </c>
      <c r="J567" s="6" t="s">
        <v>450</v>
      </c>
      <c r="K567" s="15">
        <v>216</v>
      </c>
      <c r="L567" s="15" t="s">
        <v>116</v>
      </c>
      <c r="M567" s="15" t="s">
        <v>5</v>
      </c>
      <c r="N567" s="11" t="s">
        <v>1384</v>
      </c>
      <c r="O567" s="11" t="s">
        <v>28</v>
      </c>
      <c r="P567" s="11" t="s">
        <v>29</v>
      </c>
      <c r="Q567" s="15">
        <v>95</v>
      </c>
      <c r="R567" s="11" t="s">
        <v>3</v>
      </c>
      <c r="S567" s="10">
        <v>155.04206619239</v>
      </c>
      <c r="T567" s="15">
        <v>80</v>
      </c>
      <c r="U567" s="15">
        <v>1</v>
      </c>
      <c r="V567" s="15">
        <v>1</v>
      </c>
      <c r="W567" s="15">
        <v>0</v>
      </c>
      <c r="X567" s="15">
        <f>IF(O567='Udvaskning nøgletal'!$D$65,1,IF(O567='Udvaskning nøgletal'!$D$66,2,IF(O567='Udvaskning nøgletal'!$D$67,3,IF(O567='Udvaskning nøgletal'!$D$68,2,""))))</f>
        <v>1</v>
      </c>
      <c r="Y567" s="15">
        <f>LOOKUP(K567,'Udvaskning nøgletal'!$C$12:$C$60,'Udvaskning nøgletal'!$H$12:$H$60)</f>
        <v>0</v>
      </c>
      <c r="Z567" s="10">
        <f>IF(X567=1,LOOKUP(K567,'Udvaskning nøgletal'!$C$12:$C$60,'Udvaskning nøgletal'!$E$12:$E$60)+Markniveau!Y567*Markniveau!S567/100,IF(X567=2,LOOKUP(K567,'Udvaskning nøgletal'!$C$12:$C$60,'Udvaskning nøgletal'!$F$12:$F$60)+Markniveau!Y567*Markniveau!S567/100,IF(X567=3,LOOKUP(K567,'Udvaskning nøgletal'!$C$12:$C$60,'Udvaskning nøgletal'!G577:G625)+Markniveau!Y567*Markniveau!S567/100,"")))</f>
        <v>125.85383557148924</v>
      </c>
      <c r="AA567" s="10">
        <f t="shared" si="86"/>
        <v>953.97207363188841</v>
      </c>
      <c r="AB567" s="10">
        <f t="shared" si="85"/>
        <v>6.2926917785744623</v>
      </c>
      <c r="AC567" s="10">
        <f t="shared" si="87"/>
        <v>47.698603681594427</v>
      </c>
      <c r="AD567" s="10">
        <f>IF(AND(Q567&gt;0,Q567&lt;30,K567&lt;8),Markniveau!Z567*'Udvaskning nøgletal'!$I$12/100,IF(AND(Q567&gt;0,Q567&lt;30,K567=216),Markniveau!Z567*'Udvaskning nøgletal'!$I$34/100,Markniveau!Z567))</f>
        <v>125.85383557148924</v>
      </c>
      <c r="AE567" s="10">
        <f t="shared" si="93"/>
        <v>953.97207363188841</v>
      </c>
      <c r="AF567" s="10">
        <f t="shared" si="88"/>
        <v>6.2926917785744623</v>
      </c>
      <c r="AG567" s="10">
        <f t="shared" si="94"/>
        <v>47.698603681594427</v>
      </c>
      <c r="AH567" s="10" t="str">
        <f>IF(AND(Q567&gt;0,Q567&lt;30,K567=216),'Udvaskning nøgletal'!$C$42,IF(AND(Q567&gt;0,Q567&lt;30,K567&gt;7,K567&lt;17),'Udvaskning nøgletal'!$C$61,IF(AND(Q567&gt;0,Q567&lt;30,K567&lt;7),'Udvaskning nøgletal'!$C$62,"")))</f>
        <v/>
      </c>
      <c r="AI567" s="10">
        <f t="shared" si="90"/>
        <v>216</v>
      </c>
      <c r="AJ567" s="10">
        <f>IF($X567=1,LOOKUP(AI567,'Udvaskning nøgletal'!$C$12:$C$62,'Udvaskning nøgletal'!$E$12:$E$62)+Markniveau!$Y567*Markniveau!$S567/100,IF($X567=2,LOOKUP(AI567,'Udvaskning nøgletal'!$C$12:$C$62,'Udvaskning nøgletal'!$F$12:$F$62)+Markniveau!$Y567*Markniveau!$S567/100,IF($X567=3,LOOKUP(AI567,'Udvaskning nøgletal'!$C$12:$C$62,'Udvaskning nøgletal'!Q577:Q627)+Markniveau!$Y567*Markniveau!$S567/100,"")))</f>
        <v>125.85383557148924</v>
      </c>
      <c r="AK567" s="10">
        <f t="shared" si="89"/>
        <v>953.97207363188841</v>
      </c>
      <c r="AL567" s="10">
        <f t="shared" si="91"/>
        <v>6.2926917785744623</v>
      </c>
      <c r="AM567" s="10">
        <f t="shared" si="92"/>
        <v>47.698603681594427</v>
      </c>
    </row>
    <row r="568" spans="1:39" x14ac:dyDescent="0.25">
      <c r="A568" s="15">
        <v>19401545</v>
      </c>
      <c r="B568" s="15">
        <v>7.58</v>
      </c>
      <c r="C568" s="15">
        <v>160654</v>
      </c>
      <c r="D568" s="15">
        <v>90864</v>
      </c>
      <c r="E568" s="15" t="s">
        <v>451</v>
      </c>
      <c r="F568" s="15">
        <v>2011</v>
      </c>
      <c r="G568" s="15">
        <v>20110418</v>
      </c>
      <c r="H568" s="15">
        <v>14514</v>
      </c>
      <c r="I568" s="15">
        <v>1.45</v>
      </c>
      <c r="J568" s="6" t="s">
        <v>452</v>
      </c>
      <c r="K568" s="15">
        <v>254</v>
      </c>
      <c r="L568" s="15" t="s">
        <v>27</v>
      </c>
      <c r="M568" s="15" t="s">
        <v>4</v>
      </c>
      <c r="N568" s="11" t="s">
        <v>1384</v>
      </c>
      <c r="O568" s="11" t="s">
        <v>28</v>
      </c>
      <c r="P568" s="11" t="s">
        <v>33</v>
      </c>
      <c r="Q568" s="15">
        <v>0</v>
      </c>
      <c r="R568" s="11" t="s">
        <v>1386</v>
      </c>
      <c r="S568" s="10">
        <v>155.04206619239</v>
      </c>
      <c r="T568" s="15">
        <v>80</v>
      </c>
      <c r="U568" s="15">
        <v>1</v>
      </c>
      <c r="V568" s="15">
        <v>1</v>
      </c>
      <c r="W568" s="15">
        <v>0</v>
      </c>
      <c r="X568" s="15">
        <f>IF(O568='Udvaskning nøgletal'!$D$65,1,IF(O568='Udvaskning nøgletal'!$D$66,2,IF(O568='Udvaskning nøgletal'!$D$67,3,IF(O568='Udvaskning nøgletal'!$D$68,2,""))))</f>
        <v>1</v>
      </c>
      <c r="Y568" s="15">
        <f>LOOKUP(K568,'Udvaskning nøgletal'!$C$12:$C$60,'Udvaskning nøgletal'!$H$12:$H$60)</f>
        <v>0</v>
      </c>
      <c r="Z568" s="10">
        <f>IF(X568=1,LOOKUP(K568,'Udvaskning nøgletal'!$C$12:$C$60,'Udvaskning nøgletal'!$E$12:$E$60)+Markniveau!Y568*Markniveau!S568/100,IF(X568=2,LOOKUP(K568,'Udvaskning nøgletal'!$C$12:$C$60,'Udvaskning nøgletal'!$F$12:$F$60)+Markniveau!Y568*Markniveau!S568/100,IF(X568=3,LOOKUP(K568,'Udvaskning nøgletal'!$C$12:$C$60,'Udvaskning nøgletal'!G578:G626)+Markniveau!Y568*Markniveau!S568/100,"")))</f>
        <v>21.2</v>
      </c>
      <c r="AA568" s="10">
        <f t="shared" si="86"/>
        <v>30.74</v>
      </c>
      <c r="AB568" s="10" t="str">
        <f t="shared" si="85"/>
        <v/>
      </c>
      <c r="AC568" s="10" t="str">
        <f t="shared" si="87"/>
        <v/>
      </c>
      <c r="AD568" s="10">
        <f>IF(AND(Q568&gt;0,Q568&lt;30,K568&lt;8),Markniveau!Z568*'Udvaskning nøgletal'!$I$12/100,IF(AND(Q568&gt;0,Q568&lt;30,K568=216),Markniveau!Z568*'Udvaskning nøgletal'!$I$34/100,Markniveau!Z568))</f>
        <v>21.2</v>
      </c>
      <c r="AE568" s="10">
        <f t="shared" si="93"/>
        <v>30.74</v>
      </c>
      <c r="AF568" s="10" t="str">
        <f t="shared" si="88"/>
        <v/>
      </c>
      <c r="AG568" s="10" t="str">
        <f t="shared" si="94"/>
        <v/>
      </c>
      <c r="AH568" s="10" t="str">
        <f>IF(AND(Q568&gt;0,Q568&lt;30,K568=216),'Udvaskning nøgletal'!$C$42,IF(AND(Q568&gt;0,Q568&lt;30,K568&gt;7,K568&lt;17),'Udvaskning nøgletal'!$C$61,IF(AND(Q568&gt;0,Q568&lt;30,K568&lt;7),'Udvaskning nøgletal'!$C$62,"")))</f>
        <v/>
      </c>
      <c r="AI568" s="10">
        <f t="shared" si="90"/>
        <v>254</v>
      </c>
      <c r="AJ568" s="10">
        <f>IF($X568=1,LOOKUP(AI568,'Udvaskning nøgletal'!$C$12:$C$62,'Udvaskning nøgletal'!$E$12:$E$62)+Markniveau!$Y568*Markniveau!$S568/100,IF($X568=2,LOOKUP(AI568,'Udvaskning nøgletal'!$C$12:$C$62,'Udvaskning nøgletal'!$F$12:$F$62)+Markniveau!$Y568*Markniveau!$S568/100,IF($X568=3,LOOKUP(AI568,'Udvaskning nøgletal'!$C$12:$C$62,'Udvaskning nøgletal'!Q578:Q628)+Markniveau!$Y568*Markniveau!$S568/100,"")))</f>
        <v>21.2</v>
      </c>
      <c r="AK568" s="10">
        <f t="shared" si="89"/>
        <v>30.74</v>
      </c>
      <c r="AL568" s="10" t="str">
        <f t="shared" si="91"/>
        <v/>
      </c>
      <c r="AM568" s="10" t="str">
        <f t="shared" si="92"/>
        <v/>
      </c>
    </row>
    <row r="569" spans="1:39" x14ac:dyDescent="0.25">
      <c r="A569" s="15">
        <v>19401545</v>
      </c>
      <c r="B569" s="15">
        <v>7.58</v>
      </c>
      <c r="C569" s="15">
        <v>170129</v>
      </c>
      <c r="D569" s="15">
        <v>90864</v>
      </c>
      <c r="E569" s="15" t="s">
        <v>453</v>
      </c>
      <c r="F569" s="15">
        <v>2011</v>
      </c>
      <c r="G569" s="15">
        <v>20110419</v>
      </c>
      <c r="H569" s="15">
        <v>127730</v>
      </c>
      <c r="I569" s="15">
        <v>12.77</v>
      </c>
      <c r="J569" s="6" t="s">
        <v>454</v>
      </c>
      <c r="K569" s="15">
        <v>216</v>
      </c>
      <c r="L569" s="15" t="s">
        <v>116</v>
      </c>
      <c r="M569" s="15" t="s">
        <v>5</v>
      </c>
      <c r="N569" s="11" t="s">
        <v>1391</v>
      </c>
      <c r="O569" s="11" t="s">
        <v>46</v>
      </c>
      <c r="P569" s="11" t="s">
        <v>33</v>
      </c>
      <c r="Q569" s="15">
        <v>0</v>
      </c>
      <c r="R569" s="11" t="s">
        <v>1386</v>
      </c>
      <c r="S569" s="10">
        <v>155.04206619239</v>
      </c>
      <c r="T569" s="15">
        <v>80</v>
      </c>
      <c r="U569" s="15">
        <v>1</v>
      </c>
      <c r="V569" s="15">
        <v>1</v>
      </c>
      <c r="W569" s="15">
        <v>0</v>
      </c>
      <c r="X569" s="15">
        <f>IF(O569='Udvaskning nøgletal'!$D$65,1,IF(O569='Udvaskning nøgletal'!$D$66,2,IF(O569='Udvaskning nøgletal'!$D$67,3,IF(O569='Udvaskning nøgletal'!$D$68,2,""))))</f>
        <v>2</v>
      </c>
      <c r="Y569" s="15">
        <f>LOOKUP(K569,'Udvaskning nøgletal'!$C$12:$C$60,'Udvaskning nøgletal'!$H$12:$H$60)</f>
        <v>0</v>
      </c>
      <c r="Z569" s="10">
        <f>IF(X569=1,LOOKUP(K569,'Udvaskning nøgletal'!$C$12:$C$60,'Udvaskning nøgletal'!$E$12:$E$60)+Markniveau!Y569*Markniveau!S569/100,IF(X569=2,LOOKUP(K569,'Udvaskning nøgletal'!$C$12:$C$60,'Udvaskning nøgletal'!$F$12:$F$60)+Markniveau!Y569*Markniveau!S569/100,IF(X569=3,LOOKUP(K569,'Udvaskning nøgletal'!$C$12:$C$60,'Udvaskning nøgletal'!G579:G627)+Markniveau!Y569*Markniveau!S569/100,"")))</f>
        <v>101.66744640811392</v>
      </c>
      <c r="AA569" s="10">
        <f t="shared" si="86"/>
        <v>1298.2932906316146</v>
      </c>
      <c r="AB569" s="10" t="str">
        <f t="shared" si="85"/>
        <v/>
      </c>
      <c r="AC569" s="10" t="str">
        <f t="shared" si="87"/>
        <v/>
      </c>
      <c r="AD569" s="10">
        <f>IF(AND(Q569&gt;0,Q569&lt;30,K569&lt;8),Markniveau!Z569*'Udvaskning nøgletal'!$I$12/100,IF(AND(Q569&gt;0,Q569&lt;30,K569=216),Markniveau!Z569*'Udvaskning nøgletal'!$I$34/100,Markniveau!Z569))</f>
        <v>101.66744640811392</v>
      </c>
      <c r="AE569" s="10">
        <f t="shared" si="93"/>
        <v>1298.2932906316146</v>
      </c>
      <c r="AF569" s="10" t="str">
        <f t="shared" si="88"/>
        <v/>
      </c>
      <c r="AG569" s="10" t="str">
        <f t="shared" si="94"/>
        <v/>
      </c>
      <c r="AH569" s="10" t="str">
        <f>IF(AND(Q569&gt;0,Q569&lt;30,K569=216),'Udvaskning nøgletal'!$C$42,IF(AND(Q569&gt;0,Q569&lt;30,K569&gt;7,K569&lt;17),'Udvaskning nøgletal'!$C$61,IF(AND(Q569&gt;0,Q569&lt;30,K569&lt;7),'Udvaskning nøgletal'!$C$62,"")))</f>
        <v/>
      </c>
      <c r="AI569" s="10">
        <f t="shared" si="90"/>
        <v>216</v>
      </c>
      <c r="AJ569" s="10">
        <f>IF($X569=1,LOOKUP(AI569,'Udvaskning nøgletal'!$C$12:$C$62,'Udvaskning nøgletal'!$E$12:$E$62)+Markniveau!$Y569*Markniveau!$S569/100,IF($X569=2,LOOKUP(AI569,'Udvaskning nøgletal'!$C$12:$C$62,'Udvaskning nøgletal'!$F$12:$F$62)+Markniveau!$Y569*Markniveau!$S569/100,IF($X569=3,LOOKUP(AI569,'Udvaskning nøgletal'!$C$12:$C$62,'Udvaskning nøgletal'!Q579:Q629)+Markniveau!$Y569*Markniveau!$S569/100,"")))</f>
        <v>101.66744640811392</v>
      </c>
      <c r="AK569" s="10">
        <f t="shared" si="89"/>
        <v>1298.2932906316146</v>
      </c>
      <c r="AL569" s="10" t="str">
        <f t="shared" si="91"/>
        <v/>
      </c>
      <c r="AM569" s="10" t="str">
        <f t="shared" si="92"/>
        <v/>
      </c>
    </row>
    <row r="570" spans="1:39" x14ac:dyDescent="0.25">
      <c r="A570" s="15">
        <v>19401545</v>
      </c>
      <c r="B570" s="15">
        <v>7.58</v>
      </c>
      <c r="C570" s="15">
        <v>173547</v>
      </c>
      <c r="D570" s="15">
        <v>90864</v>
      </c>
      <c r="E570" s="15" t="s">
        <v>455</v>
      </c>
      <c r="F570" s="15">
        <v>2011</v>
      </c>
      <c r="G570" s="15">
        <v>20110418</v>
      </c>
      <c r="H570" s="15">
        <v>11166</v>
      </c>
      <c r="I570" s="15">
        <v>1.1200000000000001</v>
      </c>
      <c r="J570" s="6" t="s">
        <v>456</v>
      </c>
      <c r="K570" s="15">
        <v>254</v>
      </c>
      <c r="L570" s="15" t="s">
        <v>27</v>
      </c>
      <c r="M570" s="15" t="s">
        <v>4</v>
      </c>
      <c r="N570" s="11" t="s">
        <v>1384</v>
      </c>
      <c r="O570" s="11" t="s">
        <v>28</v>
      </c>
      <c r="P570" s="11" t="s">
        <v>33</v>
      </c>
      <c r="Q570" s="15">
        <v>0</v>
      </c>
      <c r="R570" s="11" t="s">
        <v>1386</v>
      </c>
      <c r="S570" s="10">
        <v>155.04206619239</v>
      </c>
      <c r="T570" s="15">
        <v>80</v>
      </c>
      <c r="U570" s="15">
        <v>1</v>
      </c>
      <c r="V570" s="15">
        <v>1</v>
      </c>
      <c r="W570" s="15">
        <v>0</v>
      </c>
      <c r="X570" s="15">
        <f>IF(O570='Udvaskning nøgletal'!$D$65,1,IF(O570='Udvaskning nøgletal'!$D$66,2,IF(O570='Udvaskning nøgletal'!$D$67,3,IF(O570='Udvaskning nøgletal'!$D$68,2,""))))</f>
        <v>1</v>
      </c>
      <c r="Y570" s="15">
        <f>LOOKUP(K570,'Udvaskning nøgletal'!$C$12:$C$60,'Udvaskning nøgletal'!$H$12:$H$60)</f>
        <v>0</v>
      </c>
      <c r="Z570" s="10">
        <f>IF(X570=1,LOOKUP(K570,'Udvaskning nøgletal'!$C$12:$C$60,'Udvaskning nøgletal'!$E$12:$E$60)+Markniveau!Y570*Markniveau!S570/100,IF(X570=2,LOOKUP(K570,'Udvaskning nøgletal'!$C$12:$C$60,'Udvaskning nøgletal'!$F$12:$F$60)+Markniveau!Y570*Markniveau!S570/100,IF(X570=3,LOOKUP(K570,'Udvaskning nøgletal'!$C$12:$C$60,'Udvaskning nøgletal'!G580:G628)+Markniveau!Y570*Markniveau!S570/100,"")))</f>
        <v>21.2</v>
      </c>
      <c r="AA570" s="10">
        <f t="shared" si="86"/>
        <v>23.744</v>
      </c>
      <c r="AB570" s="10" t="str">
        <f t="shared" si="85"/>
        <v/>
      </c>
      <c r="AC570" s="10" t="str">
        <f t="shared" si="87"/>
        <v/>
      </c>
      <c r="AD570" s="10">
        <f>IF(AND(Q570&gt;0,Q570&lt;30,K570&lt;8),Markniveau!Z570*'Udvaskning nøgletal'!$I$12/100,IF(AND(Q570&gt;0,Q570&lt;30,K570=216),Markniveau!Z570*'Udvaskning nøgletal'!$I$34/100,Markniveau!Z570))</f>
        <v>21.2</v>
      </c>
      <c r="AE570" s="10">
        <f t="shared" si="93"/>
        <v>23.744</v>
      </c>
      <c r="AF570" s="10" t="str">
        <f t="shared" si="88"/>
        <v/>
      </c>
      <c r="AG570" s="10" t="str">
        <f t="shared" si="94"/>
        <v/>
      </c>
      <c r="AH570" s="10" t="str">
        <f>IF(AND(Q570&gt;0,Q570&lt;30,K570=216),'Udvaskning nøgletal'!$C$42,IF(AND(Q570&gt;0,Q570&lt;30,K570&gt;7,K570&lt;17),'Udvaskning nøgletal'!$C$61,IF(AND(Q570&gt;0,Q570&lt;30,K570&lt;7),'Udvaskning nøgletal'!$C$62,"")))</f>
        <v/>
      </c>
      <c r="AI570" s="10">
        <f t="shared" si="90"/>
        <v>254</v>
      </c>
      <c r="AJ570" s="10">
        <f>IF($X570=1,LOOKUP(AI570,'Udvaskning nøgletal'!$C$12:$C$62,'Udvaskning nøgletal'!$E$12:$E$62)+Markniveau!$Y570*Markniveau!$S570/100,IF($X570=2,LOOKUP(AI570,'Udvaskning nøgletal'!$C$12:$C$62,'Udvaskning nøgletal'!$F$12:$F$62)+Markniveau!$Y570*Markniveau!$S570/100,IF($X570=3,LOOKUP(AI570,'Udvaskning nøgletal'!$C$12:$C$62,'Udvaskning nøgletal'!Q580:Q630)+Markniveau!$Y570*Markniveau!$S570/100,"")))</f>
        <v>21.2</v>
      </c>
      <c r="AK570" s="10">
        <f t="shared" si="89"/>
        <v>23.744</v>
      </c>
      <c r="AL570" s="10" t="str">
        <f t="shared" si="91"/>
        <v/>
      </c>
      <c r="AM570" s="10" t="str">
        <f t="shared" si="92"/>
        <v/>
      </c>
    </row>
    <row r="571" spans="1:39" x14ac:dyDescent="0.25">
      <c r="A571" s="15">
        <v>19401545</v>
      </c>
      <c r="B571" s="15">
        <v>7.58</v>
      </c>
      <c r="C571" s="15">
        <v>182649</v>
      </c>
      <c r="D571" s="15">
        <v>90864</v>
      </c>
      <c r="E571" s="15" t="s">
        <v>457</v>
      </c>
      <c r="F571" s="15">
        <v>2011</v>
      </c>
      <c r="G571" s="15">
        <v>20110418</v>
      </c>
      <c r="H571" s="15">
        <v>128496</v>
      </c>
      <c r="I571" s="15">
        <v>12.85</v>
      </c>
      <c r="J571" s="6" t="s">
        <v>458</v>
      </c>
      <c r="K571" s="15">
        <v>216</v>
      </c>
      <c r="L571" s="15" t="s">
        <v>116</v>
      </c>
      <c r="M571" s="15" t="s">
        <v>5</v>
      </c>
      <c r="N571" s="11" t="s">
        <v>1391</v>
      </c>
      <c r="O571" s="11" t="s">
        <v>46</v>
      </c>
      <c r="P571" s="11" t="s">
        <v>33</v>
      </c>
      <c r="Q571" s="15">
        <v>0</v>
      </c>
      <c r="R571" s="11" t="s">
        <v>1386</v>
      </c>
      <c r="S571" s="10">
        <v>155.04206619239</v>
      </c>
      <c r="T571" s="15">
        <v>80</v>
      </c>
      <c r="U571" s="15">
        <v>1</v>
      </c>
      <c r="V571" s="15">
        <v>1</v>
      </c>
      <c r="W571" s="15">
        <v>0</v>
      </c>
      <c r="X571" s="15">
        <f>IF(O571='Udvaskning nøgletal'!$D$65,1,IF(O571='Udvaskning nøgletal'!$D$66,2,IF(O571='Udvaskning nøgletal'!$D$67,3,IF(O571='Udvaskning nøgletal'!$D$68,2,""))))</f>
        <v>2</v>
      </c>
      <c r="Y571" s="15">
        <f>LOOKUP(K571,'Udvaskning nøgletal'!$C$12:$C$60,'Udvaskning nøgletal'!$H$12:$H$60)</f>
        <v>0</v>
      </c>
      <c r="Z571" s="10">
        <f>IF(X571=1,LOOKUP(K571,'Udvaskning nøgletal'!$C$12:$C$60,'Udvaskning nøgletal'!$E$12:$E$60)+Markniveau!Y571*Markniveau!S571/100,IF(X571=2,LOOKUP(K571,'Udvaskning nøgletal'!$C$12:$C$60,'Udvaskning nøgletal'!$F$12:$F$60)+Markniveau!Y571*Markniveau!S571/100,IF(X571=3,LOOKUP(K571,'Udvaskning nøgletal'!$C$12:$C$60,'Udvaskning nøgletal'!G581:G629)+Markniveau!Y571*Markniveau!S571/100,"")))</f>
        <v>101.66744640811392</v>
      </c>
      <c r="AA571" s="10">
        <f t="shared" si="86"/>
        <v>1306.4266863442638</v>
      </c>
      <c r="AB571" s="10" t="str">
        <f t="shared" si="85"/>
        <v/>
      </c>
      <c r="AC571" s="10" t="str">
        <f t="shared" si="87"/>
        <v/>
      </c>
      <c r="AD571" s="10">
        <f>IF(AND(Q571&gt;0,Q571&lt;30,K571&lt;8),Markniveau!Z571*'Udvaskning nøgletal'!$I$12/100,IF(AND(Q571&gt;0,Q571&lt;30,K571=216),Markniveau!Z571*'Udvaskning nøgletal'!$I$34/100,Markniveau!Z571))</f>
        <v>101.66744640811392</v>
      </c>
      <c r="AE571" s="10">
        <f t="shared" si="93"/>
        <v>1306.4266863442638</v>
      </c>
      <c r="AF571" s="10" t="str">
        <f t="shared" si="88"/>
        <v/>
      </c>
      <c r="AG571" s="10" t="str">
        <f t="shared" si="94"/>
        <v/>
      </c>
      <c r="AH571" s="10" t="str">
        <f>IF(AND(Q571&gt;0,Q571&lt;30,K571=216),'Udvaskning nøgletal'!$C$42,IF(AND(Q571&gt;0,Q571&lt;30,K571&gt;7,K571&lt;17),'Udvaskning nøgletal'!$C$61,IF(AND(Q571&gt;0,Q571&lt;30,K571&lt;7),'Udvaskning nøgletal'!$C$62,"")))</f>
        <v/>
      </c>
      <c r="AI571" s="10">
        <f t="shared" si="90"/>
        <v>216</v>
      </c>
      <c r="AJ571" s="10">
        <f>IF($X571=1,LOOKUP(AI571,'Udvaskning nøgletal'!$C$12:$C$62,'Udvaskning nøgletal'!$E$12:$E$62)+Markniveau!$Y571*Markniveau!$S571/100,IF($X571=2,LOOKUP(AI571,'Udvaskning nøgletal'!$C$12:$C$62,'Udvaskning nøgletal'!$F$12:$F$62)+Markniveau!$Y571*Markniveau!$S571/100,IF($X571=3,LOOKUP(AI571,'Udvaskning nøgletal'!$C$12:$C$62,'Udvaskning nøgletal'!Q581:Q631)+Markniveau!$Y571*Markniveau!$S571/100,"")))</f>
        <v>101.66744640811392</v>
      </c>
      <c r="AK571" s="10">
        <f t="shared" si="89"/>
        <v>1306.4266863442638</v>
      </c>
      <c r="AL571" s="10" t="str">
        <f t="shared" si="91"/>
        <v/>
      </c>
      <c r="AM571" s="10" t="str">
        <f t="shared" si="92"/>
        <v/>
      </c>
    </row>
    <row r="572" spans="1:39" x14ac:dyDescent="0.25">
      <c r="A572" s="15">
        <v>19401545</v>
      </c>
      <c r="B572" s="15">
        <v>7.58</v>
      </c>
      <c r="C572" s="15">
        <v>188831</v>
      </c>
      <c r="D572" s="15">
        <v>90864</v>
      </c>
      <c r="E572" s="15" t="s">
        <v>459</v>
      </c>
      <c r="F572" s="15">
        <v>2011</v>
      </c>
      <c r="G572" s="15">
        <v>20110418</v>
      </c>
      <c r="H572" s="15">
        <v>45746</v>
      </c>
      <c r="I572" s="15">
        <v>4.57</v>
      </c>
      <c r="J572" s="6" t="s">
        <v>93</v>
      </c>
      <c r="K572" s="15">
        <v>15</v>
      </c>
      <c r="L572" s="15" t="s">
        <v>362</v>
      </c>
      <c r="M572" s="15" t="s">
        <v>5</v>
      </c>
      <c r="N572" s="11" t="s">
        <v>1384</v>
      </c>
      <c r="O572" s="11" t="s">
        <v>28</v>
      </c>
      <c r="P572" s="11" t="s">
        <v>33</v>
      </c>
      <c r="Q572" s="15">
        <v>1</v>
      </c>
      <c r="R572" s="11" t="s">
        <v>11</v>
      </c>
      <c r="S572" s="10">
        <v>155.04206619239</v>
      </c>
      <c r="T572" s="15">
        <v>80</v>
      </c>
      <c r="U572" s="15">
        <v>1</v>
      </c>
      <c r="V572" s="15">
        <v>1</v>
      </c>
      <c r="W572" s="15">
        <v>0</v>
      </c>
      <c r="X572" s="15">
        <f>IF(O572='Udvaskning nøgletal'!$D$65,1,IF(O572='Udvaskning nøgletal'!$D$66,2,IF(O572='Udvaskning nøgletal'!$D$67,3,IF(O572='Udvaskning nøgletal'!$D$68,2,""))))</f>
        <v>1</v>
      </c>
      <c r="Y572" s="15">
        <f>LOOKUP(K572,'Udvaskning nøgletal'!$C$12:$C$60,'Udvaskning nøgletal'!$H$12:$H$60)</f>
        <v>5</v>
      </c>
      <c r="Z572" s="10">
        <f>IF(X572=1,LOOKUP(K572,'Udvaskning nøgletal'!$C$12:$C$60,'Udvaskning nøgletal'!$E$12:$E$60)+Markniveau!Y572*Markniveau!S572/100,IF(X572=2,LOOKUP(K572,'Udvaskning nøgletal'!$C$12:$C$60,'Udvaskning nøgletal'!$F$12:$F$60)+Markniveau!Y572*Markniveau!S572/100,IF(X572=3,LOOKUP(K572,'Udvaskning nøgletal'!$C$12:$C$60,'Udvaskning nøgletal'!G582:G630)+Markniveau!Y572*Markniveau!S572/100,"")))</f>
        <v>72.412103309619496</v>
      </c>
      <c r="AA572" s="10">
        <f t="shared" si="86"/>
        <v>330.92331212496111</v>
      </c>
      <c r="AB572" s="10">
        <f t="shared" si="85"/>
        <v>71.6879822765233</v>
      </c>
      <c r="AC572" s="10">
        <f t="shared" si="87"/>
        <v>327.61407900371148</v>
      </c>
      <c r="AD572" s="10">
        <f>IF(AND(Q572&gt;0,Q572&lt;30,K572&lt;8),Markniveau!Z572*'Udvaskning nøgletal'!$I$12/100,IF(AND(Q572&gt;0,Q572&lt;30,K572=216),Markniveau!Z572*'Udvaskning nøgletal'!$I$34/100,Markniveau!Z572))</f>
        <v>72.412103309619496</v>
      </c>
      <c r="AE572" s="10">
        <f t="shared" si="93"/>
        <v>330.92331212496111</v>
      </c>
      <c r="AF572" s="10">
        <f t="shared" si="88"/>
        <v>71.6879822765233</v>
      </c>
      <c r="AG572" s="10">
        <f t="shared" si="94"/>
        <v>327.61407900371148</v>
      </c>
      <c r="AH572" s="10">
        <f>IF(AND(Q572&gt;0,Q572&lt;30,K572=216),'Udvaskning nøgletal'!$C$42,IF(AND(Q572&gt;0,Q572&lt;30,K572&gt;7,K572&lt;17),'Udvaskning nøgletal'!$C$61,IF(AND(Q572&gt;0,Q572&lt;30,K572&lt;7),'Udvaskning nøgletal'!$C$62,"")))</f>
        <v>1001</v>
      </c>
      <c r="AI572" s="10">
        <f t="shared" si="90"/>
        <v>1001</v>
      </c>
      <c r="AJ572" s="10">
        <f>IF($X572=1,LOOKUP(AI572,'Udvaskning nøgletal'!$C$12:$C$62,'Udvaskning nøgletal'!$E$12:$E$62)+Markniveau!$Y572*Markniveau!$S572/100,IF($X572=2,LOOKUP(AI572,'Udvaskning nøgletal'!$C$12:$C$62,'Udvaskning nøgletal'!$F$12:$F$62)+Markniveau!$Y572*Markniveau!$S572/100,IF($X572=3,LOOKUP(AI572,'Udvaskning nøgletal'!$C$12:$C$62,'Udvaskning nøgletal'!Q582:Q632)+Markniveau!$Y572*Markniveau!$S572/100,"")))</f>
        <v>38.2521033096195</v>
      </c>
      <c r="AK572" s="10">
        <f t="shared" si="89"/>
        <v>174.81211212496112</v>
      </c>
      <c r="AL572" s="10">
        <f t="shared" si="91"/>
        <v>37.869582276523303</v>
      </c>
      <c r="AM572" s="10">
        <f t="shared" si="92"/>
        <v>173.06399100371149</v>
      </c>
    </row>
    <row r="573" spans="1:39" x14ac:dyDescent="0.25">
      <c r="A573" s="15">
        <v>19401545</v>
      </c>
      <c r="B573" s="15">
        <v>7.58</v>
      </c>
      <c r="C573" s="15">
        <v>190384</v>
      </c>
      <c r="D573" s="15">
        <v>90864</v>
      </c>
      <c r="E573" s="15" t="s">
        <v>460</v>
      </c>
      <c r="F573" s="15">
        <v>2011</v>
      </c>
      <c r="G573" s="15">
        <v>20110418</v>
      </c>
      <c r="H573" s="15">
        <v>59189</v>
      </c>
      <c r="I573" s="15">
        <v>5.92</v>
      </c>
      <c r="J573" s="6" t="s">
        <v>461</v>
      </c>
      <c r="K573" s="15">
        <v>15</v>
      </c>
      <c r="L573" s="15" t="s">
        <v>362</v>
      </c>
      <c r="M573" s="15" t="s">
        <v>5</v>
      </c>
      <c r="N573" s="11" t="s">
        <v>1384</v>
      </c>
      <c r="O573" s="11" t="s">
        <v>28</v>
      </c>
      <c r="P573" s="11" t="s">
        <v>33</v>
      </c>
      <c r="Q573" s="15">
        <v>0</v>
      </c>
      <c r="R573" s="11" t="s">
        <v>1386</v>
      </c>
      <c r="S573" s="10">
        <v>155.04206619239</v>
      </c>
      <c r="T573" s="15">
        <v>80</v>
      </c>
      <c r="U573" s="15">
        <v>1</v>
      </c>
      <c r="V573" s="15">
        <v>1</v>
      </c>
      <c r="W573" s="15">
        <v>0</v>
      </c>
      <c r="X573" s="15">
        <f>IF(O573='Udvaskning nøgletal'!$D$65,1,IF(O573='Udvaskning nøgletal'!$D$66,2,IF(O573='Udvaskning nøgletal'!$D$67,3,IF(O573='Udvaskning nøgletal'!$D$68,2,""))))</f>
        <v>1</v>
      </c>
      <c r="Y573" s="15">
        <f>LOOKUP(K573,'Udvaskning nøgletal'!$C$12:$C$60,'Udvaskning nøgletal'!$H$12:$H$60)</f>
        <v>5</v>
      </c>
      <c r="Z573" s="10">
        <f>IF(X573=1,LOOKUP(K573,'Udvaskning nøgletal'!$C$12:$C$60,'Udvaskning nøgletal'!$E$12:$E$60)+Markniveau!Y573*Markniveau!S573/100,IF(X573=2,LOOKUP(K573,'Udvaskning nøgletal'!$C$12:$C$60,'Udvaskning nøgletal'!$F$12:$F$60)+Markniveau!Y573*Markniveau!S573/100,IF(X573=3,LOOKUP(K573,'Udvaskning nøgletal'!$C$12:$C$60,'Udvaskning nøgletal'!G583:G631)+Markniveau!Y573*Markniveau!S573/100,"")))</f>
        <v>72.412103309619496</v>
      </c>
      <c r="AA573" s="10">
        <f t="shared" si="86"/>
        <v>428.67965159294744</v>
      </c>
      <c r="AB573" s="10" t="str">
        <f t="shared" si="85"/>
        <v/>
      </c>
      <c r="AC573" s="10" t="str">
        <f t="shared" si="87"/>
        <v/>
      </c>
      <c r="AD573" s="10">
        <f>IF(AND(Q573&gt;0,Q573&lt;30,K573&lt;8),Markniveau!Z573*'Udvaskning nøgletal'!$I$12/100,IF(AND(Q573&gt;0,Q573&lt;30,K573=216),Markniveau!Z573*'Udvaskning nøgletal'!$I$34/100,Markniveau!Z573))</f>
        <v>72.412103309619496</v>
      </c>
      <c r="AE573" s="10">
        <f t="shared" si="93"/>
        <v>428.67965159294744</v>
      </c>
      <c r="AF573" s="10" t="str">
        <f t="shared" si="88"/>
        <v/>
      </c>
      <c r="AG573" s="10" t="str">
        <f t="shared" si="94"/>
        <v/>
      </c>
      <c r="AH573" s="10" t="str">
        <f>IF(AND(Q573&gt;0,Q573&lt;30,K573=216),'Udvaskning nøgletal'!$C$42,IF(AND(Q573&gt;0,Q573&lt;30,K573&gt;7,K573&lt;17),'Udvaskning nøgletal'!$C$61,IF(AND(Q573&gt;0,Q573&lt;30,K573&lt;7),'Udvaskning nøgletal'!$C$62,"")))</f>
        <v/>
      </c>
      <c r="AI573" s="10">
        <f t="shared" si="90"/>
        <v>15</v>
      </c>
      <c r="AJ573" s="10">
        <f>IF($X573=1,LOOKUP(AI573,'Udvaskning nøgletal'!$C$12:$C$62,'Udvaskning nøgletal'!$E$12:$E$62)+Markniveau!$Y573*Markniveau!$S573/100,IF($X573=2,LOOKUP(AI573,'Udvaskning nøgletal'!$C$12:$C$62,'Udvaskning nøgletal'!$F$12:$F$62)+Markniveau!$Y573*Markniveau!$S573/100,IF($X573=3,LOOKUP(AI573,'Udvaskning nøgletal'!$C$12:$C$62,'Udvaskning nøgletal'!Q583:Q633)+Markniveau!$Y573*Markniveau!$S573/100,"")))</f>
        <v>72.412103309619496</v>
      </c>
      <c r="AK573" s="10">
        <f t="shared" si="89"/>
        <v>428.67965159294744</v>
      </c>
      <c r="AL573" s="10" t="str">
        <f t="shared" si="91"/>
        <v/>
      </c>
      <c r="AM573" s="10" t="str">
        <f t="shared" si="92"/>
        <v/>
      </c>
    </row>
    <row r="574" spans="1:39" x14ac:dyDescent="0.25">
      <c r="A574" s="15">
        <v>19401545</v>
      </c>
      <c r="B574" s="15">
        <v>7.58</v>
      </c>
      <c r="C574" s="15">
        <v>201489</v>
      </c>
      <c r="D574" s="15">
        <v>90864</v>
      </c>
      <c r="E574" s="15" t="s">
        <v>462</v>
      </c>
      <c r="F574" s="15">
        <v>2011</v>
      </c>
      <c r="G574" s="15">
        <v>20110418</v>
      </c>
      <c r="H574" s="15">
        <v>43193</v>
      </c>
      <c r="I574" s="15">
        <v>4.32</v>
      </c>
      <c r="J574" s="6" t="s">
        <v>61</v>
      </c>
      <c r="K574" s="15">
        <v>216</v>
      </c>
      <c r="L574" s="15" t="s">
        <v>116</v>
      </c>
      <c r="M574" s="15" t="s">
        <v>5</v>
      </c>
      <c r="N574" s="11" t="s">
        <v>1391</v>
      </c>
      <c r="O574" s="11" t="s">
        <v>46</v>
      </c>
      <c r="P574" s="11" t="s">
        <v>33</v>
      </c>
      <c r="Q574" s="15">
        <v>0</v>
      </c>
      <c r="R574" s="11" t="s">
        <v>1386</v>
      </c>
      <c r="S574" s="10">
        <v>155.04206619239</v>
      </c>
      <c r="T574" s="15">
        <v>80</v>
      </c>
      <c r="U574" s="15">
        <v>1</v>
      </c>
      <c r="V574" s="15">
        <v>1</v>
      </c>
      <c r="W574" s="15">
        <v>0</v>
      </c>
      <c r="X574" s="15">
        <f>IF(O574='Udvaskning nøgletal'!$D$65,1,IF(O574='Udvaskning nøgletal'!$D$66,2,IF(O574='Udvaskning nøgletal'!$D$67,3,IF(O574='Udvaskning nøgletal'!$D$68,2,""))))</f>
        <v>2</v>
      </c>
      <c r="Y574" s="15">
        <f>LOOKUP(K574,'Udvaskning nøgletal'!$C$12:$C$60,'Udvaskning nøgletal'!$H$12:$H$60)</f>
        <v>0</v>
      </c>
      <c r="Z574" s="10">
        <f>IF(X574=1,LOOKUP(K574,'Udvaskning nøgletal'!$C$12:$C$60,'Udvaskning nøgletal'!$E$12:$E$60)+Markniveau!Y574*Markniveau!S574/100,IF(X574=2,LOOKUP(K574,'Udvaskning nøgletal'!$C$12:$C$60,'Udvaskning nøgletal'!$F$12:$F$60)+Markniveau!Y574*Markniveau!S574/100,IF(X574=3,LOOKUP(K574,'Udvaskning nøgletal'!$C$12:$C$60,'Udvaskning nøgletal'!G584:G632)+Markniveau!Y574*Markniveau!S574/100,"")))</f>
        <v>101.66744640811392</v>
      </c>
      <c r="AA574" s="10">
        <f t="shared" si="86"/>
        <v>439.20336848305215</v>
      </c>
      <c r="AB574" s="10" t="str">
        <f t="shared" si="85"/>
        <v/>
      </c>
      <c r="AC574" s="10" t="str">
        <f t="shared" si="87"/>
        <v/>
      </c>
      <c r="AD574" s="10">
        <f>IF(AND(Q574&gt;0,Q574&lt;30,K574&lt;8),Markniveau!Z574*'Udvaskning nøgletal'!$I$12/100,IF(AND(Q574&gt;0,Q574&lt;30,K574=216),Markniveau!Z574*'Udvaskning nøgletal'!$I$34/100,Markniveau!Z574))</f>
        <v>101.66744640811392</v>
      </c>
      <c r="AE574" s="10">
        <f t="shared" si="93"/>
        <v>439.20336848305215</v>
      </c>
      <c r="AF574" s="10" t="str">
        <f t="shared" si="88"/>
        <v/>
      </c>
      <c r="AG574" s="10" t="str">
        <f t="shared" si="94"/>
        <v/>
      </c>
      <c r="AH574" s="10" t="str">
        <f>IF(AND(Q574&gt;0,Q574&lt;30,K574=216),'Udvaskning nøgletal'!$C$42,IF(AND(Q574&gt;0,Q574&lt;30,K574&gt;7,K574&lt;17),'Udvaskning nøgletal'!$C$61,IF(AND(Q574&gt;0,Q574&lt;30,K574&lt;7),'Udvaskning nøgletal'!$C$62,"")))</f>
        <v/>
      </c>
      <c r="AI574" s="10">
        <f t="shared" si="90"/>
        <v>216</v>
      </c>
      <c r="AJ574" s="10">
        <f>IF($X574=1,LOOKUP(AI574,'Udvaskning nøgletal'!$C$12:$C$62,'Udvaskning nøgletal'!$E$12:$E$62)+Markniveau!$Y574*Markniveau!$S574/100,IF($X574=2,LOOKUP(AI574,'Udvaskning nøgletal'!$C$12:$C$62,'Udvaskning nøgletal'!$F$12:$F$62)+Markniveau!$Y574*Markniveau!$S574/100,IF($X574=3,LOOKUP(AI574,'Udvaskning nøgletal'!$C$12:$C$62,'Udvaskning nøgletal'!Q584:Q634)+Markniveau!$Y574*Markniveau!$S574/100,"")))</f>
        <v>101.66744640811392</v>
      </c>
      <c r="AK574" s="10">
        <f t="shared" si="89"/>
        <v>439.20336848305215</v>
      </c>
      <c r="AL574" s="10" t="str">
        <f t="shared" si="91"/>
        <v/>
      </c>
      <c r="AM574" s="10" t="str">
        <f t="shared" si="92"/>
        <v/>
      </c>
    </row>
    <row r="575" spans="1:39" x14ac:dyDescent="0.25">
      <c r="A575" s="15">
        <v>19401545</v>
      </c>
      <c r="B575" s="15">
        <v>7.58</v>
      </c>
      <c r="C575" s="15">
        <v>202003</v>
      </c>
      <c r="D575" s="15">
        <v>90864</v>
      </c>
      <c r="E575" s="15" t="s">
        <v>462</v>
      </c>
      <c r="F575" s="15">
        <v>2011</v>
      </c>
      <c r="G575" s="15">
        <v>20110418</v>
      </c>
      <c r="H575" s="15">
        <v>32246</v>
      </c>
      <c r="I575" s="15">
        <v>3.22</v>
      </c>
      <c r="J575" s="6" t="s">
        <v>31</v>
      </c>
      <c r="K575" s="15">
        <v>260</v>
      </c>
      <c r="L575" s="15" t="s">
        <v>45</v>
      </c>
      <c r="M575" s="15" t="s">
        <v>5</v>
      </c>
      <c r="N575" s="11" t="s">
        <v>1391</v>
      </c>
      <c r="O575" s="11" t="s">
        <v>46</v>
      </c>
      <c r="P575" s="11" t="s">
        <v>33</v>
      </c>
      <c r="Q575" s="15">
        <v>0</v>
      </c>
      <c r="R575" s="11" t="s">
        <v>1386</v>
      </c>
      <c r="S575" s="10">
        <v>155.04206619239</v>
      </c>
      <c r="T575" s="15">
        <v>80</v>
      </c>
      <c r="U575" s="15">
        <v>1</v>
      </c>
      <c r="V575" s="15">
        <v>1</v>
      </c>
      <c r="W575" s="15">
        <v>0</v>
      </c>
      <c r="X575" s="15">
        <f>IF(O575='Udvaskning nøgletal'!$D$65,1,IF(O575='Udvaskning nøgletal'!$D$66,2,IF(O575='Udvaskning nøgletal'!$D$67,3,IF(O575='Udvaskning nøgletal'!$D$68,2,""))))</f>
        <v>2</v>
      </c>
      <c r="Y575" s="15">
        <f>LOOKUP(K575,'Udvaskning nøgletal'!$C$12:$C$60,'Udvaskning nøgletal'!$H$12:$H$60)</f>
        <v>0</v>
      </c>
      <c r="Z575" s="10">
        <f>IF(X575=1,LOOKUP(K575,'Udvaskning nøgletal'!$C$12:$C$60,'Udvaskning nøgletal'!$E$12:$E$60)+Markniveau!Y575*Markniveau!S575/100,IF(X575=2,LOOKUP(K575,'Udvaskning nøgletal'!$C$12:$C$60,'Udvaskning nøgletal'!$F$12:$F$60)+Markniveau!Y575*Markniveau!S575/100,IF(X575=3,LOOKUP(K575,'Udvaskning nøgletal'!$C$12:$C$60,'Udvaskning nøgletal'!G585:G633)+Markniveau!Y575*Markniveau!S575/100,"")))</f>
        <v>27.331185321443094</v>
      </c>
      <c r="AA575" s="10">
        <f t="shared" si="86"/>
        <v>88.00641673504677</v>
      </c>
      <c r="AB575" s="10" t="str">
        <f t="shared" si="85"/>
        <v/>
      </c>
      <c r="AC575" s="10" t="str">
        <f t="shared" si="87"/>
        <v/>
      </c>
      <c r="AD575" s="10">
        <f>IF(AND(Q575&gt;0,Q575&lt;30,K575&lt;8),Markniveau!Z575*'Udvaskning nøgletal'!$I$12/100,IF(AND(Q575&gt;0,Q575&lt;30,K575=216),Markniveau!Z575*'Udvaskning nøgletal'!$I$34/100,Markniveau!Z575))</f>
        <v>27.331185321443094</v>
      </c>
      <c r="AE575" s="10">
        <f t="shared" si="93"/>
        <v>88.00641673504677</v>
      </c>
      <c r="AF575" s="10" t="str">
        <f t="shared" si="88"/>
        <v/>
      </c>
      <c r="AG575" s="10" t="str">
        <f t="shared" si="94"/>
        <v/>
      </c>
      <c r="AH575" s="10" t="str">
        <f>IF(AND(Q575&gt;0,Q575&lt;30,K575=216),'Udvaskning nøgletal'!$C$42,IF(AND(Q575&gt;0,Q575&lt;30,K575&gt;7,K575&lt;17),'Udvaskning nøgletal'!$C$61,IF(AND(Q575&gt;0,Q575&lt;30,K575&lt;7),'Udvaskning nøgletal'!$C$62,"")))</f>
        <v/>
      </c>
      <c r="AI575" s="10">
        <f t="shared" si="90"/>
        <v>260</v>
      </c>
      <c r="AJ575" s="10">
        <f>IF($X575=1,LOOKUP(AI575,'Udvaskning nøgletal'!$C$12:$C$62,'Udvaskning nøgletal'!$E$12:$E$62)+Markniveau!$Y575*Markniveau!$S575/100,IF($X575=2,LOOKUP(AI575,'Udvaskning nøgletal'!$C$12:$C$62,'Udvaskning nøgletal'!$F$12:$F$62)+Markniveau!$Y575*Markniveau!$S575/100,IF($X575=3,LOOKUP(AI575,'Udvaskning nøgletal'!$C$12:$C$62,'Udvaskning nøgletal'!Q585:Q635)+Markniveau!$Y575*Markniveau!$S575/100,"")))</f>
        <v>27.331185321443094</v>
      </c>
      <c r="AK575" s="10">
        <f t="shared" si="89"/>
        <v>88.00641673504677</v>
      </c>
      <c r="AL575" s="10" t="str">
        <f t="shared" si="91"/>
        <v/>
      </c>
      <c r="AM575" s="10" t="str">
        <f t="shared" si="92"/>
        <v/>
      </c>
    </row>
    <row r="576" spans="1:39" x14ac:dyDescent="0.25">
      <c r="A576" s="15">
        <v>19401545</v>
      </c>
      <c r="B576" s="15">
        <v>7.58</v>
      </c>
      <c r="C576" s="15">
        <v>202006</v>
      </c>
      <c r="D576" s="15">
        <v>90864</v>
      </c>
      <c r="E576" s="15" t="s">
        <v>462</v>
      </c>
      <c r="F576" s="15">
        <v>2011</v>
      </c>
      <c r="G576" s="15">
        <v>20110418</v>
      </c>
      <c r="H576" s="15">
        <v>40554</v>
      </c>
      <c r="I576" s="15">
        <v>4.0599999999999996</v>
      </c>
      <c r="J576" s="6" t="s">
        <v>37</v>
      </c>
      <c r="K576" s="15">
        <v>263</v>
      </c>
      <c r="L576" s="15" t="s">
        <v>39</v>
      </c>
      <c r="M576" s="15" t="s">
        <v>5</v>
      </c>
      <c r="N576" s="11" t="s">
        <v>1391</v>
      </c>
      <c r="O576" s="11" t="s">
        <v>46</v>
      </c>
      <c r="P576" s="11" t="s">
        <v>33</v>
      </c>
      <c r="Q576" s="15">
        <v>0</v>
      </c>
      <c r="R576" s="11" t="s">
        <v>1386</v>
      </c>
      <c r="S576" s="10">
        <v>155.04206619239</v>
      </c>
      <c r="T576" s="15">
        <v>80</v>
      </c>
      <c r="U576" s="15">
        <v>1</v>
      </c>
      <c r="V576" s="15">
        <v>1</v>
      </c>
      <c r="W576" s="15">
        <v>0</v>
      </c>
      <c r="X576" s="15">
        <f>IF(O576='Udvaskning nøgletal'!$D$65,1,IF(O576='Udvaskning nøgletal'!$D$66,2,IF(O576='Udvaskning nøgletal'!$D$67,3,IF(O576='Udvaskning nøgletal'!$D$68,2,""))))</f>
        <v>2</v>
      </c>
      <c r="Y576" s="15">
        <f>LOOKUP(K576,'Udvaskning nøgletal'!$C$12:$C$60,'Udvaskning nøgletal'!$H$12:$H$60)</f>
        <v>0</v>
      </c>
      <c r="Z576" s="10">
        <f>IF(X576=1,LOOKUP(K576,'Udvaskning nøgletal'!$C$12:$C$60,'Udvaskning nøgletal'!$E$12:$E$60)+Markniveau!Y576*Markniveau!S576/100,IF(X576=2,LOOKUP(K576,'Udvaskning nøgletal'!$C$12:$C$60,'Udvaskning nøgletal'!$F$12:$F$60)+Markniveau!Y576*Markniveau!S576/100,IF(X576=3,LOOKUP(K576,'Udvaskning nøgletal'!$C$12:$C$60,'Udvaskning nøgletal'!G586:G634)+Markniveau!Y576*Markniveau!S576/100,"")))</f>
        <v>27.331185321443094</v>
      </c>
      <c r="AA576" s="10">
        <f t="shared" si="86"/>
        <v>110.96461240505896</v>
      </c>
      <c r="AB576" s="10" t="str">
        <f t="shared" si="85"/>
        <v/>
      </c>
      <c r="AC576" s="10" t="str">
        <f t="shared" si="87"/>
        <v/>
      </c>
      <c r="AD576" s="10">
        <f>IF(AND(Q576&gt;0,Q576&lt;30,K576&lt;8),Markniveau!Z576*'Udvaskning nøgletal'!$I$12/100,IF(AND(Q576&gt;0,Q576&lt;30,K576=216),Markniveau!Z576*'Udvaskning nøgletal'!$I$34/100,Markniveau!Z576))</f>
        <v>27.331185321443094</v>
      </c>
      <c r="AE576" s="10">
        <f t="shared" si="93"/>
        <v>110.96461240505896</v>
      </c>
      <c r="AF576" s="10" t="str">
        <f t="shared" si="88"/>
        <v/>
      </c>
      <c r="AG576" s="10" t="str">
        <f t="shared" si="94"/>
        <v/>
      </c>
      <c r="AH576" s="10" t="str">
        <f>IF(AND(Q576&gt;0,Q576&lt;30,K576=216),'Udvaskning nøgletal'!$C$42,IF(AND(Q576&gt;0,Q576&lt;30,K576&gt;7,K576&lt;17),'Udvaskning nøgletal'!$C$61,IF(AND(Q576&gt;0,Q576&lt;30,K576&lt;7),'Udvaskning nøgletal'!$C$62,"")))</f>
        <v/>
      </c>
      <c r="AI576" s="10">
        <f t="shared" si="90"/>
        <v>263</v>
      </c>
      <c r="AJ576" s="10">
        <f>IF($X576=1,LOOKUP(AI576,'Udvaskning nøgletal'!$C$12:$C$62,'Udvaskning nøgletal'!$E$12:$E$62)+Markniveau!$Y576*Markniveau!$S576/100,IF($X576=2,LOOKUP(AI576,'Udvaskning nøgletal'!$C$12:$C$62,'Udvaskning nøgletal'!$F$12:$F$62)+Markniveau!$Y576*Markniveau!$S576/100,IF($X576=3,LOOKUP(AI576,'Udvaskning nøgletal'!$C$12:$C$62,'Udvaskning nøgletal'!Q586:Q636)+Markniveau!$Y576*Markniveau!$S576/100,"")))</f>
        <v>27.331185321443094</v>
      </c>
      <c r="AK576" s="10">
        <f t="shared" si="89"/>
        <v>110.96461240505896</v>
      </c>
      <c r="AL576" s="10" t="str">
        <f t="shared" si="91"/>
        <v/>
      </c>
      <c r="AM576" s="10" t="str">
        <f t="shared" si="92"/>
        <v/>
      </c>
    </row>
    <row r="577" spans="1:39" x14ac:dyDescent="0.25">
      <c r="A577" s="15">
        <v>19401545</v>
      </c>
      <c r="B577" s="15">
        <v>7.58</v>
      </c>
      <c r="C577" s="15">
        <v>203029</v>
      </c>
      <c r="D577" s="15">
        <v>90864</v>
      </c>
      <c r="E577" s="15" t="s">
        <v>462</v>
      </c>
      <c r="F577" s="15">
        <v>2011</v>
      </c>
      <c r="G577" s="15">
        <v>20110418</v>
      </c>
      <c r="H577" s="15">
        <v>132891</v>
      </c>
      <c r="I577" s="15">
        <v>13.29</v>
      </c>
      <c r="J577" s="6" t="s">
        <v>34</v>
      </c>
      <c r="K577" s="15">
        <v>260</v>
      </c>
      <c r="L577" s="15" t="s">
        <v>45</v>
      </c>
      <c r="M577" s="15" t="s">
        <v>5</v>
      </c>
      <c r="N577" s="11" t="s">
        <v>1391</v>
      </c>
      <c r="O577" s="11" t="s">
        <v>46</v>
      </c>
      <c r="P577" s="11" t="s">
        <v>33</v>
      </c>
      <c r="Q577" s="15">
        <v>0</v>
      </c>
      <c r="R577" s="11" t="s">
        <v>1386</v>
      </c>
      <c r="S577" s="10">
        <v>155.04206619239</v>
      </c>
      <c r="T577" s="15">
        <v>80</v>
      </c>
      <c r="U577" s="15">
        <v>1</v>
      </c>
      <c r="V577" s="15">
        <v>1</v>
      </c>
      <c r="W577" s="15">
        <v>0</v>
      </c>
      <c r="X577" s="15">
        <f>IF(O577='Udvaskning nøgletal'!$D$65,1,IF(O577='Udvaskning nøgletal'!$D$66,2,IF(O577='Udvaskning nøgletal'!$D$67,3,IF(O577='Udvaskning nøgletal'!$D$68,2,""))))</f>
        <v>2</v>
      </c>
      <c r="Y577" s="15">
        <f>LOOKUP(K577,'Udvaskning nøgletal'!$C$12:$C$60,'Udvaskning nøgletal'!$H$12:$H$60)</f>
        <v>0</v>
      </c>
      <c r="Z577" s="10">
        <f>IF(X577=1,LOOKUP(K577,'Udvaskning nøgletal'!$C$12:$C$60,'Udvaskning nøgletal'!$E$12:$E$60)+Markniveau!Y577*Markniveau!S577/100,IF(X577=2,LOOKUP(K577,'Udvaskning nøgletal'!$C$12:$C$60,'Udvaskning nøgletal'!$F$12:$F$60)+Markniveau!Y577*Markniveau!S577/100,IF(X577=3,LOOKUP(K577,'Udvaskning nøgletal'!$C$12:$C$60,'Udvaskning nøgletal'!G587:G635)+Markniveau!Y577*Markniveau!S577/100,"")))</f>
        <v>27.331185321443094</v>
      </c>
      <c r="AA577" s="10">
        <f t="shared" si="86"/>
        <v>363.2314529219787</v>
      </c>
      <c r="AB577" s="10" t="str">
        <f t="shared" si="85"/>
        <v/>
      </c>
      <c r="AC577" s="10" t="str">
        <f t="shared" si="87"/>
        <v/>
      </c>
      <c r="AD577" s="10">
        <f>IF(AND(Q577&gt;0,Q577&lt;30,K577&lt;8),Markniveau!Z577*'Udvaskning nøgletal'!$I$12/100,IF(AND(Q577&gt;0,Q577&lt;30,K577=216),Markniveau!Z577*'Udvaskning nøgletal'!$I$34/100,Markniveau!Z577))</f>
        <v>27.331185321443094</v>
      </c>
      <c r="AE577" s="10">
        <f t="shared" si="93"/>
        <v>363.2314529219787</v>
      </c>
      <c r="AF577" s="10" t="str">
        <f t="shared" si="88"/>
        <v/>
      </c>
      <c r="AG577" s="10" t="str">
        <f t="shared" si="94"/>
        <v/>
      </c>
      <c r="AH577" s="10" t="str">
        <f>IF(AND(Q577&gt;0,Q577&lt;30,K577=216),'Udvaskning nøgletal'!$C$42,IF(AND(Q577&gt;0,Q577&lt;30,K577&gt;7,K577&lt;17),'Udvaskning nøgletal'!$C$61,IF(AND(Q577&gt;0,Q577&lt;30,K577&lt;7),'Udvaskning nøgletal'!$C$62,"")))</f>
        <v/>
      </c>
      <c r="AI577" s="10">
        <f t="shared" si="90"/>
        <v>260</v>
      </c>
      <c r="AJ577" s="10">
        <f>IF($X577=1,LOOKUP(AI577,'Udvaskning nøgletal'!$C$12:$C$62,'Udvaskning nøgletal'!$E$12:$E$62)+Markniveau!$Y577*Markniveau!$S577/100,IF($X577=2,LOOKUP(AI577,'Udvaskning nøgletal'!$C$12:$C$62,'Udvaskning nøgletal'!$F$12:$F$62)+Markniveau!$Y577*Markniveau!$S577/100,IF($X577=3,LOOKUP(AI577,'Udvaskning nøgletal'!$C$12:$C$62,'Udvaskning nøgletal'!Q587:Q637)+Markniveau!$Y577*Markniveau!$S577/100,"")))</f>
        <v>27.331185321443094</v>
      </c>
      <c r="AK577" s="10">
        <f t="shared" si="89"/>
        <v>363.2314529219787</v>
      </c>
      <c r="AL577" s="10" t="str">
        <f t="shared" si="91"/>
        <v/>
      </c>
      <c r="AM577" s="10" t="str">
        <f t="shared" si="92"/>
        <v/>
      </c>
    </row>
    <row r="578" spans="1:39" x14ac:dyDescent="0.25">
      <c r="A578" s="15">
        <v>19401545</v>
      </c>
      <c r="B578" s="15">
        <v>7.58</v>
      </c>
      <c r="C578" s="15">
        <v>204073</v>
      </c>
      <c r="D578" s="15">
        <v>90864</v>
      </c>
      <c r="E578" s="15" t="s">
        <v>462</v>
      </c>
      <c r="F578" s="15">
        <v>2011</v>
      </c>
      <c r="G578" s="15">
        <v>20110418</v>
      </c>
      <c r="H578" s="15">
        <v>152845</v>
      </c>
      <c r="I578" s="15">
        <v>15.28</v>
      </c>
      <c r="J578" s="6" t="s">
        <v>74</v>
      </c>
      <c r="K578" s="15">
        <v>214</v>
      </c>
      <c r="L578" s="15" t="s">
        <v>56</v>
      </c>
      <c r="M578" s="15" t="s">
        <v>5</v>
      </c>
      <c r="N578" s="11" t="s">
        <v>1384</v>
      </c>
      <c r="O578" s="11" t="s">
        <v>28</v>
      </c>
      <c r="P578" s="11" t="s">
        <v>33</v>
      </c>
      <c r="Q578" s="15">
        <v>0</v>
      </c>
      <c r="R578" s="11" t="s">
        <v>1386</v>
      </c>
      <c r="S578" s="10">
        <v>155.04206619239</v>
      </c>
      <c r="T578" s="15">
        <v>80</v>
      </c>
      <c r="U578" s="15">
        <v>1</v>
      </c>
      <c r="V578" s="15">
        <v>1</v>
      </c>
      <c r="W578" s="15">
        <v>0</v>
      </c>
      <c r="X578" s="15">
        <f>IF(O578='Udvaskning nøgletal'!$D$65,1,IF(O578='Udvaskning nøgletal'!$D$66,2,IF(O578='Udvaskning nøgletal'!$D$67,3,IF(O578='Udvaskning nøgletal'!$D$68,2,""))))</f>
        <v>1</v>
      </c>
      <c r="Y578" s="15">
        <f>LOOKUP(K578,'Udvaskning nøgletal'!$C$12:$C$60,'Udvaskning nøgletal'!$H$12:$H$60)</f>
        <v>0</v>
      </c>
      <c r="Z578" s="10">
        <f>IF(X578=1,LOOKUP(K578,'Udvaskning nøgletal'!$C$12:$C$60,'Udvaskning nøgletal'!$E$12:$E$60)+Markniveau!Y578*Markniveau!S578/100,IF(X578=2,LOOKUP(K578,'Udvaskning nøgletal'!$C$12:$C$60,'Udvaskning nøgletal'!$F$12:$F$60)+Markniveau!Y578*Markniveau!S578/100,IF(X578=3,LOOKUP(K578,'Udvaskning nøgletal'!$C$12:$C$60,'Udvaskning nøgletal'!G588:G636)+Markniveau!Y578*Markniveau!S578/100,"")))</f>
        <v>38.620385460262987</v>
      </c>
      <c r="AA578" s="10">
        <f t="shared" si="86"/>
        <v>590.11948983281843</v>
      </c>
      <c r="AB578" s="10" t="str">
        <f t="shared" ref="AB578:AB641" si="95">IF(Q578&gt;0,(100-Q578)*Z578/100,"")</f>
        <v/>
      </c>
      <c r="AC578" s="10" t="str">
        <f t="shared" si="87"/>
        <v/>
      </c>
      <c r="AD578" s="10">
        <f>IF(AND(Q578&gt;0,Q578&lt;30,K578&lt;8),Markniveau!Z578*'Udvaskning nøgletal'!$I$12/100,IF(AND(Q578&gt;0,Q578&lt;30,K578=216),Markniveau!Z578*'Udvaskning nøgletal'!$I$34/100,Markniveau!Z578))</f>
        <v>38.620385460262987</v>
      </c>
      <c r="AE578" s="10">
        <f t="shared" si="93"/>
        <v>590.11948983281843</v>
      </c>
      <c r="AF578" s="10" t="str">
        <f t="shared" si="88"/>
        <v/>
      </c>
      <c r="AG578" s="10" t="str">
        <f t="shared" si="94"/>
        <v/>
      </c>
      <c r="AH578" s="10" t="str">
        <f>IF(AND(Q578&gt;0,Q578&lt;30,K578=216),'Udvaskning nøgletal'!$C$42,IF(AND(Q578&gt;0,Q578&lt;30,K578&gt;7,K578&lt;17),'Udvaskning nøgletal'!$C$61,IF(AND(Q578&gt;0,Q578&lt;30,K578&lt;7),'Udvaskning nøgletal'!$C$62,"")))</f>
        <v/>
      </c>
      <c r="AI578" s="10">
        <f t="shared" si="90"/>
        <v>214</v>
      </c>
      <c r="AJ578" s="10">
        <f>IF($X578=1,LOOKUP(AI578,'Udvaskning nøgletal'!$C$12:$C$62,'Udvaskning nøgletal'!$E$12:$E$62)+Markniveau!$Y578*Markniveau!$S578/100,IF($X578=2,LOOKUP(AI578,'Udvaskning nøgletal'!$C$12:$C$62,'Udvaskning nøgletal'!$F$12:$F$62)+Markniveau!$Y578*Markniveau!$S578/100,IF($X578=3,LOOKUP(AI578,'Udvaskning nøgletal'!$C$12:$C$62,'Udvaskning nøgletal'!Q588:Q638)+Markniveau!$Y578*Markniveau!$S578/100,"")))</f>
        <v>38.620385460262987</v>
      </c>
      <c r="AK578" s="10">
        <f t="shared" si="89"/>
        <v>590.11948983281843</v>
      </c>
      <c r="AL578" s="10" t="str">
        <f t="shared" si="91"/>
        <v/>
      </c>
      <c r="AM578" s="10" t="str">
        <f t="shared" si="92"/>
        <v/>
      </c>
    </row>
    <row r="579" spans="1:39" x14ac:dyDescent="0.25">
      <c r="A579" s="15">
        <v>19401545</v>
      </c>
      <c r="B579" s="15">
        <v>7.58</v>
      </c>
      <c r="C579" s="15">
        <v>204078</v>
      </c>
      <c r="D579" s="15">
        <v>90864</v>
      </c>
      <c r="E579" s="15" t="s">
        <v>462</v>
      </c>
      <c r="F579" s="15">
        <v>2011</v>
      </c>
      <c r="G579" s="15">
        <v>20110418</v>
      </c>
      <c r="H579" s="15">
        <v>210151</v>
      </c>
      <c r="I579" s="15">
        <v>21.02</v>
      </c>
      <c r="J579" s="6" t="s">
        <v>69</v>
      </c>
      <c r="K579" s="15">
        <v>260</v>
      </c>
      <c r="L579" s="15" t="s">
        <v>45</v>
      </c>
      <c r="M579" s="15" t="s">
        <v>5</v>
      </c>
      <c r="N579" s="11" t="s">
        <v>1391</v>
      </c>
      <c r="O579" s="11" t="s">
        <v>46</v>
      </c>
      <c r="P579" s="11" t="s">
        <v>33</v>
      </c>
      <c r="Q579" s="15">
        <v>0</v>
      </c>
      <c r="R579" s="11" t="s">
        <v>1386</v>
      </c>
      <c r="S579" s="10">
        <v>155.04206619239</v>
      </c>
      <c r="T579" s="15">
        <v>80</v>
      </c>
      <c r="U579" s="15">
        <v>1</v>
      </c>
      <c r="V579" s="15">
        <v>1</v>
      </c>
      <c r="W579" s="15">
        <v>0</v>
      </c>
      <c r="X579" s="15">
        <f>IF(O579='Udvaskning nøgletal'!$D$65,1,IF(O579='Udvaskning nøgletal'!$D$66,2,IF(O579='Udvaskning nøgletal'!$D$67,3,IF(O579='Udvaskning nøgletal'!$D$68,2,""))))</f>
        <v>2</v>
      </c>
      <c r="Y579" s="15">
        <f>LOOKUP(K579,'Udvaskning nøgletal'!$C$12:$C$60,'Udvaskning nøgletal'!$H$12:$H$60)</f>
        <v>0</v>
      </c>
      <c r="Z579" s="10">
        <f>IF(X579=1,LOOKUP(K579,'Udvaskning nøgletal'!$C$12:$C$60,'Udvaskning nøgletal'!$E$12:$E$60)+Markniveau!Y579*Markniveau!S579/100,IF(X579=2,LOOKUP(K579,'Udvaskning nøgletal'!$C$12:$C$60,'Udvaskning nøgletal'!$F$12:$F$60)+Markniveau!Y579*Markniveau!S579/100,IF(X579=3,LOOKUP(K579,'Udvaskning nøgletal'!$C$12:$C$60,'Udvaskning nøgletal'!G589:G637)+Markniveau!Y579*Markniveau!S579/100,"")))</f>
        <v>27.331185321443094</v>
      </c>
      <c r="AA579" s="10">
        <f t="shared" ref="AA579:AA642" si="96">Z579*I579</f>
        <v>574.50151545673384</v>
      </c>
      <c r="AB579" s="10" t="str">
        <f t="shared" si="95"/>
        <v/>
      </c>
      <c r="AC579" s="10" t="str">
        <f t="shared" ref="AC579:AC642" si="97">IF(Q579&gt;0,AB579*I579,"")</f>
        <v/>
      </c>
      <c r="AD579" s="10">
        <f>IF(AND(Q579&gt;0,Q579&lt;30,K579&lt;8),Markniveau!Z579*'Udvaskning nøgletal'!$I$12/100,IF(AND(Q579&gt;0,Q579&lt;30,K579=216),Markniveau!Z579*'Udvaskning nøgletal'!$I$34/100,Markniveau!Z579))</f>
        <v>27.331185321443094</v>
      </c>
      <c r="AE579" s="10">
        <f t="shared" si="93"/>
        <v>574.50151545673384</v>
      </c>
      <c r="AF579" s="10" t="str">
        <f t="shared" ref="AF579:AF642" si="98">IF($Q579&gt;0,(100-$Q579)*$AD579/100,"")</f>
        <v/>
      </c>
      <c r="AG579" s="10" t="str">
        <f t="shared" si="94"/>
        <v/>
      </c>
      <c r="AH579" s="10" t="str">
        <f>IF(AND(Q579&gt;0,Q579&lt;30,K579=216),'Udvaskning nøgletal'!$C$42,IF(AND(Q579&gt;0,Q579&lt;30,K579&gt;7,K579&lt;17),'Udvaskning nøgletal'!$C$61,IF(AND(Q579&gt;0,Q579&lt;30,K579&lt;7),'Udvaskning nøgletal'!$C$62,"")))</f>
        <v/>
      </c>
      <c r="AI579" s="10">
        <f t="shared" si="90"/>
        <v>260</v>
      </c>
      <c r="AJ579" s="10">
        <f>IF($X579=1,LOOKUP(AI579,'Udvaskning nøgletal'!$C$12:$C$62,'Udvaskning nøgletal'!$E$12:$E$62)+Markniveau!$Y579*Markniveau!$S579/100,IF($X579=2,LOOKUP(AI579,'Udvaskning nøgletal'!$C$12:$C$62,'Udvaskning nøgletal'!$F$12:$F$62)+Markniveau!$Y579*Markniveau!$S579/100,IF($X579=3,LOOKUP(AI579,'Udvaskning nøgletal'!$C$12:$C$62,'Udvaskning nøgletal'!Q589:Q639)+Markniveau!$Y579*Markniveau!$S579/100,"")))</f>
        <v>27.331185321443094</v>
      </c>
      <c r="AK579" s="10">
        <f t="shared" ref="AK579:AK642" si="99">AJ579*$I579</f>
        <v>574.50151545673384</v>
      </c>
      <c r="AL579" s="10" t="str">
        <f t="shared" si="91"/>
        <v/>
      </c>
      <c r="AM579" s="10" t="str">
        <f t="shared" si="92"/>
        <v/>
      </c>
    </row>
    <row r="580" spans="1:39" x14ac:dyDescent="0.25">
      <c r="A580" s="15">
        <v>19401545</v>
      </c>
      <c r="B580" s="15">
        <v>7.58</v>
      </c>
      <c r="C580" s="15">
        <v>204566</v>
      </c>
      <c r="D580" s="15">
        <v>90864</v>
      </c>
      <c r="E580" s="15" t="s">
        <v>463</v>
      </c>
      <c r="F580" s="15">
        <v>2011</v>
      </c>
      <c r="G580" s="15">
        <v>20110418</v>
      </c>
      <c r="H580" s="15">
        <v>28631</v>
      </c>
      <c r="I580" s="15">
        <v>2.86</v>
      </c>
      <c r="J580" s="6" t="s">
        <v>125</v>
      </c>
      <c r="K580" s="15">
        <v>260</v>
      </c>
      <c r="L580" s="15" t="s">
        <v>45</v>
      </c>
      <c r="M580" s="15" t="s">
        <v>5</v>
      </c>
      <c r="N580" s="11" t="s">
        <v>1384</v>
      </c>
      <c r="O580" s="11" t="s">
        <v>28</v>
      </c>
      <c r="P580" s="11" t="s">
        <v>33</v>
      </c>
      <c r="Q580" s="15">
        <v>0</v>
      </c>
      <c r="R580" s="11" t="s">
        <v>1386</v>
      </c>
      <c r="S580" s="10">
        <v>155.04206619239</v>
      </c>
      <c r="T580" s="15">
        <v>80</v>
      </c>
      <c r="U580" s="15">
        <v>1</v>
      </c>
      <c r="V580" s="15">
        <v>1</v>
      </c>
      <c r="W580" s="15">
        <v>0</v>
      </c>
      <c r="X580" s="15">
        <f>IF(O580='Udvaskning nøgletal'!$D$65,1,IF(O580='Udvaskning nøgletal'!$D$66,2,IF(O580='Udvaskning nøgletal'!$D$67,3,IF(O580='Udvaskning nøgletal'!$D$68,2,""))))</f>
        <v>1</v>
      </c>
      <c r="Y580" s="15">
        <f>LOOKUP(K580,'Udvaskning nøgletal'!$C$12:$C$60,'Udvaskning nøgletal'!$H$12:$H$60)</f>
        <v>0</v>
      </c>
      <c r="Z580" s="10">
        <f>IF(X580=1,LOOKUP(K580,'Udvaskning nøgletal'!$C$12:$C$60,'Udvaskning nøgletal'!$E$12:$E$60)+Markniveau!Y580*Markniveau!S580/100,IF(X580=2,LOOKUP(K580,'Udvaskning nøgletal'!$C$12:$C$60,'Udvaskning nøgletal'!$F$12:$F$60)+Markniveau!Y580*Markniveau!S580/100,IF(X580=3,LOOKUP(K580,'Udvaskning nøgletal'!$C$12:$C$60,'Udvaskning nøgletal'!G590:G638)+Markniveau!Y580*Markniveau!S580/100,"")))</f>
        <v>33.723295792149436</v>
      </c>
      <c r="AA580" s="10">
        <f t="shared" si="96"/>
        <v>96.448625965547379</v>
      </c>
      <c r="AB580" s="10" t="str">
        <f t="shared" si="95"/>
        <v/>
      </c>
      <c r="AC580" s="10" t="str">
        <f t="shared" si="97"/>
        <v/>
      </c>
      <c r="AD580" s="10">
        <f>IF(AND(Q580&gt;0,Q580&lt;30,K580&lt;8),Markniveau!Z580*'Udvaskning nøgletal'!$I$12/100,IF(AND(Q580&gt;0,Q580&lt;30,K580=216),Markniveau!Z580*'Udvaskning nøgletal'!$I$34/100,Markniveau!Z580))</f>
        <v>33.723295792149436</v>
      </c>
      <c r="AE580" s="10">
        <f t="shared" si="93"/>
        <v>96.448625965547379</v>
      </c>
      <c r="AF580" s="10" t="str">
        <f t="shared" si="98"/>
        <v/>
      </c>
      <c r="AG580" s="10" t="str">
        <f t="shared" si="94"/>
        <v/>
      </c>
      <c r="AH580" s="10" t="str">
        <f>IF(AND(Q580&gt;0,Q580&lt;30,K580=216),'Udvaskning nøgletal'!$C$42,IF(AND(Q580&gt;0,Q580&lt;30,K580&gt;7,K580&lt;17),'Udvaskning nøgletal'!$C$61,IF(AND(Q580&gt;0,Q580&lt;30,K580&lt;7),'Udvaskning nøgletal'!$C$62,"")))</f>
        <v/>
      </c>
      <c r="AI580" s="10">
        <f t="shared" si="90"/>
        <v>260</v>
      </c>
      <c r="AJ580" s="10">
        <f>IF($X580=1,LOOKUP(AI580,'Udvaskning nøgletal'!$C$12:$C$62,'Udvaskning nøgletal'!$E$12:$E$62)+Markniveau!$Y580*Markniveau!$S580/100,IF($X580=2,LOOKUP(AI580,'Udvaskning nøgletal'!$C$12:$C$62,'Udvaskning nøgletal'!$F$12:$F$62)+Markniveau!$Y580*Markniveau!$S580/100,IF($X580=3,LOOKUP(AI580,'Udvaskning nøgletal'!$C$12:$C$62,'Udvaskning nøgletal'!Q590:Q640)+Markniveau!$Y580*Markniveau!$S580/100,"")))</f>
        <v>33.723295792149436</v>
      </c>
      <c r="AK580" s="10">
        <f t="shared" si="99"/>
        <v>96.448625965547379</v>
      </c>
      <c r="AL580" s="10" t="str">
        <f t="shared" si="91"/>
        <v/>
      </c>
      <c r="AM580" s="10" t="str">
        <f t="shared" si="92"/>
        <v/>
      </c>
    </row>
    <row r="581" spans="1:39" x14ac:dyDescent="0.25">
      <c r="A581" s="15">
        <v>19401545</v>
      </c>
      <c r="B581" s="15">
        <v>7.58</v>
      </c>
      <c r="C581" s="15">
        <v>204567</v>
      </c>
      <c r="D581" s="15">
        <v>90864</v>
      </c>
      <c r="E581" s="15" t="s">
        <v>464</v>
      </c>
      <c r="F581" s="15">
        <v>2011</v>
      </c>
      <c r="G581" s="15">
        <v>20110418</v>
      </c>
      <c r="H581" s="15">
        <v>102044</v>
      </c>
      <c r="I581" s="15">
        <v>10.199999999999999</v>
      </c>
      <c r="J581" s="6" t="s">
        <v>75</v>
      </c>
      <c r="K581" s="15">
        <v>216</v>
      </c>
      <c r="L581" s="15" t="s">
        <v>116</v>
      </c>
      <c r="M581" s="15" t="s">
        <v>5</v>
      </c>
      <c r="N581" s="11" t="s">
        <v>1384</v>
      </c>
      <c r="O581" s="11" t="s">
        <v>28</v>
      </c>
      <c r="P581" s="11" t="s">
        <v>33</v>
      </c>
      <c r="Q581" s="15">
        <v>0</v>
      </c>
      <c r="R581" s="11" t="s">
        <v>1386</v>
      </c>
      <c r="S581" s="10">
        <v>155.04206619239</v>
      </c>
      <c r="T581" s="15">
        <v>80</v>
      </c>
      <c r="U581" s="15">
        <v>1</v>
      </c>
      <c r="V581" s="15">
        <v>1</v>
      </c>
      <c r="W581" s="15">
        <v>0</v>
      </c>
      <c r="X581" s="15">
        <f>IF(O581='Udvaskning nøgletal'!$D$65,1,IF(O581='Udvaskning nøgletal'!$D$66,2,IF(O581='Udvaskning nøgletal'!$D$67,3,IF(O581='Udvaskning nøgletal'!$D$68,2,""))))</f>
        <v>1</v>
      </c>
      <c r="Y581" s="15">
        <f>LOOKUP(K581,'Udvaskning nøgletal'!$C$12:$C$60,'Udvaskning nøgletal'!$H$12:$H$60)</f>
        <v>0</v>
      </c>
      <c r="Z581" s="10">
        <f>IF(X581=1,LOOKUP(K581,'Udvaskning nøgletal'!$C$12:$C$60,'Udvaskning nøgletal'!$E$12:$E$60)+Markniveau!Y581*Markniveau!S581/100,IF(X581=2,LOOKUP(K581,'Udvaskning nøgletal'!$C$12:$C$60,'Udvaskning nøgletal'!$F$12:$F$60)+Markniveau!Y581*Markniveau!S581/100,IF(X581=3,LOOKUP(K581,'Udvaskning nøgletal'!$C$12:$C$60,'Udvaskning nøgletal'!G591:G639)+Markniveau!Y581*Markniveau!S581/100,"")))</f>
        <v>125.85383557148924</v>
      </c>
      <c r="AA581" s="10">
        <f t="shared" si="96"/>
        <v>1283.7091228291902</v>
      </c>
      <c r="AB581" s="10" t="str">
        <f t="shared" si="95"/>
        <v/>
      </c>
      <c r="AC581" s="10" t="str">
        <f t="shared" si="97"/>
        <v/>
      </c>
      <c r="AD581" s="10">
        <f>IF(AND(Q581&gt;0,Q581&lt;30,K581&lt;8),Markniveau!Z581*'Udvaskning nøgletal'!$I$12/100,IF(AND(Q581&gt;0,Q581&lt;30,K581=216),Markniveau!Z581*'Udvaskning nøgletal'!$I$34/100,Markniveau!Z581))</f>
        <v>125.85383557148924</v>
      </c>
      <c r="AE581" s="10">
        <f t="shared" si="93"/>
        <v>1283.7091228291902</v>
      </c>
      <c r="AF581" s="10" t="str">
        <f t="shared" si="98"/>
        <v/>
      </c>
      <c r="AG581" s="10" t="str">
        <f t="shared" si="94"/>
        <v/>
      </c>
      <c r="AH581" s="10" t="str">
        <f>IF(AND(Q581&gt;0,Q581&lt;30,K581=216),'Udvaskning nøgletal'!$C$42,IF(AND(Q581&gt;0,Q581&lt;30,K581&gt;7,K581&lt;17),'Udvaskning nøgletal'!$C$61,IF(AND(Q581&gt;0,Q581&lt;30,K581&lt;7),'Udvaskning nøgletal'!$C$62,"")))</f>
        <v/>
      </c>
      <c r="AI581" s="10">
        <f t="shared" si="90"/>
        <v>216</v>
      </c>
      <c r="AJ581" s="10">
        <f>IF($X581=1,LOOKUP(AI581,'Udvaskning nøgletal'!$C$12:$C$62,'Udvaskning nøgletal'!$E$12:$E$62)+Markniveau!$Y581*Markniveau!$S581/100,IF($X581=2,LOOKUP(AI581,'Udvaskning nøgletal'!$C$12:$C$62,'Udvaskning nøgletal'!$F$12:$F$62)+Markniveau!$Y581*Markniveau!$S581/100,IF($X581=3,LOOKUP(AI581,'Udvaskning nøgletal'!$C$12:$C$62,'Udvaskning nøgletal'!Q591:Q641)+Markniveau!$Y581*Markniveau!$S581/100,"")))</f>
        <v>125.85383557148924</v>
      </c>
      <c r="AK581" s="10">
        <f t="shared" si="99"/>
        <v>1283.7091228291902</v>
      </c>
      <c r="AL581" s="10" t="str">
        <f t="shared" si="91"/>
        <v/>
      </c>
      <c r="AM581" s="10" t="str">
        <f t="shared" si="92"/>
        <v/>
      </c>
    </row>
    <row r="582" spans="1:39" x14ac:dyDescent="0.25">
      <c r="A582" s="15">
        <v>19401545</v>
      </c>
      <c r="B582" s="15">
        <v>7.58</v>
      </c>
      <c r="C582" s="15">
        <v>204568</v>
      </c>
      <c r="D582" s="15">
        <v>90864</v>
      </c>
      <c r="E582" s="15" t="s">
        <v>465</v>
      </c>
      <c r="F582" s="15">
        <v>2011</v>
      </c>
      <c r="G582" s="15">
        <v>20110418</v>
      </c>
      <c r="H582" s="15">
        <v>51523</v>
      </c>
      <c r="I582" s="15">
        <v>5.15</v>
      </c>
      <c r="J582" s="6" t="s">
        <v>63</v>
      </c>
      <c r="K582" s="15">
        <v>214</v>
      </c>
      <c r="L582" s="15" t="s">
        <v>56</v>
      </c>
      <c r="M582" s="15" t="s">
        <v>5</v>
      </c>
      <c r="N582" s="11" t="s">
        <v>1384</v>
      </c>
      <c r="O582" s="11" t="s">
        <v>28</v>
      </c>
      <c r="P582" s="11" t="s">
        <v>33</v>
      </c>
      <c r="Q582" s="15">
        <v>0</v>
      </c>
      <c r="R582" s="11" t="s">
        <v>1386</v>
      </c>
      <c r="S582" s="10">
        <v>155.04206619239</v>
      </c>
      <c r="T582" s="15">
        <v>80</v>
      </c>
      <c r="U582" s="15">
        <v>1</v>
      </c>
      <c r="V582" s="15">
        <v>1</v>
      </c>
      <c r="W582" s="15">
        <v>0</v>
      </c>
      <c r="X582" s="15">
        <f>IF(O582='Udvaskning nøgletal'!$D$65,1,IF(O582='Udvaskning nøgletal'!$D$66,2,IF(O582='Udvaskning nøgletal'!$D$67,3,IF(O582='Udvaskning nøgletal'!$D$68,2,""))))</f>
        <v>1</v>
      </c>
      <c r="Y582" s="15">
        <f>LOOKUP(K582,'Udvaskning nøgletal'!$C$12:$C$60,'Udvaskning nøgletal'!$H$12:$H$60)</f>
        <v>0</v>
      </c>
      <c r="Z582" s="10">
        <f>IF(X582=1,LOOKUP(K582,'Udvaskning nøgletal'!$C$12:$C$60,'Udvaskning nøgletal'!$E$12:$E$60)+Markniveau!Y582*Markniveau!S582/100,IF(X582=2,LOOKUP(K582,'Udvaskning nøgletal'!$C$12:$C$60,'Udvaskning nøgletal'!$F$12:$F$60)+Markniveau!Y582*Markniveau!S582/100,IF(X582=3,LOOKUP(K582,'Udvaskning nøgletal'!$C$12:$C$60,'Udvaskning nøgletal'!G592:G640)+Markniveau!Y582*Markniveau!S582/100,"")))</f>
        <v>38.620385460262987</v>
      </c>
      <c r="AA582" s="10">
        <f t="shared" si="96"/>
        <v>198.89498512035439</v>
      </c>
      <c r="AB582" s="10" t="str">
        <f t="shared" si="95"/>
        <v/>
      </c>
      <c r="AC582" s="10" t="str">
        <f t="shared" si="97"/>
        <v/>
      </c>
      <c r="AD582" s="10">
        <f>IF(AND(Q582&gt;0,Q582&lt;30,K582&lt;8),Markniveau!Z582*'Udvaskning nøgletal'!$I$12/100,IF(AND(Q582&gt;0,Q582&lt;30,K582=216),Markniveau!Z582*'Udvaskning nøgletal'!$I$34/100,Markniveau!Z582))</f>
        <v>38.620385460262987</v>
      </c>
      <c r="AE582" s="10">
        <f t="shared" si="93"/>
        <v>198.89498512035439</v>
      </c>
      <c r="AF582" s="10" t="str">
        <f t="shared" si="98"/>
        <v/>
      </c>
      <c r="AG582" s="10" t="str">
        <f t="shared" si="94"/>
        <v/>
      </c>
      <c r="AH582" s="10" t="str">
        <f>IF(AND(Q582&gt;0,Q582&lt;30,K582=216),'Udvaskning nøgletal'!$C$42,IF(AND(Q582&gt;0,Q582&lt;30,K582&gt;7,K582&lt;17),'Udvaskning nøgletal'!$C$61,IF(AND(Q582&gt;0,Q582&lt;30,K582&lt;7),'Udvaskning nøgletal'!$C$62,"")))</f>
        <v/>
      </c>
      <c r="AI582" s="10">
        <f t="shared" si="90"/>
        <v>214</v>
      </c>
      <c r="AJ582" s="10">
        <f>IF($X582=1,LOOKUP(AI582,'Udvaskning nøgletal'!$C$12:$C$62,'Udvaskning nøgletal'!$E$12:$E$62)+Markniveau!$Y582*Markniveau!$S582/100,IF($X582=2,LOOKUP(AI582,'Udvaskning nøgletal'!$C$12:$C$62,'Udvaskning nøgletal'!$F$12:$F$62)+Markniveau!$Y582*Markniveau!$S582/100,IF($X582=3,LOOKUP(AI582,'Udvaskning nøgletal'!$C$12:$C$62,'Udvaskning nøgletal'!Q592:Q642)+Markniveau!$Y582*Markniveau!$S582/100,"")))</f>
        <v>38.620385460262987</v>
      </c>
      <c r="AK582" s="10">
        <f t="shared" si="99"/>
        <v>198.89498512035439</v>
      </c>
      <c r="AL582" s="10" t="str">
        <f t="shared" si="91"/>
        <v/>
      </c>
      <c r="AM582" s="10" t="str">
        <f t="shared" si="92"/>
        <v/>
      </c>
    </row>
    <row r="583" spans="1:39" x14ac:dyDescent="0.25">
      <c r="A583" s="15">
        <v>19401545</v>
      </c>
      <c r="B583" s="15">
        <v>7.58</v>
      </c>
      <c r="C583" s="15">
        <v>204569</v>
      </c>
      <c r="D583" s="15">
        <v>90864</v>
      </c>
      <c r="E583" s="15" t="s">
        <v>466</v>
      </c>
      <c r="F583" s="15">
        <v>2011</v>
      </c>
      <c r="G583" s="15">
        <v>20110418</v>
      </c>
      <c r="H583" s="15">
        <v>101561</v>
      </c>
      <c r="I583" s="15">
        <v>10.16</v>
      </c>
      <c r="J583" s="6" t="s">
        <v>60</v>
      </c>
      <c r="K583" s="15">
        <v>216</v>
      </c>
      <c r="L583" s="15" t="s">
        <v>116</v>
      </c>
      <c r="M583" s="15" t="s">
        <v>5</v>
      </c>
      <c r="N583" s="11" t="s">
        <v>1384</v>
      </c>
      <c r="O583" s="11" t="s">
        <v>28</v>
      </c>
      <c r="P583" s="11" t="s">
        <v>33</v>
      </c>
      <c r="Q583" s="15">
        <v>0</v>
      </c>
      <c r="R583" s="11" t="s">
        <v>1386</v>
      </c>
      <c r="S583" s="10">
        <v>155.04206619239</v>
      </c>
      <c r="T583" s="15">
        <v>80</v>
      </c>
      <c r="U583" s="15">
        <v>1</v>
      </c>
      <c r="V583" s="15">
        <v>1</v>
      </c>
      <c r="W583" s="15">
        <v>0</v>
      </c>
      <c r="X583" s="15">
        <f>IF(O583='Udvaskning nøgletal'!$D$65,1,IF(O583='Udvaskning nøgletal'!$D$66,2,IF(O583='Udvaskning nøgletal'!$D$67,3,IF(O583='Udvaskning nøgletal'!$D$68,2,""))))</f>
        <v>1</v>
      </c>
      <c r="Y583" s="15">
        <f>LOOKUP(K583,'Udvaskning nøgletal'!$C$12:$C$60,'Udvaskning nøgletal'!$H$12:$H$60)</f>
        <v>0</v>
      </c>
      <c r="Z583" s="10">
        <f>IF(X583=1,LOOKUP(K583,'Udvaskning nøgletal'!$C$12:$C$60,'Udvaskning nøgletal'!$E$12:$E$60)+Markniveau!Y583*Markniveau!S583/100,IF(X583=2,LOOKUP(K583,'Udvaskning nøgletal'!$C$12:$C$60,'Udvaskning nøgletal'!$F$12:$F$60)+Markniveau!Y583*Markniveau!S583/100,IF(X583=3,LOOKUP(K583,'Udvaskning nøgletal'!$C$12:$C$60,'Udvaskning nøgletal'!G593:G641)+Markniveau!Y583*Markniveau!S583/100,"")))</f>
        <v>125.85383557148924</v>
      </c>
      <c r="AA583" s="10">
        <f t="shared" si="96"/>
        <v>1278.6749694063308</v>
      </c>
      <c r="AB583" s="10" t="str">
        <f t="shared" si="95"/>
        <v/>
      </c>
      <c r="AC583" s="10" t="str">
        <f t="shared" si="97"/>
        <v/>
      </c>
      <c r="AD583" s="10">
        <f>IF(AND(Q583&gt;0,Q583&lt;30,K583&lt;8),Markniveau!Z583*'Udvaskning nøgletal'!$I$12/100,IF(AND(Q583&gt;0,Q583&lt;30,K583=216),Markniveau!Z583*'Udvaskning nøgletal'!$I$34/100,Markniveau!Z583))</f>
        <v>125.85383557148924</v>
      </c>
      <c r="AE583" s="10">
        <f t="shared" si="93"/>
        <v>1278.6749694063308</v>
      </c>
      <c r="AF583" s="10" t="str">
        <f t="shared" si="98"/>
        <v/>
      </c>
      <c r="AG583" s="10" t="str">
        <f t="shared" si="94"/>
        <v/>
      </c>
      <c r="AH583" s="10" t="str">
        <f>IF(AND(Q583&gt;0,Q583&lt;30,K583=216),'Udvaskning nøgletal'!$C$42,IF(AND(Q583&gt;0,Q583&lt;30,K583&gt;7,K583&lt;17),'Udvaskning nøgletal'!$C$61,IF(AND(Q583&gt;0,Q583&lt;30,K583&lt;7),'Udvaskning nøgletal'!$C$62,"")))</f>
        <v/>
      </c>
      <c r="AI583" s="10">
        <f t="shared" si="90"/>
        <v>216</v>
      </c>
      <c r="AJ583" s="10">
        <f>IF($X583=1,LOOKUP(AI583,'Udvaskning nøgletal'!$C$12:$C$62,'Udvaskning nøgletal'!$E$12:$E$62)+Markniveau!$Y583*Markniveau!$S583/100,IF($X583=2,LOOKUP(AI583,'Udvaskning nøgletal'!$C$12:$C$62,'Udvaskning nøgletal'!$F$12:$F$62)+Markniveau!$Y583*Markniveau!$S583/100,IF($X583=3,LOOKUP(AI583,'Udvaskning nøgletal'!$C$12:$C$62,'Udvaskning nøgletal'!Q593:Q643)+Markniveau!$Y583*Markniveau!$S583/100,"")))</f>
        <v>125.85383557148924</v>
      </c>
      <c r="AK583" s="10">
        <f t="shared" si="99"/>
        <v>1278.6749694063308</v>
      </c>
      <c r="AL583" s="10" t="str">
        <f t="shared" si="91"/>
        <v/>
      </c>
      <c r="AM583" s="10" t="str">
        <f t="shared" si="92"/>
        <v/>
      </c>
    </row>
    <row r="584" spans="1:39" x14ac:dyDescent="0.25">
      <c r="A584" s="15">
        <v>19401545</v>
      </c>
      <c r="B584" s="15">
        <v>7.58</v>
      </c>
      <c r="C584" s="15">
        <v>204570</v>
      </c>
      <c r="D584" s="15">
        <v>90864</v>
      </c>
      <c r="E584" s="15" t="s">
        <v>466</v>
      </c>
      <c r="F584" s="15">
        <v>2011</v>
      </c>
      <c r="G584" s="15">
        <v>20110418</v>
      </c>
      <c r="H584" s="15">
        <v>121443</v>
      </c>
      <c r="I584" s="15">
        <v>12.14</v>
      </c>
      <c r="J584" s="6" t="s">
        <v>122</v>
      </c>
      <c r="K584" s="15">
        <v>216</v>
      </c>
      <c r="L584" s="15" t="s">
        <v>116</v>
      </c>
      <c r="M584" s="15" t="s">
        <v>5</v>
      </c>
      <c r="N584" s="11" t="s">
        <v>1384</v>
      </c>
      <c r="O584" s="11" t="s">
        <v>28</v>
      </c>
      <c r="P584" s="11" t="s">
        <v>33</v>
      </c>
      <c r="Q584" s="15">
        <v>0</v>
      </c>
      <c r="R584" s="11" t="s">
        <v>1386</v>
      </c>
      <c r="S584" s="10">
        <v>155.04206619239</v>
      </c>
      <c r="T584" s="15">
        <v>80</v>
      </c>
      <c r="U584" s="15">
        <v>1</v>
      </c>
      <c r="V584" s="15">
        <v>1</v>
      </c>
      <c r="W584" s="15">
        <v>0</v>
      </c>
      <c r="X584" s="15">
        <f>IF(O584='Udvaskning nøgletal'!$D$65,1,IF(O584='Udvaskning nøgletal'!$D$66,2,IF(O584='Udvaskning nøgletal'!$D$67,3,IF(O584='Udvaskning nøgletal'!$D$68,2,""))))</f>
        <v>1</v>
      </c>
      <c r="Y584" s="15">
        <f>LOOKUP(K584,'Udvaskning nøgletal'!$C$12:$C$60,'Udvaskning nøgletal'!$H$12:$H$60)</f>
        <v>0</v>
      </c>
      <c r="Z584" s="10">
        <f>IF(X584=1,LOOKUP(K584,'Udvaskning nøgletal'!$C$12:$C$60,'Udvaskning nøgletal'!$E$12:$E$60)+Markniveau!Y584*Markniveau!S584/100,IF(X584=2,LOOKUP(K584,'Udvaskning nøgletal'!$C$12:$C$60,'Udvaskning nøgletal'!$F$12:$F$60)+Markniveau!Y584*Markniveau!S584/100,IF(X584=3,LOOKUP(K584,'Udvaskning nøgletal'!$C$12:$C$60,'Udvaskning nøgletal'!G594:G642)+Markniveau!Y584*Markniveau!S584/100,"")))</f>
        <v>125.85383557148924</v>
      </c>
      <c r="AA584" s="10">
        <f t="shared" si="96"/>
        <v>1527.8655638378796</v>
      </c>
      <c r="AB584" s="10" t="str">
        <f t="shared" si="95"/>
        <v/>
      </c>
      <c r="AC584" s="10" t="str">
        <f t="shared" si="97"/>
        <v/>
      </c>
      <c r="AD584" s="10">
        <f>IF(AND(Q584&gt;0,Q584&lt;30,K584&lt;8),Markniveau!Z584*'Udvaskning nøgletal'!$I$12/100,IF(AND(Q584&gt;0,Q584&lt;30,K584=216),Markniveau!Z584*'Udvaskning nøgletal'!$I$34/100,Markniveau!Z584))</f>
        <v>125.85383557148924</v>
      </c>
      <c r="AE584" s="10">
        <f t="shared" si="93"/>
        <v>1527.8655638378796</v>
      </c>
      <c r="AF584" s="10" t="str">
        <f t="shared" si="98"/>
        <v/>
      </c>
      <c r="AG584" s="10" t="str">
        <f t="shared" si="94"/>
        <v/>
      </c>
      <c r="AH584" s="10" t="str">
        <f>IF(AND(Q584&gt;0,Q584&lt;30,K584=216),'Udvaskning nøgletal'!$C$42,IF(AND(Q584&gt;0,Q584&lt;30,K584&gt;7,K584&lt;17),'Udvaskning nøgletal'!$C$61,IF(AND(Q584&gt;0,Q584&lt;30,K584&lt;7),'Udvaskning nøgletal'!$C$62,"")))</f>
        <v/>
      </c>
      <c r="AI584" s="10">
        <f t="shared" ref="AI584:AI647" si="100">IF(SUM(AH584)&gt;0,AH584,K584)</f>
        <v>216</v>
      </c>
      <c r="AJ584" s="10">
        <f>IF($X584=1,LOOKUP(AI584,'Udvaskning nøgletal'!$C$12:$C$62,'Udvaskning nøgletal'!$E$12:$E$62)+Markniveau!$Y584*Markniveau!$S584/100,IF($X584=2,LOOKUP(AI584,'Udvaskning nøgletal'!$C$12:$C$62,'Udvaskning nøgletal'!$F$12:$F$62)+Markniveau!$Y584*Markniveau!$S584/100,IF($X584=3,LOOKUP(AI584,'Udvaskning nøgletal'!$C$12:$C$62,'Udvaskning nøgletal'!Q594:Q644)+Markniveau!$Y584*Markniveau!$S584/100,"")))</f>
        <v>125.85383557148924</v>
      </c>
      <c r="AK584" s="10">
        <f t="shared" si="99"/>
        <v>1527.8655638378796</v>
      </c>
      <c r="AL584" s="10" t="str">
        <f t="shared" si="91"/>
        <v/>
      </c>
      <c r="AM584" s="10" t="str">
        <f t="shared" si="92"/>
        <v/>
      </c>
    </row>
    <row r="585" spans="1:39" x14ac:dyDescent="0.25">
      <c r="A585" s="15">
        <v>19401545</v>
      </c>
      <c r="B585" s="15">
        <v>7.58</v>
      </c>
      <c r="C585" s="15">
        <v>205088</v>
      </c>
      <c r="D585" s="15">
        <v>90864</v>
      </c>
      <c r="E585" s="15" t="s">
        <v>467</v>
      </c>
      <c r="F585" s="15">
        <v>2011</v>
      </c>
      <c r="G585" s="15">
        <v>20110418</v>
      </c>
      <c r="H585" s="15">
        <v>60039</v>
      </c>
      <c r="I585" s="15">
        <v>6</v>
      </c>
      <c r="J585" s="6" t="s">
        <v>127</v>
      </c>
      <c r="K585" s="15">
        <v>15</v>
      </c>
      <c r="L585" s="15" t="s">
        <v>362</v>
      </c>
      <c r="M585" s="15" t="s">
        <v>5</v>
      </c>
      <c r="N585" s="11" t="s">
        <v>1384</v>
      </c>
      <c r="O585" s="11" t="s">
        <v>28</v>
      </c>
      <c r="P585" s="11" t="s">
        <v>33</v>
      </c>
      <c r="Q585" s="15">
        <v>1</v>
      </c>
      <c r="R585" s="11" t="s">
        <v>11</v>
      </c>
      <c r="S585" s="10">
        <v>155.04206619239</v>
      </c>
      <c r="T585" s="15">
        <v>80</v>
      </c>
      <c r="U585" s="15">
        <v>1</v>
      </c>
      <c r="V585" s="15">
        <v>1</v>
      </c>
      <c r="W585" s="15">
        <v>0</v>
      </c>
      <c r="X585" s="15">
        <f>IF(O585='Udvaskning nøgletal'!$D$65,1,IF(O585='Udvaskning nøgletal'!$D$66,2,IF(O585='Udvaskning nøgletal'!$D$67,3,IF(O585='Udvaskning nøgletal'!$D$68,2,""))))</f>
        <v>1</v>
      </c>
      <c r="Y585" s="15">
        <f>LOOKUP(K585,'Udvaskning nøgletal'!$C$12:$C$60,'Udvaskning nøgletal'!$H$12:$H$60)</f>
        <v>5</v>
      </c>
      <c r="Z585" s="10">
        <f>IF(X585=1,LOOKUP(K585,'Udvaskning nøgletal'!$C$12:$C$60,'Udvaskning nøgletal'!$E$12:$E$60)+Markniveau!Y585*Markniveau!S585/100,IF(X585=2,LOOKUP(K585,'Udvaskning nøgletal'!$C$12:$C$60,'Udvaskning nøgletal'!$F$12:$F$60)+Markniveau!Y585*Markniveau!S585/100,IF(X585=3,LOOKUP(K585,'Udvaskning nøgletal'!$C$12:$C$60,'Udvaskning nøgletal'!G595:G643)+Markniveau!Y585*Markniveau!S585/100,"")))</f>
        <v>72.412103309619496</v>
      </c>
      <c r="AA585" s="10">
        <f t="shared" si="96"/>
        <v>434.47261985771695</v>
      </c>
      <c r="AB585" s="10">
        <f t="shared" si="95"/>
        <v>71.6879822765233</v>
      </c>
      <c r="AC585" s="10">
        <f t="shared" si="97"/>
        <v>430.12789365913977</v>
      </c>
      <c r="AD585" s="10">
        <f>IF(AND(Q585&gt;0,Q585&lt;30,K585&lt;8),Markniveau!Z585*'Udvaskning nøgletal'!$I$12/100,IF(AND(Q585&gt;0,Q585&lt;30,K585=216),Markniveau!Z585*'Udvaskning nøgletal'!$I$34/100,Markniveau!Z585))</f>
        <v>72.412103309619496</v>
      </c>
      <c r="AE585" s="10">
        <f t="shared" si="93"/>
        <v>434.47261985771695</v>
      </c>
      <c r="AF585" s="10">
        <f t="shared" si="98"/>
        <v>71.6879822765233</v>
      </c>
      <c r="AG585" s="10">
        <f t="shared" si="94"/>
        <v>430.12789365913977</v>
      </c>
      <c r="AH585" s="10">
        <f>IF(AND(Q585&gt;0,Q585&lt;30,K585=216),'Udvaskning nøgletal'!$C$42,IF(AND(Q585&gt;0,Q585&lt;30,K585&gt;7,K585&lt;17),'Udvaskning nøgletal'!$C$61,IF(AND(Q585&gt;0,Q585&lt;30,K585&lt;7),'Udvaskning nøgletal'!$C$62,"")))</f>
        <v>1001</v>
      </c>
      <c r="AI585" s="10">
        <f t="shared" si="100"/>
        <v>1001</v>
      </c>
      <c r="AJ585" s="10">
        <f>IF($X585=1,LOOKUP(AI585,'Udvaskning nøgletal'!$C$12:$C$62,'Udvaskning nøgletal'!$E$12:$E$62)+Markniveau!$Y585*Markniveau!$S585/100,IF($X585=2,LOOKUP(AI585,'Udvaskning nøgletal'!$C$12:$C$62,'Udvaskning nøgletal'!$F$12:$F$62)+Markniveau!$Y585*Markniveau!$S585/100,IF($X585=3,LOOKUP(AI585,'Udvaskning nøgletal'!$C$12:$C$62,'Udvaskning nøgletal'!Q595:Q645)+Markniveau!$Y585*Markniveau!$S585/100,"")))</f>
        <v>38.2521033096195</v>
      </c>
      <c r="AK585" s="10">
        <f t="shared" si="99"/>
        <v>229.512619857717</v>
      </c>
      <c r="AL585" s="10">
        <f t="shared" si="91"/>
        <v>37.869582276523303</v>
      </c>
      <c r="AM585" s="10">
        <f t="shared" si="92"/>
        <v>227.21749365913982</v>
      </c>
    </row>
    <row r="586" spans="1:39" x14ac:dyDescent="0.25">
      <c r="A586" s="15">
        <v>19401545</v>
      </c>
      <c r="B586" s="15">
        <v>7.58</v>
      </c>
      <c r="C586" s="15">
        <v>205089</v>
      </c>
      <c r="D586" s="15">
        <v>90864</v>
      </c>
      <c r="E586" s="15" t="s">
        <v>468</v>
      </c>
      <c r="F586" s="15">
        <v>2011</v>
      </c>
      <c r="G586" s="15">
        <v>20110418</v>
      </c>
      <c r="H586" s="15">
        <v>76472</v>
      </c>
      <c r="I586" s="15">
        <v>7.65</v>
      </c>
      <c r="J586" s="6" t="s">
        <v>71</v>
      </c>
      <c r="K586" s="15">
        <v>15</v>
      </c>
      <c r="L586" s="15" t="s">
        <v>362</v>
      </c>
      <c r="M586" s="15" t="s">
        <v>5</v>
      </c>
      <c r="N586" s="11" t="s">
        <v>1384</v>
      </c>
      <c r="O586" s="11" t="s">
        <v>28</v>
      </c>
      <c r="P586" s="11" t="s">
        <v>33</v>
      </c>
      <c r="Q586" s="15">
        <v>1</v>
      </c>
      <c r="R586" s="11" t="s">
        <v>11</v>
      </c>
      <c r="S586" s="10">
        <v>155.04206619239</v>
      </c>
      <c r="T586" s="15">
        <v>80</v>
      </c>
      <c r="U586" s="15">
        <v>1</v>
      </c>
      <c r="V586" s="15">
        <v>1</v>
      </c>
      <c r="W586" s="15">
        <v>0</v>
      </c>
      <c r="X586" s="15">
        <f>IF(O586='Udvaskning nøgletal'!$D$65,1,IF(O586='Udvaskning nøgletal'!$D$66,2,IF(O586='Udvaskning nøgletal'!$D$67,3,IF(O586='Udvaskning nøgletal'!$D$68,2,""))))</f>
        <v>1</v>
      </c>
      <c r="Y586" s="15">
        <f>LOOKUP(K586,'Udvaskning nøgletal'!$C$12:$C$60,'Udvaskning nøgletal'!$H$12:$H$60)</f>
        <v>5</v>
      </c>
      <c r="Z586" s="10">
        <f>IF(X586=1,LOOKUP(K586,'Udvaskning nøgletal'!$C$12:$C$60,'Udvaskning nøgletal'!$E$12:$E$60)+Markniveau!Y586*Markniveau!S586/100,IF(X586=2,LOOKUP(K586,'Udvaskning nøgletal'!$C$12:$C$60,'Udvaskning nøgletal'!$F$12:$F$60)+Markniveau!Y586*Markniveau!S586/100,IF(X586=3,LOOKUP(K586,'Udvaskning nøgletal'!$C$12:$C$60,'Udvaskning nøgletal'!G596:G644)+Markniveau!Y586*Markniveau!S586/100,"")))</f>
        <v>72.412103309619496</v>
      </c>
      <c r="AA586" s="10">
        <f t="shared" si="96"/>
        <v>553.95259031858916</v>
      </c>
      <c r="AB586" s="10">
        <f t="shared" si="95"/>
        <v>71.6879822765233</v>
      </c>
      <c r="AC586" s="10">
        <f t="shared" si="97"/>
        <v>548.41306441540326</v>
      </c>
      <c r="AD586" s="10">
        <f>IF(AND(Q586&gt;0,Q586&lt;30,K586&lt;8),Markniveau!Z586*'Udvaskning nøgletal'!$I$12/100,IF(AND(Q586&gt;0,Q586&lt;30,K586=216),Markniveau!Z586*'Udvaskning nøgletal'!$I$34/100,Markniveau!Z586))</f>
        <v>72.412103309619496</v>
      </c>
      <c r="AE586" s="10">
        <f t="shared" si="93"/>
        <v>553.95259031858916</v>
      </c>
      <c r="AF586" s="10">
        <f t="shared" si="98"/>
        <v>71.6879822765233</v>
      </c>
      <c r="AG586" s="10">
        <f t="shared" si="94"/>
        <v>548.41306441540326</v>
      </c>
      <c r="AH586" s="10">
        <f>IF(AND(Q586&gt;0,Q586&lt;30,K586=216),'Udvaskning nøgletal'!$C$42,IF(AND(Q586&gt;0,Q586&lt;30,K586&gt;7,K586&lt;17),'Udvaskning nøgletal'!$C$61,IF(AND(Q586&gt;0,Q586&lt;30,K586&lt;7),'Udvaskning nøgletal'!$C$62,"")))</f>
        <v>1001</v>
      </c>
      <c r="AI586" s="10">
        <f t="shared" si="100"/>
        <v>1001</v>
      </c>
      <c r="AJ586" s="10">
        <f>IF($X586=1,LOOKUP(AI586,'Udvaskning nøgletal'!$C$12:$C$62,'Udvaskning nøgletal'!$E$12:$E$62)+Markniveau!$Y586*Markniveau!$S586/100,IF($X586=2,LOOKUP(AI586,'Udvaskning nøgletal'!$C$12:$C$62,'Udvaskning nøgletal'!$F$12:$F$62)+Markniveau!$Y586*Markniveau!$S586/100,IF($X586=3,LOOKUP(AI586,'Udvaskning nøgletal'!$C$12:$C$62,'Udvaskning nøgletal'!Q596:Q646)+Markniveau!$Y586*Markniveau!$S586/100,"")))</f>
        <v>38.2521033096195</v>
      </c>
      <c r="AK586" s="10">
        <f t="shared" si="99"/>
        <v>292.6285903185892</v>
      </c>
      <c r="AL586" s="10">
        <f t="shared" si="91"/>
        <v>37.869582276523303</v>
      </c>
      <c r="AM586" s="10">
        <f t="shared" si="92"/>
        <v>289.70230441540326</v>
      </c>
    </row>
    <row r="587" spans="1:39" x14ac:dyDescent="0.25">
      <c r="A587" s="15">
        <v>19401545</v>
      </c>
      <c r="B587" s="15">
        <v>7.58</v>
      </c>
      <c r="C587" s="15">
        <v>205090</v>
      </c>
      <c r="D587" s="15">
        <v>90864</v>
      </c>
      <c r="E587" s="15" t="s">
        <v>206</v>
      </c>
      <c r="F587" s="15">
        <v>2011</v>
      </c>
      <c r="G587" s="15">
        <v>20110418</v>
      </c>
      <c r="H587" s="15">
        <v>57330</v>
      </c>
      <c r="I587" s="15">
        <v>5.73</v>
      </c>
      <c r="J587" s="6" t="s">
        <v>55</v>
      </c>
      <c r="K587" s="15">
        <v>252</v>
      </c>
      <c r="L587" s="15" t="s">
        <v>41</v>
      </c>
      <c r="M587" s="15" t="s">
        <v>4</v>
      </c>
      <c r="N587" s="11" t="s">
        <v>1384</v>
      </c>
      <c r="O587" s="11" t="s">
        <v>28</v>
      </c>
      <c r="P587" s="11" t="s">
        <v>33</v>
      </c>
      <c r="Q587" s="15">
        <v>1</v>
      </c>
      <c r="R587" s="11" t="s">
        <v>11</v>
      </c>
      <c r="S587" s="10">
        <v>155.04206619239</v>
      </c>
      <c r="T587" s="15">
        <v>80</v>
      </c>
      <c r="U587" s="15">
        <v>1</v>
      </c>
      <c r="V587" s="15">
        <v>1</v>
      </c>
      <c r="W587" s="15">
        <v>0</v>
      </c>
      <c r="X587" s="15">
        <f>IF(O587='Udvaskning nøgletal'!$D$65,1,IF(O587='Udvaskning nøgletal'!$D$66,2,IF(O587='Udvaskning nøgletal'!$D$67,3,IF(O587='Udvaskning nøgletal'!$D$68,2,""))))</f>
        <v>1</v>
      </c>
      <c r="Y587" s="15">
        <f>LOOKUP(K587,'Udvaskning nøgletal'!$C$12:$C$60,'Udvaskning nøgletal'!$H$12:$H$60)</f>
        <v>0</v>
      </c>
      <c r="Z587" s="10">
        <f>IF(X587=1,LOOKUP(K587,'Udvaskning nøgletal'!$C$12:$C$60,'Udvaskning nøgletal'!$E$12:$E$60)+Markniveau!Y587*Markniveau!S587/100,IF(X587=2,LOOKUP(K587,'Udvaskning nøgletal'!$C$12:$C$60,'Udvaskning nøgletal'!$F$12:$F$60)+Markniveau!Y587*Markniveau!S587/100,IF(X587=3,LOOKUP(K587,'Udvaskning nøgletal'!$C$12:$C$60,'Udvaskning nøgletal'!G597:G645)+Markniveau!Y587*Markniveau!S587/100,"")))</f>
        <v>21.2</v>
      </c>
      <c r="AA587" s="10">
        <f t="shared" si="96"/>
        <v>121.476</v>
      </c>
      <c r="AB587" s="10">
        <f t="shared" si="95"/>
        <v>20.987999999999996</v>
      </c>
      <c r="AC587" s="10">
        <f t="shared" si="97"/>
        <v>120.26123999999999</v>
      </c>
      <c r="AD587" s="10">
        <f>IF(AND(Q587&gt;0,Q587&lt;30,K587&lt;8),Markniveau!Z587*'Udvaskning nøgletal'!$I$12/100,IF(AND(Q587&gt;0,Q587&lt;30,K587=216),Markniveau!Z587*'Udvaskning nøgletal'!$I$34/100,Markniveau!Z587))</f>
        <v>21.2</v>
      </c>
      <c r="AE587" s="10">
        <f t="shared" si="93"/>
        <v>121.476</v>
      </c>
      <c r="AF587" s="10">
        <f t="shared" si="98"/>
        <v>20.987999999999996</v>
      </c>
      <c r="AG587" s="10">
        <f t="shared" si="94"/>
        <v>120.26123999999999</v>
      </c>
      <c r="AH587" s="10" t="str">
        <f>IF(AND(Q587&gt;0,Q587&lt;30,K587=216),'Udvaskning nøgletal'!$C$42,IF(AND(Q587&gt;0,Q587&lt;30,K587&gt;7,K587&lt;17),'Udvaskning nøgletal'!$C$61,IF(AND(Q587&gt;0,Q587&lt;30,K587&lt;7),'Udvaskning nøgletal'!$C$62,"")))</f>
        <v/>
      </c>
      <c r="AI587" s="10">
        <f t="shared" si="100"/>
        <v>252</v>
      </c>
      <c r="AJ587" s="10">
        <f>IF($X587=1,LOOKUP(AI587,'Udvaskning nøgletal'!$C$12:$C$62,'Udvaskning nøgletal'!$E$12:$E$62)+Markniveau!$Y587*Markniveau!$S587/100,IF($X587=2,LOOKUP(AI587,'Udvaskning nøgletal'!$C$12:$C$62,'Udvaskning nøgletal'!$F$12:$F$62)+Markniveau!$Y587*Markniveau!$S587/100,IF($X587=3,LOOKUP(AI587,'Udvaskning nøgletal'!$C$12:$C$62,'Udvaskning nøgletal'!Q597:Q647)+Markniveau!$Y587*Markniveau!$S587/100,"")))</f>
        <v>21.2</v>
      </c>
      <c r="AK587" s="10">
        <f t="shared" si="99"/>
        <v>121.476</v>
      </c>
      <c r="AL587" s="10">
        <f t="shared" ref="AL587:AL650" si="101">IF($Q587&gt;0,(100-$Q587)*AJ587/100,"")</f>
        <v>20.987999999999996</v>
      </c>
      <c r="AM587" s="10">
        <f t="shared" ref="AM587:AM650" si="102">IF($Q587&gt;0,(100-$Q587)*AJ587/100*I587,"")</f>
        <v>120.26123999999999</v>
      </c>
    </row>
    <row r="588" spans="1:39" x14ac:dyDescent="0.25">
      <c r="A588" s="15">
        <v>19401545</v>
      </c>
      <c r="B588" s="15">
        <v>7.58</v>
      </c>
      <c r="C588" s="15">
        <v>207240</v>
      </c>
      <c r="D588" s="15">
        <v>90864</v>
      </c>
      <c r="E588" s="15" t="s">
        <v>469</v>
      </c>
      <c r="F588" s="15">
        <v>2011</v>
      </c>
      <c r="G588" s="15">
        <v>20110418</v>
      </c>
      <c r="H588" s="15">
        <v>9658</v>
      </c>
      <c r="I588" s="15">
        <v>0.97</v>
      </c>
      <c r="J588" s="6" t="s">
        <v>470</v>
      </c>
      <c r="K588" s="15">
        <v>252</v>
      </c>
      <c r="L588" s="15" t="s">
        <v>41</v>
      </c>
      <c r="M588" s="15" t="s">
        <v>4</v>
      </c>
      <c r="N588" s="11" t="s">
        <v>1390</v>
      </c>
      <c r="O588" s="11" t="s">
        <v>42</v>
      </c>
      <c r="P588" s="11" t="s">
        <v>33</v>
      </c>
      <c r="Q588" s="15">
        <v>0</v>
      </c>
      <c r="R588" s="11" t="s">
        <v>1386</v>
      </c>
      <c r="S588" s="10">
        <v>155.04206619239</v>
      </c>
      <c r="T588" s="15">
        <v>80</v>
      </c>
      <c r="U588" s="15">
        <v>1</v>
      </c>
      <c r="V588" s="15">
        <v>1</v>
      </c>
      <c r="W588" s="15">
        <v>0</v>
      </c>
      <c r="X588" s="15">
        <f>IF(O588='Udvaskning nøgletal'!$D$65,1,IF(O588='Udvaskning nøgletal'!$D$66,2,IF(O588='Udvaskning nøgletal'!$D$67,3,IF(O588='Udvaskning nøgletal'!$D$68,2,""))))</f>
        <v>2</v>
      </c>
      <c r="Y588" s="15">
        <f>LOOKUP(K588,'Udvaskning nøgletal'!$C$12:$C$60,'Udvaskning nøgletal'!$H$12:$H$60)</f>
        <v>0</v>
      </c>
      <c r="Z588" s="10">
        <f>IF(X588=1,LOOKUP(K588,'Udvaskning nøgletal'!$C$12:$C$60,'Udvaskning nøgletal'!$E$12:$E$60)+Markniveau!Y588*Markniveau!S588/100,IF(X588=2,LOOKUP(K588,'Udvaskning nøgletal'!$C$12:$C$60,'Udvaskning nøgletal'!$F$12:$F$60)+Markniveau!Y588*Markniveau!S588/100,IF(X588=3,LOOKUP(K588,'Udvaskning nøgletal'!$C$12:$C$60,'Udvaskning nøgletal'!G598:G646)+Markniveau!Y588*Markniveau!S588/100,"")))</f>
        <v>21.2</v>
      </c>
      <c r="AA588" s="10">
        <f t="shared" si="96"/>
        <v>20.564</v>
      </c>
      <c r="AB588" s="10" t="str">
        <f t="shared" si="95"/>
        <v/>
      </c>
      <c r="AC588" s="10" t="str">
        <f t="shared" si="97"/>
        <v/>
      </c>
      <c r="AD588" s="10">
        <f>IF(AND(Q588&gt;0,Q588&lt;30,K588&lt;8),Markniveau!Z588*'Udvaskning nøgletal'!$I$12/100,IF(AND(Q588&gt;0,Q588&lt;30,K588=216),Markniveau!Z588*'Udvaskning nøgletal'!$I$34/100,Markniveau!Z588))</f>
        <v>21.2</v>
      </c>
      <c r="AE588" s="10">
        <f t="shared" si="93"/>
        <v>20.564</v>
      </c>
      <c r="AF588" s="10" t="str">
        <f t="shared" si="98"/>
        <v/>
      </c>
      <c r="AG588" s="10" t="str">
        <f t="shared" si="94"/>
        <v/>
      </c>
      <c r="AH588" s="10" t="str">
        <f>IF(AND(Q588&gt;0,Q588&lt;30,K588=216),'Udvaskning nøgletal'!$C$42,IF(AND(Q588&gt;0,Q588&lt;30,K588&gt;7,K588&lt;17),'Udvaskning nøgletal'!$C$61,IF(AND(Q588&gt;0,Q588&lt;30,K588&lt;7),'Udvaskning nøgletal'!$C$62,"")))</f>
        <v/>
      </c>
      <c r="AI588" s="10">
        <f t="shared" si="100"/>
        <v>252</v>
      </c>
      <c r="AJ588" s="10">
        <f>IF($X588=1,LOOKUP(AI588,'Udvaskning nøgletal'!$C$12:$C$62,'Udvaskning nøgletal'!$E$12:$E$62)+Markniveau!$Y588*Markniveau!$S588/100,IF($X588=2,LOOKUP(AI588,'Udvaskning nøgletal'!$C$12:$C$62,'Udvaskning nøgletal'!$F$12:$F$62)+Markniveau!$Y588*Markniveau!$S588/100,IF($X588=3,LOOKUP(AI588,'Udvaskning nøgletal'!$C$12:$C$62,'Udvaskning nøgletal'!Q598:Q648)+Markniveau!$Y588*Markniveau!$S588/100,"")))</f>
        <v>21.2</v>
      </c>
      <c r="AK588" s="10">
        <f t="shared" si="99"/>
        <v>20.564</v>
      </c>
      <c r="AL588" s="10" t="str">
        <f t="shared" si="101"/>
        <v/>
      </c>
      <c r="AM588" s="10" t="str">
        <f t="shared" si="102"/>
        <v/>
      </c>
    </row>
    <row r="589" spans="1:39" x14ac:dyDescent="0.25">
      <c r="A589" s="15">
        <v>19401545</v>
      </c>
      <c r="B589" s="15">
        <v>7.58</v>
      </c>
      <c r="C589" s="15">
        <v>207504</v>
      </c>
      <c r="D589" s="15">
        <v>90864</v>
      </c>
      <c r="E589" s="15" t="s">
        <v>457</v>
      </c>
      <c r="F589" s="15">
        <v>2011</v>
      </c>
      <c r="G589" s="15">
        <v>20110418</v>
      </c>
      <c r="H589" s="15">
        <v>1545</v>
      </c>
      <c r="I589" s="15">
        <v>0.15</v>
      </c>
      <c r="J589" s="6" t="s">
        <v>471</v>
      </c>
      <c r="K589" s="15">
        <v>252</v>
      </c>
      <c r="L589" s="15" t="s">
        <v>41</v>
      </c>
      <c r="M589" s="15" t="s">
        <v>4</v>
      </c>
      <c r="N589" s="11" t="s">
        <v>1391</v>
      </c>
      <c r="O589" s="11" t="s">
        <v>46</v>
      </c>
      <c r="P589" s="11" t="s">
        <v>33</v>
      </c>
      <c r="Q589" s="15">
        <v>0</v>
      </c>
      <c r="R589" s="11" t="s">
        <v>1386</v>
      </c>
      <c r="S589" s="10">
        <v>155.04206619239</v>
      </c>
      <c r="T589" s="15">
        <v>80</v>
      </c>
      <c r="U589" s="15">
        <v>1</v>
      </c>
      <c r="V589" s="15">
        <v>1</v>
      </c>
      <c r="W589" s="15">
        <v>0</v>
      </c>
      <c r="X589" s="15">
        <f>IF(O589='Udvaskning nøgletal'!$D$65,1,IF(O589='Udvaskning nøgletal'!$D$66,2,IF(O589='Udvaskning nøgletal'!$D$67,3,IF(O589='Udvaskning nøgletal'!$D$68,2,""))))</f>
        <v>2</v>
      </c>
      <c r="Y589" s="15">
        <f>LOOKUP(K589,'Udvaskning nøgletal'!$C$12:$C$60,'Udvaskning nøgletal'!$H$12:$H$60)</f>
        <v>0</v>
      </c>
      <c r="Z589" s="10">
        <f>IF(X589=1,LOOKUP(K589,'Udvaskning nøgletal'!$C$12:$C$60,'Udvaskning nøgletal'!$E$12:$E$60)+Markniveau!Y589*Markniveau!S589/100,IF(X589=2,LOOKUP(K589,'Udvaskning nøgletal'!$C$12:$C$60,'Udvaskning nøgletal'!$F$12:$F$60)+Markniveau!Y589*Markniveau!S589/100,IF(X589=3,LOOKUP(K589,'Udvaskning nøgletal'!$C$12:$C$60,'Udvaskning nøgletal'!G599:G647)+Markniveau!Y589*Markniveau!S589/100,"")))</f>
        <v>21.2</v>
      </c>
      <c r="AA589" s="10">
        <f t="shared" si="96"/>
        <v>3.1799999999999997</v>
      </c>
      <c r="AB589" s="10" t="str">
        <f t="shared" si="95"/>
        <v/>
      </c>
      <c r="AC589" s="10" t="str">
        <f t="shared" si="97"/>
        <v/>
      </c>
      <c r="AD589" s="10">
        <f>IF(AND(Q589&gt;0,Q589&lt;30,K589&lt;8),Markniveau!Z589*'Udvaskning nøgletal'!$I$12/100,IF(AND(Q589&gt;0,Q589&lt;30,K589=216),Markniveau!Z589*'Udvaskning nøgletal'!$I$34/100,Markniveau!Z589))</f>
        <v>21.2</v>
      </c>
      <c r="AE589" s="10">
        <f t="shared" si="93"/>
        <v>3.1799999999999997</v>
      </c>
      <c r="AF589" s="10" t="str">
        <f t="shared" si="98"/>
        <v/>
      </c>
      <c r="AG589" s="10" t="str">
        <f t="shared" si="94"/>
        <v/>
      </c>
      <c r="AH589" s="10" t="str">
        <f>IF(AND(Q589&gt;0,Q589&lt;30,K589=216),'Udvaskning nøgletal'!$C$42,IF(AND(Q589&gt;0,Q589&lt;30,K589&gt;7,K589&lt;17),'Udvaskning nøgletal'!$C$61,IF(AND(Q589&gt;0,Q589&lt;30,K589&lt;7),'Udvaskning nøgletal'!$C$62,"")))</f>
        <v/>
      </c>
      <c r="AI589" s="10">
        <f t="shared" si="100"/>
        <v>252</v>
      </c>
      <c r="AJ589" s="10">
        <f>IF($X589=1,LOOKUP(AI589,'Udvaskning nøgletal'!$C$12:$C$62,'Udvaskning nøgletal'!$E$12:$E$62)+Markniveau!$Y589*Markniveau!$S589/100,IF($X589=2,LOOKUP(AI589,'Udvaskning nøgletal'!$C$12:$C$62,'Udvaskning nøgletal'!$F$12:$F$62)+Markniveau!$Y589*Markniveau!$S589/100,IF($X589=3,LOOKUP(AI589,'Udvaskning nøgletal'!$C$12:$C$62,'Udvaskning nøgletal'!Q599:Q649)+Markniveau!$Y589*Markniveau!$S589/100,"")))</f>
        <v>21.2</v>
      </c>
      <c r="AK589" s="10">
        <f t="shared" si="99"/>
        <v>3.1799999999999997</v>
      </c>
      <c r="AL589" s="10" t="str">
        <f t="shared" si="101"/>
        <v/>
      </c>
      <c r="AM589" s="10" t="str">
        <f t="shared" si="102"/>
        <v/>
      </c>
    </row>
    <row r="590" spans="1:39" x14ac:dyDescent="0.25">
      <c r="A590" s="15">
        <v>19401545</v>
      </c>
      <c r="B590" s="15">
        <v>7.58</v>
      </c>
      <c r="C590" s="15">
        <v>208282</v>
      </c>
      <c r="D590" s="15">
        <v>90864</v>
      </c>
      <c r="E590" s="15" t="s">
        <v>460</v>
      </c>
      <c r="F590" s="15">
        <v>2011</v>
      </c>
      <c r="G590" s="15">
        <v>20110418</v>
      </c>
      <c r="H590" s="15">
        <v>13932</v>
      </c>
      <c r="I590" s="15">
        <v>1.39</v>
      </c>
      <c r="J590" s="6" t="s">
        <v>472</v>
      </c>
      <c r="K590" s="15">
        <v>15</v>
      </c>
      <c r="L590" s="15" t="s">
        <v>362</v>
      </c>
      <c r="M590" s="15" t="s">
        <v>5</v>
      </c>
      <c r="N590" s="11" t="s">
        <v>1384</v>
      </c>
      <c r="O590" s="11" t="s">
        <v>28</v>
      </c>
      <c r="P590" s="11" t="s">
        <v>33</v>
      </c>
      <c r="Q590" s="15">
        <v>0</v>
      </c>
      <c r="R590" s="11" t="s">
        <v>1386</v>
      </c>
      <c r="S590" s="10">
        <v>155.04206619239</v>
      </c>
      <c r="T590" s="15">
        <v>80</v>
      </c>
      <c r="U590" s="15">
        <v>1</v>
      </c>
      <c r="V590" s="15">
        <v>1</v>
      </c>
      <c r="W590" s="15">
        <v>0</v>
      </c>
      <c r="X590" s="15">
        <f>IF(O590='Udvaskning nøgletal'!$D$65,1,IF(O590='Udvaskning nøgletal'!$D$66,2,IF(O590='Udvaskning nøgletal'!$D$67,3,IF(O590='Udvaskning nøgletal'!$D$68,2,""))))</f>
        <v>1</v>
      </c>
      <c r="Y590" s="15">
        <f>LOOKUP(K590,'Udvaskning nøgletal'!$C$12:$C$60,'Udvaskning nøgletal'!$H$12:$H$60)</f>
        <v>5</v>
      </c>
      <c r="Z590" s="10">
        <f>IF(X590=1,LOOKUP(K590,'Udvaskning nøgletal'!$C$12:$C$60,'Udvaskning nøgletal'!$E$12:$E$60)+Markniveau!Y590*Markniveau!S590/100,IF(X590=2,LOOKUP(K590,'Udvaskning nøgletal'!$C$12:$C$60,'Udvaskning nøgletal'!$F$12:$F$60)+Markniveau!Y590*Markniveau!S590/100,IF(X590=3,LOOKUP(K590,'Udvaskning nøgletal'!$C$12:$C$60,'Udvaskning nøgletal'!G600:G648)+Markniveau!Y590*Markniveau!S590/100,"")))</f>
        <v>72.412103309619496</v>
      </c>
      <c r="AA590" s="10">
        <f t="shared" si="96"/>
        <v>100.65282360037109</v>
      </c>
      <c r="AB590" s="10" t="str">
        <f t="shared" si="95"/>
        <v/>
      </c>
      <c r="AC590" s="10" t="str">
        <f t="shared" si="97"/>
        <v/>
      </c>
      <c r="AD590" s="10">
        <f>IF(AND(Q590&gt;0,Q590&lt;30,K590&lt;8),Markniveau!Z590*'Udvaskning nøgletal'!$I$12/100,IF(AND(Q590&gt;0,Q590&lt;30,K590=216),Markniveau!Z590*'Udvaskning nøgletal'!$I$34/100,Markniveau!Z590))</f>
        <v>72.412103309619496</v>
      </c>
      <c r="AE590" s="10">
        <f t="shared" si="93"/>
        <v>100.65282360037109</v>
      </c>
      <c r="AF590" s="10" t="str">
        <f t="shared" si="98"/>
        <v/>
      </c>
      <c r="AG590" s="10" t="str">
        <f t="shared" si="94"/>
        <v/>
      </c>
      <c r="AH590" s="10" t="str">
        <f>IF(AND(Q590&gt;0,Q590&lt;30,K590=216),'Udvaskning nøgletal'!$C$42,IF(AND(Q590&gt;0,Q590&lt;30,K590&gt;7,K590&lt;17),'Udvaskning nøgletal'!$C$61,IF(AND(Q590&gt;0,Q590&lt;30,K590&lt;7),'Udvaskning nøgletal'!$C$62,"")))</f>
        <v/>
      </c>
      <c r="AI590" s="10">
        <f t="shared" si="100"/>
        <v>15</v>
      </c>
      <c r="AJ590" s="10">
        <f>IF($X590=1,LOOKUP(AI590,'Udvaskning nøgletal'!$C$12:$C$62,'Udvaskning nøgletal'!$E$12:$E$62)+Markniveau!$Y590*Markniveau!$S590/100,IF($X590=2,LOOKUP(AI590,'Udvaskning nøgletal'!$C$12:$C$62,'Udvaskning nøgletal'!$F$12:$F$62)+Markniveau!$Y590*Markniveau!$S590/100,IF($X590=3,LOOKUP(AI590,'Udvaskning nøgletal'!$C$12:$C$62,'Udvaskning nøgletal'!Q600:Q650)+Markniveau!$Y590*Markniveau!$S590/100,"")))</f>
        <v>72.412103309619496</v>
      </c>
      <c r="AK590" s="10">
        <f t="shared" si="99"/>
        <v>100.65282360037109</v>
      </c>
      <c r="AL590" s="10" t="str">
        <f t="shared" si="101"/>
        <v/>
      </c>
      <c r="AM590" s="10" t="str">
        <f t="shared" si="102"/>
        <v/>
      </c>
    </row>
    <row r="591" spans="1:39" x14ac:dyDescent="0.25">
      <c r="A591" s="15">
        <v>19401545</v>
      </c>
      <c r="B591" s="15">
        <v>7.58</v>
      </c>
      <c r="C591" s="15">
        <v>208283</v>
      </c>
      <c r="D591" s="15">
        <v>90864</v>
      </c>
      <c r="E591" s="15" t="s">
        <v>473</v>
      </c>
      <c r="F591" s="15">
        <v>2011</v>
      </c>
      <c r="G591" s="15">
        <v>20110418</v>
      </c>
      <c r="H591" s="15">
        <v>67872</v>
      </c>
      <c r="I591" s="15">
        <v>6.79</v>
      </c>
      <c r="J591" s="6" t="s">
        <v>67</v>
      </c>
      <c r="K591" s="15">
        <v>15</v>
      </c>
      <c r="L591" s="15" t="s">
        <v>362</v>
      </c>
      <c r="M591" s="15" t="s">
        <v>5</v>
      </c>
      <c r="N591" s="11" t="s">
        <v>1391</v>
      </c>
      <c r="O591" s="11" t="s">
        <v>46</v>
      </c>
      <c r="P591" s="11" t="s">
        <v>33</v>
      </c>
      <c r="Q591" s="15">
        <v>0</v>
      </c>
      <c r="R591" s="11" t="s">
        <v>1386</v>
      </c>
      <c r="S591" s="10">
        <v>155.04206619239</v>
      </c>
      <c r="T591" s="15">
        <v>80</v>
      </c>
      <c r="U591" s="15">
        <v>1</v>
      </c>
      <c r="V591" s="15">
        <v>1</v>
      </c>
      <c r="W591" s="15">
        <v>0</v>
      </c>
      <c r="X591" s="15">
        <f>IF(O591='Udvaskning nøgletal'!$D$65,1,IF(O591='Udvaskning nøgletal'!$D$66,2,IF(O591='Udvaskning nøgletal'!$D$67,3,IF(O591='Udvaskning nøgletal'!$D$68,2,""))))</f>
        <v>2</v>
      </c>
      <c r="Y591" s="15">
        <f>LOOKUP(K591,'Udvaskning nøgletal'!$C$12:$C$60,'Udvaskning nøgletal'!$H$12:$H$60)</f>
        <v>5</v>
      </c>
      <c r="Z591" s="10">
        <f>IF(X591=1,LOOKUP(K591,'Udvaskning nøgletal'!$C$12:$C$60,'Udvaskning nøgletal'!$E$12:$E$60)+Markniveau!Y591*Markniveau!S591/100,IF(X591=2,LOOKUP(K591,'Udvaskning nøgletal'!$C$12:$C$60,'Udvaskning nøgletal'!$F$12:$F$60)+Markniveau!Y591*Markniveau!S591/100,IF(X591=3,LOOKUP(K591,'Udvaskning nøgletal'!$C$12:$C$60,'Udvaskning nøgletal'!G601:G649)+Markniveau!Y591*Markniveau!S591/100,"")))</f>
        <v>58.632103309619502</v>
      </c>
      <c r="AA591" s="10">
        <f t="shared" si="96"/>
        <v>398.11198147231642</v>
      </c>
      <c r="AB591" s="10" t="str">
        <f t="shared" si="95"/>
        <v/>
      </c>
      <c r="AC591" s="10" t="str">
        <f t="shared" si="97"/>
        <v/>
      </c>
      <c r="AD591" s="10">
        <f>IF(AND(Q591&gt;0,Q591&lt;30,K591&lt;8),Markniveau!Z591*'Udvaskning nøgletal'!$I$12/100,IF(AND(Q591&gt;0,Q591&lt;30,K591=216),Markniveau!Z591*'Udvaskning nøgletal'!$I$34/100,Markniveau!Z591))</f>
        <v>58.632103309619502</v>
      </c>
      <c r="AE591" s="10">
        <f t="shared" si="93"/>
        <v>398.11198147231642</v>
      </c>
      <c r="AF591" s="10" t="str">
        <f t="shared" si="98"/>
        <v/>
      </c>
      <c r="AG591" s="10" t="str">
        <f t="shared" si="94"/>
        <v/>
      </c>
      <c r="AH591" s="10" t="str">
        <f>IF(AND(Q591&gt;0,Q591&lt;30,K591=216),'Udvaskning nøgletal'!$C$42,IF(AND(Q591&gt;0,Q591&lt;30,K591&gt;7,K591&lt;17),'Udvaskning nøgletal'!$C$61,IF(AND(Q591&gt;0,Q591&lt;30,K591&lt;7),'Udvaskning nøgletal'!$C$62,"")))</f>
        <v/>
      </c>
      <c r="AI591" s="10">
        <f t="shared" si="100"/>
        <v>15</v>
      </c>
      <c r="AJ591" s="10">
        <f>IF($X591=1,LOOKUP(AI591,'Udvaskning nøgletal'!$C$12:$C$62,'Udvaskning nøgletal'!$E$12:$E$62)+Markniveau!$Y591*Markniveau!$S591/100,IF($X591=2,LOOKUP(AI591,'Udvaskning nøgletal'!$C$12:$C$62,'Udvaskning nøgletal'!$F$12:$F$62)+Markniveau!$Y591*Markniveau!$S591/100,IF($X591=3,LOOKUP(AI591,'Udvaskning nøgletal'!$C$12:$C$62,'Udvaskning nøgletal'!Q601:Q651)+Markniveau!$Y591*Markniveau!$S591/100,"")))</f>
        <v>58.632103309619502</v>
      </c>
      <c r="AK591" s="10">
        <f t="shared" si="99"/>
        <v>398.11198147231642</v>
      </c>
      <c r="AL591" s="10" t="str">
        <f t="shared" si="101"/>
        <v/>
      </c>
      <c r="AM591" s="10" t="str">
        <f t="shared" si="102"/>
        <v/>
      </c>
    </row>
    <row r="592" spans="1:39" x14ac:dyDescent="0.25">
      <c r="A592" s="15">
        <v>19401545</v>
      </c>
      <c r="B592" s="15">
        <v>7.58</v>
      </c>
      <c r="C592" s="15">
        <v>208286</v>
      </c>
      <c r="D592" s="15">
        <v>90864</v>
      </c>
      <c r="E592" s="15" t="s">
        <v>460</v>
      </c>
      <c r="F592" s="15">
        <v>2011</v>
      </c>
      <c r="G592" s="15">
        <v>20110418</v>
      </c>
      <c r="H592" s="15">
        <v>1845</v>
      </c>
      <c r="I592" s="15">
        <v>0.18</v>
      </c>
      <c r="J592" s="6" t="s">
        <v>474</v>
      </c>
      <c r="K592" s="15">
        <v>254</v>
      </c>
      <c r="L592" s="15" t="s">
        <v>27</v>
      </c>
      <c r="M592" s="15" t="s">
        <v>4</v>
      </c>
      <c r="N592" s="11" t="s">
        <v>1384</v>
      </c>
      <c r="O592" s="11" t="s">
        <v>28</v>
      </c>
      <c r="P592" s="11" t="s">
        <v>33</v>
      </c>
      <c r="Q592" s="15">
        <v>0</v>
      </c>
      <c r="R592" s="11" t="s">
        <v>1386</v>
      </c>
      <c r="S592" s="10">
        <v>155.04206619239</v>
      </c>
      <c r="T592" s="15">
        <v>80</v>
      </c>
      <c r="U592" s="15">
        <v>1</v>
      </c>
      <c r="V592" s="15">
        <v>1</v>
      </c>
      <c r="W592" s="15">
        <v>0</v>
      </c>
      <c r="X592" s="15">
        <f>IF(O592='Udvaskning nøgletal'!$D$65,1,IF(O592='Udvaskning nøgletal'!$D$66,2,IF(O592='Udvaskning nøgletal'!$D$67,3,IF(O592='Udvaskning nøgletal'!$D$68,2,""))))</f>
        <v>1</v>
      </c>
      <c r="Y592" s="15">
        <f>LOOKUP(K592,'Udvaskning nøgletal'!$C$12:$C$60,'Udvaskning nøgletal'!$H$12:$H$60)</f>
        <v>0</v>
      </c>
      <c r="Z592" s="10">
        <f>IF(X592=1,LOOKUP(K592,'Udvaskning nøgletal'!$C$12:$C$60,'Udvaskning nøgletal'!$E$12:$E$60)+Markniveau!Y592*Markniveau!S592/100,IF(X592=2,LOOKUP(K592,'Udvaskning nøgletal'!$C$12:$C$60,'Udvaskning nøgletal'!$F$12:$F$60)+Markniveau!Y592*Markniveau!S592/100,IF(X592=3,LOOKUP(K592,'Udvaskning nøgletal'!$C$12:$C$60,'Udvaskning nøgletal'!G602:G650)+Markniveau!Y592*Markniveau!S592/100,"")))</f>
        <v>21.2</v>
      </c>
      <c r="AA592" s="10">
        <f t="shared" si="96"/>
        <v>3.8159999999999998</v>
      </c>
      <c r="AB592" s="10" t="str">
        <f t="shared" si="95"/>
        <v/>
      </c>
      <c r="AC592" s="10" t="str">
        <f t="shared" si="97"/>
        <v/>
      </c>
      <c r="AD592" s="10">
        <f>IF(AND(Q592&gt;0,Q592&lt;30,K592&lt;8),Markniveau!Z592*'Udvaskning nøgletal'!$I$12/100,IF(AND(Q592&gt;0,Q592&lt;30,K592=216),Markniveau!Z592*'Udvaskning nøgletal'!$I$34/100,Markniveau!Z592))</f>
        <v>21.2</v>
      </c>
      <c r="AE592" s="10">
        <f t="shared" si="93"/>
        <v>3.8159999999999998</v>
      </c>
      <c r="AF592" s="10" t="str">
        <f t="shared" si="98"/>
        <v/>
      </c>
      <c r="AG592" s="10" t="str">
        <f t="shared" si="94"/>
        <v/>
      </c>
      <c r="AH592" s="10" t="str">
        <f>IF(AND(Q592&gt;0,Q592&lt;30,K592=216),'Udvaskning nøgletal'!$C$42,IF(AND(Q592&gt;0,Q592&lt;30,K592&gt;7,K592&lt;17),'Udvaskning nøgletal'!$C$61,IF(AND(Q592&gt;0,Q592&lt;30,K592&lt;7),'Udvaskning nøgletal'!$C$62,"")))</f>
        <v/>
      </c>
      <c r="AI592" s="10">
        <f t="shared" si="100"/>
        <v>254</v>
      </c>
      <c r="AJ592" s="10">
        <f>IF($X592=1,LOOKUP(AI592,'Udvaskning nøgletal'!$C$12:$C$62,'Udvaskning nøgletal'!$E$12:$E$62)+Markniveau!$Y592*Markniveau!$S592/100,IF($X592=2,LOOKUP(AI592,'Udvaskning nøgletal'!$C$12:$C$62,'Udvaskning nøgletal'!$F$12:$F$62)+Markniveau!$Y592*Markniveau!$S592/100,IF($X592=3,LOOKUP(AI592,'Udvaskning nøgletal'!$C$12:$C$62,'Udvaskning nøgletal'!Q602:Q652)+Markniveau!$Y592*Markniveau!$S592/100,"")))</f>
        <v>21.2</v>
      </c>
      <c r="AK592" s="10">
        <f t="shared" si="99"/>
        <v>3.8159999999999998</v>
      </c>
      <c r="AL592" s="10" t="str">
        <f t="shared" si="101"/>
        <v/>
      </c>
      <c r="AM592" s="10" t="str">
        <f t="shared" si="102"/>
        <v/>
      </c>
    </row>
    <row r="593" spans="1:39" x14ac:dyDescent="0.25">
      <c r="A593" s="15">
        <v>19401545</v>
      </c>
      <c r="B593" s="15">
        <v>7.58</v>
      </c>
      <c r="C593" s="15">
        <v>217605</v>
      </c>
      <c r="D593" s="15">
        <v>90864</v>
      </c>
      <c r="E593" s="15" t="s">
        <v>475</v>
      </c>
      <c r="F593" s="15">
        <v>2011</v>
      </c>
      <c r="G593" s="15">
        <v>20110418</v>
      </c>
      <c r="H593" s="15">
        <v>164771</v>
      </c>
      <c r="I593" s="15">
        <v>16.48</v>
      </c>
      <c r="J593" s="6" t="s">
        <v>476</v>
      </c>
      <c r="K593" s="15">
        <v>15</v>
      </c>
      <c r="L593" s="15" t="s">
        <v>362</v>
      </c>
      <c r="M593" s="15" t="s">
        <v>5</v>
      </c>
      <c r="N593" s="11" t="s">
        <v>1384</v>
      </c>
      <c r="O593" s="11" t="s">
        <v>28</v>
      </c>
      <c r="P593" s="11" t="s">
        <v>33</v>
      </c>
      <c r="Q593" s="15">
        <v>0</v>
      </c>
      <c r="R593" s="11" t="s">
        <v>1386</v>
      </c>
      <c r="S593" s="10">
        <v>155.04206619239</v>
      </c>
      <c r="T593" s="15">
        <v>80</v>
      </c>
      <c r="U593" s="15">
        <v>1</v>
      </c>
      <c r="V593" s="15">
        <v>1</v>
      </c>
      <c r="W593" s="15">
        <v>0</v>
      </c>
      <c r="X593" s="15">
        <f>IF(O593='Udvaskning nøgletal'!$D$65,1,IF(O593='Udvaskning nøgletal'!$D$66,2,IF(O593='Udvaskning nøgletal'!$D$67,3,IF(O593='Udvaskning nøgletal'!$D$68,2,""))))</f>
        <v>1</v>
      </c>
      <c r="Y593" s="15">
        <f>LOOKUP(K593,'Udvaskning nøgletal'!$C$12:$C$60,'Udvaskning nøgletal'!$H$12:$H$60)</f>
        <v>5</v>
      </c>
      <c r="Z593" s="10">
        <f>IF(X593=1,LOOKUP(K593,'Udvaskning nøgletal'!$C$12:$C$60,'Udvaskning nøgletal'!$E$12:$E$60)+Markniveau!Y593*Markniveau!S593/100,IF(X593=2,LOOKUP(K593,'Udvaskning nøgletal'!$C$12:$C$60,'Udvaskning nøgletal'!$F$12:$F$60)+Markniveau!Y593*Markniveau!S593/100,IF(X593=3,LOOKUP(K593,'Udvaskning nøgletal'!$C$12:$C$60,'Udvaskning nøgletal'!G603:G651)+Markniveau!Y593*Markniveau!S593/100,"")))</f>
        <v>72.412103309619496</v>
      </c>
      <c r="AA593" s="10">
        <f t="shared" si="96"/>
        <v>1193.3514625425294</v>
      </c>
      <c r="AB593" s="10" t="str">
        <f t="shared" si="95"/>
        <v/>
      </c>
      <c r="AC593" s="10" t="str">
        <f t="shared" si="97"/>
        <v/>
      </c>
      <c r="AD593" s="10">
        <f>IF(AND(Q593&gt;0,Q593&lt;30,K593&lt;8),Markniveau!Z593*'Udvaskning nøgletal'!$I$12/100,IF(AND(Q593&gt;0,Q593&lt;30,K593=216),Markniveau!Z593*'Udvaskning nøgletal'!$I$34/100,Markniveau!Z593))</f>
        <v>72.412103309619496</v>
      </c>
      <c r="AE593" s="10">
        <f t="shared" ref="AE593:AE656" si="103">AD593*I593</f>
        <v>1193.3514625425294</v>
      </c>
      <c r="AF593" s="10" t="str">
        <f t="shared" si="98"/>
        <v/>
      </c>
      <c r="AG593" s="10" t="str">
        <f t="shared" ref="AG593:AG656" si="104">IF($Q593&gt;0,(100-$Q593)*$AD593/100*I593,"")</f>
        <v/>
      </c>
      <c r="AH593" s="10" t="str">
        <f>IF(AND(Q593&gt;0,Q593&lt;30,K593=216),'Udvaskning nøgletal'!$C$42,IF(AND(Q593&gt;0,Q593&lt;30,K593&gt;7,K593&lt;17),'Udvaskning nøgletal'!$C$61,IF(AND(Q593&gt;0,Q593&lt;30,K593&lt;7),'Udvaskning nøgletal'!$C$62,"")))</f>
        <v/>
      </c>
      <c r="AI593" s="10">
        <f t="shared" si="100"/>
        <v>15</v>
      </c>
      <c r="AJ593" s="10">
        <f>IF($X593=1,LOOKUP(AI593,'Udvaskning nøgletal'!$C$12:$C$62,'Udvaskning nøgletal'!$E$12:$E$62)+Markniveau!$Y593*Markniveau!$S593/100,IF($X593=2,LOOKUP(AI593,'Udvaskning nøgletal'!$C$12:$C$62,'Udvaskning nøgletal'!$F$12:$F$62)+Markniveau!$Y593*Markniveau!$S593/100,IF($X593=3,LOOKUP(AI593,'Udvaskning nøgletal'!$C$12:$C$62,'Udvaskning nøgletal'!Q603:Q653)+Markniveau!$Y593*Markniveau!$S593/100,"")))</f>
        <v>72.412103309619496</v>
      </c>
      <c r="AK593" s="10">
        <f t="shared" si="99"/>
        <v>1193.3514625425294</v>
      </c>
      <c r="AL593" s="10" t="str">
        <f t="shared" si="101"/>
        <v/>
      </c>
      <c r="AM593" s="10" t="str">
        <f t="shared" si="102"/>
        <v/>
      </c>
    </row>
    <row r="594" spans="1:39" x14ac:dyDescent="0.25">
      <c r="A594" s="15">
        <v>19401545</v>
      </c>
      <c r="B594" s="15">
        <v>7.58</v>
      </c>
      <c r="C594" s="15">
        <v>219993</v>
      </c>
      <c r="D594" s="15">
        <v>90864</v>
      </c>
      <c r="E594" s="15" t="s">
        <v>477</v>
      </c>
      <c r="F594" s="15">
        <v>2011</v>
      </c>
      <c r="G594" s="15">
        <v>20110419</v>
      </c>
      <c r="H594" s="15">
        <v>81247</v>
      </c>
      <c r="I594" s="15">
        <v>8.1199999999999992</v>
      </c>
      <c r="J594" s="6" t="s">
        <v>478</v>
      </c>
      <c r="K594" s="15">
        <v>15</v>
      </c>
      <c r="L594" s="15" t="s">
        <v>362</v>
      </c>
      <c r="M594" s="15" t="s">
        <v>5</v>
      </c>
      <c r="N594" s="11" t="s">
        <v>1384</v>
      </c>
      <c r="O594" s="11" t="s">
        <v>28</v>
      </c>
      <c r="P594" s="11" t="s">
        <v>33</v>
      </c>
      <c r="Q594" s="15">
        <v>0</v>
      </c>
      <c r="R594" s="11" t="s">
        <v>1386</v>
      </c>
      <c r="S594" s="10">
        <v>155.04206619239</v>
      </c>
      <c r="T594" s="15">
        <v>80</v>
      </c>
      <c r="U594" s="15">
        <v>1</v>
      </c>
      <c r="V594" s="15">
        <v>1</v>
      </c>
      <c r="W594" s="15">
        <v>0</v>
      </c>
      <c r="X594" s="15">
        <f>IF(O594='Udvaskning nøgletal'!$D$65,1,IF(O594='Udvaskning nøgletal'!$D$66,2,IF(O594='Udvaskning nøgletal'!$D$67,3,IF(O594='Udvaskning nøgletal'!$D$68,2,""))))</f>
        <v>1</v>
      </c>
      <c r="Y594" s="15">
        <f>LOOKUP(K594,'Udvaskning nøgletal'!$C$12:$C$60,'Udvaskning nøgletal'!$H$12:$H$60)</f>
        <v>5</v>
      </c>
      <c r="Z594" s="10">
        <f>IF(X594=1,LOOKUP(K594,'Udvaskning nøgletal'!$C$12:$C$60,'Udvaskning nøgletal'!$E$12:$E$60)+Markniveau!Y594*Markniveau!S594/100,IF(X594=2,LOOKUP(K594,'Udvaskning nøgletal'!$C$12:$C$60,'Udvaskning nøgletal'!$F$12:$F$60)+Markniveau!Y594*Markniveau!S594/100,IF(X594=3,LOOKUP(K594,'Udvaskning nøgletal'!$C$12:$C$60,'Udvaskning nøgletal'!G604:G652)+Markniveau!Y594*Markniveau!S594/100,"")))</f>
        <v>72.412103309619496</v>
      </c>
      <c r="AA594" s="10">
        <f t="shared" si="96"/>
        <v>587.98627887411021</v>
      </c>
      <c r="AB594" s="10" t="str">
        <f t="shared" si="95"/>
        <v/>
      </c>
      <c r="AC594" s="10" t="str">
        <f t="shared" si="97"/>
        <v/>
      </c>
      <c r="AD594" s="10">
        <f>IF(AND(Q594&gt;0,Q594&lt;30,K594&lt;8),Markniveau!Z594*'Udvaskning nøgletal'!$I$12/100,IF(AND(Q594&gt;0,Q594&lt;30,K594=216),Markniveau!Z594*'Udvaskning nøgletal'!$I$34/100,Markniveau!Z594))</f>
        <v>72.412103309619496</v>
      </c>
      <c r="AE594" s="10">
        <f t="shared" si="103"/>
        <v>587.98627887411021</v>
      </c>
      <c r="AF594" s="10" t="str">
        <f t="shared" si="98"/>
        <v/>
      </c>
      <c r="AG594" s="10" t="str">
        <f t="shared" si="104"/>
        <v/>
      </c>
      <c r="AH594" s="10" t="str">
        <f>IF(AND(Q594&gt;0,Q594&lt;30,K594=216),'Udvaskning nøgletal'!$C$42,IF(AND(Q594&gt;0,Q594&lt;30,K594&gt;7,K594&lt;17),'Udvaskning nøgletal'!$C$61,IF(AND(Q594&gt;0,Q594&lt;30,K594&lt;7),'Udvaskning nøgletal'!$C$62,"")))</f>
        <v/>
      </c>
      <c r="AI594" s="10">
        <f t="shared" si="100"/>
        <v>15</v>
      </c>
      <c r="AJ594" s="10">
        <f>IF($X594=1,LOOKUP(AI594,'Udvaskning nøgletal'!$C$12:$C$62,'Udvaskning nøgletal'!$E$12:$E$62)+Markniveau!$Y594*Markniveau!$S594/100,IF($X594=2,LOOKUP(AI594,'Udvaskning nøgletal'!$C$12:$C$62,'Udvaskning nøgletal'!$F$12:$F$62)+Markniveau!$Y594*Markniveau!$S594/100,IF($X594=3,LOOKUP(AI594,'Udvaskning nøgletal'!$C$12:$C$62,'Udvaskning nøgletal'!Q604:Q654)+Markniveau!$Y594*Markniveau!$S594/100,"")))</f>
        <v>72.412103309619496</v>
      </c>
      <c r="AK594" s="10">
        <f t="shared" si="99"/>
        <v>587.98627887411021</v>
      </c>
      <c r="AL594" s="10" t="str">
        <f t="shared" si="101"/>
        <v/>
      </c>
      <c r="AM594" s="10" t="str">
        <f t="shared" si="102"/>
        <v/>
      </c>
    </row>
    <row r="595" spans="1:39" x14ac:dyDescent="0.25">
      <c r="A595" s="15">
        <v>19401545</v>
      </c>
      <c r="B595" s="15">
        <v>7.58</v>
      </c>
      <c r="C595" s="15">
        <v>309081</v>
      </c>
      <c r="D595" s="15">
        <v>90864</v>
      </c>
      <c r="E595" s="15" t="s">
        <v>457</v>
      </c>
      <c r="F595" s="15">
        <v>2011</v>
      </c>
      <c r="G595" s="15">
        <v>20110418</v>
      </c>
      <c r="H595" s="15">
        <v>5151</v>
      </c>
      <c r="I595" s="15">
        <v>0.52</v>
      </c>
      <c r="J595" s="6" t="s">
        <v>479</v>
      </c>
      <c r="K595" s="15">
        <v>252</v>
      </c>
      <c r="L595" s="15" t="s">
        <v>41</v>
      </c>
      <c r="M595" s="15" t="s">
        <v>4</v>
      </c>
      <c r="N595" s="11" t="s">
        <v>1391</v>
      </c>
      <c r="O595" s="11" t="s">
        <v>46</v>
      </c>
      <c r="P595" s="11" t="s">
        <v>33</v>
      </c>
      <c r="Q595" s="15">
        <v>0</v>
      </c>
      <c r="R595" s="11" t="s">
        <v>1386</v>
      </c>
      <c r="S595" s="10">
        <v>155.04206619239</v>
      </c>
      <c r="T595" s="15">
        <v>80</v>
      </c>
      <c r="U595" s="15">
        <v>1</v>
      </c>
      <c r="V595" s="15">
        <v>1</v>
      </c>
      <c r="W595" s="15">
        <v>0</v>
      </c>
      <c r="X595" s="15">
        <f>IF(O595='Udvaskning nøgletal'!$D$65,1,IF(O595='Udvaskning nøgletal'!$D$66,2,IF(O595='Udvaskning nøgletal'!$D$67,3,IF(O595='Udvaskning nøgletal'!$D$68,2,""))))</f>
        <v>2</v>
      </c>
      <c r="Y595" s="15">
        <f>LOOKUP(K595,'Udvaskning nøgletal'!$C$12:$C$60,'Udvaskning nøgletal'!$H$12:$H$60)</f>
        <v>0</v>
      </c>
      <c r="Z595" s="10">
        <f>IF(X595=1,LOOKUP(K595,'Udvaskning nøgletal'!$C$12:$C$60,'Udvaskning nøgletal'!$E$12:$E$60)+Markniveau!Y595*Markniveau!S595/100,IF(X595=2,LOOKUP(K595,'Udvaskning nøgletal'!$C$12:$C$60,'Udvaskning nøgletal'!$F$12:$F$60)+Markniveau!Y595*Markniveau!S595/100,IF(X595=3,LOOKUP(K595,'Udvaskning nøgletal'!$C$12:$C$60,'Udvaskning nøgletal'!G605:G653)+Markniveau!Y595*Markniveau!S595/100,"")))</f>
        <v>21.2</v>
      </c>
      <c r="AA595" s="10">
        <f t="shared" si="96"/>
        <v>11.023999999999999</v>
      </c>
      <c r="AB595" s="10" t="str">
        <f t="shared" si="95"/>
        <v/>
      </c>
      <c r="AC595" s="10" t="str">
        <f t="shared" si="97"/>
        <v/>
      </c>
      <c r="AD595" s="10">
        <f>IF(AND(Q595&gt;0,Q595&lt;30,K595&lt;8),Markniveau!Z595*'Udvaskning nøgletal'!$I$12/100,IF(AND(Q595&gt;0,Q595&lt;30,K595=216),Markniveau!Z595*'Udvaskning nøgletal'!$I$34/100,Markniveau!Z595))</f>
        <v>21.2</v>
      </c>
      <c r="AE595" s="10">
        <f t="shared" si="103"/>
        <v>11.023999999999999</v>
      </c>
      <c r="AF595" s="10" t="str">
        <f t="shared" si="98"/>
        <v/>
      </c>
      <c r="AG595" s="10" t="str">
        <f t="shared" si="104"/>
        <v/>
      </c>
      <c r="AH595" s="10" t="str">
        <f>IF(AND(Q595&gt;0,Q595&lt;30,K595=216),'Udvaskning nøgletal'!$C$42,IF(AND(Q595&gt;0,Q595&lt;30,K595&gt;7,K595&lt;17),'Udvaskning nøgletal'!$C$61,IF(AND(Q595&gt;0,Q595&lt;30,K595&lt;7),'Udvaskning nøgletal'!$C$62,"")))</f>
        <v/>
      </c>
      <c r="AI595" s="10">
        <f t="shared" si="100"/>
        <v>252</v>
      </c>
      <c r="AJ595" s="10">
        <f>IF($X595=1,LOOKUP(AI595,'Udvaskning nøgletal'!$C$12:$C$62,'Udvaskning nøgletal'!$E$12:$E$62)+Markniveau!$Y595*Markniveau!$S595/100,IF($X595=2,LOOKUP(AI595,'Udvaskning nøgletal'!$C$12:$C$62,'Udvaskning nøgletal'!$F$12:$F$62)+Markniveau!$Y595*Markniveau!$S595/100,IF($X595=3,LOOKUP(AI595,'Udvaskning nøgletal'!$C$12:$C$62,'Udvaskning nøgletal'!Q605:Q655)+Markniveau!$Y595*Markniveau!$S595/100,"")))</f>
        <v>21.2</v>
      </c>
      <c r="AK595" s="10">
        <f t="shared" si="99"/>
        <v>11.023999999999999</v>
      </c>
      <c r="AL595" s="10" t="str">
        <f t="shared" si="101"/>
        <v/>
      </c>
      <c r="AM595" s="10" t="str">
        <f t="shared" si="102"/>
        <v/>
      </c>
    </row>
    <row r="596" spans="1:39" x14ac:dyDescent="0.25">
      <c r="A596" s="15">
        <v>19401545</v>
      </c>
      <c r="B596" s="15">
        <v>7.58</v>
      </c>
      <c r="C596" s="15">
        <v>314179</v>
      </c>
      <c r="D596" s="15">
        <v>90864</v>
      </c>
      <c r="E596" s="15" t="s">
        <v>480</v>
      </c>
      <c r="F596" s="15">
        <v>2011</v>
      </c>
      <c r="G596" s="15">
        <v>20110418</v>
      </c>
      <c r="H596" s="15">
        <v>21565</v>
      </c>
      <c r="I596" s="15">
        <v>2.16</v>
      </c>
      <c r="J596" s="6" t="s">
        <v>73</v>
      </c>
      <c r="K596" s="15">
        <v>216</v>
      </c>
      <c r="L596" s="15" t="s">
        <v>116</v>
      </c>
      <c r="M596" s="15" t="s">
        <v>5</v>
      </c>
      <c r="N596" s="11" t="s">
        <v>1384</v>
      </c>
      <c r="O596" s="11" t="s">
        <v>28</v>
      </c>
      <c r="P596" s="11" t="s">
        <v>33</v>
      </c>
      <c r="Q596" s="15">
        <v>0</v>
      </c>
      <c r="R596" s="11" t="s">
        <v>1386</v>
      </c>
      <c r="S596" s="10">
        <v>155.04206619239</v>
      </c>
      <c r="T596" s="15">
        <v>80</v>
      </c>
      <c r="U596" s="15">
        <v>1</v>
      </c>
      <c r="V596" s="15">
        <v>1</v>
      </c>
      <c r="W596" s="15">
        <v>0</v>
      </c>
      <c r="X596" s="15">
        <f>IF(O596='Udvaskning nøgletal'!$D$65,1,IF(O596='Udvaskning nøgletal'!$D$66,2,IF(O596='Udvaskning nøgletal'!$D$67,3,IF(O596='Udvaskning nøgletal'!$D$68,2,""))))</f>
        <v>1</v>
      </c>
      <c r="Y596" s="15">
        <f>LOOKUP(K596,'Udvaskning nøgletal'!$C$12:$C$60,'Udvaskning nøgletal'!$H$12:$H$60)</f>
        <v>0</v>
      </c>
      <c r="Z596" s="10">
        <f>IF(X596=1,LOOKUP(K596,'Udvaskning nøgletal'!$C$12:$C$60,'Udvaskning nøgletal'!$E$12:$E$60)+Markniveau!Y596*Markniveau!S596/100,IF(X596=2,LOOKUP(K596,'Udvaskning nøgletal'!$C$12:$C$60,'Udvaskning nøgletal'!$F$12:$F$60)+Markniveau!Y596*Markniveau!S596/100,IF(X596=3,LOOKUP(K596,'Udvaskning nøgletal'!$C$12:$C$60,'Udvaskning nøgletal'!G606:G654)+Markniveau!Y596*Markniveau!S596/100,"")))</f>
        <v>125.85383557148924</v>
      </c>
      <c r="AA596" s="10">
        <f t="shared" si="96"/>
        <v>271.84428483441678</v>
      </c>
      <c r="AB596" s="10" t="str">
        <f t="shared" si="95"/>
        <v/>
      </c>
      <c r="AC596" s="10" t="str">
        <f t="shared" si="97"/>
        <v/>
      </c>
      <c r="AD596" s="10">
        <f>IF(AND(Q596&gt;0,Q596&lt;30,K596&lt;8),Markniveau!Z596*'Udvaskning nøgletal'!$I$12/100,IF(AND(Q596&gt;0,Q596&lt;30,K596=216),Markniveau!Z596*'Udvaskning nøgletal'!$I$34/100,Markniveau!Z596))</f>
        <v>125.85383557148924</v>
      </c>
      <c r="AE596" s="10">
        <f t="shared" si="103"/>
        <v>271.84428483441678</v>
      </c>
      <c r="AF596" s="10" t="str">
        <f t="shared" si="98"/>
        <v/>
      </c>
      <c r="AG596" s="10" t="str">
        <f t="shared" si="104"/>
        <v/>
      </c>
      <c r="AH596" s="10" t="str">
        <f>IF(AND(Q596&gt;0,Q596&lt;30,K596=216),'Udvaskning nøgletal'!$C$42,IF(AND(Q596&gt;0,Q596&lt;30,K596&gt;7,K596&lt;17),'Udvaskning nøgletal'!$C$61,IF(AND(Q596&gt;0,Q596&lt;30,K596&lt;7),'Udvaskning nøgletal'!$C$62,"")))</f>
        <v/>
      </c>
      <c r="AI596" s="10">
        <f t="shared" si="100"/>
        <v>216</v>
      </c>
      <c r="AJ596" s="10">
        <f>IF($X596=1,LOOKUP(AI596,'Udvaskning nøgletal'!$C$12:$C$62,'Udvaskning nøgletal'!$E$12:$E$62)+Markniveau!$Y596*Markniveau!$S596/100,IF($X596=2,LOOKUP(AI596,'Udvaskning nøgletal'!$C$12:$C$62,'Udvaskning nøgletal'!$F$12:$F$62)+Markniveau!$Y596*Markniveau!$S596/100,IF($X596=3,LOOKUP(AI596,'Udvaskning nøgletal'!$C$12:$C$62,'Udvaskning nøgletal'!Q606:Q656)+Markniveau!$Y596*Markniveau!$S596/100,"")))</f>
        <v>125.85383557148924</v>
      </c>
      <c r="AK596" s="10">
        <f t="shared" si="99"/>
        <v>271.84428483441678</v>
      </c>
      <c r="AL596" s="10" t="str">
        <f t="shared" si="101"/>
        <v/>
      </c>
      <c r="AM596" s="10" t="str">
        <f t="shared" si="102"/>
        <v/>
      </c>
    </row>
    <row r="597" spans="1:39" x14ac:dyDescent="0.25">
      <c r="A597" s="15">
        <v>19401545</v>
      </c>
      <c r="B597" s="15">
        <v>7.58</v>
      </c>
      <c r="C597" s="15">
        <v>130960</v>
      </c>
      <c r="D597" s="15">
        <v>90864</v>
      </c>
      <c r="E597" s="15" t="s">
        <v>455</v>
      </c>
      <c r="F597" s="15">
        <v>2011</v>
      </c>
      <c r="G597" s="15">
        <v>20110418</v>
      </c>
      <c r="H597" s="15">
        <v>21722</v>
      </c>
      <c r="I597" s="15">
        <v>2.17</v>
      </c>
      <c r="J597" s="6" t="s">
        <v>481</v>
      </c>
      <c r="K597" s="15">
        <v>254</v>
      </c>
      <c r="L597" s="15" t="s">
        <v>27</v>
      </c>
      <c r="M597" s="15" t="s">
        <v>4</v>
      </c>
      <c r="N597" s="11" t="s">
        <v>1384</v>
      </c>
      <c r="O597" s="11" t="s">
        <v>28</v>
      </c>
      <c r="P597" s="11" t="s">
        <v>33</v>
      </c>
      <c r="Q597" s="15">
        <v>0</v>
      </c>
      <c r="R597" s="11" t="s">
        <v>1386</v>
      </c>
      <c r="S597" s="10">
        <v>155.04206619239</v>
      </c>
      <c r="T597" s="15">
        <v>80</v>
      </c>
      <c r="U597" s="15">
        <v>1</v>
      </c>
      <c r="V597" s="15">
        <v>1</v>
      </c>
      <c r="W597" s="15">
        <v>0</v>
      </c>
      <c r="X597" s="15">
        <f>IF(O597='Udvaskning nøgletal'!$D$65,1,IF(O597='Udvaskning nøgletal'!$D$66,2,IF(O597='Udvaskning nøgletal'!$D$67,3,IF(O597='Udvaskning nøgletal'!$D$68,2,""))))</f>
        <v>1</v>
      </c>
      <c r="Y597" s="15">
        <f>LOOKUP(K597,'Udvaskning nøgletal'!$C$12:$C$60,'Udvaskning nøgletal'!$H$12:$H$60)</f>
        <v>0</v>
      </c>
      <c r="Z597" s="10">
        <f>IF(X597=1,LOOKUP(K597,'Udvaskning nøgletal'!$C$12:$C$60,'Udvaskning nøgletal'!$E$12:$E$60)+Markniveau!Y597*Markniveau!S597/100,IF(X597=2,LOOKUP(K597,'Udvaskning nøgletal'!$C$12:$C$60,'Udvaskning nøgletal'!$F$12:$F$60)+Markniveau!Y597*Markniveau!S597/100,IF(X597=3,LOOKUP(K597,'Udvaskning nøgletal'!$C$12:$C$60,'Udvaskning nøgletal'!G607:G655)+Markniveau!Y597*Markniveau!S597/100,"")))</f>
        <v>21.2</v>
      </c>
      <c r="AA597" s="10">
        <f t="shared" si="96"/>
        <v>46.003999999999998</v>
      </c>
      <c r="AB597" s="10" t="str">
        <f t="shared" si="95"/>
        <v/>
      </c>
      <c r="AC597" s="10" t="str">
        <f t="shared" si="97"/>
        <v/>
      </c>
      <c r="AD597" s="10">
        <f>IF(AND(Q597&gt;0,Q597&lt;30,K597&lt;8),Markniveau!Z597*'Udvaskning nøgletal'!$I$12/100,IF(AND(Q597&gt;0,Q597&lt;30,K597=216),Markniveau!Z597*'Udvaskning nøgletal'!$I$34/100,Markniveau!Z597))</f>
        <v>21.2</v>
      </c>
      <c r="AE597" s="10">
        <f t="shared" si="103"/>
        <v>46.003999999999998</v>
      </c>
      <c r="AF597" s="10" t="str">
        <f t="shared" si="98"/>
        <v/>
      </c>
      <c r="AG597" s="10" t="str">
        <f t="shared" si="104"/>
        <v/>
      </c>
      <c r="AH597" s="10" t="str">
        <f>IF(AND(Q597&gt;0,Q597&lt;30,K597=216),'Udvaskning nøgletal'!$C$42,IF(AND(Q597&gt;0,Q597&lt;30,K597&gt;7,K597&lt;17),'Udvaskning nøgletal'!$C$61,IF(AND(Q597&gt;0,Q597&lt;30,K597&lt;7),'Udvaskning nøgletal'!$C$62,"")))</f>
        <v/>
      </c>
      <c r="AI597" s="10">
        <f t="shared" si="100"/>
        <v>254</v>
      </c>
      <c r="AJ597" s="10">
        <f>IF($X597=1,LOOKUP(AI597,'Udvaskning nøgletal'!$C$12:$C$62,'Udvaskning nøgletal'!$E$12:$E$62)+Markniveau!$Y597*Markniveau!$S597/100,IF($X597=2,LOOKUP(AI597,'Udvaskning nøgletal'!$C$12:$C$62,'Udvaskning nøgletal'!$F$12:$F$62)+Markniveau!$Y597*Markniveau!$S597/100,IF($X597=3,LOOKUP(AI597,'Udvaskning nøgletal'!$C$12:$C$62,'Udvaskning nøgletal'!Q607:Q657)+Markniveau!$Y597*Markniveau!$S597/100,"")))</f>
        <v>21.2</v>
      </c>
      <c r="AK597" s="10">
        <f t="shared" si="99"/>
        <v>46.003999999999998</v>
      </c>
      <c r="AL597" s="10" t="str">
        <f t="shared" si="101"/>
        <v/>
      </c>
      <c r="AM597" s="10" t="str">
        <f t="shared" si="102"/>
        <v/>
      </c>
    </row>
    <row r="598" spans="1:39" x14ac:dyDescent="0.25">
      <c r="A598" s="15">
        <v>19401545</v>
      </c>
      <c r="B598" s="15">
        <v>7.58</v>
      </c>
      <c r="C598" s="15">
        <v>137038</v>
      </c>
      <c r="D598" s="15">
        <v>90864</v>
      </c>
      <c r="E598" s="15" t="s">
        <v>451</v>
      </c>
      <c r="F598" s="15">
        <v>2011</v>
      </c>
      <c r="G598" s="15">
        <v>20110418</v>
      </c>
      <c r="H598" s="15">
        <v>31359</v>
      </c>
      <c r="I598" s="15">
        <v>3.14</v>
      </c>
      <c r="J598" s="6" t="s">
        <v>482</v>
      </c>
      <c r="K598" s="15">
        <v>254</v>
      </c>
      <c r="L598" s="15" t="s">
        <v>27</v>
      </c>
      <c r="M598" s="15" t="s">
        <v>4</v>
      </c>
      <c r="N598" s="11" t="s">
        <v>1384</v>
      </c>
      <c r="O598" s="11" t="s">
        <v>28</v>
      </c>
      <c r="P598" s="11" t="s">
        <v>33</v>
      </c>
      <c r="Q598" s="15">
        <v>0</v>
      </c>
      <c r="R598" s="11" t="s">
        <v>1386</v>
      </c>
      <c r="S598" s="10">
        <v>155.04206619239</v>
      </c>
      <c r="T598" s="15">
        <v>80</v>
      </c>
      <c r="U598" s="15">
        <v>1</v>
      </c>
      <c r="V598" s="15">
        <v>1</v>
      </c>
      <c r="W598" s="15">
        <v>0</v>
      </c>
      <c r="X598" s="15">
        <f>IF(O598='Udvaskning nøgletal'!$D$65,1,IF(O598='Udvaskning nøgletal'!$D$66,2,IF(O598='Udvaskning nøgletal'!$D$67,3,IF(O598='Udvaskning nøgletal'!$D$68,2,""))))</f>
        <v>1</v>
      </c>
      <c r="Y598" s="15">
        <f>LOOKUP(K598,'Udvaskning nøgletal'!$C$12:$C$60,'Udvaskning nøgletal'!$H$12:$H$60)</f>
        <v>0</v>
      </c>
      <c r="Z598" s="10">
        <f>IF(X598=1,LOOKUP(K598,'Udvaskning nøgletal'!$C$12:$C$60,'Udvaskning nøgletal'!$E$12:$E$60)+Markniveau!Y598*Markniveau!S598/100,IF(X598=2,LOOKUP(K598,'Udvaskning nøgletal'!$C$12:$C$60,'Udvaskning nøgletal'!$F$12:$F$60)+Markniveau!Y598*Markniveau!S598/100,IF(X598=3,LOOKUP(K598,'Udvaskning nøgletal'!$C$12:$C$60,'Udvaskning nøgletal'!G608:G656)+Markniveau!Y598*Markniveau!S598/100,"")))</f>
        <v>21.2</v>
      </c>
      <c r="AA598" s="10">
        <f t="shared" si="96"/>
        <v>66.567999999999998</v>
      </c>
      <c r="AB598" s="10" t="str">
        <f t="shared" si="95"/>
        <v/>
      </c>
      <c r="AC598" s="10" t="str">
        <f t="shared" si="97"/>
        <v/>
      </c>
      <c r="AD598" s="10">
        <f>IF(AND(Q598&gt;0,Q598&lt;30,K598&lt;8),Markniveau!Z598*'Udvaskning nøgletal'!$I$12/100,IF(AND(Q598&gt;0,Q598&lt;30,K598=216),Markniveau!Z598*'Udvaskning nøgletal'!$I$34/100,Markniveau!Z598))</f>
        <v>21.2</v>
      </c>
      <c r="AE598" s="10">
        <f t="shared" si="103"/>
        <v>66.567999999999998</v>
      </c>
      <c r="AF598" s="10" t="str">
        <f t="shared" si="98"/>
        <v/>
      </c>
      <c r="AG598" s="10" t="str">
        <f t="shared" si="104"/>
        <v/>
      </c>
      <c r="AH598" s="10" t="str">
        <f>IF(AND(Q598&gt;0,Q598&lt;30,K598=216),'Udvaskning nøgletal'!$C$42,IF(AND(Q598&gt;0,Q598&lt;30,K598&gt;7,K598&lt;17),'Udvaskning nøgletal'!$C$61,IF(AND(Q598&gt;0,Q598&lt;30,K598&lt;7),'Udvaskning nøgletal'!$C$62,"")))</f>
        <v/>
      </c>
      <c r="AI598" s="10">
        <f t="shared" si="100"/>
        <v>254</v>
      </c>
      <c r="AJ598" s="10">
        <f>IF($X598=1,LOOKUP(AI598,'Udvaskning nøgletal'!$C$12:$C$62,'Udvaskning nøgletal'!$E$12:$E$62)+Markniveau!$Y598*Markniveau!$S598/100,IF($X598=2,LOOKUP(AI598,'Udvaskning nøgletal'!$C$12:$C$62,'Udvaskning nøgletal'!$F$12:$F$62)+Markniveau!$Y598*Markniveau!$S598/100,IF($X598=3,LOOKUP(AI598,'Udvaskning nøgletal'!$C$12:$C$62,'Udvaskning nøgletal'!Q608:Q658)+Markniveau!$Y598*Markniveau!$S598/100,"")))</f>
        <v>21.2</v>
      </c>
      <c r="AK598" s="10">
        <f t="shared" si="99"/>
        <v>66.567999999999998</v>
      </c>
      <c r="AL598" s="10" t="str">
        <f t="shared" si="101"/>
        <v/>
      </c>
      <c r="AM598" s="10" t="str">
        <f t="shared" si="102"/>
        <v/>
      </c>
    </row>
    <row r="599" spans="1:39" x14ac:dyDescent="0.25">
      <c r="A599" s="15">
        <v>19446387</v>
      </c>
      <c r="B599" s="15">
        <v>24.06</v>
      </c>
      <c r="C599" s="15">
        <v>49532</v>
      </c>
      <c r="D599" s="15">
        <v>89055</v>
      </c>
      <c r="E599" s="15" t="s">
        <v>483</v>
      </c>
      <c r="F599" s="15">
        <v>2011</v>
      </c>
      <c r="G599" s="15">
        <v>20110403</v>
      </c>
      <c r="H599" s="15">
        <v>19919</v>
      </c>
      <c r="I599" s="15">
        <v>1.99</v>
      </c>
      <c r="J599" s="6" t="s">
        <v>1466</v>
      </c>
      <c r="K599" s="15">
        <v>11</v>
      </c>
      <c r="L599" s="15" t="s">
        <v>102</v>
      </c>
      <c r="M599" s="15" t="s">
        <v>5</v>
      </c>
      <c r="N599" s="11" t="s">
        <v>1391</v>
      </c>
      <c r="O599" s="11" t="s">
        <v>46</v>
      </c>
      <c r="P599" s="11" t="s">
        <v>29</v>
      </c>
      <c r="Q599" s="15">
        <v>95</v>
      </c>
      <c r="R599" s="11" t="s">
        <v>3</v>
      </c>
      <c r="S599" s="10">
        <v>111.65698972756</v>
      </c>
      <c r="T599" s="15">
        <v>80</v>
      </c>
      <c r="U599" s="15">
        <v>0</v>
      </c>
      <c r="V599" s="15">
        <v>0</v>
      </c>
      <c r="W599" s="15">
        <v>0</v>
      </c>
      <c r="X599" s="15">
        <f>IF(O599='Udvaskning nøgletal'!$D$65,1,IF(O599='Udvaskning nøgletal'!$D$66,2,IF(O599='Udvaskning nøgletal'!$D$67,3,IF(O599='Udvaskning nøgletal'!$D$68,2,""))))</f>
        <v>2</v>
      </c>
      <c r="Y599" s="15">
        <f>LOOKUP(K599,'Udvaskning nøgletal'!$C$12:$C$60,'Udvaskning nøgletal'!$H$12:$H$60)</f>
        <v>5</v>
      </c>
      <c r="Z599" s="10">
        <f>IF(X599=1,LOOKUP(K599,'Udvaskning nøgletal'!$C$12:$C$60,'Udvaskning nøgletal'!$E$12:$E$60)+Markniveau!Y599*Markniveau!S599/100,IF(X599=2,LOOKUP(K599,'Udvaskning nøgletal'!$C$12:$C$60,'Udvaskning nøgletal'!$F$12:$F$60)+Markniveau!Y599*Markniveau!S599/100,IF(X599=3,LOOKUP(K599,'Udvaskning nøgletal'!$C$12:$C$60,'Udvaskning nøgletal'!G609:G657)+Markniveau!Y599*Markniveau!S599/100,"")))</f>
        <v>56.462849486378005</v>
      </c>
      <c r="AA599" s="10">
        <f t="shared" si="96"/>
        <v>112.36107047789223</v>
      </c>
      <c r="AB599" s="10">
        <f t="shared" si="95"/>
        <v>2.8231424743189</v>
      </c>
      <c r="AC599" s="10">
        <f t="shared" si="97"/>
        <v>5.618053523894611</v>
      </c>
      <c r="AD599" s="10">
        <f>IF(AND(Q599&gt;0,Q599&lt;30,K599&lt;8),Markniveau!Z599*'Udvaskning nøgletal'!$I$12/100,IF(AND(Q599&gt;0,Q599&lt;30,K599=216),Markniveau!Z599*'Udvaskning nøgletal'!$I$34/100,Markniveau!Z599))</f>
        <v>56.462849486378005</v>
      </c>
      <c r="AE599" s="10">
        <f t="shared" si="103"/>
        <v>112.36107047789223</v>
      </c>
      <c r="AF599" s="10">
        <f t="shared" si="98"/>
        <v>2.8231424743189</v>
      </c>
      <c r="AG599" s="10">
        <f t="shared" si="104"/>
        <v>5.618053523894611</v>
      </c>
      <c r="AH599" s="10" t="str">
        <f>IF(AND(Q599&gt;0,Q599&lt;30,K599=216),'Udvaskning nøgletal'!$C$42,IF(AND(Q599&gt;0,Q599&lt;30,K599&gt;7,K599&lt;17),'Udvaskning nøgletal'!$C$61,IF(AND(Q599&gt;0,Q599&lt;30,K599&lt;7),'Udvaskning nøgletal'!$C$62,"")))</f>
        <v/>
      </c>
      <c r="AI599" s="10">
        <f t="shared" si="100"/>
        <v>11</v>
      </c>
      <c r="AJ599" s="10">
        <f>IF($X599=1,LOOKUP(AI599,'Udvaskning nøgletal'!$C$12:$C$62,'Udvaskning nøgletal'!$E$12:$E$62)+Markniveau!$Y599*Markniveau!$S599/100,IF($X599=2,LOOKUP(AI599,'Udvaskning nøgletal'!$C$12:$C$62,'Udvaskning nøgletal'!$F$12:$F$62)+Markniveau!$Y599*Markniveau!$S599/100,IF($X599=3,LOOKUP(AI599,'Udvaskning nøgletal'!$C$12:$C$62,'Udvaskning nøgletal'!Q609:Q659)+Markniveau!$Y599*Markniveau!$S599/100,"")))</f>
        <v>56.462849486378005</v>
      </c>
      <c r="AK599" s="10">
        <f t="shared" si="99"/>
        <v>112.36107047789223</v>
      </c>
      <c r="AL599" s="10">
        <f t="shared" si="101"/>
        <v>2.8231424743189</v>
      </c>
      <c r="AM599" s="10">
        <f t="shared" si="102"/>
        <v>5.618053523894611</v>
      </c>
    </row>
    <row r="600" spans="1:39" x14ac:dyDescent="0.25">
      <c r="A600" s="15">
        <v>19446387</v>
      </c>
      <c r="B600" s="15">
        <v>24.06</v>
      </c>
      <c r="C600" s="15">
        <v>49533</v>
      </c>
      <c r="D600" s="15">
        <v>89055</v>
      </c>
      <c r="E600" s="15" t="s">
        <v>483</v>
      </c>
      <c r="F600" s="15">
        <v>2011</v>
      </c>
      <c r="G600" s="15">
        <v>20110403</v>
      </c>
      <c r="H600" s="15">
        <v>3421</v>
      </c>
      <c r="I600" s="15">
        <v>0.34</v>
      </c>
      <c r="J600" s="6" t="s">
        <v>1470</v>
      </c>
      <c r="K600" s="15">
        <v>310</v>
      </c>
      <c r="L600" s="15" t="s">
        <v>484</v>
      </c>
      <c r="M600" s="15" t="s">
        <v>81</v>
      </c>
      <c r="N600" s="11" t="s">
        <v>1391</v>
      </c>
      <c r="O600" s="11" t="s">
        <v>46</v>
      </c>
      <c r="P600" s="11" t="s">
        <v>29</v>
      </c>
      <c r="Q600" s="15">
        <v>95</v>
      </c>
      <c r="R600" s="11" t="s">
        <v>3</v>
      </c>
      <c r="S600" s="10">
        <v>111.65698972756</v>
      </c>
      <c r="T600" s="15">
        <v>80</v>
      </c>
      <c r="U600" s="15">
        <v>0</v>
      </c>
      <c r="V600" s="15">
        <v>0</v>
      </c>
      <c r="W600" s="15">
        <v>0</v>
      </c>
      <c r="X600" s="15">
        <f>IF(O600='Udvaskning nøgletal'!$D$65,1,IF(O600='Udvaskning nøgletal'!$D$66,2,IF(O600='Udvaskning nøgletal'!$D$67,3,IF(O600='Udvaskning nøgletal'!$D$68,2,""))))</f>
        <v>2</v>
      </c>
      <c r="Y600" s="15">
        <f>LOOKUP(K600,'Udvaskning nøgletal'!$C$12:$C$60,'Udvaskning nøgletal'!$H$12:$H$60)</f>
        <v>0</v>
      </c>
      <c r="Z600" s="10">
        <f>IF(X600=1,LOOKUP(K600,'Udvaskning nøgletal'!$C$12:$C$60,'Udvaskning nøgletal'!$E$12:$E$60)+Markniveau!Y600*Markniveau!S600/100,IF(X600=2,LOOKUP(K600,'Udvaskning nøgletal'!$C$12:$C$60,'Udvaskning nøgletal'!$F$12:$F$60)+Markniveau!Y600*Markniveau!S600/100,IF(X600=3,LOOKUP(K600,'Udvaskning nøgletal'!$C$12:$C$60,'Udvaskning nøgletal'!G610:G658)+Markniveau!Y600*Markniveau!S600/100,"")))</f>
        <v>10</v>
      </c>
      <c r="AA600" s="10">
        <f t="shared" si="96"/>
        <v>3.4000000000000004</v>
      </c>
      <c r="AB600" s="10">
        <f t="shared" si="95"/>
        <v>0.5</v>
      </c>
      <c r="AC600" s="10">
        <f t="shared" si="97"/>
        <v>0.17</v>
      </c>
      <c r="AD600" s="10">
        <f>IF(AND(Q600&gt;0,Q600&lt;30,K600&lt;8),Markniveau!Z600*'Udvaskning nøgletal'!$I$12/100,IF(AND(Q600&gt;0,Q600&lt;30,K600=216),Markniveau!Z600*'Udvaskning nøgletal'!$I$34/100,Markniveau!Z600))</f>
        <v>10</v>
      </c>
      <c r="AE600" s="10">
        <f t="shared" si="103"/>
        <v>3.4000000000000004</v>
      </c>
      <c r="AF600" s="10">
        <f t="shared" si="98"/>
        <v>0.5</v>
      </c>
      <c r="AG600" s="10">
        <f t="shared" si="104"/>
        <v>0.17</v>
      </c>
      <c r="AH600" s="10" t="str">
        <f>IF(AND(Q600&gt;0,Q600&lt;30,K600=216),'Udvaskning nøgletal'!$C$42,IF(AND(Q600&gt;0,Q600&lt;30,K600&gt;7,K600&lt;17),'Udvaskning nøgletal'!$C$61,IF(AND(Q600&gt;0,Q600&lt;30,K600&lt;7),'Udvaskning nøgletal'!$C$62,"")))</f>
        <v/>
      </c>
      <c r="AI600" s="10">
        <f t="shared" si="100"/>
        <v>310</v>
      </c>
      <c r="AJ600" s="10">
        <f>IF($X600=1,LOOKUP(AI600,'Udvaskning nøgletal'!$C$12:$C$62,'Udvaskning nøgletal'!$E$12:$E$62)+Markniveau!$Y600*Markniveau!$S600/100,IF($X600=2,LOOKUP(AI600,'Udvaskning nøgletal'!$C$12:$C$62,'Udvaskning nøgletal'!$F$12:$F$62)+Markniveau!$Y600*Markniveau!$S600/100,IF($X600=3,LOOKUP(AI600,'Udvaskning nøgletal'!$C$12:$C$62,'Udvaskning nøgletal'!Q610:Q660)+Markniveau!$Y600*Markniveau!$S600/100,"")))</f>
        <v>10</v>
      </c>
      <c r="AK600" s="10">
        <f t="shared" si="99"/>
        <v>3.4000000000000004</v>
      </c>
      <c r="AL600" s="10">
        <f t="shared" si="101"/>
        <v>0.5</v>
      </c>
      <c r="AM600" s="10">
        <f t="shared" si="102"/>
        <v>0.17</v>
      </c>
    </row>
    <row r="601" spans="1:39" x14ac:dyDescent="0.25">
      <c r="A601" s="15">
        <v>19446387</v>
      </c>
      <c r="B601" s="15">
        <v>24.06</v>
      </c>
      <c r="C601" s="15">
        <v>49534</v>
      </c>
      <c r="D601" s="15">
        <v>89055</v>
      </c>
      <c r="E601" s="15" t="s">
        <v>485</v>
      </c>
      <c r="F601" s="15">
        <v>2011</v>
      </c>
      <c r="G601" s="15">
        <v>20110403</v>
      </c>
      <c r="H601" s="15">
        <v>29451</v>
      </c>
      <c r="I601" s="15">
        <v>2.95</v>
      </c>
      <c r="J601" s="6" t="s">
        <v>1468</v>
      </c>
      <c r="K601" s="15">
        <v>11</v>
      </c>
      <c r="L601" s="15" t="s">
        <v>102</v>
      </c>
      <c r="M601" s="15" t="s">
        <v>5</v>
      </c>
      <c r="N601" s="11" t="s">
        <v>1391</v>
      </c>
      <c r="O601" s="11" t="s">
        <v>46</v>
      </c>
      <c r="P601" s="11" t="s">
        <v>29</v>
      </c>
      <c r="Q601" s="15">
        <v>95</v>
      </c>
      <c r="R601" s="11" t="s">
        <v>3</v>
      </c>
      <c r="S601" s="10">
        <v>111.65698972756</v>
      </c>
      <c r="T601" s="15">
        <v>80</v>
      </c>
      <c r="U601" s="15">
        <v>0</v>
      </c>
      <c r="V601" s="15">
        <v>0</v>
      </c>
      <c r="W601" s="15">
        <v>0</v>
      </c>
      <c r="X601" s="15">
        <f>IF(O601='Udvaskning nøgletal'!$D$65,1,IF(O601='Udvaskning nøgletal'!$D$66,2,IF(O601='Udvaskning nøgletal'!$D$67,3,IF(O601='Udvaskning nøgletal'!$D$68,2,""))))</f>
        <v>2</v>
      </c>
      <c r="Y601" s="15">
        <f>LOOKUP(K601,'Udvaskning nøgletal'!$C$12:$C$60,'Udvaskning nøgletal'!$H$12:$H$60)</f>
        <v>5</v>
      </c>
      <c r="Z601" s="10">
        <f>IF(X601=1,LOOKUP(K601,'Udvaskning nøgletal'!$C$12:$C$60,'Udvaskning nøgletal'!$E$12:$E$60)+Markniveau!Y601*Markniveau!S601/100,IF(X601=2,LOOKUP(K601,'Udvaskning nøgletal'!$C$12:$C$60,'Udvaskning nøgletal'!$F$12:$F$60)+Markniveau!Y601*Markniveau!S601/100,IF(X601=3,LOOKUP(K601,'Udvaskning nøgletal'!$C$12:$C$60,'Udvaskning nøgletal'!G611:G659)+Markniveau!Y601*Markniveau!S601/100,"")))</f>
        <v>56.462849486378005</v>
      </c>
      <c r="AA601" s="10">
        <f t="shared" si="96"/>
        <v>166.56540598481513</v>
      </c>
      <c r="AB601" s="10">
        <f t="shared" si="95"/>
        <v>2.8231424743189</v>
      </c>
      <c r="AC601" s="10">
        <f t="shared" si="97"/>
        <v>8.3282702992407547</v>
      </c>
      <c r="AD601" s="10">
        <f>IF(AND(Q601&gt;0,Q601&lt;30,K601&lt;8),Markniveau!Z601*'Udvaskning nøgletal'!$I$12/100,IF(AND(Q601&gt;0,Q601&lt;30,K601=216),Markniveau!Z601*'Udvaskning nøgletal'!$I$34/100,Markniveau!Z601))</f>
        <v>56.462849486378005</v>
      </c>
      <c r="AE601" s="10">
        <f t="shared" si="103"/>
        <v>166.56540598481513</v>
      </c>
      <c r="AF601" s="10">
        <f t="shared" si="98"/>
        <v>2.8231424743189</v>
      </c>
      <c r="AG601" s="10">
        <f t="shared" si="104"/>
        <v>8.3282702992407547</v>
      </c>
      <c r="AH601" s="10" t="str">
        <f>IF(AND(Q601&gt;0,Q601&lt;30,K601=216),'Udvaskning nøgletal'!$C$42,IF(AND(Q601&gt;0,Q601&lt;30,K601&gt;7,K601&lt;17),'Udvaskning nøgletal'!$C$61,IF(AND(Q601&gt;0,Q601&lt;30,K601&lt;7),'Udvaskning nøgletal'!$C$62,"")))</f>
        <v/>
      </c>
      <c r="AI601" s="10">
        <f t="shared" si="100"/>
        <v>11</v>
      </c>
      <c r="AJ601" s="10">
        <f>IF($X601=1,LOOKUP(AI601,'Udvaskning nøgletal'!$C$12:$C$62,'Udvaskning nøgletal'!$E$12:$E$62)+Markniveau!$Y601*Markniveau!$S601/100,IF($X601=2,LOOKUP(AI601,'Udvaskning nøgletal'!$C$12:$C$62,'Udvaskning nøgletal'!$F$12:$F$62)+Markniveau!$Y601*Markniveau!$S601/100,IF($X601=3,LOOKUP(AI601,'Udvaskning nøgletal'!$C$12:$C$62,'Udvaskning nøgletal'!Q611:Q661)+Markniveau!$Y601*Markniveau!$S601/100,"")))</f>
        <v>56.462849486378005</v>
      </c>
      <c r="AK601" s="10">
        <f t="shared" si="99"/>
        <v>166.56540598481513</v>
      </c>
      <c r="AL601" s="10">
        <f t="shared" si="101"/>
        <v>2.8231424743189</v>
      </c>
      <c r="AM601" s="10">
        <f t="shared" si="102"/>
        <v>8.3282702992407547</v>
      </c>
    </row>
    <row r="602" spans="1:39" x14ac:dyDescent="0.25">
      <c r="A602" s="15">
        <v>19446387</v>
      </c>
      <c r="B602" s="15">
        <v>24.06</v>
      </c>
      <c r="C602" s="15">
        <v>49535</v>
      </c>
      <c r="D602" s="15">
        <v>89055</v>
      </c>
      <c r="E602" s="15" t="s">
        <v>485</v>
      </c>
      <c r="F602" s="15">
        <v>2011</v>
      </c>
      <c r="G602" s="15">
        <v>20110403</v>
      </c>
      <c r="H602" s="15">
        <v>8447</v>
      </c>
      <c r="I602" s="15">
        <v>0.84</v>
      </c>
      <c r="J602" s="6" t="s">
        <v>1469</v>
      </c>
      <c r="K602" s="15">
        <v>310</v>
      </c>
      <c r="L602" s="15" t="s">
        <v>484</v>
      </c>
      <c r="M602" s="15" t="s">
        <v>81</v>
      </c>
      <c r="N602" s="11" t="s">
        <v>1391</v>
      </c>
      <c r="O602" s="11" t="s">
        <v>46</v>
      </c>
      <c r="P602" s="11" t="s">
        <v>29</v>
      </c>
      <c r="Q602" s="15">
        <v>95</v>
      </c>
      <c r="R602" s="11" t="s">
        <v>3</v>
      </c>
      <c r="S602" s="10">
        <v>111.65698972756</v>
      </c>
      <c r="T602" s="15">
        <v>80</v>
      </c>
      <c r="U602" s="15">
        <v>0</v>
      </c>
      <c r="V602" s="15">
        <v>0</v>
      </c>
      <c r="W602" s="15">
        <v>0</v>
      </c>
      <c r="X602" s="15">
        <f>IF(O602='Udvaskning nøgletal'!$D$65,1,IF(O602='Udvaskning nøgletal'!$D$66,2,IF(O602='Udvaskning nøgletal'!$D$67,3,IF(O602='Udvaskning nøgletal'!$D$68,2,""))))</f>
        <v>2</v>
      </c>
      <c r="Y602" s="15">
        <f>LOOKUP(K602,'Udvaskning nøgletal'!$C$12:$C$60,'Udvaskning nøgletal'!$H$12:$H$60)</f>
        <v>0</v>
      </c>
      <c r="Z602" s="10">
        <f>IF(X602=1,LOOKUP(K602,'Udvaskning nøgletal'!$C$12:$C$60,'Udvaskning nøgletal'!$E$12:$E$60)+Markniveau!Y602*Markniveau!S602/100,IF(X602=2,LOOKUP(K602,'Udvaskning nøgletal'!$C$12:$C$60,'Udvaskning nøgletal'!$F$12:$F$60)+Markniveau!Y602*Markniveau!S602/100,IF(X602=3,LOOKUP(K602,'Udvaskning nøgletal'!$C$12:$C$60,'Udvaskning nøgletal'!G612:G660)+Markniveau!Y602*Markniveau!S602/100,"")))</f>
        <v>10</v>
      </c>
      <c r="AA602" s="10">
        <f t="shared" si="96"/>
        <v>8.4</v>
      </c>
      <c r="AB602" s="10">
        <f t="shared" si="95"/>
        <v>0.5</v>
      </c>
      <c r="AC602" s="10">
        <f t="shared" si="97"/>
        <v>0.42</v>
      </c>
      <c r="AD602" s="10">
        <f>IF(AND(Q602&gt;0,Q602&lt;30,K602&lt;8),Markniveau!Z602*'Udvaskning nøgletal'!$I$12/100,IF(AND(Q602&gt;0,Q602&lt;30,K602=216),Markniveau!Z602*'Udvaskning nøgletal'!$I$34/100,Markniveau!Z602))</f>
        <v>10</v>
      </c>
      <c r="AE602" s="10">
        <f t="shared" si="103"/>
        <v>8.4</v>
      </c>
      <c r="AF602" s="10">
        <f t="shared" si="98"/>
        <v>0.5</v>
      </c>
      <c r="AG602" s="10">
        <f t="shared" si="104"/>
        <v>0.42</v>
      </c>
      <c r="AH602" s="10" t="str">
        <f>IF(AND(Q602&gt;0,Q602&lt;30,K602=216),'Udvaskning nøgletal'!$C$42,IF(AND(Q602&gt;0,Q602&lt;30,K602&gt;7,K602&lt;17),'Udvaskning nøgletal'!$C$61,IF(AND(Q602&gt;0,Q602&lt;30,K602&lt;7),'Udvaskning nøgletal'!$C$62,"")))</f>
        <v/>
      </c>
      <c r="AI602" s="10">
        <f t="shared" si="100"/>
        <v>310</v>
      </c>
      <c r="AJ602" s="10">
        <f>IF($X602=1,LOOKUP(AI602,'Udvaskning nøgletal'!$C$12:$C$62,'Udvaskning nøgletal'!$E$12:$E$62)+Markniveau!$Y602*Markniveau!$S602/100,IF($X602=2,LOOKUP(AI602,'Udvaskning nøgletal'!$C$12:$C$62,'Udvaskning nøgletal'!$F$12:$F$62)+Markniveau!$Y602*Markniveau!$S602/100,IF($X602=3,LOOKUP(AI602,'Udvaskning nøgletal'!$C$12:$C$62,'Udvaskning nøgletal'!Q612:Q662)+Markniveau!$Y602*Markniveau!$S602/100,"")))</f>
        <v>10</v>
      </c>
      <c r="AK602" s="10">
        <f t="shared" si="99"/>
        <v>8.4</v>
      </c>
      <c r="AL602" s="10">
        <f t="shared" si="101"/>
        <v>0.5</v>
      </c>
      <c r="AM602" s="10">
        <f t="shared" si="102"/>
        <v>0.42</v>
      </c>
    </row>
    <row r="603" spans="1:39" x14ac:dyDescent="0.25">
      <c r="A603" s="15">
        <v>19446387</v>
      </c>
      <c r="B603" s="15">
        <v>24.06</v>
      </c>
      <c r="C603" s="15">
        <v>49536</v>
      </c>
      <c r="D603" s="15">
        <v>89055</v>
      </c>
      <c r="E603" s="15" t="s">
        <v>485</v>
      </c>
      <c r="F603" s="15">
        <v>2011</v>
      </c>
      <c r="G603" s="15">
        <v>20110403</v>
      </c>
      <c r="H603" s="15">
        <v>4855</v>
      </c>
      <c r="I603" s="15">
        <v>0.49</v>
      </c>
      <c r="J603" s="6" t="s">
        <v>1472</v>
      </c>
      <c r="K603" s="15">
        <v>310</v>
      </c>
      <c r="L603" s="15" t="s">
        <v>484</v>
      </c>
      <c r="M603" s="15" t="s">
        <v>81</v>
      </c>
      <c r="N603" s="11" t="s">
        <v>1391</v>
      </c>
      <c r="O603" s="11" t="s">
        <v>46</v>
      </c>
      <c r="P603" s="11" t="s">
        <v>29</v>
      </c>
      <c r="Q603" s="15">
        <v>95</v>
      </c>
      <c r="R603" s="11" t="s">
        <v>3</v>
      </c>
      <c r="S603" s="10">
        <v>111.65698972756</v>
      </c>
      <c r="T603" s="15">
        <v>80</v>
      </c>
      <c r="U603" s="15">
        <v>0</v>
      </c>
      <c r="V603" s="15">
        <v>0</v>
      </c>
      <c r="W603" s="15">
        <v>0</v>
      </c>
      <c r="X603" s="15">
        <f>IF(O603='Udvaskning nøgletal'!$D$65,1,IF(O603='Udvaskning nøgletal'!$D$66,2,IF(O603='Udvaskning nøgletal'!$D$67,3,IF(O603='Udvaskning nøgletal'!$D$68,2,""))))</f>
        <v>2</v>
      </c>
      <c r="Y603" s="15">
        <f>LOOKUP(K603,'Udvaskning nøgletal'!$C$12:$C$60,'Udvaskning nøgletal'!$H$12:$H$60)</f>
        <v>0</v>
      </c>
      <c r="Z603" s="10">
        <f>IF(X603=1,LOOKUP(K603,'Udvaskning nøgletal'!$C$12:$C$60,'Udvaskning nøgletal'!$E$12:$E$60)+Markniveau!Y603*Markniveau!S603/100,IF(X603=2,LOOKUP(K603,'Udvaskning nøgletal'!$C$12:$C$60,'Udvaskning nøgletal'!$F$12:$F$60)+Markniveau!Y603*Markniveau!S603/100,IF(X603=3,LOOKUP(K603,'Udvaskning nøgletal'!$C$12:$C$60,'Udvaskning nøgletal'!G613:G661)+Markniveau!Y603*Markniveau!S603/100,"")))</f>
        <v>10</v>
      </c>
      <c r="AA603" s="10">
        <f t="shared" si="96"/>
        <v>4.9000000000000004</v>
      </c>
      <c r="AB603" s="10">
        <f t="shared" si="95"/>
        <v>0.5</v>
      </c>
      <c r="AC603" s="10">
        <f t="shared" si="97"/>
        <v>0.245</v>
      </c>
      <c r="AD603" s="10">
        <f>IF(AND(Q603&gt;0,Q603&lt;30,K603&lt;8),Markniveau!Z603*'Udvaskning nøgletal'!$I$12/100,IF(AND(Q603&gt;0,Q603&lt;30,K603=216),Markniveau!Z603*'Udvaskning nøgletal'!$I$34/100,Markniveau!Z603))</f>
        <v>10</v>
      </c>
      <c r="AE603" s="10">
        <f t="shared" si="103"/>
        <v>4.9000000000000004</v>
      </c>
      <c r="AF603" s="10">
        <f t="shared" si="98"/>
        <v>0.5</v>
      </c>
      <c r="AG603" s="10">
        <f t="shared" si="104"/>
        <v>0.245</v>
      </c>
      <c r="AH603" s="10" t="str">
        <f>IF(AND(Q603&gt;0,Q603&lt;30,K603=216),'Udvaskning nøgletal'!$C$42,IF(AND(Q603&gt;0,Q603&lt;30,K603&gt;7,K603&lt;17),'Udvaskning nøgletal'!$C$61,IF(AND(Q603&gt;0,Q603&lt;30,K603&lt;7),'Udvaskning nøgletal'!$C$62,"")))</f>
        <v/>
      </c>
      <c r="AI603" s="10">
        <f t="shared" si="100"/>
        <v>310</v>
      </c>
      <c r="AJ603" s="10">
        <f>IF($X603=1,LOOKUP(AI603,'Udvaskning nøgletal'!$C$12:$C$62,'Udvaskning nøgletal'!$E$12:$E$62)+Markniveau!$Y603*Markniveau!$S603/100,IF($X603=2,LOOKUP(AI603,'Udvaskning nøgletal'!$C$12:$C$62,'Udvaskning nøgletal'!$F$12:$F$62)+Markniveau!$Y603*Markniveau!$S603/100,IF($X603=3,LOOKUP(AI603,'Udvaskning nøgletal'!$C$12:$C$62,'Udvaskning nøgletal'!Q613:Q663)+Markniveau!$Y603*Markniveau!$S603/100,"")))</f>
        <v>10</v>
      </c>
      <c r="AK603" s="10">
        <f t="shared" si="99"/>
        <v>4.9000000000000004</v>
      </c>
      <c r="AL603" s="10">
        <f t="shared" si="101"/>
        <v>0.5</v>
      </c>
      <c r="AM603" s="10">
        <f t="shared" si="102"/>
        <v>0.245</v>
      </c>
    </row>
    <row r="604" spans="1:39" x14ac:dyDescent="0.25">
      <c r="A604" s="15">
        <v>19446387</v>
      </c>
      <c r="B604" s="15">
        <v>24.06</v>
      </c>
      <c r="C604" s="15">
        <v>58396</v>
      </c>
      <c r="D604" s="15">
        <v>89055</v>
      </c>
      <c r="E604" s="15" t="s">
        <v>486</v>
      </c>
      <c r="F604" s="15">
        <v>2011</v>
      </c>
      <c r="G604" s="15">
        <v>20110403</v>
      </c>
      <c r="H604" s="15">
        <v>32196</v>
      </c>
      <c r="I604" s="15">
        <v>3.22</v>
      </c>
      <c r="J604" s="6" t="s">
        <v>1406</v>
      </c>
      <c r="K604" s="15">
        <v>3</v>
      </c>
      <c r="L604" s="15" t="s">
        <v>114</v>
      </c>
      <c r="M604" s="15" t="s">
        <v>5</v>
      </c>
      <c r="N604" s="11" t="s">
        <v>1391</v>
      </c>
      <c r="O604" s="11" t="s">
        <v>46</v>
      </c>
      <c r="P604" s="11" t="s">
        <v>29</v>
      </c>
      <c r="Q604" s="15">
        <v>95</v>
      </c>
      <c r="R604" s="11" t="s">
        <v>3</v>
      </c>
      <c r="S604" s="10">
        <v>111.65698972756</v>
      </c>
      <c r="T604" s="15">
        <v>80</v>
      </c>
      <c r="U604" s="15">
        <v>0</v>
      </c>
      <c r="V604" s="15">
        <v>0</v>
      </c>
      <c r="W604" s="15">
        <v>0</v>
      </c>
      <c r="X604" s="15">
        <f>IF(O604='Udvaskning nøgletal'!$D$65,1,IF(O604='Udvaskning nøgletal'!$D$66,2,IF(O604='Udvaskning nøgletal'!$D$67,3,IF(O604='Udvaskning nøgletal'!$D$68,2,""))))</f>
        <v>2</v>
      </c>
      <c r="Y604" s="15">
        <f>LOOKUP(K604,'Udvaskning nøgletal'!$C$12:$C$60,'Udvaskning nøgletal'!$H$12:$H$60)</f>
        <v>5</v>
      </c>
      <c r="Z604" s="10">
        <f>IF(X604=1,LOOKUP(K604,'Udvaskning nøgletal'!$C$12:$C$60,'Udvaskning nøgletal'!$E$12:$E$60)+Markniveau!Y604*Markniveau!S604/100,IF(X604=2,LOOKUP(K604,'Udvaskning nøgletal'!$C$12:$C$60,'Udvaskning nøgletal'!$F$12:$F$60)+Markniveau!Y604*Markniveau!S604/100,IF(X604=3,LOOKUP(K604,'Udvaskning nøgletal'!$C$12:$C$60,'Udvaskning nøgletal'!G614:G662)+Markniveau!Y604*Markniveau!S604/100,"")))</f>
        <v>56.462849486378005</v>
      </c>
      <c r="AA604" s="10">
        <f t="shared" si="96"/>
        <v>181.81037534613719</v>
      </c>
      <c r="AB604" s="10">
        <f t="shared" si="95"/>
        <v>2.8231424743189</v>
      </c>
      <c r="AC604" s="10">
        <f t="shared" si="97"/>
        <v>9.0905187673068593</v>
      </c>
      <c r="AD604" s="10">
        <f>IF(AND(Q604&gt;0,Q604&lt;30,K604&lt;8),Markniveau!Z604*'Udvaskning nøgletal'!$I$12/100,IF(AND(Q604&gt;0,Q604&lt;30,K604=216),Markniveau!Z604*'Udvaskning nøgletal'!$I$34/100,Markniveau!Z604))</f>
        <v>56.462849486378005</v>
      </c>
      <c r="AE604" s="10">
        <f t="shared" si="103"/>
        <v>181.81037534613719</v>
      </c>
      <c r="AF604" s="10">
        <f t="shared" si="98"/>
        <v>2.8231424743189</v>
      </c>
      <c r="AG604" s="10">
        <f t="shared" si="104"/>
        <v>9.0905187673068593</v>
      </c>
      <c r="AH604" s="10" t="str">
        <f>IF(AND(Q604&gt;0,Q604&lt;30,K604=216),'Udvaskning nøgletal'!$C$42,IF(AND(Q604&gt;0,Q604&lt;30,K604&gt;7,K604&lt;17),'Udvaskning nøgletal'!$C$61,IF(AND(Q604&gt;0,Q604&lt;30,K604&lt;7),'Udvaskning nøgletal'!$C$62,"")))</f>
        <v/>
      </c>
      <c r="AI604" s="10">
        <f t="shared" si="100"/>
        <v>3</v>
      </c>
      <c r="AJ604" s="10">
        <f>IF($X604=1,LOOKUP(AI604,'Udvaskning nøgletal'!$C$12:$C$62,'Udvaskning nøgletal'!$E$12:$E$62)+Markniveau!$Y604*Markniveau!$S604/100,IF($X604=2,LOOKUP(AI604,'Udvaskning nøgletal'!$C$12:$C$62,'Udvaskning nøgletal'!$F$12:$F$62)+Markniveau!$Y604*Markniveau!$S604/100,IF($X604=3,LOOKUP(AI604,'Udvaskning nøgletal'!$C$12:$C$62,'Udvaskning nøgletal'!Q614:Q664)+Markniveau!$Y604*Markniveau!$S604/100,"")))</f>
        <v>56.462849486378005</v>
      </c>
      <c r="AK604" s="10">
        <f t="shared" si="99"/>
        <v>181.81037534613719</v>
      </c>
      <c r="AL604" s="10">
        <f t="shared" si="101"/>
        <v>2.8231424743189</v>
      </c>
      <c r="AM604" s="10">
        <f t="shared" si="102"/>
        <v>9.0905187673068593</v>
      </c>
    </row>
    <row r="605" spans="1:39" x14ac:dyDescent="0.25">
      <c r="A605" s="15">
        <v>19446387</v>
      </c>
      <c r="B605" s="15">
        <v>24.06</v>
      </c>
      <c r="C605" s="15">
        <v>73795</v>
      </c>
      <c r="D605" s="15">
        <v>89055</v>
      </c>
      <c r="E605" s="15" t="s">
        <v>486</v>
      </c>
      <c r="F605" s="15">
        <v>2011</v>
      </c>
      <c r="G605" s="15">
        <v>20110403</v>
      </c>
      <c r="H605" s="15">
        <v>107878</v>
      </c>
      <c r="I605" s="15">
        <v>10.79</v>
      </c>
      <c r="J605" s="6" t="s">
        <v>1384</v>
      </c>
      <c r="K605" s="15">
        <v>216</v>
      </c>
      <c r="L605" s="15" t="s">
        <v>116</v>
      </c>
      <c r="M605" s="15" t="s">
        <v>5</v>
      </c>
      <c r="N605" s="11" t="s">
        <v>1391</v>
      </c>
      <c r="O605" s="11" t="s">
        <v>46</v>
      </c>
      <c r="P605" s="11" t="s">
        <v>29</v>
      </c>
      <c r="Q605" s="15">
        <v>95</v>
      </c>
      <c r="R605" s="11" t="s">
        <v>3</v>
      </c>
      <c r="S605" s="10">
        <v>111.65698972756</v>
      </c>
      <c r="T605" s="15">
        <v>80</v>
      </c>
      <c r="U605" s="15">
        <v>0</v>
      </c>
      <c r="V605" s="15">
        <v>0</v>
      </c>
      <c r="W605" s="15">
        <v>0</v>
      </c>
      <c r="X605" s="15">
        <f>IF(O605='Udvaskning nøgletal'!$D$65,1,IF(O605='Udvaskning nøgletal'!$D$66,2,IF(O605='Udvaskning nøgletal'!$D$67,3,IF(O605='Udvaskning nøgletal'!$D$68,2,""))))</f>
        <v>2</v>
      </c>
      <c r="Y605" s="15">
        <f>LOOKUP(K605,'Udvaskning nøgletal'!$C$12:$C$60,'Udvaskning nøgletal'!$H$12:$H$60)</f>
        <v>0</v>
      </c>
      <c r="Z605" s="10">
        <f>IF(X605=1,LOOKUP(K605,'Udvaskning nøgletal'!$C$12:$C$60,'Udvaskning nøgletal'!$E$12:$E$60)+Markniveau!Y605*Markniveau!S605/100,IF(X605=2,LOOKUP(K605,'Udvaskning nøgletal'!$C$12:$C$60,'Udvaskning nøgletal'!$F$12:$F$60)+Markniveau!Y605*Markniveau!S605/100,IF(X605=3,LOOKUP(K605,'Udvaskning nøgletal'!$C$12:$C$60,'Udvaskning nøgletal'!G615:G663)+Markniveau!Y605*Markniveau!S605/100,"")))</f>
        <v>101.66744640811392</v>
      </c>
      <c r="AA605" s="10">
        <f t="shared" si="96"/>
        <v>1096.9917467435491</v>
      </c>
      <c r="AB605" s="10">
        <f t="shared" si="95"/>
        <v>5.0833723204056955</v>
      </c>
      <c r="AC605" s="10">
        <f t="shared" si="97"/>
        <v>54.849587337177454</v>
      </c>
      <c r="AD605" s="10">
        <f>IF(AND(Q605&gt;0,Q605&lt;30,K605&lt;8),Markniveau!Z605*'Udvaskning nøgletal'!$I$12/100,IF(AND(Q605&gt;0,Q605&lt;30,K605=216),Markniveau!Z605*'Udvaskning nøgletal'!$I$34/100,Markniveau!Z605))</f>
        <v>101.66744640811392</v>
      </c>
      <c r="AE605" s="10">
        <f t="shared" si="103"/>
        <v>1096.9917467435491</v>
      </c>
      <c r="AF605" s="10">
        <f t="shared" si="98"/>
        <v>5.0833723204056955</v>
      </c>
      <c r="AG605" s="10">
        <f t="shared" si="104"/>
        <v>54.849587337177454</v>
      </c>
      <c r="AH605" s="10" t="str">
        <f>IF(AND(Q605&gt;0,Q605&lt;30,K605=216),'Udvaskning nøgletal'!$C$42,IF(AND(Q605&gt;0,Q605&lt;30,K605&gt;7,K605&lt;17),'Udvaskning nøgletal'!$C$61,IF(AND(Q605&gt;0,Q605&lt;30,K605&lt;7),'Udvaskning nøgletal'!$C$62,"")))</f>
        <v/>
      </c>
      <c r="AI605" s="10">
        <f t="shared" si="100"/>
        <v>216</v>
      </c>
      <c r="AJ605" s="10">
        <f>IF($X605=1,LOOKUP(AI605,'Udvaskning nøgletal'!$C$12:$C$62,'Udvaskning nøgletal'!$E$12:$E$62)+Markniveau!$Y605*Markniveau!$S605/100,IF($X605=2,LOOKUP(AI605,'Udvaskning nøgletal'!$C$12:$C$62,'Udvaskning nøgletal'!$F$12:$F$62)+Markniveau!$Y605*Markniveau!$S605/100,IF($X605=3,LOOKUP(AI605,'Udvaskning nøgletal'!$C$12:$C$62,'Udvaskning nøgletal'!Q615:Q665)+Markniveau!$Y605*Markniveau!$S605/100,"")))</f>
        <v>101.66744640811392</v>
      </c>
      <c r="AK605" s="10">
        <f t="shared" si="99"/>
        <v>1096.9917467435491</v>
      </c>
      <c r="AL605" s="10">
        <f t="shared" si="101"/>
        <v>5.0833723204056955</v>
      </c>
      <c r="AM605" s="10">
        <f t="shared" si="102"/>
        <v>54.849587337177454</v>
      </c>
    </row>
    <row r="606" spans="1:39" x14ac:dyDescent="0.25">
      <c r="A606" s="15">
        <v>19446387</v>
      </c>
      <c r="B606" s="15">
        <v>24.06</v>
      </c>
      <c r="C606" s="15">
        <v>49529</v>
      </c>
      <c r="D606" s="15">
        <v>89055</v>
      </c>
      <c r="E606" s="15" t="s">
        <v>487</v>
      </c>
      <c r="F606" s="15">
        <v>2011</v>
      </c>
      <c r="G606" s="15">
        <v>20110403</v>
      </c>
      <c r="H606" s="15">
        <v>20196</v>
      </c>
      <c r="I606" s="15">
        <v>2.02</v>
      </c>
      <c r="J606" s="6" t="s">
        <v>1467</v>
      </c>
      <c r="K606" s="15">
        <v>11</v>
      </c>
      <c r="L606" s="15" t="s">
        <v>102</v>
      </c>
      <c r="M606" s="15" t="s">
        <v>5</v>
      </c>
      <c r="N606" s="11" t="s">
        <v>1391</v>
      </c>
      <c r="O606" s="11" t="s">
        <v>46</v>
      </c>
      <c r="P606" s="11" t="s">
        <v>29</v>
      </c>
      <c r="Q606" s="15">
        <v>95</v>
      </c>
      <c r="R606" s="11" t="s">
        <v>3</v>
      </c>
      <c r="S606" s="10">
        <v>111.65698972756</v>
      </c>
      <c r="T606" s="15">
        <v>80</v>
      </c>
      <c r="U606" s="15">
        <v>0</v>
      </c>
      <c r="V606" s="15">
        <v>0</v>
      </c>
      <c r="W606" s="15">
        <v>0</v>
      </c>
      <c r="X606" s="15">
        <f>IF(O606='Udvaskning nøgletal'!$D$65,1,IF(O606='Udvaskning nøgletal'!$D$66,2,IF(O606='Udvaskning nøgletal'!$D$67,3,IF(O606='Udvaskning nøgletal'!$D$68,2,""))))</f>
        <v>2</v>
      </c>
      <c r="Y606" s="15">
        <f>LOOKUP(K606,'Udvaskning nøgletal'!$C$12:$C$60,'Udvaskning nøgletal'!$H$12:$H$60)</f>
        <v>5</v>
      </c>
      <c r="Z606" s="10">
        <f>IF(X606=1,LOOKUP(K606,'Udvaskning nøgletal'!$C$12:$C$60,'Udvaskning nøgletal'!$E$12:$E$60)+Markniveau!Y606*Markniveau!S606/100,IF(X606=2,LOOKUP(K606,'Udvaskning nøgletal'!$C$12:$C$60,'Udvaskning nøgletal'!$F$12:$F$60)+Markniveau!Y606*Markniveau!S606/100,IF(X606=3,LOOKUP(K606,'Udvaskning nøgletal'!$C$12:$C$60,'Udvaskning nøgletal'!G616:G664)+Markniveau!Y606*Markniveau!S606/100,"")))</f>
        <v>56.462849486378005</v>
      </c>
      <c r="AA606" s="10">
        <f t="shared" si="96"/>
        <v>114.05495596248358</v>
      </c>
      <c r="AB606" s="10">
        <f t="shared" si="95"/>
        <v>2.8231424743189</v>
      </c>
      <c r="AC606" s="10">
        <f t="shared" si="97"/>
        <v>5.7027477981241779</v>
      </c>
      <c r="AD606" s="10">
        <f>IF(AND(Q606&gt;0,Q606&lt;30,K606&lt;8),Markniveau!Z606*'Udvaskning nøgletal'!$I$12/100,IF(AND(Q606&gt;0,Q606&lt;30,K606=216),Markniveau!Z606*'Udvaskning nøgletal'!$I$34/100,Markniveau!Z606))</f>
        <v>56.462849486378005</v>
      </c>
      <c r="AE606" s="10">
        <f t="shared" si="103"/>
        <v>114.05495596248358</v>
      </c>
      <c r="AF606" s="10">
        <f t="shared" si="98"/>
        <v>2.8231424743189</v>
      </c>
      <c r="AG606" s="10">
        <f t="shared" si="104"/>
        <v>5.7027477981241779</v>
      </c>
      <c r="AH606" s="10" t="str">
        <f>IF(AND(Q606&gt;0,Q606&lt;30,K606=216),'Udvaskning nøgletal'!$C$42,IF(AND(Q606&gt;0,Q606&lt;30,K606&gt;7,K606&lt;17),'Udvaskning nøgletal'!$C$61,IF(AND(Q606&gt;0,Q606&lt;30,K606&lt;7),'Udvaskning nøgletal'!$C$62,"")))</f>
        <v/>
      </c>
      <c r="AI606" s="10">
        <f t="shared" si="100"/>
        <v>11</v>
      </c>
      <c r="AJ606" s="10">
        <f>IF($X606=1,LOOKUP(AI606,'Udvaskning nøgletal'!$C$12:$C$62,'Udvaskning nøgletal'!$E$12:$E$62)+Markniveau!$Y606*Markniveau!$S606/100,IF($X606=2,LOOKUP(AI606,'Udvaskning nøgletal'!$C$12:$C$62,'Udvaskning nøgletal'!$F$12:$F$62)+Markniveau!$Y606*Markniveau!$S606/100,IF($X606=3,LOOKUP(AI606,'Udvaskning nøgletal'!$C$12:$C$62,'Udvaskning nøgletal'!Q616:Q666)+Markniveau!$Y606*Markniveau!$S606/100,"")))</f>
        <v>56.462849486378005</v>
      </c>
      <c r="AK606" s="10">
        <f t="shared" si="99"/>
        <v>114.05495596248358</v>
      </c>
      <c r="AL606" s="10">
        <f t="shared" si="101"/>
        <v>2.8231424743189</v>
      </c>
      <c r="AM606" s="10">
        <f t="shared" si="102"/>
        <v>5.7027477981241779</v>
      </c>
    </row>
    <row r="607" spans="1:39" x14ac:dyDescent="0.25">
      <c r="A607" s="15">
        <v>19446387</v>
      </c>
      <c r="B607" s="15">
        <v>24.06</v>
      </c>
      <c r="C607" s="15">
        <v>49531</v>
      </c>
      <c r="D607" s="15">
        <v>89055</v>
      </c>
      <c r="E607" s="15" t="s">
        <v>488</v>
      </c>
      <c r="F607" s="15">
        <v>2011</v>
      </c>
      <c r="G607" s="15">
        <v>20110403</v>
      </c>
      <c r="H607" s="15">
        <v>14173</v>
      </c>
      <c r="I607" s="15">
        <v>1.42</v>
      </c>
      <c r="J607" s="6" t="s">
        <v>1391</v>
      </c>
      <c r="K607" s="15">
        <v>11</v>
      </c>
      <c r="L607" s="15" t="s">
        <v>102</v>
      </c>
      <c r="M607" s="15" t="s">
        <v>5</v>
      </c>
      <c r="N607" s="11" t="s">
        <v>1391</v>
      </c>
      <c r="O607" s="11" t="s">
        <v>46</v>
      </c>
      <c r="P607" s="11" t="s">
        <v>29</v>
      </c>
      <c r="Q607" s="15">
        <v>95</v>
      </c>
      <c r="R607" s="11" t="s">
        <v>3</v>
      </c>
      <c r="S607" s="10">
        <v>111.65698972756</v>
      </c>
      <c r="T607" s="15">
        <v>80</v>
      </c>
      <c r="U607" s="15">
        <v>0</v>
      </c>
      <c r="V607" s="15">
        <v>0</v>
      </c>
      <c r="W607" s="15">
        <v>0</v>
      </c>
      <c r="X607" s="15">
        <f>IF(O607='Udvaskning nøgletal'!$D$65,1,IF(O607='Udvaskning nøgletal'!$D$66,2,IF(O607='Udvaskning nøgletal'!$D$67,3,IF(O607='Udvaskning nøgletal'!$D$68,2,""))))</f>
        <v>2</v>
      </c>
      <c r="Y607" s="15">
        <f>LOOKUP(K607,'Udvaskning nøgletal'!$C$12:$C$60,'Udvaskning nøgletal'!$H$12:$H$60)</f>
        <v>5</v>
      </c>
      <c r="Z607" s="10">
        <f>IF(X607=1,LOOKUP(K607,'Udvaskning nøgletal'!$C$12:$C$60,'Udvaskning nøgletal'!$E$12:$E$60)+Markniveau!Y607*Markniveau!S607/100,IF(X607=2,LOOKUP(K607,'Udvaskning nøgletal'!$C$12:$C$60,'Udvaskning nøgletal'!$F$12:$F$60)+Markniveau!Y607*Markniveau!S607/100,IF(X607=3,LOOKUP(K607,'Udvaskning nøgletal'!$C$12:$C$60,'Udvaskning nøgletal'!G617:G665)+Markniveau!Y607*Markniveau!S607/100,"")))</f>
        <v>56.462849486378005</v>
      </c>
      <c r="AA607" s="10">
        <f t="shared" si="96"/>
        <v>80.177246270656767</v>
      </c>
      <c r="AB607" s="10">
        <f t="shared" si="95"/>
        <v>2.8231424743189</v>
      </c>
      <c r="AC607" s="10">
        <f t="shared" si="97"/>
        <v>4.0088623135328376</v>
      </c>
      <c r="AD607" s="10">
        <f>IF(AND(Q607&gt;0,Q607&lt;30,K607&lt;8),Markniveau!Z607*'Udvaskning nøgletal'!$I$12/100,IF(AND(Q607&gt;0,Q607&lt;30,K607=216),Markniveau!Z607*'Udvaskning nøgletal'!$I$34/100,Markniveau!Z607))</f>
        <v>56.462849486378005</v>
      </c>
      <c r="AE607" s="10">
        <f t="shared" si="103"/>
        <v>80.177246270656767</v>
      </c>
      <c r="AF607" s="10">
        <f t="shared" si="98"/>
        <v>2.8231424743189</v>
      </c>
      <c r="AG607" s="10">
        <f t="shared" si="104"/>
        <v>4.0088623135328376</v>
      </c>
      <c r="AH607" s="10" t="str">
        <f>IF(AND(Q607&gt;0,Q607&lt;30,K607=216),'Udvaskning nøgletal'!$C$42,IF(AND(Q607&gt;0,Q607&lt;30,K607&gt;7,K607&lt;17),'Udvaskning nøgletal'!$C$61,IF(AND(Q607&gt;0,Q607&lt;30,K607&lt;7),'Udvaskning nøgletal'!$C$62,"")))</f>
        <v/>
      </c>
      <c r="AI607" s="10">
        <f t="shared" si="100"/>
        <v>11</v>
      </c>
      <c r="AJ607" s="10">
        <f>IF($X607=1,LOOKUP(AI607,'Udvaskning nøgletal'!$C$12:$C$62,'Udvaskning nøgletal'!$E$12:$E$62)+Markniveau!$Y607*Markniveau!$S607/100,IF($X607=2,LOOKUP(AI607,'Udvaskning nøgletal'!$C$12:$C$62,'Udvaskning nøgletal'!$F$12:$F$62)+Markniveau!$Y607*Markniveau!$S607/100,IF($X607=3,LOOKUP(AI607,'Udvaskning nøgletal'!$C$12:$C$62,'Udvaskning nøgletal'!Q617:Q667)+Markniveau!$Y607*Markniveau!$S607/100,"")))</f>
        <v>56.462849486378005</v>
      </c>
      <c r="AK607" s="10">
        <f t="shared" si="99"/>
        <v>80.177246270656767</v>
      </c>
      <c r="AL607" s="10">
        <f t="shared" si="101"/>
        <v>2.8231424743189</v>
      </c>
      <c r="AM607" s="10">
        <f t="shared" si="102"/>
        <v>4.0088623135328376</v>
      </c>
    </row>
    <row r="608" spans="1:39" x14ac:dyDescent="0.25">
      <c r="A608" s="15">
        <v>20332751</v>
      </c>
      <c r="B608" s="15">
        <v>9.74</v>
      </c>
      <c r="C608" s="15">
        <v>312413</v>
      </c>
      <c r="D608" s="15">
        <v>31577</v>
      </c>
      <c r="E608" s="15" t="s">
        <v>489</v>
      </c>
      <c r="F608" s="15">
        <v>2011</v>
      </c>
      <c r="G608" s="15">
        <v>20110412</v>
      </c>
      <c r="H608" s="15">
        <v>1483</v>
      </c>
      <c r="I608" s="15">
        <v>0.15</v>
      </c>
      <c r="J608" s="6" t="s">
        <v>34</v>
      </c>
      <c r="K608" s="15">
        <v>310</v>
      </c>
      <c r="L608" s="15" t="s">
        <v>484</v>
      </c>
      <c r="M608" s="15" t="s">
        <v>81</v>
      </c>
      <c r="N608" s="11" t="s">
        <v>1406</v>
      </c>
      <c r="O608" s="11" t="s">
        <v>46</v>
      </c>
      <c r="P608" s="11" t="s">
        <v>29</v>
      </c>
      <c r="Q608" s="15">
        <v>95</v>
      </c>
      <c r="R608" s="11" t="s">
        <v>3</v>
      </c>
      <c r="S608" s="10">
        <v>0</v>
      </c>
      <c r="T608" s="15">
        <v>80</v>
      </c>
      <c r="U608" s="15">
        <v>0</v>
      </c>
      <c r="V608" s="15">
        <v>0</v>
      </c>
      <c r="W608" s="15">
        <v>0</v>
      </c>
      <c r="X608" s="15">
        <f>IF(O608='Udvaskning nøgletal'!$D$65,1,IF(O608='Udvaskning nøgletal'!$D$66,2,IF(O608='Udvaskning nøgletal'!$D$67,3,IF(O608='Udvaskning nøgletal'!$D$68,2,""))))</f>
        <v>2</v>
      </c>
      <c r="Y608" s="15">
        <f>LOOKUP(K608,'Udvaskning nøgletal'!$C$12:$C$60,'Udvaskning nøgletal'!$H$12:$H$60)</f>
        <v>0</v>
      </c>
      <c r="Z608" s="10">
        <f>IF(X608=1,LOOKUP(K608,'Udvaskning nøgletal'!$C$12:$C$60,'Udvaskning nøgletal'!$E$12:$E$60)+Markniveau!Y608*Markniveau!S608/100,IF(X608=2,LOOKUP(K608,'Udvaskning nøgletal'!$C$12:$C$60,'Udvaskning nøgletal'!$F$12:$F$60)+Markniveau!Y608*Markniveau!S608/100,IF(X608=3,LOOKUP(K608,'Udvaskning nøgletal'!$C$12:$C$60,'Udvaskning nøgletal'!G618:G666)+Markniveau!Y608*Markniveau!S608/100,"")))</f>
        <v>10</v>
      </c>
      <c r="AA608" s="10">
        <f t="shared" si="96"/>
        <v>1.5</v>
      </c>
      <c r="AB608" s="10">
        <f t="shared" si="95"/>
        <v>0.5</v>
      </c>
      <c r="AC608" s="10">
        <f t="shared" si="97"/>
        <v>7.4999999999999997E-2</v>
      </c>
      <c r="AD608" s="10">
        <f>IF(AND(Q608&gt;0,Q608&lt;30,K608&lt;8),Markniveau!Z608*'Udvaskning nøgletal'!$I$12/100,IF(AND(Q608&gt;0,Q608&lt;30,K608=216),Markniveau!Z608*'Udvaskning nøgletal'!$I$34/100,Markniveau!Z608))</f>
        <v>10</v>
      </c>
      <c r="AE608" s="10">
        <f t="shared" si="103"/>
        <v>1.5</v>
      </c>
      <c r="AF608" s="10">
        <f t="shared" si="98"/>
        <v>0.5</v>
      </c>
      <c r="AG608" s="10">
        <f t="shared" si="104"/>
        <v>7.4999999999999997E-2</v>
      </c>
      <c r="AH608" s="10" t="str">
        <f>IF(AND(Q608&gt;0,Q608&lt;30,K608=216),'Udvaskning nøgletal'!$C$42,IF(AND(Q608&gt;0,Q608&lt;30,K608&gt;7,K608&lt;17),'Udvaskning nøgletal'!$C$61,IF(AND(Q608&gt;0,Q608&lt;30,K608&lt;7),'Udvaskning nøgletal'!$C$62,"")))</f>
        <v/>
      </c>
      <c r="AI608" s="10">
        <f t="shared" si="100"/>
        <v>310</v>
      </c>
      <c r="AJ608" s="10">
        <f>IF($X608=1,LOOKUP(AI608,'Udvaskning nøgletal'!$C$12:$C$62,'Udvaskning nøgletal'!$E$12:$E$62)+Markniveau!$Y608*Markniveau!$S608/100,IF($X608=2,LOOKUP(AI608,'Udvaskning nøgletal'!$C$12:$C$62,'Udvaskning nøgletal'!$F$12:$F$62)+Markniveau!$Y608*Markniveau!$S608/100,IF($X608=3,LOOKUP(AI608,'Udvaskning nøgletal'!$C$12:$C$62,'Udvaskning nøgletal'!Q618:Q668)+Markniveau!$Y608*Markniveau!$S608/100,"")))</f>
        <v>10</v>
      </c>
      <c r="AK608" s="10">
        <f t="shared" si="99"/>
        <v>1.5</v>
      </c>
      <c r="AL608" s="10">
        <f t="shared" si="101"/>
        <v>0.5</v>
      </c>
      <c r="AM608" s="10">
        <f t="shared" si="102"/>
        <v>7.4999999999999997E-2</v>
      </c>
    </row>
    <row r="609" spans="1:39" x14ac:dyDescent="0.25">
      <c r="A609" s="15">
        <v>20332751</v>
      </c>
      <c r="B609" s="15">
        <v>9.74</v>
      </c>
      <c r="C609" s="15">
        <v>17761</v>
      </c>
      <c r="D609" s="15">
        <v>31577</v>
      </c>
      <c r="E609" s="15" t="s">
        <v>489</v>
      </c>
      <c r="F609" s="15">
        <v>2011</v>
      </c>
      <c r="G609" s="15">
        <v>20110412</v>
      </c>
      <c r="H609" s="15">
        <v>56501</v>
      </c>
      <c r="I609" s="15">
        <v>5.65</v>
      </c>
      <c r="J609" s="6" t="s">
        <v>61</v>
      </c>
      <c r="K609" s="15">
        <v>1</v>
      </c>
      <c r="L609" s="15" t="s">
        <v>32</v>
      </c>
      <c r="M609" s="15" t="s">
        <v>5</v>
      </c>
      <c r="N609" s="11" t="s">
        <v>1406</v>
      </c>
      <c r="O609" s="11" t="s">
        <v>46</v>
      </c>
      <c r="P609" s="11" t="s">
        <v>29</v>
      </c>
      <c r="Q609" s="15">
        <v>95</v>
      </c>
      <c r="R609" s="11" t="s">
        <v>3</v>
      </c>
      <c r="S609" s="10">
        <v>0</v>
      </c>
      <c r="T609" s="15">
        <v>80</v>
      </c>
      <c r="U609" s="15">
        <v>0</v>
      </c>
      <c r="V609" s="15">
        <v>0</v>
      </c>
      <c r="W609" s="15">
        <v>0</v>
      </c>
      <c r="X609" s="15">
        <f>IF(O609='Udvaskning nøgletal'!$D$65,1,IF(O609='Udvaskning nøgletal'!$D$66,2,IF(O609='Udvaskning nøgletal'!$D$67,3,IF(O609='Udvaskning nøgletal'!$D$68,2,""))))</f>
        <v>2</v>
      </c>
      <c r="Y609" s="15">
        <f>LOOKUP(K609,'Udvaskning nøgletal'!$C$12:$C$60,'Udvaskning nøgletal'!$H$12:$H$60)</f>
        <v>5</v>
      </c>
      <c r="Z609" s="10">
        <f>IF(X609=1,LOOKUP(K609,'Udvaskning nøgletal'!$C$12:$C$60,'Udvaskning nøgletal'!$E$12:$E$60)+Markniveau!Y609*Markniveau!S609/100,IF(X609=2,LOOKUP(K609,'Udvaskning nøgletal'!$C$12:$C$60,'Udvaskning nøgletal'!$F$12:$F$60)+Markniveau!Y609*Markniveau!S609/100,IF(X609=3,LOOKUP(K609,'Udvaskning nøgletal'!$C$12:$C$60,'Udvaskning nøgletal'!G619:G667)+Markniveau!Y609*Markniveau!S609/100,"")))</f>
        <v>50.88</v>
      </c>
      <c r="AA609" s="10">
        <f t="shared" si="96"/>
        <v>287.47200000000004</v>
      </c>
      <c r="AB609" s="10">
        <f t="shared" si="95"/>
        <v>2.544</v>
      </c>
      <c r="AC609" s="10">
        <f t="shared" si="97"/>
        <v>14.373600000000001</v>
      </c>
      <c r="AD609" s="10">
        <f>IF(AND(Q609&gt;0,Q609&lt;30,K609&lt;8),Markniveau!Z609*'Udvaskning nøgletal'!$I$12/100,IF(AND(Q609&gt;0,Q609&lt;30,K609=216),Markniveau!Z609*'Udvaskning nøgletal'!$I$34/100,Markniveau!Z609))</f>
        <v>50.88</v>
      </c>
      <c r="AE609" s="10">
        <f t="shared" si="103"/>
        <v>287.47200000000004</v>
      </c>
      <c r="AF609" s="10">
        <f t="shared" si="98"/>
        <v>2.544</v>
      </c>
      <c r="AG609" s="10">
        <f t="shared" si="104"/>
        <v>14.373600000000001</v>
      </c>
      <c r="AH609" s="10" t="str">
        <f>IF(AND(Q609&gt;0,Q609&lt;30,K609=216),'Udvaskning nøgletal'!$C$42,IF(AND(Q609&gt;0,Q609&lt;30,K609&gt;7,K609&lt;17),'Udvaskning nøgletal'!$C$61,IF(AND(Q609&gt;0,Q609&lt;30,K609&lt;7),'Udvaskning nøgletal'!$C$62,"")))</f>
        <v/>
      </c>
      <c r="AI609" s="10">
        <f t="shared" si="100"/>
        <v>1</v>
      </c>
      <c r="AJ609" s="10">
        <f>IF($X609=1,LOOKUP(AI609,'Udvaskning nøgletal'!$C$12:$C$62,'Udvaskning nøgletal'!$E$12:$E$62)+Markniveau!$Y609*Markniveau!$S609/100,IF($X609=2,LOOKUP(AI609,'Udvaskning nøgletal'!$C$12:$C$62,'Udvaskning nøgletal'!$F$12:$F$62)+Markniveau!$Y609*Markniveau!$S609/100,IF($X609=3,LOOKUP(AI609,'Udvaskning nøgletal'!$C$12:$C$62,'Udvaskning nøgletal'!Q619:Q669)+Markniveau!$Y609*Markniveau!$S609/100,"")))</f>
        <v>50.88</v>
      </c>
      <c r="AK609" s="10">
        <f t="shared" si="99"/>
        <v>287.47200000000004</v>
      </c>
      <c r="AL609" s="10">
        <f t="shared" si="101"/>
        <v>2.544</v>
      </c>
      <c r="AM609" s="10">
        <f t="shared" si="102"/>
        <v>14.373600000000001</v>
      </c>
    </row>
    <row r="610" spans="1:39" x14ac:dyDescent="0.25">
      <c r="A610" s="15">
        <v>20332751</v>
      </c>
      <c r="B610" s="15">
        <v>9.74</v>
      </c>
      <c r="C610" s="15">
        <v>94535</v>
      </c>
      <c r="D610" s="15">
        <v>31577</v>
      </c>
      <c r="E610" s="15" t="s">
        <v>490</v>
      </c>
      <c r="F610" s="15">
        <v>2011</v>
      </c>
      <c r="G610" s="15">
        <v>20110412</v>
      </c>
      <c r="H610" s="15">
        <v>39402</v>
      </c>
      <c r="I610" s="15">
        <v>3.94</v>
      </c>
      <c r="J610" s="6" t="s">
        <v>37</v>
      </c>
      <c r="K610" s="15">
        <v>11</v>
      </c>
      <c r="L610" s="15" t="s">
        <v>102</v>
      </c>
      <c r="M610" s="15" t="s">
        <v>5</v>
      </c>
      <c r="N610" s="11" t="s">
        <v>1384</v>
      </c>
      <c r="O610" s="11" t="s">
        <v>28</v>
      </c>
      <c r="P610" s="11" t="s">
        <v>29</v>
      </c>
      <c r="Q610" s="15">
        <v>95</v>
      </c>
      <c r="R610" s="11" t="s">
        <v>3</v>
      </c>
      <c r="S610" s="10">
        <v>0</v>
      </c>
      <c r="T610" s="15">
        <v>80</v>
      </c>
      <c r="U610" s="15">
        <v>0</v>
      </c>
      <c r="V610" s="15">
        <v>0</v>
      </c>
      <c r="W610" s="15">
        <v>0</v>
      </c>
      <c r="X610" s="15">
        <f>IF(O610='Udvaskning nøgletal'!$D$65,1,IF(O610='Udvaskning nøgletal'!$D$66,2,IF(O610='Udvaskning nøgletal'!$D$67,3,IF(O610='Udvaskning nøgletal'!$D$68,2,""))))</f>
        <v>1</v>
      </c>
      <c r="Y610" s="15">
        <f>LOOKUP(K610,'Udvaskning nøgletal'!$C$12:$C$60,'Udvaskning nøgletal'!$H$12:$H$60)</f>
        <v>5</v>
      </c>
      <c r="Z610" s="10">
        <f>IF(X610=1,LOOKUP(K610,'Udvaskning nøgletal'!$C$12:$C$60,'Udvaskning nøgletal'!$E$12:$E$60)+Markniveau!Y610*Markniveau!S610/100,IF(X610=2,LOOKUP(K610,'Udvaskning nøgletal'!$C$12:$C$60,'Udvaskning nøgletal'!$F$12:$F$60)+Markniveau!Y610*Markniveau!S610/100,IF(X610=3,LOOKUP(K610,'Udvaskning nøgletal'!$C$12:$C$60,'Udvaskning nøgletal'!G620:G668)+Markniveau!Y610*Markniveau!S610/100,"")))</f>
        <v>64.66</v>
      </c>
      <c r="AA610" s="10">
        <f t="shared" si="96"/>
        <v>254.76039999999998</v>
      </c>
      <c r="AB610" s="10">
        <f t="shared" si="95"/>
        <v>3.2329999999999997</v>
      </c>
      <c r="AC610" s="10">
        <f t="shared" si="97"/>
        <v>12.738019999999999</v>
      </c>
      <c r="AD610" s="10">
        <f>IF(AND(Q610&gt;0,Q610&lt;30,K610&lt;8),Markniveau!Z610*'Udvaskning nøgletal'!$I$12/100,IF(AND(Q610&gt;0,Q610&lt;30,K610=216),Markniveau!Z610*'Udvaskning nøgletal'!$I$34/100,Markniveau!Z610))</f>
        <v>64.66</v>
      </c>
      <c r="AE610" s="10">
        <f t="shared" si="103"/>
        <v>254.76039999999998</v>
      </c>
      <c r="AF610" s="10">
        <f t="shared" si="98"/>
        <v>3.2329999999999997</v>
      </c>
      <c r="AG610" s="10">
        <f t="shared" si="104"/>
        <v>12.738019999999999</v>
      </c>
      <c r="AH610" s="10" t="str">
        <f>IF(AND(Q610&gt;0,Q610&lt;30,K610=216),'Udvaskning nøgletal'!$C$42,IF(AND(Q610&gt;0,Q610&lt;30,K610&gt;7,K610&lt;17),'Udvaskning nøgletal'!$C$61,IF(AND(Q610&gt;0,Q610&lt;30,K610&lt;7),'Udvaskning nøgletal'!$C$62,"")))</f>
        <v/>
      </c>
      <c r="AI610" s="10">
        <f t="shared" si="100"/>
        <v>11</v>
      </c>
      <c r="AJ610" s="10">
        <f>IF($X610=1,LOOKUP(AI610,'Udvaskning nøgletal'!$C$12:$C$62,'Udvaskning nøgletal'!$E$12:$E$62)+Markniveau!$Y610*Markniveau!$S610/100,IF($X610=2,LOOKUP(AI610,'Udvaskning nøgletal'!$C$12:$C$62,'Udvaskning nøgletal'!$F$12:$F$62)+Markniveau!$Y610*Markniveau!$S610/100,IF($X610=3,LOOKUP(AI610,'Udvaskning nøgletal'!$C$12:$C$62,'Udvaskning nøgletal'!Q620:Q670)+Markniveau!$Y610*Markniveau!$S610/100,"")))</f>
        <v>64.66</v>
      </c>
      <c r="AK610" s="10">
        <f t="shared" si="99"/>
        <v>254.76039999999998</v>
      </c>
      <c r="AL610" s="10">
        <f t="shared" si="101"/>
        <v>3.2329999999999997</v>
      </c>
      <c r="AM610" s="10">
        <f t="shared" si="102"/>
        <v>12.738019999999999</v>
      </c>
    </row>
    <row r="611" spans="1:39" x14ac:dyDescent="0.25">
      <c r="A611" s="15">
        <v>21162493</v>
      </c>
      <c r="B611" s="15">
        <v>14.07</v>
      </c>
      <c r="C611" s="15">
        <v>496968</v>
      </c>
      <c r="D611" s="15">
        <v>144391</v>
      </c>
      <c r="E611" s="15" t="s">
        <v>491</v>
      </c>
      <c r="F611" s="15">
        <v>2011</v>
      </c>
      <c r="G611" s="15">
        <v>20110316</v>
      </c>
      <c r="H611" s="15">
        <v>10589</v>
      </c>
      <c r="I611" s="15">
        <v>1.06</v>
      </c>
      <c r="J611" s="6" t="s">
        <v>60</v>
      </c>
      <c r="K611" s="15">
        <v>263</v>
      </c>
      <c r="L611" s="15" t="s">
        <v>39</v>
      </c>
      <c r="M611" s="15" t="s">
        <v>5</v>
      </c>
      <c r="N611" s="11" t="s">
        <v>1384</v>
      </c>
      <c r="O611" s="11" t="s">
        <v>28</v>
      </c>
      <c r="P611" s="11" t="s">
        <v>33</v>
      </c>
      <c r="Q611" s="15">
        <v>0</v>
      </c>
      <c r="R611" s="11" t="s">
        <v>1386</v>
      </c>
      <c r="S611" s="10">
        <v>200.90386724176</v>
      </c>
      <c r="T611" s="15">
        <v>80</v>
      </c>
      <c r="U611" s="15">
        <v>1</v>
      </c>
      <c r="V611" s="15">
        <v>1</v>
      </c>
      <c r="W611" s="15">
        <v>0</v>
      </c>
      <c r="X611" s="15">
        <f>IF(O611='Udvaskning nøgletal'!$D$65,1,IF(O611='Udvaskning nøgletal'!$D$66,2,IF(O611='Udvaskning nøgletal'!$D$67,3,IF(O611='Udvaskning nøgletal'!$D$68,2,""))))</f>
        <v>1</v>
      </c>
      <c r="Y611" s="15">
        <f>LOOKUP(K611,'Udvaskning nøgletal'!$C$12:$C$60,'Udvaskning nøgletal'!$H$12:$H$60)</f>
        <v>0</v>
      </c>
      <c r="Z611" s="10">
        <f>IF(X611=1,LOOKUP(K611,'Udvaskning nøgletal'!$C$12:$C$60,'Udvaskning nøgletal'!$E$12:$E$60)+Markniveau!Y611*Markniveau!S611/100,IF(X611=2,LOOKUP(K611,'Udvaskning nøgletal'!$C$12:$C$60,'Udvaskning nøgletal'!$F$12:$F$60)+Markniveau!Y611*Markniveau!S611/100,IF(X611=3,LOOKUP(K611,'Udvaskning nøgletal'!$C$12:$C$60,'Udvaskning nøgletal'!G621:G669)+Markniveau!Y611*Markniveau!S611/100,"")))</f>
        <v>33.723295792149436</v>
      </c>
      <c r="AA611" s="10">
        <f t="shared" si="96"/>
        <v>35.746693539678404</v>
      </c>
      <c r="AB611" s="10" t="str">
        <f t="shared" si="95"/>
        <v/>
      </c>
      <c r="AC611" s="10" t="str">
        <f t="shared" si="97"/>
        <v/>
      </c>
      <c r="AD611" s="10">
        <f>IF(AND(Q611&gt;0,Q611&lt;30,K611&lt;8),Markniveau!Z611*'Udvaskning nøgletal'!$I$12/100,IF(AND(Q611&gt;0,Q611&lt;30,K611=216),Markniveau!Z611*'Udvaskning nøgletal'!$I$34/100,Markniveau!Z611))</f>
        <v>33.723295792149436</v>
      </c>
      <c r="AE611" s="10">
        <f t="shared" si="103"/>
        <v>35.746693539678404</v>
      </c>
      <c r="AF611" s="10" t="str">
        <f t="shared" si="98"/>
        <v/>
      </c>
      <c r="AG611" s="10" t="str">
        <f t="shared" si="104"/>
        <v/>
      </c>
      <c r="AH611" s="10" t="str">
        <f>IF(AND(Q611&gt;0,Q611&lt;30,K611=216),'Udvaskning nøgletal'!$C$42,IF(AND(Q611&gt;0,Q611&lt;30,K611&gt;7,K611&lt;17),'Udvaskning nøgletal'!$C$61,IF(AND(Q611&gt;0,Q611&lt;30,K611&lt;7),'Udvaskning nøgletal'!$C$62,"")))</f>
        <v/>
      </c>
      <c r="AI611" s="10">
        <f t="shared" si="100"/>
        <v>263</v>
      </c>
      <c r="AJ611" s="10">
        <f>IF($X611=1,LOOKUP(AI611,'Udvaskning nøgletal'!$C$12:$C$62,'Udvaskning nøgletal'!$E$12:$E$62)+Markniveau!$Y611*Markniveau!$S611/100,IF($X611=2,LOOKUP(AI611,'Udvaskning nøgletal'!$C$12:$C$62,'Udvaskning nøgletal'!$F$12:$F$62)+Markniveau!$Y611*Markniveau!$S611/100,IF($X611=3,LOOKUP(AI611,'Udvaskning nøgletal'!$C$12:$C$62,'Udvaskning nøgletal'!Q621:Q671)+Markniveau!$Y611*Markniveau!$S611/100,"")))</f>
        <v>33.723295792149436</v>
      </c>
      <c r="AK611" s="10">
        <f t="shared" si="99"/>
        <v>35.746693539678404</v>
      </c>
      <c r="AL611" s="10" t="str">
        <f t="shared" si="101"/>
        <v/>
      </c>
      <c r="AM611" s="10" t="str">
        <f t="shared" si="102"/>
        <v/>
      </c>
    </row>
    <row r="612" spans="1:39" x14ac:dyDescent="0.25">
      <c r="A612" s="15">
        <v>21162493</v>
      </c>
      <c r="B612" s="15">
        <v>14.07</v>
      </c>
      <c r="C612" s="15">
        <v>500856</v>
      </c>
      <c r="D612" s="15">
        <v>144391</v>
      </c>
      <c r="E612" s="15" t="s">
        <v>492</v>
      </c>
      <c r="F612" s="15">
        <v>2011</v>
      </c>
      <c r="G612" s="15">
        <v>20110316</v>
      </c>
      <c r="H612" s="15">
        <v>38334</v>
      </c>
      <c r="I612" s="15">
        <v>3.83</v>
      </c>
      <c r="J612" s="6" t="s">
        <v>92</v>
      </c>
      <c r="K612" s="15">
        <v>216</v>
      </c>
      <c r="L612" s="15" t="s">
        <v>116</v>
      </c>
      <c r="M612" s="15" t="s">
        <v>5</v>
      </c>
      <c r="N612" s="11" t="s">
        <v>1384</v>
      </c>
      <c r="O612" s="11" t="s">
        <v>28</v>
      </c>
      <c r="P612" s="11" t="s">
        <v>33</v>
      </c>
      <c r="Q612" s="15">
        <v>0</v>
      </c>
      <c r="R612" s="11" t="s">
        <v>1386</v>
      </c>
      <c r="S612" s="10">
        <v>200.90386724176</v>
      </c>
      <c r="T612" s="15">
        <v>80</v>
      </c>
      <c r="U612" s="15">
        <v>1</v>
      </c>
      <c r="V612" s="15">
        <v>1</v>
      </c>
      <c r="W612" s="15">
        <v>0</v>
      </c>
      <c r="X612" s="15">
        <f>IF(O612='Udvaskning nøgletal'!$D$65,1,IF(O612='Udvaskning nøgletal'!$D$66,2,IF(O612='Udvaskning nøgletal'!$D$67,3,IF(O612='Udvaskning nøgletal'!$D$68,2,""))))</f>
        <v>1</v>
      </c>
      <c r="Y612" s="15">
        <f>LOOKUP(K612,'Udvaskning nøgletal'!$C$12:$C$60,'Udvaskning nøgletal'!$H$12:$H$60)</f>
        <v>0</v>
      </c>
      <c r="Z612" s="10">
        <f>IF(X612=1,LOOKUP(K612,'Udvaskning nøgletal'!$C$12:$C$60,'Udvaskning nøgletal'!$E$12:$E$60)+Markniveau!Y612*Markniveau!S612/100,IF(X612=2,LOOKUP(K612,'Udvaskning nøgletal'!$C$12:$C$60,'Udvaskning nøgletal'!$F$12:$F$60)+Markniveau!Y612*Markniveau!S612/100,IF(X612=3,LOOKUP(K612,'Udvaskning nøgletal'!$C$12:$C$60,'Udvaskning nøgletal'!G622:G670)+Markniveau!Y612*Markniveau!S612/100,"")))</f>
        <v>125.85383557148924</v>
      </c>
      <c r="AA612" s="10">
        <f t="shared" si="96"/>
        <v>482.02019023880382</v>
      </c>
      <c r="AB612" s="10" t="str">
        <f t="shared" si="95"/>
        <v/>
      </c>
      <c r="AC612" s="10" t="str">
        <f t="shared" si="97"/>
        <v/>
      </c>
      <c r="AD612" s="10">
        <f>IF(AND(Q612&gt;0,Q612&lt;30,K612&lt;8),Markniveau!Z612*'Udvaskning nøgletal'!$I$12/100,IF(AND(Q612&gt;0,Q612&lt;30,K612=216),Markniveau!Z612*'Udvaskning nøgletal'!$I$34/100,Markniveau!Z612))</f>
        <v>125.85383557148924</v>
      </c>
      <c r="AE612" s="10">
        <f t="shared" si="103"/>
        <v>482.02019023880382</v>
      </c>
      <c r="AF612" s="10" t="str">
        <f t="shared" si="98"/>
        <v/>
      </c>
      <c r="AG612" s="10" t="str">
        <f t="shared" si="104"/>
        <v/>
      </c>
      <c r="AH612" s="10" t="str">
        <f>IF(AND(Q612&gt;0,Q612&lt;30,K612=216),'Udvaskning nøgletal'!$C$42,IF(AND(Q612&gt;0,Q612&lt;30,K612&gt;7,K612&lt;17),'Udvaskning nøgletal'!$C$61,IF(AND(Q612&gt;0,Q612&lt;30,K612&lt;7),'Udvaskning nøgletal'!$C$62,"")))</f>
        <v/>
      </c>
      <c r="AI612" s="10">
        <f t="shared" si="100"/>
        <v>216</v>
      </c>
      <c r="AJ612" s="10">
        <f>IF($X612=1,LOOKUP(AI612,'Udvaskning nøgletal'!$C$12:$C$62,'Udvaskning nøgletal'!$E$12:$E$62)+Markniveau!$Y612*Markniveau!$S612/100,IF($X612=2,LOOKUP(AI612,'Udvaskning nøgletal'!$C$12:$C$62,'Udvaskning nøgletal'!$F$12:$F$62)+Markniveau!$Y612*Markniveau!$S612/100,IF($X612=3,LOOKUP(AI612,'Udvaskning nøgletal'!$C$12:$C$62,'Udvaskning nøgletal'!Q622:Q672)+Markniveau!$Y612*Markniveau!$S612/100,"")))</f>
        <v>125.85383557148924</v>
      </c>
      <c r="AK612" s="10">
        <f t="shared" si="99"/>
        <v>482.02019023880382</v>
      </c>
      <c r="AL612" s="10" t="str">
        <f t="shared" si="101"/>
        <v/>
      </c>
      <c r="AM612" s="10" t="str">
        <f t="shared" si="102"/>
        <v/>
      </c>
    </row>
    <row r="613" spans="1:39" x14ac:dyDescent="0.25">
      <c r="A613" s="15">
        <v>21162493</v>
      </c>
      <c r="B613" s="15">
        <v>14.07</v>
      </c>
      <c r="C613" s="15">
        <v>503837</v>
      </c>
      <c r="D613" s="15">
        <v>144391</v>
      </c>
      <c r="E613" s="15" t="s">
        <v>492</v>
      </c>
      <c r="F613" s="15">
        <v>2011</v>
      </c>
      <c r="G613" s="15">
        <v>20110316</v>
      </c>
      <c r="H613" s="15">
        <v>75747</v>
      </c>
      <c r="I613" s="15">
        <v>7.57</v>
      </c>
      <c r="J613" s="6" t="s">
        <v>38</v>
      </c>
      <c r="K613" s="15">
        <v>263</v>
      </c>
      <c r="L613" s="15" t="s">
        <v>39</v>
      </c>
      <c r="M613" s="15" t="s">
        <v>5</v>
      </c>
      <c r="N613" s="11" t="s">
        <v>1384</v>
      </c>
      <c r="O613" s="11" t="s">
        <v>28</v>
      </c>
      <c r="P613" s="11" t="s">
        <v>33</v>
      </c>
      <c r="Q613" s="15">
        <v>0</v>
      </c>
      <c r="R613" s="11" t="s">
        <v>1386</v>
      </c>
      <c r="S613" s="10">
        <v>200.90386724176</v>
      </c>
      <c r="T613" s="15">
        <v>80</v>
      </c>
      <c r="U613" s="15">
        <v>1</v>
      </c>
      <c r="V613" s="15">
        <v>1</v>
      </c>
      <c r="W613" s="15">
        <v>0</v>
      </c>
      <c r="X613" s="15">
        <f>IF(O613='Udvaskning nøgletal'!$D$65,1,IF(O613='Udvaskning nøgletal'!$D$66,2,IF(O613='Udvaskning nøgletal'!$D$67,3,IF(O613='Udvaskning nøgletal'!$D$68,2,""))))</f>
        <v>1</v>
      </c>
      <c r="Y613" s="15">
        <f>LOOKUP(K613,'Udvaskning nøgletal'!$C$12:$C$60,'Udvaskning nøgletal'!$H$12:$H$60)</f>
        <v>0</v>
      </c>
      <c r="Z613" s="10">
        <f>IF(X613=1,LOOKUP(K613,'Udvaskning nøgletal'!$C$12:$C$60,'Udvaskning nøgletal'!$E$12:$E$60)+Markniveau!Y613*Markniveau!S613/100,IF(X613=2,LOOKUP(K613,'Udvaskning nøgletal'!$C$12:$C$60,'Udvaskning nøgletal'!$F$12:$F$60)+Markniveau!Y613*Markniveau!S613/100,IF(X613=3,LOOKUP(K613,'Udvaskning nøgletal'!$C$12:$C$60,'Udvaskning nøgletal'!G623:G671)+Markniveau!Y613*Markniveau!S613/100,"")))</f>
        <v>33.723295792149436</v>
      </c>
      <c r="AA613" s="10">
        <f t="shared" si="96"/>
        <v>255.28534914657124</v>
      </c>
      <c r="AB613" s="10" t="str">
        <f t="shared" si="95"/>
        <v/>
      </c>
      <c r="AC613" s="10" t="str">
        <f t="shared" si="97"/>
        <v/>
      </c>
      <c r="AD613" s="10">
        <f>IF(AND(Q613&gt;0,Q613&lt;30,K613&lt;8),Markniveau!Z613*'Udvaskning nøgletal'!$I$12/100,IF(AND(Q613&gt;0,Q613&lt;30,K613=216),Markniveau!Z613*'Udvaskning nøgletal'!$I$34/100,Markniveau!Z613))</f>
        <v>33.723295792149436</v>
      </c>
      <c r="AE613" s="10">
        <f t="shared" si="103"/>
        <v>255.28534914657124</v>
      </c>
      <c r="AF613" s="10" t="str">
        <f t="shared" si="98"/>
        <v/>
      </c>
      <c r="AG613" s="10" t="str">
        <f t="shared" si="104"/>
        <v/>
      </c>
      <c r="AH613" s="10" t="str">
        <f>IF(AND(Q613&gt;0,Q613&lt;30,K613=216),'Udvaskning nøgletal'!$C$42,IF(AND(Q613&gt;0,Q613&lt;30,K613&gt;7,K613&lt;17),'Udvaskning nøgletal'!$C$61,IF(AND(Q613&gt;0,Q613&lt;30,K613&lt;7),'Udvaskning nøgletal'!$C$62,"")))</f>
        <v/>
      </c>
      <c r="AI613" s="10">
        <f t="shared" si="100"/>
        <v>263</v>
      </c>
      <c r="AJ613" s="10">
        <f>IF($X613=1,LOOKUP(AI613,'Udvaskning nøgletal'!$C$12:$C$62,'Udvaskning nøgletal'!$E$12:$E$62)+Markniveau!$Y613*Markniveau!$S613/100,IF($X613=2,LOOKUP(AI613,'Udvaskning nøgletal'!$C$12:$C$62,'Udvaskning nøgletal'!$F$12:$F$62)+Markniveau!$Y613*Markniveau!$S613/100,IF($X613=3,LOOKUP(AI613,'Udvaskning nøgletal'!$C$12:$C$62,'Udvaskning nøgletal'!Q623:Q673)+Markniveau!$Y613*Markniveau!$S613/100,"")))</f>
        <v>33.723295792149436</v>
      </c>
      <c r="AK613" s="10">
        <f t="shared" si="99"/>
        <v>255.28534914657124</v>
      </c>
      <c r="AL613" s="10" t="str">
        <f t="shared" si="101"/>
        <v/>
      </c>
      <c r="AM613" s="10" t="str">
        <f t="shared" si="102"/>
        <v/>
      </c>
    </row>
    <row r="614" spans="1:39" x14ac:dyDescent="0.25">
      <c r="A614" s="15">
        <v>21162493</v>
      </c>
      <c r="B614" s="15">
        <v>14.07</v>
      </c>
      <c r="C614" s="15">
        <v>503838</v>
      </c>
      <c r="D614" s="15">
        <v>144391</v>
      </c>
      <c r="E614" s="15" t="s">
        <v>493</v>
      </c>
      <c r="F614" s="15">
        <v>2011</v>
      </c>
      <c r="G614" s="15">
        <v>20110316</v>
      </c>
      <c r="H614" s="15">
        <v>43008</v>
      </c>
      <c r="I614" s="15">
        <v>4.3</v>
      </c>
      <c r="J614" s="6" t="s">
        <v>136</v>
      </c>
      <c r="K614" s="15">
        <v>216</v>
      </c>
      <c r="L614" s="15" t="s">
        <v>116</v>
      </c>
      <c r="M614" s="15" t="s">
        <v>5</v>
      </c>
      <c r="N614" s="11" t="s">
        <v>1391</v>
      </c>
      <c r="O614" s="11" t="s">
        <v>46</v>
      </c>
      <c r="P614" s="11" t="s">
        <v>33</v>
      </c>
      <c r="Q614" s="15">
        <v>0</v>
      </c>
      <c r="R614" s="11" t="s">
        <v>1386</v>
      </c>
      <c r="S614" s="10">
        <v>200.90386724176</v>
      </c>
      <c r="T614" s="15">
        <v>80</v>
      </c>
      <c r="U614" s="15">
        <v>1</v>
      </c>
      <c r="V614" s="15">
        <v>1</v>
      </c>
      <c r="W614" s="15">
        <v>0</v>
      </c>
      <c r="X614" s="15">
        <f>IF(O614='Udvaskning nøgletal'!$D$65,1,IF(O614='Udvaskning nøgletal'!$D$66,2,IF(O614='Udvaskning nøgletal'!$D$67,3,IF(O614='Udvaskning nøgletal'!$D$68,2,""))))</f>
        <v>2</v>
      </c>
      <c r="Y614" s="15">
        <f>LOOKUP(K614,'Udvaskning nøgletal'!$C$12:$C$60,'Udvaskning nøgletal'!$H$12:$H$60)</f>
        <v>0</v>
      </c>
      <c r="Z614" s="10">
        <f>IF(X614=1,LOOKUP(K614,'Udvaskning nøgletal'!$C$12:$C$60,'Udvaskning nøgletal'!$E$12:$E$60)+Markniveau!Y614*Markniveau!S614/100,IF(X614=2,LOOKUP(K614,'Udvaskning nøgletal'!$C$12:$C$60,'Udvaskning nøgletal'!$F$12:$F$60)+Markniveau!Y614*Markniveau!S614/100,IF(X614=3,LOOKUP(K614,'Udvaskning nøgletal'!$C$12:$C$60,'Udvaskning nøgletal'!G624:G672)+Markniveau!Y614*Markniveau!S614/100,"")))</f>
        <v>101.66744640811392</v>
      </c>
      <c r="AA614" s="10">
        <f t="shared" si="96"/>
        <v>437.17001955488985</v>
      </c>
      <c r="AB614" s="10" t="str">
        <f t="shared" si="95"/>
        <v/>
      </c>
      <c r="AC614" s="10" t="str">
        <f t="shared" si="97"/>
        <v/>
      </c>
      <c r="AD614" s="10">
        <f>IF(AND(Q614&gt;0,Q614&lt;30,K614&lt;8),Markniveau!Z614*'Udvaskning nøgletal'!$I$12/100,IF(AND(Q614&gt;0,Q614&lt;30,K614=216),Markniveau!Z614*'Udvaskning nøgletal'!$I$34/100,Markniveau!Z614))</f>
        <v>101.66744640811392</v>
      </c>
      <c r="AE614" s="10">
        <f t="shared" si="103"/>
        <v>437.17001955488985</v>
      </c>
      <c r="AF614" s="10" t="str">
        <f t="shared" si="98"/>
        <v/>
      </c>
      <c r="AG614" s="10" t="str">
        <f t="shared" si="104"/>
        <v/>
      </c>
      <c r="AH614" s="10" t="str">
        <f>IF(AND(Q614&gt;0,Q614&lt;30,K614=216),'Udvaskning nøgletal'!$C$42,IF(AND(Q614&gt;0,Q614&lt;30,K614&gt;7,K614&lt;17),'Udvaskning nøgletal'!$C$61,IF(AND(Q614&gt;0,Q614&lt;30,K614&lt;7),'Udvaskning nøgletal'!$C$62,"")))</f>
        <v/>
      </c>
      <c r="AI614" s="10">
        <f t="shared" si="100"/>
        <v>216</v>
      </c>
      <c r="AJ614" s="10">
        <f>IF($X614=1,LOOKUP(AI614,'Udvaskning nøgletal'!$C$12:$C$62,'Udvaskning nøgletal'!$E$12:$E$62)+Markniveau!$Y614*Markniveau!$S614/100,IF($X614=2,LOOKUP(AI614,'Udvaskning nøgletal'!$C$12:$C$62,'Udvaskning nøgletal'!$F$12:$F$62)+Markniveau!$Y614*Markniveau!$S614/100,IF($X614=3,LOOKUP(AI614,'Udvaskning nøgletal'!$C$12:$C$62,'Udvaskning nøgletal'!Q624:Q674)+Markniveau!$Y614*Markniveau!$S614/100,"")))</f>
        <v>101.66744640811392</v>
      </c>
      <c r="AK614" s="10">
        <f t="shared" si="99"/>
        <v>437.17001955488985</v>
      </c>
      <c r="AL614" s="10" t="str">
        <f t="shared" si="101"/>
        <v/>
      </c>
      <c r="AM614" s="10" t="str">
        <f t="shared" si="102"/>
        <v/>
      </c>
    </row>
    <row r="615" spans="1:39" x14ac:dyDescent="0.25">
      <c r="A615" s="15">
        <v>21162493</v>
      </c>
      <c r="B615" s="15">
        <v>14.07</v>
      </c>
      <c r="C615" s="15">
        <v>503839</v>
      </c>
      <c r="D615" s="15">
        <v>144391</v>
      </c>
      <c r="E615" s="15" t="s">
        <v>494</v>
      </c>
      <c r="F615" s="15">
        <v>2011</v>
      </c>
      <c r="G615" s="15">
        <v>20110316</v>
      </c>
      <c r="H615" s="15">
        <v>10696</v>
      </c>
      <c r="I615" s="15">
        <v>1.07</v>
      </c>
      <c r="J615" s="6" t="s">
        <v>495</v>
      </c>
      <c r="K615" s="15">
        <v>216</v>
      </c>
      <c r="L615" s="15" t="s">
        <v>116</v>
      </c>
      <c r="M615" s="15" t="s">
        <v>5</v>
      </c>
      <c r="N615" s="11" t="s">
        <v>1391</v>
      </c>
      <c r="O615" s="11" t="s">
        <v>46</v>
      </c>
      <c r="P615" s="11" t="s">
        <v>33</v>
      </c>
      <c r="Q615" s="15">
        <v>0</v>
      </c>
      <c r="R615" s="11" t="s">
        <v>1386</v>
      </c>
      <c r="S615" s="10">
        <v>200.90386724176</v>
      </c>
      <c r="T615" s="15">
        <v>80</v>
      </c>
      <c r="U615" s="15">
        <v>1</v>
      </c>
      <c r="V615" s="15">
        <v>1</v>
      </c>
      <c r="W615" s="15">
        <v>0</v>
      </c>
      <c r="X615" s="15">
        <f>IF(O615='Udvaskning nøgletal'!$D$65,1,IF(O615='Udvaskning nøgletal'!$D$66,2,IF(O615='Udvaskning nøgletal'!$D$67,3,IF(O615='Udvaskning nøgletal'!$D$68,2,""))))</f>
        <v>2</v>
      </c>
      <c r="Y615" s="15">
        <f>LOOKUP(K615,'Udvaskning nøgletal'!$C$12:$C$60,'Udvaskning nøgletal'!$H$12:$H$60)</f>
        <v>0</v>
      </c>
      <c r="Z615" s="10">
        <f>IF(X615=1,LOOKUP(K615,'Udvaskning nøgletal'!$C$12:$C$60,'Udvaskning nøgletal'!$E$12:$E$60)+Markniveau!Y615*Markniveau!S615/100,IF(X615=2,LOOKUP(K615,'Udvaskning nøgletal'!$C$12:$C$60,'Udvaskning nøgletal'!$F$12:$F$60)+Markniveau!Y615*Markniveau!S615/100,IF(X615=3,LOOKUP(K615,'Udvaskning nøgletal'!$C$12:$C$60,'Udvaskning nøgletal'!G625:G673)+Markniveau!Y615*Markniveau!S615/100,"")))</f>
        <v>101.66744640811392</v>
      </c>
      <c r="AA615" s="10">
        <f t="shared" si="96"/>
        <v>108.7841676566819</v>
      </c>
      <c r="AB615" s="10" t="str">
        <f t="shared" si="95"/>
        <v/>
      </c>
      <c r="AC615" s="10" t="str">
        <f t="shared" si="97"/>
        <v/>
      </c>
      <c r="AD615" s="10">
        <f>IF(AND(Q615&gt;0,Q615&lt;30,K615&lt;8),Markniveau!Z615*'Udvaskning nøgletal'!$I$12/100,IF(AND(Q615&gt;0,Q615&lt;30,K615=216),Markniveau!Z615*'Udvaskning nøgletal'!$I$34/100,Markniveau!Z615))</f>
        <v>101.66744640811392</v>
      </c>
      <c r="AE615" s="10">
        <f t="shared" si="103"/>
        <v>108.7841676566819</v>
      </c>
      <c r="AF615" s="10" t="str">
        <f t="shared" si="98"/>
        <v/>
      </c>
      <c r="AG615" s="10" t="str">
        <f t="shared" si="104"/>
        <v/>
      </c>
      <c r="AH615" s="10" t="str">
        <f>IF(AND(Q615&gt;0,Q615&lt;30,K615=216),'Udvaskning nøgletal'!$C$42,IF(AND(Q615&gt;0,Q615&lt;30,K615&gt;7,K615&lt;17),'Udvaskning nøgletal'!$C$61,IF(AND(Q615&gt;0,Q615&lt;30,K615&lt;7),'Udvaskning nøgletal'!$C$62,"")))</f>
        <v/>
      </c>
      <c r="AI615" s="10">
        <f t="shared" si="100"/>
        <v>216</v>
      </c>
      <c r="AJ615" s="10">
        <f>IF($X615=1,LOOKUP(AI615,'Udvaskning nøgletal'!$C$12:$C$62,'Udvaskning nøgletal'!$E$12:$E$62)+Markniveau!$Y615*Markniveau!$S615/100,IF($X615=2,LOOKUP(AI615,'Udvaskning nøgletal'!$C$12:$C$62,'Udvaskning nøgletal'!$F$12:$F$62)+Markniveau!$Y615*Markniveau!$S615/100,IF($X615=3,LOOKUP(AI615,'Udvaskning nøgletal'!$C$12:$C$62,'Udvaskning nøgletal'!Q625:Q675)+Markniveau!$Y615*Markniveau!$S615/100,"")))</f>
        <v>101.66744640811392</v>
      </c>
      <c r="AK615" s="10">
        <f t="shared" si="99"/>
        <v>108.7841676566819</v>
      </c>
      <c r="AL615" s="10" t="str">
        <f t="shared" si="101"/>
        <v/>
      </c>
      <c r="AM615" s="10" t="str">
        <f t="shared" si="102"/>
        <v/>
      </c>
    </row>
    <row r="616" spans="1:39" x14ac:dyDescent="0.25">
      <c r="A616" s="15">
        <v>21162493</v>
      </c>
      <c r="B616" s="15">
        <v>14.07</v>
      </c>
      <c r="C616" s="15">
        <v>503840</v>
      </c>
      <c r="D616" s="15">
        <v>144391</v>
      </c>
      <c r="E616" s="15" t="s">
        <v>494</v>
      </c>
      <c r="F616" s="15">
        <v>2011</v>
      </c>
      <c r="G616" s="15">
        <v>20110316</v>
      </c>
      <c r="H616" s="15">
        <v>60006</v>
      </c>
      <c r="I616" s="15">
        <v>6</v>
      </c>
      <c r="J616" s="6" t="s">
        <v>134</v>
      </c>
      <c r="K616" s="15">
        <v>216</v>
      </c>
      <c r="L616" s="15" t="s">
        <v>116</v>
      </c>
      <c r="M616" s="15" t="s">
        <v>5</v>
      </c>
      <c r="N616" s="11" t="s">
        <v>1391</v>
      </c>
      <c r="O616" s="11" t="s">
        <v>46</v>
      </c>
      <c r="P616" s="11" t="s">
        <v>29</v>
      </c>
      <c r="Q616" s="15">
        <v>0</v>
      </c>
      <c r="R616" s="11" t="s">
        <v>1386</v>
      </c>
      <c r="S616" s="10">
        <v>200.90386724176</v>
      </c>
      <c r="T616" s="15">
        <v>80</v>
      </c>
      <c r="U616" s="15">
        <v>1</v>
      </c>
      <c r="V616" s="15">
        <v>1</v>
      </c>
      <c r="W616" s="15">
        <v>0</v>
      </c>
      <c r="X616" s="15">
        <f>IF(O616='Udvaskning nøgletal'!$D$65,1,IF(O616='Udvaskning nøgletal'!$D$66,2,IF(O616='Udvaskning nøgletal'!$D$67,3,IF(O616='Udvaskning nøgletal'!$D$68,2,""))))</f>
        <v>2</v>
      </c>
      <c r="Y616" s="15">
        <f>LOOKUP(K616,'Udvaskning nøgletal'!$C$12:$C$60,'Udvaskning nøgletal'!$H$12:$H$60)</f>
        <v>0</v>
      </c>
      <c r="Z616" s="10">
        <f>IF(X616=1,LOOKUP(K616,'Udvaskning nøgletal'!$C$12:$C$60,'Udvaskning nøgletal'!$E$12:$E$60)+Markniveau!Y616*Markniveau!S616/100,IF(X616=2,LOOKUP(K616,'Udvaskning nøgletal'!$C$12:$C$60,'Udvaskning nøgletal'!$F$12:$F$60)+Markniveau!Y616*Markniveau!S616/100,IF(X616=3,LOOKUP(K616,'Udvaskning nøgletal'!$C$12:$C$60,'Udvaskning nøgletal'!G626:G674)+Markniveau!Y616*Markniveau!S616/100,"")))</f>
        <v>101.66744640811392</v>
      </c>
      <c r="AA616" s="10">
        <f t="shared" si="96"/>
        <v>610.00467844868353</v>
      </c>
      <c r="AB616" s="10" t="str">
        <f t="shared" si="95"/>
        <v/>
      </c>
      <c r="AC616" s="10" t="str">
        <f t="shared" si="97"/>
        <v/>
      </c>
      <c r="AD616" s="10">
        <f>IF(AND(Q616&gt;0,Q616&lt;30,K616&lt;8),Markniveau!Z616*'Udvaskning nøgletal'!$I$12/100,IF(AND(Q616&gt;0,Q616&lt;30,K616=216),Markniveau!Z616*'Udvaskning nøgletal'!$I$34/100,Markniveau!Z616))</f>
        <v>101.66744640811392</v>
      </c>
      <c r="AE616" s="10">
        <f t="shared" si="103"/>
        <v>610.00467844868353</v>
      </c>
      <c r="AF616" s="10" t="str">
        <f t="shared" si="98"/>
        <v/>
      </c>
      <c r="AG616" s="10" t="str">
        <f t="shared" si="104"/>
        <v/>
      </c>
      <c r="AH616" s="10" t="str">
        <f>IF(AND(Q616&gt;0,Q616&lt;30,K616=216),'Udvaskning nøgletal'!$C$42,IF(AND(Q616&gt;0,Q616&lt;30,K616&gt;7,K616&lt;17),'Udvaskning nøgletal'!$C$61,IF(AND(Q616&gt;0,Q616&lt;30,K616&lt;7),'Udvaskning nøgletal'!$C$62,"")))</f>
        <v/>
      </c>
      <c r="AI616" s="10">
        <f t="shared" si="100"/>
        <v>216</v>
      </c>
      <c r="AJ616" s="10">
        <f>IF($X616=1,LOOKUP(AI616,'Udvaskning nøgletal'!$C$12:$C$62,'Udvaskning nøgletal'!$E$12:$E$62)+Markniveau!$Y616*Markniveau!$S616/100,IF($X616=2,LOOKUP(AI616,'Udvaskning nøgletal'!$C$12:$C$62,'Udvaskning nøgletal'!$F$12:$F$62)+Markniveau!$Y616*Markniveau!$S616/100,IF($X616=3,LOOKUP(AI616,'Udvaskning nøgletal'!$C$12:$C$62,'Udvaskning nøgletal'!Q626:Q676)+Markniveau!$Y616*Markniveau!$S616/100,"")))</f>
        <v>101.66744640811392</v>
      </c>
      <c r="AK616" s="10">
        <f t="shared" si="99"/>
        <v>610.00467844868353</v>
      </c>
      <c r="AL616" s="10" t="str">
        <f t="shared" si="101"/>
        <v/>
      </c>
      <c r="AM616" s="10" t="str">
        <f t="shared" si="102"/>
        <v/>
      </c>
    </row>
    <row r="617" spans="1:39" x14ac:dyDescent="0.25">
      <c r="A617" s="15">
        <v>21162493</v>
      </c>
      <c r="B617" s="15">
        <v>14.07</v>
      </c>
      <c r="C617" s="15">
        <v>504336</v>
      </c>
      <c r="D617" s="15">
        <v>144391</v>
      </c>
      <c r="E617" s="15" t="s">
        <v>496</v>
      </c>
      <c r="F617" s="15">
        <v>2011</v>
      </c>
      <c r="G617" s="15">
        <v>20110316</v>
      </c>
      <c r="H617" s="15">
        <v>80655</v>
      </c>
      <c r="I617" s="15">
        <v>8.07</v>
      </c>
      <c r="J617" s="6" t="s">
        <v>138</v>
      </c>
      <c r="K617" s="15">
        <v>216</v>
      </c>
      <c r="L617" s="15" t="s">
        <v>116</v>
      </c>
      <c r="M617" s="15" t="s">
        <v>5</v>
      </c>
      <c r="N617" s="11" t="s">
        <v>1391</v>
      </c>
      <c r="O617" s="11" t="s">
        <v>46</v>
      </c>
      <c r="P617" s="11" t="s">
        <v>29</v>
      </c>
      <c r="Q617" s="15">
        <v>95</v>
      </c>
      <c r="R617" s="11" t="s">
        <v>3</v>
      </c>
      <c r="S617" s="10">
        <v>200.90386724176</v>
      </c>
      <c r="T617" s="15">
        <v>80</v>
      </c>
      <c r="U617" s="15">
        <v>1</v>
      </c>
      <c r="V617" s="15">
        <v>1</v>
      </c>
      <c r="W617" s="15">
        <v>0</v>
      </c>
      <c r="X617" s="15">
        <f>IF(O617='Udvaskning nøgletal'!$D$65,1,IF(O617='Udvaskning nøgletal'!$D$66,2,IF(O617='Udvaskning nøgletal'!$D$67,3,IF(O617='Udvaskning nøgletal'!$D$68,2,""))))</f>
        <v>2</v>
      </c>
      <c r="Y617" s="15">
        <f>LOOKUP(K617,'Udvaskning nøgletal'!$C$12:$C$60,'Udvaskning nøgletal'!$H$12:$H$60)</f>
        <v>0</v>
      </c>
      <c r="Z617" s="10">
        <f>IF(X617=1,LOOKUP(K617,'Udvaskning nøgletal'!$C$12:$C$60,'Udvaskning nøgletal'!$E$12:$E$60)+Markniveau!Y617*Markniveau!S617/100,IF(X617=2,LOOKUP(K617,'Udvaskning nøgletal'!$C$12:$C$60,'Udvaskning nøgletal'!$F$12:$F$60)+Markniveau!Y617*Markniveau!S617/100,IF(X617=3,LOOKUP(K617,'Udvaskning nøgletal'!$C$12:$C$60,'Udvaskning nøgletal'!G627:G675)+Markniveau!Y617*Markniveau!S617/100,"")))</f>
        <v>101.66744640811392</v>
      </c>
      <c r="AA617" s="10">
        <f t="shared" si="96"/>
        <v>820.4562925134793</v>
      </c>
      <c r="AB617" s="10">
        <f t="shared" si="95"/>
        <v>5.0833723204056955</v>
      </c>
      <c r="AC617" s="10">
        <f t="shared" si="97"/>
        <v>41.022814625673966</v>
      </c>
      <c r="AD617" s="10">
        <f>IF(AND(Q617&gt;0,Q617&lt;30,K617&lt;8),Markniveau!Z617*'Udvaskning nøgletal'!$I$12/100,IF(AND(Q617&gt;0,Q617&lt;30,K617=216),Markniveau!Z617*'Udvaskning nøgletal'!$I$34/100,Markniveau!Z617))</f>
        <v>101.66744640811392</v>
      </c>
      <c r="AE617" s="10">
        <f t="shared" si="103"/>
        <v>820.4562925134793</v>
      </c>
      <c r="AF617" s="10">
        <f t="shared" si="98"/>
        <v>5.0833723204056955</v>
      </c>
      <c r="AG617" s="10">
        <f t="shared" si="104"/>
        <v>41.022814625673966</v>
      </c>
      <c r="AH617" s="10" t="str">
        <f>IF(AND(Q617&gt;0,Q617&lt;30,K617=216),'Udvaskning nøgletal'!$C$42,IF(AND(Q617&gt;0,Q617&lt;30,K617&gt;7,K617&lt;17),'Udvaskning nøgletal'!$C$61,IF(AND(Q617&gt;0,Q617&lt;30,K617&lt;7),'Udvaskning nøgletal'!$C$62,"")))</f>
        <v/>
      </c>
      <c r="AI617" s="10">
        <f t="shared" si="100"/>
        <v>216</v>
      </c>
      <c r="AJ617" s="10">
        <f>IF($X617=1,LOOKUP(AI617,'Udvaskning nøgletal'!$C$12:$C$62,'Udvaskning nøgletal'!$E$12:$E$62)+Markniveau!$Y617*Markniveau!$S617/100,IF($X617=2,LOOKUP(AI617,'Udvaskning nøgletal'!$C$12:$C$62,'Udvaskning nøgletal'!$F$12:$F$62)+Markniveau!$Y617*Markniveau!$S617/100,IF($X617=3,LOOKUP(AI617,'Udvaskning nøgletal'!$C$12:$C$62,'Udvaskning nøgletal'!Q627:Q677)+Markniveau!$Y617*Markniveau!$S617/100,"")))</f>
        <v>101.66744640811392</v>
      </c>
      <c r="AK617" s="10">
        <f t="shared" si="99"/>
        <v>820.4562925134793</v>
      </c>
      <c r="AL617" s="10">
        <f t="shared" si="101"/>
        <v>5.0833723204056955</v>
      </c>
      <c r="AM617" s="10">
        <f t="shared" si="102"/>
        <v>41.022814625673966</v>
      </c>
    </row>
    <row r="618" spans="1:39" x14ac:dyDescent="0.25">
      <c r="A618" s="15">
        <v>21162493</v>
      </c>
      <c r="B618" s="15">
        <v>14.07</v>
      </c>
      <c r="C618" s="15">
        <v>504337</v>
      </c>
      <c r="D618" s="15">
        <v>144391</v>
      </c>
      <c r="E618" s="15" t="s">
        <v>497</v>
      </c>
      <c r="F618" s="15">
        <v>2011</v>
      </c>
      <c r="G618" s="15">
        <v>20110316</v>
      </c>
      <c r="H618" s="15">
        <v>59225</v>
      </c>
      <c r="I618" s="15">
        <v>5.92</v>
      </c>
      <c r="J618" s="6" t="s">
        <v>133</v>
      </c>
      <c r="K618" s="15">
        <v>263</v>
      </c>
      <c r="L618" s="15" t="s">
        <v>39</v>
      </c>
      <c r="M618" s="15" t="s">
        <v>5</v>
      </c>
      <c r="N618" s="11" t="s">
        <v>1390</v>
      </c>
      <c r="O618" s="11" t="s">
        <v>42</v>
      </c>
      <c r="P618" s="11" t="s">
        <v>33</v>
      </c>
      <c r="Q618" s="15">
        <v>0</v>
      </c>
      <c r="R618" s="11" t="s">
        <v>1386</v>
      </c>
      <c r="S618" s="10">
        <v>200.90386724176</v>
      </c>
      <c r="T618" s="15">
        <v>80</v>
      </c>
      <c r="U618" s="15">
        <v>1</v>
      </c>
      <c r="V618" s="15">
        <v>1</v>
      </c>
      <c r="W618" s="15">
        <v>0</v>
      </c>
      <c r="X618" s="15">
        <f>IF(O618='Udvaskning nøgletal'!$D$65,1,IF(O618='Udvaskning nøgletal'!$D$66,2,IF(O618='Udvaskning nøgletal'!$D$67,3,IF(O618='Udvaskning nøgletal'!$D$68,2,""))))</f>
        <v>2</v>
      </c>
      <c r="Y618" s="15">
        <f>LOOKUP(K618,'Udvaskning nøgletal'!$C$12:$C$60,'Udvaskning nøgletal'!$H$12:$H$60)</f>
        <v>0</v>
      </c>
      <c r="Z618" s="10">
        <f>IF(X618=1,LOOKUP(K618,'Udvaskning nøgletal'!$C$12:$C$60,'Udvaskning nøgletal'!$E$12:$E$60)+Markniveau!Y618*Markniveau!S618/100,IF(X618=2,LOOKUP(K618,'Udvaskning nøgletal'!$C$12:$C$60,'Udvaskning nøgletal'!$F$12:$F$60)+Markniveau!Y618*Markniveau!S618/100,IF(X618=3,LOOKUP(K618,'Udvaskning nøgletal'!$C$12:$C$60,'Udvaskning nøgletal'!G628:G676)+Markniveau!Y618*Markniveau!S618/100,"")))</f>
        <v>27.331185321443094</v>
      </c>
      <c r="AA618" s="10">
        <f t="shared" si="96"/>
        <v>161.80061710294311</v>
      </c>
      <c r="AB618" s="10" t="str">
        <f t="shared" si="95"/>
        <v/>
      </c>
      <c r="AC618" s="10" t="str">
        <f t="shared" si="97"/>
        <v/>
      </c>
      <c r="AD618" s="10">
        <f>IF(AND(Q618&gt;0,Q618&lt;30,K618&lt;8),Markniveau!Z618*'Udvaskning nøgletal'!$I$12/100,IF(AND(Q618&gt;0,Q618&lt;30,K618=216),Markniveau!Z618*'Udvaskning nøgletal'!$I$34/100,Markniveau!Z618))</f>
        <v>27.331185321443094</v>
      </c>
      <c r="AE618" s="10">
        <f t="shared" si="103"/>
        <v>161.80061710294311</v>
      </c>
      <c r="AF618" s="10" t="str">
        <f t="shared" si="98"/>
        <v/>
      </c>
      <c r="AG618" s="10" t="str">
        <f t="shared" si="104"/>
        <v/>
      </c>
      <c r="AH618" s="10" t="str">
        <f>IF(AND(Q618&gt;0,Q618&lt;30,K618=216),'Udvaskning nøgletal'!$C$42,IF(AND(Q618&gt;0,Q618&lt;30,K618&gt;7,K618&lt;17),'Udvaskning nøgletal'!$C$61,IF(AND(Q618&gt;0,Q618&lt;30,K618&lt;7),'Udvaskning nøgletal'!$C$62,"")))</f>
        <v/>
      </c>
      <c r="AI618" s="10">
        <f t="shared" si="100"/>
        <v>263</v>
      </c>
      <c r="AJ618" s="10">
        <f>IF($X618=1,LOOKUP(AI618,'Udvaskning nøgletal'!$C$12:$C$62,'Udvaskning nøgletal'!$E$12:$E$62)+Markniveau!$Y618*Markniveau!$S618/100,IF($X618=2,LOOKUP(AI618,'Udvaskning nøgletal'!$C$12:$C$62,'Udvaskning nøgletal'!$F$12:$F$62)+Markniveau!$Y618*Markniveau!$S618/100,IF($X618=3,LOOKUP(AI618,'Udvaskning nøgletal'!$C$12:$C$62,'Udvaskning nøgletal'!Q628:Q678)+Markniveau!$Y618*Markniveau!$S618/100,"")))</f>
        <v>27.331185321443094</v>
      </c>
      <c r="AK618" s="10">
        <f t="shared" si="99"/>
        <v>161.80061710294311</v>
      </c>
      <c r="AL618" s="10" t="str">
        <f t="shared" si="101"/>
        <v/>
      </c>
      <c r="AM618" s="10" t="str">
        <f t="shared" si="102"/>
        <v/>
      </c>
    </row>
    <row r="619" spans="1:39" x14ac:dyDescent="0.25">
      <c r="A619" s="15">
        <v>21162493</v>
      </c>
      <c r="B619" s="15">
        <v>14.07</v>
      </c>
      <c r="C619" s="15">
        <v>504338</v>
      </c>
      <c r="D619" s="15">
        <v>144391</v>
      </c>
      <c r="E619" s="15" t="s">
        <v>497</v>
      </c>
      <c r="F619" s="15">
        <v>2011</v>
      </c>
      <c r="G619" s="15">
        <v>20110316</v>
      </c>
      <c r="H619" s="15">
        <v>57266</v>
      </c>
      <c r="I619" s="15">
        <v>5.73</v>
      </c>
      <c r="J619" s="6" t="s">
        <v>498</v>
      </c>
      <c r="K619" s="15">
        <v>263</v>
      </c>
      <c r="L619" s="15" t="s">
        <v>39</v>
      </c>
      <c r="M619" s="15" t="s">
        <v>5</v>
      </c>
      <c r="N619" s="11" t="s">
        <v>1390</v>
      </c>
      <c r="O619" s="11" t="s">
        <v>42</v>
      </c>
      <c r="P619" s="11" t="s">
        <v>33</v>
      </c>
      <c r="Q619" s="15">
        <v>0</v>
      </c>
      <c r="R619" s="11" t="s">
        <v>1386</v>
      </c>
      <c r="S619" s="10">
        <v>200.90386724176</v>
      </c>
      <c r="T619" s="15">
        <v>80</v>
      </c>
      <c r="U619" s="15">
        <v>1</v>
      </c>
      <c r="V619" s="15">
        <v>1</v>
      </c>
      <c r="W619" s="15">
        <v>0</v>
      </c>
      <c r="X619" s="15">
        <f>IF(O619='Udvaskning nøgletal'!$D$65,1,IF(O619='Udvaskning nøgletal'!$D$66,2,IF(O619='Udvaskning nøgletal'!$D$67,3,IF(O619='Udvaskning nøgletal'!$D$68,2,""))))</f>
        <v>2</v>
      </c>
      <c r="Y619" s="15">
        <f>LOOKUP(K619,'Udvaskning nøgletal'!$C$12:$C$60,'Udvaskning nøgletal'!$H$12:$H$60)</f>
        <v>0</v>
      </c>
      <c r="Z619" s="10">
        <f>IF(X619=1,LOOKUP(K619,'Udvaskning nøgletal'!$C$12:$C$60,'Udvaskning nøgletal'!$E$12:$E$60)+Markniveau!Y619*Markniveau!S619/100,IF(X619=2,LOOKUP(K619,'Udvaskning nøgletal'!$C$12:$C$60,'Udvaskning nøgletal'!$F$12:$F$60)+Markniveau!Y619*Markniveau!S619/100,IF(X619=3,LOOKUP(K619,'Udvaskning nøgletal'!$C$12:$C$60,'Udvaskning nøgletal'!G629:G677)+Markniveau!Y619*Markniveau!S619/100,"")))</f>
        <v>27.331185321443094</v>
      </c>
      <c r="AA619" s="10">
        <f t="shared" si="96"/>
        <v>156.60769189186894</v>
      </c>
      <c r="AB619" s="10" t="str">
        <f t="shared" si="95"/>
        <v/>
      </c>
      <c r="AC619" s="10" t="str">
        <f t="shared" si="97"/>
        <v/>
      </c>
      <c r="AD619" s="10">
        <f>IF(AND(Q619&gt;0,Q619&lt;30,K619&lt;8),Markniveau!Z619*'Udvaskning nøgletal'!$I$12/100,IF(AND(Q619&gt;0,Q619&lt;30,K619=216),Markniveau!Z619*'Udvaskning nøgletal'!$I$34/100,Markniveau!Z619))</f>
        <v>27.331185321443094</v>
      </c>
      <c r="AE619" s="10">
        <f t="shared" si="103"/>
        <v>156.60769189186894</v>
      </c>
      <c r="AF619" s="10" t="str">
        <f t="shared" si="98"/>
        <v/>
      </c>
      <c r="AG619" s="10" t="str">
        <f t="shared" si="104"/>
        <v/>
      </c>
      <c r="AH619" s="10" t="str">
        <f>IF(AND(Q619&gt;0,Q619&lt;30,K619=216),'Udvaskning nøgletal'!$C$42,IF(AND(Q619&gt;0,Q619&lt;30,K619&gt;7,K619&lt;17),'Udvaskning nøgletal'!$C$61,IF(AND(Q619&gt;0,Q619&lt;30,K619&lt;7),'Udvaskning nøgletal'!$C$62,"")))</f>
        <v/>
      </c>
      <c r="AI619" s="10">
        <f t="shared" si="100"/>
        <v>263</v>
      </c>
      <c r="AJ619" s="10">
        <f>IF($X619=1,LOOKUP(AI619,'Udvaskning nøgletal'!$C$12:$C$62,'Udvaskning nøgletal'!$E$12:$E$62)+Markniveau!$Y619*Markniveau!$S619/100,IF($X619=2,LOOKUP(AI619,'Udvaskning nøgletal'!$C$12:$C$62,'Udvaskning nøgletal'!$F$12:$F$62)+Markniveau!$Y619*Markniveau!$S619/100,IF($X619=3,LOOKUP(AI619,'Udvaskning nøgletal'!$C$12:$C$62,'Udvaskning nøgletal'!Q629:Q679)+Markniveau!$Y619*Markniveau!$S619/100,"")))</f>
        <v>27.331185321443094</v>
      </c>
      <c r="AK619" s="10">
        <f t="shared" si="99"/>
        <v>156.60769189186894</v>
      </c>
      <c r="AL619" s="10" t="str">
        <f t="shared" si="101"/>
        <v/>
      </c>
      <c r="AM619" s="10" t="str">
        <f t="shared" si="102"/>
        <v/>
      </c>
    </row>
    <row r="620" spans="1:39" x14ac:dyDescent="0.25">
      <c r="A620" s="15">
        <v>21162493</v>
      </c>
      <c r="B620" s="15">
        <v>14.07</v>
      </c>
      <c r="C620" s="15">
        <v>504339</v>
      </c>
      <c r="D620" s="15">
        <v>144391</v>
      </c>
      <c r="E620" s="15" t="s">
        <v>499</v>
      </c>
      <c r="F620" s="15">
        <v>2011</v>
      </c>
      <c r="G620" s="15">
        <v>20110316</v>
      </c>
      <c r="H620" s="15">
        <v>4446</v>
      </c>
      <c r="I620" s="15">
        <v>0.44</v>
      </c>
      <c r="J620" s="6" t="s">
        <v>44</v>
      </c>
      <c r="K620" s="15">
        <v>263</v>
      </c>
      <c r="L620" s="15" t="s">
        <v>39</v>
      </c>
      <c r="M620" s="15" t="s">
        <v>5</v>
      </c>
      <c r="N620" s="11" t="s">
        <v>1384</v>
      </c>
      <c r="O620" s="11" t="s">
        <v>28</v>
      </c>
      <c r="P620" s="11" t="s">
        <v>33</v>
      </c>
      <c r="Q620" s="15">
        <v>0</v>
      </c>
      <c r="R620" s="11" t="s">
        <v>1386</v>
      </c>
      <c r="S620" s="10">
        <v>200.90386724176</v>
      </c>
      <c r="T620" s="15">
        <v>80</v>
      </c>
      <c r="U620" s="15">
        <v>1</v>
      </c>
      <c r="V620" s="15">
        <v>1</v>
      </c>
      <c r="W620" s="15">
        <v>0</v>
      </c>
      <c r="X620" s="15">
        <f>IF(O620='Udvaskning nøgletal'!$D$65,1,IF(O620='Udvaskning nøgletal'!$D$66,2,IF(O620='Udvaskning nøgletal'!$D$67,3,IF(O620='Udvaskning nøgletal'!$D$68,2,""))))</f>
        <v>1</v>
      </c>
      <c r="Y620" s="15">
        <f>LOOKUP(K620,'Udvaskning nøgletal'!$C$12:$C$60,'Udvaskning nøgletal'!$H$12:$H$60)</f>
        <v>0</v>
      </c>
      <c r="Z620" s="10">
        <f>IF(X620=1,LOOKUP(K620,'Udvaskning nøgletal'!$C$12:$C$60,'Udvaskning nøgletal'!$E$12:$E$60)+Markniveau!Y620*Markniveau!S620/100,IF(X620=2,LOOKUP(K620,'Udvaskning nøgletal'!$C$12:$C$60,'Udvaskning nøgletal'!$F$12:$F$60)+Markniveau!Y620*Markniveau!S620/100,IF(X620=3,LOOKUP(K620,'Udvaskning nøgletal'!$C$12:$C$60,'Udvaskning nøgletal'!G630:G678)+Markniveau!Y620*Markniveau!S620/100,"")))</f>
        <v>33.723295792149436</v>
      </c>
      <c r="AA620" s="10">
        <f t="shared" si="96"/>
        <v>14.838250148545752</v>
      </c>
      <c r="AB620" s="10" t="str">
        <f t="shared" si="95"/>
        <v/>
      </c>
      <c r="AC620" s="10" t="str">
        <f t="shared" si="97"/>
        <v/>
      </c>
      <c r="AD620" s="10">
        <f>IF(AND(Q620&gt;0,Q620&lt;30,K620&lt;8),Markniveau!Z620*'Udvaskning nøgletal'!$I$12/100,IF(AND(Q620&gt;0,Q620&lt;30,K620=216),Markniveau!Z620*'Udvaskning nøgletal'!$I$34/100,Markniveau!Z620))</f>
        <v>33.723295792149436</v>
      </c>
      <c r="AE620" s="10">
        <f t="shared" si="103"/>
        <v>14.838250148545752</v>
      </c>
      <c r="AF620" s="10" t="str">
        <f t="shared" si="98"/>
        <v/>
      </c>
      <c r="AG620" s="10" t="str">
        <f t="shared" si="104"/>
        <v/>
      </c>
      <c r="AH620" s="10" t="str">
        <f>IF(AND(Q620&gt;0,Q620&lt;30,K620=216),'Udvaskning nøgletal'!$C$42,IF(AND(Q620&gt;0,Q620&lt;30,K620&gt;7,K620&lt;17),'Udvaskning nøgletal'!$C$61,IF(AND(Q620&gt;0,Q620&lt;30,K620&lt;7),'Udvaskning nøgletal'!$C$62,"")))</f>
        <v/>
      </c>
      <c r="AI620" s="10">
        <f t="shared" si="100"/>
        <v>263</v>
      </c>
      <c r="AJ620" s="10">
        <f>IF($X620=1,LOOKUP(AI620,'Udvaskning nøgletal'!$C$12:$C$62,'Udvaskning nøgletal'!$E$12:$E$62)+Markniveau!$Y620*Markniveau!$S620/100,IF($X620=2,LOOKUP(AI620,'Udvaskning nøgletal'!$C$12:$C$62,'Udvaskning nøgletal'!$F$12:$F$62)+Markniveau!$Y620*Markniveau!$S620/100,IF($X620=3,LOOKUP(AI620,'Udvaskning nøgletal'!$C$12:$C$62,'Udvaskning nøgletal'!Q630:Q680)+Markniveau!$Y620*Markniveau!$S620/100,"")))</f>
        <v>33.723295792149436</v>
      </c>
      <c r="AK620" s="10">
        <f t="shared" si="99"/>
        <v>14.838250148545752</v>
      </c>
      <c r="AL620" s="10" t="str">
        <f t="shared" si="101"/>
        <v/>
      </c>
      <c r="AM620" s="10" t="str">
        <f t="shared" si="102"/>
        <v/>
      </c>
    </row>
    <row r="621" spans="1:39" x14ac:dyDescent="0.25">
      <c r="A621" s="15">
        <v>21162493</v>
      </c>
      <c r="B621" s="15">
        <v>14.07</v>
      </c>
      <c r="C621" s="15">
        <v>504340</v>
      </c>
      <c r="D621" s="15">
        <v>144391</v>
      </c>
      <c r="E621" s="15" t="s">
        <v>500</v>
      </c>
      <c r="F621" s="15">
        <v>2011</v>
      </c>
      <c r="G621" s="15">
        <v>20110316</v>
      </c>
      <c r="H621" s="15">
        <v>33968</v>
      </c>
      <c r="I621" s="15">
        <v>3.4</v>
      </c>
      <c r="J621" s="6" t="s">
        <v>63</v>
      </c>
      <c r="K621" s="15">
        <v>263</v>
      </c>
      <c r="L621" s="15" t="s">
        <v>39</v>
      </c>
      <c r="M621" s="15" t="s">
        <v>5</v>
      </c>
      <c r="N621" s="11" t="s">
        <v>1384</v>
      </c>
      <c r="O621" s="11" t="s">
        <v>28</v>
      </c>
      <c r="P621" s="11" t="s">
        <v>33</v>
      </c>
      <c r="Q621" s="15">
        <v>0</v>
      </c>
      <c r="R621" s="11" t="s">
        <v>1386</v>
      </c>
      <c r="S621" s="10">
        <v>200.90386724176</v>
      </c>
      <c r="T621" s="15">
        <v>80</v>
      </c>
      <c r="U621" s="15">
        <v>1</v>
      </c>
      <c r="V621" s="15">
        <v>1</v>
      </c>
      <c r="W621" s="15">
        <v>0</v>
      </c>
      <c r="X621" s="15">
        <f>IF(O621='Udvaskning nøgletal'!$D$65,1,IF(O621='Udvaskning nøgletal'!$D$66,2,IF(O621='Udvaskning nøgletal'!$D$67,3,IF(O621='Udvaskning nøgletal'!$D$68,2,""))))</f>
        <v>1</v>
      </c>
      <c r="Y621" s="15">
        <f>LOOKUP(K621,'Udvaskning nøgletal'!$C$12:$C$60,'Udvaskning nøgletal'!$H$12:$H$60)</f>
        <v>0</v>
      </c>
      <c r="Z621" s="10">
        <f>IF(X621=1,LOOKUP(K621,'Udvaskning nøgletal'!$C$12:$C$60,'Udvaskning nøgletal'!$E$12:$E$60)+Markniveau!Y621*Markniveau!S621/100,IF(X621=2,LOOKUP(K621,'Udvaskning nøgletal'!$C$12:$C$60,'Udvaskning nøgletal'!$F$12:$F$60)+Markniveau!Y621*Markniveau!S621/100,IF(X621=3,LOOKUP(K621,'Udvaskning nøgletal'!$C$12:$C$60,'Udvaskning nøgletal'!G631:G679)+Markniveau!Y621*Markniveau!S621/100,"")))</f>
        <v>33.723295792149436</v>
      </c>
      <c r="AA621" s="10">
        <f t="shared" si="96"/>
        <v>114.65920569330808</v>
      </c>
      <c r="AB621" s="10" t="str">
        <f t="shared" si="95"/>
        <v/>
      </c>
      <c r="AC621" s="10" t="str">
        <f t="shared" si="97"/>
        <v/>
      </c>
      <c r="AD621" s="10">
        <f>IF(AND(Q621&gt;0,Q621&lt;30,K621&lt;8),Markniveau!Z621*'Udvaskning nøgletal'!$I$12/100,IF(AND(Q621&gt;0,Q621&lt;30,K621=216),Markniveau!Z621*'Udvaskning nøgletal'!$I$34/100,Markniveau!Z621))</f>
        <v>33.723295792149436</v>
      </c>
      <c r="AE621" s="10">
        <f t="shared" si="103"/>
        <v>114.65920569330808</v>
      </c>
      <c r="AF621" s="10" t="str">
        <f t="shared" si="98"/>
        <v/>
      </c>
      <c r="AG621" s="10" t="str">
        <f t="shared" si="104"/>
        <v/>
      </c>
      <c r="AH621" s="10" t="str">
        <f>IF(AND(Q621&gt;0,Q621&lt;30,K621=216),'Udvaskning nøgletal'!$C$42,IF(AND(Q621&gt;0,Q621&lt;30,K621&gt;7,K621&lt;17),'Udvaskning nøgletal'!$C$61,IF(AND(Q621&gt;0,Q621&lt;30,K621&lt;7),'Udvaskning nøgletal'!$C$62,"")))</f>
        <v/>
      </c>
      <c r="AI621" s="10">
        <f t="shared" si="100"/>
        <v>263</v>
      </c>
      <c r="AJ621" s="10">
        <f>IF($X621=1,LOOKUP(AI621,'Udvaskning nøgletal'!$C$12:$C$62,'Udvaskning nøgletal'!$E$12:$E$62)+Markniveau!$Y621*Markniveau!$S621/100,IF($X621=2,LOOKUP(AI621,'Udvaskning nøgletal'!$C$12:$C$62,'Udvaskning nøgletal'!$F$12:$F$62)+Markniveau!$Y621*Markniveau!$S621/100,IF($X621=3,LOOKUP(AI621,'Udvaskning nøgletal'!$C$12:$C$62,'Udvaskning nøgletal'!Q631:Q681)+Markniveau!$Y621*Markniveau!$S621/100,"")))</f>
        <v>33.723295792149436</v>
      </c>
      <c r="AK621" s="10">
        <f t="shared" si="99"/>
        <v>114.65920569330808</v>
      </c>
      <c r="AL621" s="10" t="str">
        <f t="shared" si="101"/>
        <v/>
      </c>
      <c r="AM621" s="10" t="str">
        <f t="shared" si="102"/>
        <v/>
      </c>
    </row>
    <row r="622" spans="1:39" x14ac:dyDescent="0.25">
      <c r="A622" s="15">
        <v>21162493</v>
      </c>
      <c r="B622" s="15">
        <v>14.07</v>
      </c>
      <c r="C622" s="15">
        <v>504341</v>
      </c>
      <c r="D622" s="15">
        <v>144391</v>
      </c>
      <c r="E622" s="15" t="s">
        <v>500</v>
      </c>
      <c r="F622" s="15">
        <v>2011</v>
      </c>
      <c r="G622" s="15">
        <v>20110316</v>
      </c>
      <c r="H622" s="15">
        <v>129227</v>
      </c>
      <c r="I622" s="15">
        <v>12.92</v>
      </c>
      <c r="J622" s="6" t="s">
        <v>76</v>
      </c>
      <c r="K622" s="15">
        <v>263</v>
      </c>
      <c r="L622" s="15" t="s">
        <v>39</v>
      </c>
      <c r="M622" s="15" t="s">
        <v>5</v>
      </c>
      <c r="N622" s="11" t="s">
        <v>1384</v>
      </c>
      <c r="O622" s="11" t="s">
        <v>28</v>
      </c>
      <c r="P622" s="11" t="s">
        <v>33</v>
      </c>
      <c r="Q622" s="15">
        <v>0</v>
      </c>
      <c r="R622" s="11" t="s">
        <v>1386</v>
      </c>
      <c r="S622" s="10">
        <v>200.90386724176</v>
      </c>
      <c r="T622" s="15">
        <v>80</v>
      </c>
      <c r="U622" s="15">
        <v>1</v>
      </c>
      <c r="V622" s="15">
        <v>1</v>
      </c>
      <c r="W622" s="15">
        <v>0</v>
      </c>
      <c r="X622" s="15">
        <f>IF(O622='Udvaskning nøgletal'!$D$65,1,IF(O622='Udvaskning nøgletal'!$D$66,2,IF(O622='Udvaskning nøgletal'!$D$67,3,IF(O622='Udvaskning nøgletal'!$D$68,2,""))))</f>
        <v>1</v>
      </c>
      <c r="Y622" s="15">
        <f>LOOKUP(K622,'Udvaskning nøgletal'!$C$12:$C$60,'Udvaskning nøgletal'!$H$12:$H$60)</f>
        <v>0</v>
      </c>
      <c r="Z622" s="10">
        <f>IF(X622=1,LOOKUP(K622,'Udvaskning nøgletal'!$C$12:$C$60,'Udvaskning nøgletal'!$E$12:$E$60)+Markniveau!Y622*Markniveau!S622/100,IF(X622=2,LOOKUP(K622,'Udvaskning nøgletal'!$C$12:$C$60,'Udvaskning nøgletal'!$F$12:$F$60)+Markniveau!Y622*Markniveau!S622/100,IF(X622=3,LOOKUP(K622,'Udvaskning nøgletal'!$C$12:$C$60,'Udvaskning nøgletal'!G632:G680)+Markniveau!Y622*Markniveau!S622/100,"")))</f>
        <v>33.723295792149436</v>
      </c>
      <c r="AA622" s="10">
        <f t="shared" si="96"/>
        <v>435.70498163457069</v>
      </c>
      <c r="AB622" s="10" t="str">
        <f t="shared" si="95"/>
        <v/>
      </c>
      <c r="AC622" s="10" t="str">
        <f t="shared" si="97"/>
        <v/>
      </c>
      <c r="AD622" s="10">
        <f>IF(AND(Q622&gt;0,Q622&lt;30,K622&lt;8),Markniveau!Z622*'Udvaskning nøgletal'!$I$12/100,IF(AND(Q622&gt;0,Q622&lt;30,K622=216),Markniveau!Z622*'Udvaskning nøgletal'!$I$34/100,Markniveau!Z622))</f>
        <v>33.723295792149436</v>
      </c>
      <c r="AE622" s="10">
        <f t="shared" si="103"/>
        <v>435.70498163457069</v>
      </c>
      <c r="AF622" s="10" t="str">
        <f t="shared" si="98"/>
        <v/>
      </c>
      <c r="AG622" s="10" t="str">
        <f t="shared" si="104"/>
        <v/>
      </c>
      <c r="AH622" s="10" t="str">
        <f>IF(AND(Q622&gt;0,Q622&lt;30,K622=216),'Udvaskning nøgletal'!$C$42,IF(AND(Q622&gt;0,Q622&lt;30,K622&gt;7,K622&lt;17),'Udvaskning nøgletal'!$C$61,IF(AND(Q622&gt;0,Q622&lt;30,K622&lt;7),'Udvaskning nøgletal'!$C$62,"")))</f>
        <v/>
      </c>
      <c r="AI622" s="10">
        <f t="shared" si="100"/>
        <v>263</v>
      </c>
      <c r="AJ622" s="10">
        <f>IF($X622=1,LOOKUP(AI622,'Udvaskning nøgletal'!$C$12:$C$62,'Udvaskning nøgletal'!$E$12:$E$62)+Markniveau!$Y622*Markniveau!$S622/100,IF($X622=2,LOOKUP(AI622,'Udvaskning nøgletal'!$C$12:$C$62,'Udvaskning nøgletal'!$F$12:$F$62)+Markniveau!$Y622*Markniveau!$S622/100,IF($X622=3,LOOKUP(AI622,'Udvaskning nøgletal'!$C$12:$C$62,'Udvaskning nøgletal'!Q632:Q682)+Markniveau!$Y622*Markniveau!$S622/100,"")))</f>
        <v>33.723295792149436</v>
      </c>
      <c r="AK622" s="10">
        <f t="shared" si="99"/>
        <v>435.70498163457069</v>
      </c>
      <c r="AL622" s="10" t="str">
        <f t="shared" si="101"/>
        <v/>
      </c>
      <c r="AM622" s="10" t="str">
        <f t="shared" si="102"/>
        <v/>
      </c>
    </row>
    <row r="623" spans="1:39" x14ac:dyDescent="0.25">
      <c r="A623" s="15">
        <v>21162493</v>
      </c>
      <c r="B623" s="15">
        <v>14.07</v>
      </c>
      <c r="C623" s="15">
        <v>504342</v>
      </c>
      <c r="D623" s="15">
        <v>144391</v>
      </c>
      <c r="E623" s="15" t="s">
        <v>501</v>
      </c>
      <c r="F623" s="15">
        <v>2011</v>
      </c>
      <c r="G623" s="15">
        <v>20110316</v>
      </c>
      <c r="H623" s="15">
        <v>36732</v>
      </c>
      <c r="I623" s="15">
        <v>3.67</v>
      </c>
      <c r="J623" s="6" t="s">
        <v>502</v>
      </c>
      <c r="K623" s="15">
        <v>216</v>
      </c>
      <c r="L623" s="15" t="s">
        <v>116</v>
      </c>
      <c r="M623" s="15" t="s">
        <v>5</v>
      </c>
      <c r="N623" s="11" t="s">
        <v>1384</v>
      </c>
      <c r="O623" s="11" t="s">
        <v>28</v>
      </c>
      <c r="P623" s="11" t="s">
        <v>33</v>
      </c>
      <c r="Q623" s="15">
        <v>0</v>
      </c>
      <c r="R623" s="11" t="s">
        <v>1386</v>
      </c>
      <c r="S623" s="10">
        <v>200.90386724176</v>
      </c>
      <c r="T623" s="15">
        <v>80</v>
      </c>
      <c r="U623" s="15">
        <v>1</v>
      </c>
      <c r="V623" s="15">
        <v>1</v>
      </c>
      <c r="W623" s="15">
        <v>0</v>
      </c>
      <c r="X623" s="15">
        <f>IF(O623='Udvaskning nøgletal'!$D$65,1,IF(O623='Udvaskning nøgletal'!$D$66,2,IF(O623='Udvaskning nøgletal'!$D$67,3,IF(O623='Udvaskning nøgletal'!$D$68,2,""))))</f>
        <v>1</v>
      </c>
      <c r="Y623" s="15">
        <f>LOOKUP(K623,'Udvaskning nøgletal'!$C$12:$C$60,'Udvaskning nøgletal'!$H$12:$H$60)</f>
        <v>0</v>
      </c>
      <c r="Z623" s="10">
        <f>IF(X623=1,LOOKUP(K623,'Udvaskning nøgletal'!$C$12:$C$60,'Udvaskning nøgletal'!$E$12:$E$60)+Markniveau!Y623*Markniveau!S623/100,IF(X623=2,LOOKUP(K623,'Udvaskning nøgletal'!$C$12:$C$60,'Udvaskning nøgletal'!$F$12:$F$60)+Markniveau!Y623*Markniveau!S623/100,IF(X623=3,LOOKUP(K623,'Udvaskning nøgletal'!$C$12:$C$60,'Udvaskning nøgletal'!G633:G681)+Markniveau!Y623*Markniveau!S623/100,"")))</f>
        <v>125.85383557148924</v>
      </c>
      <c r="AA623" s="10">
        <f t="shared" si="96"/>
        <v>461.88357654736552</v>
      </c>
      <c r="AB623" s="10" t="str">
        <f t="shared" si="95"/>
        <v/>
      </c>
      <c r="AC623" s="10" t="str">
        <f t="shared" si="97"/>
        <v/>
      </c>
      <c r="AD623" s="10">
        <f>IF(AND(Q623&gt;0,Q623&lt;30,K623&lt;8),Markniveau!Z623*'Udvaskning nøgletal'!$I$12/100,IF(AND(Q623&gt;0,Q623&lt;30,K623=216),Markniveau!Z623*'Udvaskning nøgletal'!$I$34/100,Markniveau!Z623))</f>
        <v>125.85383557148924</v>
      </c>
      <c r="AE623" s="10">
        <f t="shared" si="103"/>
        <v>461.88357654736552</v>
      </c>
      <c r="AF623" s="10" t="str">
        <f t="shared" si="98"/>
        <v/>
      </c>
      <c r="AG623" s="10" t="str">
        <f t="shared" si="104"/>
        <v/>
      </c>
      <c r="AH623" s="10" t="str">
        <f>IF(AND(Q623&gt;0,Q623&lt;30,K623=216),'Udvaskning nøgletal'!$C$42,IF(AND(Q623&gt;0,Q623&lt;30,K623&gt;7,K623&lt;17),'Udvaskning nøgletal'!$C$61,IF(AND(Q623&gt;0,Q623&lt;30,K623&lt;7),'Udvaskning nøgletal'!$C$62,"")))</f>
        <v/>
      </c>
      <c r="AI623" s="10">
        <f t="shared" si="100"/>
        <v>216</v>
      </c>
      <c r="AJ623" s="10">
        <f>IF($X623=1,LOOKUP(AI623,'Udvaskning nøgletal'!$C$12:$C$62,'Udvaskning nøgletal'!$E$12:$E$62)+Markniveau!$Y623*Markniveau!$S623/100,IF($X623=2,LOOKUP(AI623,'Udvaskning nøgletal'!$C$12:$C$62,'Udvaskning nøgletal'!$F$12:$F$62)+Markniveau!$Y623*Markniveau!$S623/100,IF($X623=3,LOOKUP(AI623,'Udvaskning nøgletal'!$C$12:$C$62,'Udvaskning nøgletal'!Q633:Q683)+Markniveau!$Y623*Markniveau!$S623/100,"")))</f>
        <v>125.85383557148924</v>
      </c>
      <c r="AK623" s="10">
        <f t="shared" si="99"/>
        <v>461.88357654736552</v>
      </c>
      <c r="AL623" s="10" t="str">
        <f t="shared" si="101"/>
        <v/>
      </c>
      <c r="AM623" s="10" t="str">
        <f t="shared" si="102"/>
        <v/>
      </c>
    </row>
    <row r="624" spans="1:39" x14ac:dyDescent="0.25">
      <c r="A624" s="15">
        <v>21162493</v>
      </c>
      <c r="B624" s="15">
        <v>14.07</v>
      </c>
      <c r="C624" s="15">
        <v>504343</v>
      </c>
      <c r="D624" s="15">
        <v>144391</v>
      </c>
      <c r="E624" s="15" t="s">
        <v>503</v>
      </c>
      <c r="F624" s="15">
        <v>2011</v>
      </c>
      <c r="G624" s="15">
        <v>20110316</v>
      </c>
      <c r="H624" s="15">
        <v>47202</v>
      </c>
      <c r="I624" s="15">
        <v>4.72</v>
      </c>
      <c r="J624" s="6" t="s">
        <v>141</v>
      </c>
      <c r="K624" s="15">
        <v>216</v>
      </c>
      <c r="L624" s="15" t="s">
        <v>116</v>
      </c>
      <c r="M624" s="15" t="s">
        <v>5</v>
      </c>
      <c r="N624" s="11" t="s">
        <v>1384</v>
      </c>
      <c r="O624" s="11" t="s">
        <v>28</v>
      </c>
      <c r="P624" s="11" t="s">
        <v>33</v>
      </c>
      <c r="Q624" s="15">
        <v>0</v>
      </c>
      <c r="R624" s="11" t="s">
        <v>1386</v>
      </c>
      <c r="S624" s="10">
        <v>200.90386724176</v>
      </c>
      <c r="T624" s="15">
        <v>80</v>
      </c>
      <c r="U624" s="15">
        <v>1</v>
      </c>
      <c r="V624" s="15">
        <v>1</v>
      </c>
      <c r="W624" s="15">
        <v>0</v>
      </c>
      <c r="X624" s="15">
        <f>IF(O624='Udvaskning nøgletal'!$D$65,1,IF(O624='Udvaskning nøgletal'!$D$66,2,IF(O624='Udvaskning nøgletal'!$D$67,3,IF(O624='Udvaskning nøgletal'!$D$68,2,""))))</f>
        <v>1</v>
      </c>
      <c r="Y624" s="15">
        <f>LOOKUP(K624,'Udvaskning nøgletal'!$C$12:$C$60,'Udvaskning nøgletal'!$H$12:$H$60)</f>
        <v>0</v>
      </c>
      <c r="Z624" s="10">
        <f>IF(X624=1,LOOKUP(K624,'Udvaskning nøgletal'!$C$12:$C$60,'Udvaskning nøgletal'!$E$12:$E$60)+Markniveau!Y624*Markniveau!S624/100,IF(X624=2,LOOKUP(K624,'Udvaskning nøgletal'!$C$12:$C$60,'Udvaskning nøgletal'!$F$12:$F$60)+Markniveau!Y624*Markniveau!S624/100,IF(X624=3,LOOKUP(K624,'Udvaskning nøgletal'!$C$12:$C$60,'Udvaskning nøgletal'!G634:G682)+Markniveau!Y624*Markniveau!S624/100,"")))</f>
        <v>125.85383557148924</v>
      </c>
      <c r="AA624" s="10">
        <f t="shared" si="96"/>
        <v>594.03010389742917</v>
      </c>
      <c r="AB624" s="10" t="str">
        <f t="shared" si="95"/>
        <v/>
      </c>
      <c r="AC624" s="10" t="str">
        <f t="shared" si="97"/>
        <v/>
      </c>
      <c r="AD624" s="10">
        <f>IF(AND(Q624&gt;0,Q624&lt;30,K624&lt;8),Markniveau!Z624*'Udvaskning nøgletal'!$I$12/100,IF(AND(Q624&gt;0,Q624&lt;30,K624=216),Markniveau!Z624*'Udvaskning nøgletal'!$I$34/100,Markniveau!Z624))</f>
        <v>125.85383557148924</v>
      </c>
      <c r="AE624" s="10">
        <f t="shared" si="103"/>
        <v>594.03010389742917</v>
      </c>
      <c r="AF624" s="10" t="str">
        <f t="shared" si="98"/>
        <v/>
      </c>
      <c r="AG624" s="10" t="str">
        <f t="shared" si="104"/>
        <v/>
      </c>
      <c r="AH624" s="10" t="str">
        <f>IF(AND(Q624&gt;0,Q624&lt;30,K624=216),'Udvaskning nøgletal'!$C$42,IF(AND(Q624&gt;0,Q624&lt;30,K624&gt;7,K624&lt;17),'Udvaskning nøgletal'!$C$61,IF(AND(Q624&gt;0,Q624&lt;30,K624&lt;7),'Udvaskning nøgletal'!$C$62,"")))</f>
        <v/>
      </c>
      <c r="AI624" s="10">
        <f t="shared" si="100"/>
        <v>216</v>
      </c>
      <c r="AJ624" s="10">
        <f>IF($X624=1,LOOKUP(AI624,'Udvaskning nøgletal'!$C$12:$C$62,'Udvaskning nøgletal'!$E$12:$E$62)+Markniveau!$Y624*Markniveau!$S624/100,IF($X624=2,LOOKUP(AI624,'Udvaskning nøgletal'!$C$12:$C$62,'Udvaskning nøgletal'!$F$12:$F$62)+Markniveau!$Y624*Markniveau!$S624/100,IF($X624=3,LOOKUP(AI624,'Udvaskning nøgletal'!$C$12:$C$62,'Udvaskning nøgletal'!Q634:Q684)+Markniveau!$Y624*Markniveau!$S624/100,"")))</f>
        <v>125.85383557148924</v>
      </c>
      <c r="AK624" s="10">
        <f t="shared" si="99"/>
        <v>594.03010389742917</v>
      </c>
      <c r="AL624" s="10" t="str">
        <f t="shared" si="101"/>
        <v/>
      </c>
      <c r="AM624" s="10" t="str">
        <f t="shared" si="102"/>
        <v/>
      </c>
    </row>
    <row r="625" spans="1:39" x14ac:dyDescent="0.25">
      <c r="A625" s="15">
        <v>21162493</v>
      </c>
      <c r="B625" s="15">
        <v>14.07</v>
      </c>
      <c r="C625" s="15">
        <v>504845</v>
      </c>
      <c r="D625" s="15">
        <v>144391</v>
      </c>
      <c r="E625" s="15" t="s">
        <v>504</v>
      </c>
      <c r="F625" s="15">
        <v>2011</v>
      </c>
      <c r="G625" s="15">
        <v>20110316</v>
      </c>
      <c r="H625" s="15">
        <v>16696</v>
      </c>
      <c r="I625" s="15">
        <v>1.67</v>
      </c>
      <c r="J625" s="6" t="s">
        <v>199</v>
      </c>
      <c r="K625" s="15">
        <v>216</v>
      </c>
      <c r="L625" s="15" t="s">
        <v>116</v>
      </c>
      <c r="M625" s="15" t="s">
        <v>5</v>
      </c>
      <c r="N625" s="11" t="s">
        <v>1384</v>
      </c>
      <c r="O625" s="11" t="s">
        <v>28</v>
      </c>
      <c r="P625" s="11" t="s">
        <v>33</v>
      </c>
      <c r="Q625" s="15">
        <v>0</v>
      </c>
      <c r="R625" s="11" t="s">
        <v>1386</v>
      </c>
      <c r="S625" s="10">
        <v>200.90386724176</v>
      </c>
      <c r="T625" s="15">
        <v>80</v>
      </c>
      <c r="U625" s="15">
        <v>1</v>
      </c>
      <c r="V625" s="15">
        <v>1</v>
      </c>
      <c r="W625" s="15">
        <v>0</v>
      </c>
      <c r="X625" s="15">
        <f>IF(O625='Udvaskning nøgletal'!$D$65,1,IF(O625='Udvaskning nøgletal'!$D$66,2,IF(O625='Udvaskning nøgletal'!$D$67,3,IF(O625='Udvaskning nøgletal'!$D$68,2,""))))</f>
        <v>1</v>
      </c>
      <c r="Y625" s="15">
        <f>LOOKUP(K625,'Udvaskning nøgletal'!$C$12:$C$60,'Udvaskning nøgletal'!$H$12:$H$60)</f>
        <v>0</v>
      </c>
      <c r="Z625" s="10">
        <f>IF(X625=1,LOOKUP(K625,'Udvaskning nøgletal'!$C$12:$C$60,'Udvaskning nøgletal'!$E$12:$E$60)+Markniveau!Y625*Markniveau!S625/100,IF(X625=2,LOOKUP(K625,'Udvaskning nøgletal'!$C$12:$C$60,'Udvaskning nøgletal'!$F$12:$F$60)+Markniveau!Y625*Markniveau!S625/100,IF(X625=3,LOOKUP(K625,'Udvaskning nøgletal'!$C$12:$C$60,'Udvaskning nøgletal'!G635:G683)+Markniveau!Y625*Markniveau!S625/100,"")))</f>
        <v>125.85383557148924</v>
      </c>
      <c r="AA625" s="10">
        <f t="shared" si="96"/>
        <v>210.17590540438704</v>
      </c>
      <c r="AB625" s="10" t="str">
        <f t="shared" si="95"/>
        <v/>
      </c>
      <c r="AC625" s="10" t="str">
        <f t="shared" si="97"/>
        <v/>
      </c>
      <c r="AD625" s="10">
        <f>IF(AND(Q625&gt;0,Q625&lt;30,K625&lt;8),Markniveau!Z625*'Udvaskning nøgletal'!$I$12/100,IF(AND(Q625&gt;0,Q625&lt;30,K625=216),Markniveau!Z625*'Udvaskning nøgletal'!$I$34/100,Markniveau!Z625))</f>
        <v>125.85383557148924</v>
      </c>
      <c r="AE625" s="10">
        <f t="shared" si="103"/>
        <v>210.17590540438704</v>
      </c>
      <c r="AF625" s="10" t="str">
        <f t="shared" si="98"/>
        <v/>
      </c>
      <c r="AG625" s="10" t="str">
        <f t="shared" si="104"/>
        <v/>
      </c>
      <c r="AH625" s="10" t="str">
        <f>IF(AND(Q625&gt;0,Q625&lt;30,K625=216),'Udvaskning nøgletal'!$C$42,IF(AND(Q625&gt;0,Q625&lt;30,K625&gt;7,K625&lt;17),'Udvaskning nøgletal'!$C$61,IF(AND(Q625&gt;0,Q625&lt;30,K625&lt;7),'Udvaskning nøgletal'!$C$62,"")))</f>
        <v/>
      </c>
      <c r="AI625" s="10">
        <f t="shared" si="100"/>
        <v>216</v>
      </c>
      <c r="AJ625" s="10">
        <f>IF($X625=1,LOOKUP(AI625,'Udvaskning nøgletal'!$C$12:$C$62,'Udvaskning nøgletal'!$E$12:$E$62)+Markniveau!$Y625*Markniveau!$S625/100,IF($X625=2,LOOKUP(AI625,'Udvaskning nøgletal'!$C$12:$C$62,'Udvaskning nøgletal'!$F$12:$F$62)+Markniveau!$Y625*Markniveau!$S625/100,IF($X625=3,LOOKUP(AI625,'Udvaskning nøgletal'!$C$12:$C$62,'Udvaskning nøgletal'!Q635:Q685)+Markniveau!$Y625*Markniveau!$S625/100,"")))</f>
        <v>125.85383557148924</v>
      </c>
      <c r="AK625" s="10">
        <f t="shared" si="99"/>
        <v>210.17590540438704</v>
      </c>
      <c r="AL625" s="10" t="str">
        <f t="shared" si="101"/>
        <v/>
      </c>
      <c r="AM625" s="10" t="str">
        <f t="shared" si="102"/>
        <v/>
      </c>
    </row>
    <row r="626" spans="1:39" x14ac:dyDescent="0.25">
      <c r="A626" s="15">
        <v>21162493</v>
      </c>
      <c r="B626" s="15">
        <v>14.07</v>
      </c>
      <c r="C626" s="15">
        <v>504846</v>
      </c>
      <c r="D626" s="15">
        <v>144391</v>
      </c>
      <c r="E626" s="15" t="s">
        <v>505</v>
      </c>
      <c r="F626" s="15">
        <v>2011</v>
      </c>
      <c r="G626" s="15">
        <v>20110316</v>
      </c>
      <c r="H626" s="15">
        <v>42618</v>
      </c>
      <c r="I626" s="15">
        <v>4.26</v>
      </c>
      <c r="J626" s="6" t="s">
        <v>79</v>
      </c>
      <c r="K626" s="15">
        <v>260</v>
      </c>
      <c r="L626" s="15" t="s">
        <v>45</v>
      </c>
      <c r="M626" s="15" t="s">
        <v>5</v>
      </c>
      <c r="N626" s="11" t="s">
        <v>1384</v>
      </c>
      <c r="O626" s="11" t="s">
        <v>28</v>
      </c>
      <c r="P626" s="11" t="s">
        <v>33</v>
      </c>
      <c r="Q626" s="15">
        <v>0</v>
      </c>
      <c r="R626" s="11" t="s">
        <v>1386</v>
      </c>
      <c r="S626" s="10">
        <v>200.90386724176</v>
      </c>
      <c r="T626" s="15">
        <v>80</v>
      </c>
      <c r="U626" s="15">
        <v>1</v>
      </c>
      <c r="V626" s="15">
        <v>1</v>
      </c>
      <c r="W626" s="15">
        <v>0</v>
      </c>
      <c r="X626" s="15">
        <f>IF(O626='Udvaskning nøgletal'!$D$65,1,IF(O626='Udvaskning nøgletal'!$D$66,2,IF(O626='Udvaskning nøgletal'!$D$67,3,IF(O626='Udvaskning nøgletal'!$D$68,2,""))))</f>
        <v>1</v>
      </c>
      <c r="Y626" s="15">
        <f>LOOKUP(K626,'Udvaskning nøgletal'!$C$12:$C$60,'Udvaskning nøgletal'!$H$12:$H$60)</f>
        <v>0</v>
      </c>
      <c r="Z626" s="10">
        <f>IF(X626=1,LOOKUP(K626,'Udvaskning nøgletal'!$C$12:$C$60,'Udvaskning nøgletal'!$E$12:$E$60)+Markniveau!Y626*Markniveau!S626/100,IF(X626=2,LOOKUP(K626,'Udvaskning nøgletal'!$C$12:$C$60,'Udvaskning nøgletal'!$F$12:$F$60)+Markniveau!Y626*Markniveau!S626/100,IF(X626=3,LOOKUP(K626,'Udvaskning nøgletal'!$C$12:$C$60,'Udvaskning nøgletal'!G636:G684)+Markniveau!Y626*Markniveau!S626/100,"")))</f>
        <v>33.723295792149436</v>
      </c>
      <c r="AA626" s="10">
        <f t="shared" si="96"/>
        <v>143.66124007455659</v>
      </c>
      <c r="AB626" s="10" t="str">
        <f t="shared" si="95"/>
        <v/>
      </c>
      <c r="AC626" s="10" t="str">
        <f t="shared" si="97"/>
        <v/>
      </c>
      <c r="AD626" s="10">
        <f>IF(AND(Q626&gt;0,Q626&lt;30,K626&lt;8),Markniveau!Z626*'Udvaskning nøgletal'!$I$12/100,IF(AND(Q626&gt;0,Q626&lt;30,K626=216),Markniveau!Z626*'Udvaskning nøgletal'!$I$34/100,Markniveau!Z626))</f>
        <v>33.723295792149436</v>
      </c>
      <c r="AE626" s="10">
        <f t="shared" si="103"/>
        <v>143.66124007455659</v>
      </c>
      <c r="AF626" s="10" t="str">
        <f t="shared" si="98"/>
        <v/>
      </c>
      <c r="AG626" s="10" t="str">
        <f t="shared" si="104"/>
        <v/>
      </c>
      <c r="AH626" s="10" t="str">
        <f>IF(AND(Q626&gt;0,Q626&lt;30,K626=216),'Udvaskning nøgletal'!$C$42,IF(AND(Q626&gt;0,Q626&lt;30,K626&gt;7,K626&lt;17),'Udvaskning nøgletal'!$C$61,IF(AND(Q626&gt;0,Q626&lt;30,K626&lt;7),'Udvaskning nøgletal'!$C$62,"")))</f>
        <v/>
      </c>
      <c r="AI626" s="10">
        <f t="shared" si="100"/>
        <v>260</v>
      </c>
      <c r="AJ626" s="10">
        <f>IF($X626=1,LOOKUP(AI626,'Udvaskning nøgletal'!$C$12:$C$62,'Udvaskning nøgletal'!$E$12:$E$62)+Markniveau!$Y626*Markniveau!$S626/100,IF($X626=2,LOOKUP(AI626,'Udvaskning nøgletal'!$C$12:$C$62,'Udvaskning nøgletal'!$F$12:$F$62)+Markniveau!$Y626*Markniveau!$S626/100,IF($X626=3,LOOKUP(AI626,'Udvaskning nøgletal'!$C$12:$C$62,'Udvaskning nøgletal'!Q636:Q686)+Markniveau!$Y626*Markniveau!$S626/100,"")))</f>
        <v>33.723295792149436</v>
      </c>
      <c r="AK626" s="10">
        <f t="shared" si="99"/>
        <v>143.66124007455659</v>
      </c>
      <c r="AL626" s="10" t="str">
        <f t="shared" si="101"/>
        <v/>
      </c>
      <c r="AM626" s="10" t="str">
        <f t="shared" si="102"/>
        <v/>
      </c>
    </row>
    <row r="627" spans="1:39" x14ac:dyDescent="0.25">
      <c r="A627" s="15">
        <v>21162493</v>
      </c>
      <c r="B627" s="15">
        <v>14.07</v>
      </c>
      <c r="C627" s="15">
        <v>504847</v>
      </c>
      <c r="D627" s="15">
        <v>144391</v>
      </c>
      <c r="E627" s="15" t="s">
        <v>505</v>
      </c>
      <c r="F627" s="15">
        <v>2011</v>
      </c>
      <c r="G627" s="15">
        <v>20110316</v>
      </c>
      <c r="H627" s="15">
        <v>55625</v>
      </c>
      <c r="I627" s="15">
        <v>5.56</v>
      </c>
      <c r="J627" s="6" t="s">
        <v>93</v>
      </c>
      <c r="K627" s="15">
        <v>260</v>
      </c>
      <c r="L627" s="15" t="s">
        <v>45</v>
      </c>
      <c r="M627" s="15" t="s">
        <v>5</v>
      </c>
      <c r="N627" s="11" t="s">
        <v>1384</v>
      </c>
      <c r="O627" s="11" t="s">
        <v>28</v>
      </c>
      <c r="P627" s="11" t="s">
        <v>33</v>
      </c>
      <c r="Q627" s="15">
        <v>0</v>
      </c>
      <c r="R627" s="11" t="s">
        <v>1386</v>
      </c>
      <c r="S627" s="10">
        <v>200.90386724176</v>
      </c>
      <c r="T627" s="15">
        <v>80</v>
      </c>
      <c r="U627" s="15">
        <v>1</v>
      </c>
      <c r="V627" s="15">
        <v>1</v>
      </c>
      <c r="W627" s="15">
        <v>0</v>
      </c>
      <c r="X627" s="15">
        <f>IF(O627='Udvaskning nøgletal'!$D$65,1,IF(O627='Udvaskning nøgletal'!$D$66,2,IF(O627='Udvaskning nøgletal'!$D$67,3,IF(O627='Udvaskning nøgletal'!$D$68,2,""))))</f>
        <v>1</v>
      </c>
      <c r="Y627" s="15">
        <f>LOOKUP(K627,'Udvaskning nøgletal'!$C$12:$C$60,'Udvaskning nøgletal'!$H$12:$H$60)</f>
        <v>0</v>
      </c>
      <c r="Z627" s="10">
        <f>IF(X627=1,LOOKUP(K627,'Udvaskning nøgletal'!$C$12:$C$60,'Udvaskning nøgletal'!$E$12:$E$60)+Markniveau!Y627*Markniveau!S627/100,IF(X627=2,LOOKUP(K627,'Udvaskning nøgletal'!$C$12:$C$60,'Udvaskning nøgletal'!$F$12:$F$60)+Markniveau!Y627*Markniveau!S627/100,IF(X627=3,LOOKUP(K627,'Udvaskning nøgletal'!$C$12:$C$60,'Udvaskning nøgletal'!G637:G685)+Markniveau!Y627*Markniveau!S627/100,"")))</f>
        <v>33.723295792149436</v>
      </c>
      <c r="AA627" s="10">
        <f t="shared" si="96"/>
        <v>187.50152460435086</v>
      </c>
      <c r="AB627" s="10" t="str">
        <f t="shared" si="95"/>
        <v/>
      </c>
      <c r="AC627" s="10" t="str">
        <f t="shared" si="97"/>
        <v/>
      </c>
      <c r="AD627" s="10">
        <f>IF(AND(Q627&gt;0,Q627&lt;30,K627&lt;8),Markniveau!Z627*'Udvaskning nøgletal'!$I$12/100,IF(AND(Q627&gt;0,Q627&lt;30,K627=216),Markniveau!Z627*'Udvaskning nøgletal'!$I$34/100,Markniveau!Z627))</f>
        <v>33.723295792149436</v>
      </c>
      <c r="AE627" s="10">
        <f t="shared" si="103"/>
        <v>187.50152460435086</v>
      </c>
      <c r="AF627" s="10" t="str">
        <f t="shared" si="98"/>
        <v/>
      </c>
      <c r="AG627" s="10" t="str">
        <f t="shared" si="104"/>
        <v/>
      </c>
      <c r="AH627" s="10" t="str">
        <f>IF(AND(Q627&gt;0,Q627&lt;30,K627=216),'Udvaskning nøgletal'!$C$42,IF(AND(Q627&gt;0,Q627&lt;30,K627&gt;7,K627&lt;17),'Udvaskning nøgletal'!$C$61,IF(AND(Q627&gt;0,Q627&lt;30,K627&lt;7),'Udvaskning nøgletal'!$C$62,"")))</f>
        <v/>
      </c>
      <c r="AI627" s="10">
        <f t="shared" si="100"/>
        <v>260</v>
      </c>
      <c r="AJ627" s="10">
        <f>IF($X627=1,LOOKUP(AI627,'Udvaskning nøgletal'!$C$12:$C$62,'Udvaskning nøgletal'!$E$12:$E$62)+Markniveau!$Y627*Markniveau!$S627/100,IF($X627=2,LOOKUP(AI627,'Udvaskning nøgletal'!$C$12:$C$62,'Udvaskning nøgletal'!$F$12:$F$62)+Markniveau!$Y627*Markniveau!$S627/100,IF($X627=3,LOOKUP(AI627,'Udvaskning nøgletal'!$C$12:$C$62,'Udvaskning nøgletal'!Q637:Q687)+Markniveau!$Y627*Markniveau!$S627/100,"")))</f>
        <v>33.723295792149436</v>
      </c>
      <c r="AK627" s="10">
        <f t="shared" si="99"/>
        <v>187.50152460435086</v>
      </c>
      <c r="AL627" s="10" t="str">
        <f t="shared" si="101"/>
        <v/>
      </c>
      <c r="AM627" s="10" t="str">
        <f t="shared" si="102"/>
        <v/>
      </c>
    </row>
    <row r="628" spans="1:39" x14ac:dyDescent="0.25">
      <c r="A628" s="15">
        <v>21162493</v>
      </c>
      <c r="B628" s="15">
        <v>14.07</v>
      </c>
      <c r="C628" s="15">
        <v>504848</v>
      </c>
      <c r="D628" s="15">
        <v>144391</v>
      </c>
      <c r="E628" s="15" t="s">
        <v>505</v>
      </c>
      <c r="F628" s="15">
        <v>2011</v>
      </c>
      <c r="G628" s="15">
        <v>20110316</v>
      </c>
      <c r="H628" s="15">
        <v>3682</v>
      </c>
      <c r="I628" s="15">
        <v>0.37</v>
      </c>
      <c r="J628" s="6" t="s">
        <v>506</v>
      </c>
      <c r="K628" s="15">
        <v>260</v>
      </c>
      <c r="L628" s="15" t="s">
        <v>45</v>
      </c>
      <c r="M628" s="15" t="s">
        <v>5</v>
      </c>
      <c r="N628" s="11" t="s">
        <v>1384</v>
      </c>
      <c r="O628" s="11" t="s">
        <v>28</v>
      </c>
      <c r="P628" s="11" t="s">
        <v>33</v>
      </c>
      <c r="Q628" s="15">
        <v>0</v>
      </c>
      <c r="R628" s="11" t="s">
        <v>1386</v>
      </c>
      <c r="S628" s="10">
        <v>200.90386724176</v>
      </c>
      <c r="T628" s="15">
        <v>80</v>
      </c>
      <c r="U628" s="15">
        <v>1</v>
      </c>
      <c r="V628" s="15">
        <v>1</v>
      </c>
      <c r="W628" s="15">
        <v>0</v>
      </c>
      <c r="X628" s="15">
        <f>IF(O628='Udvaskning nøgletal'!$D$65,1,IF(O628='Udvaskning nøgletal'!$D$66,2,IF(O628='Udvaskning nøgletal'!$D$67,3,IF(O628='Udvaskning nøgletal'!$D$68,2,""))))</f>
        <v>1</v>
      </c>
      <c r="Y628" s="15">
        <f>LOOKUP(K628,'Udvaskning nøgletal'!$C$12:$C$60,'Udvaskning nøgletal'!$H$12:$H$60)</f>
        <v>0</v>
      </c>
      <c r="Z628" s="10">
        <f>IF(X628=1,LOOKUP(K628,'Udvaskning nøgletal'!$C$12:$C$60,'Udvaskning nøgletal'!$E$12:$E$60)+Markniveau!Y628*Markniveau!S628/100,IF(X628=2,LOOKUP(K628,'Udvaskning nøgletal'!$C$12:$C$60,'Udvaskning nøgletal'!$F$12:$F$60)+Markniveau!Y628*Markniveau!S628/100,IF(X628=3,LOOKUP(K628,'Udvaskning nøgletal'!$C$12:$C$60,'Udvaskning nøgletal'!G638:G686)+Markniveau!Y628*Markniveau!S628/100,"")))</f>
        <v>33.723295792149436</v>
      </c>
      <c r="AA628" s="10">
        <f t="shared" si="96"/>
        <v>12.477619443095291</v>
      </c>
      <c r="AB628" s="10" t="str">
        <f t="shared" si="95"/>
        <v/>
      </c>
      <c r="AC628" s="10" t="str">
        <f t="shared" si="97"/>
        <v/>
      </c>
      <c r="AD628" s="10">
        <f>IF(AND(Q628&gt;0,Q628&lt;30,K628&lt;8),Markniveau!Z628*'Udvaskning nøgletal'!$I$12/100,IF(AND(Q628&gt;0,Q628&lt;30,K628=216),Markniveau!Z628*'Udvaskning nøgletal'!$I$34/100,Markniveau!Z628))</f>
        <v>33.723295792149436</v>
      </c>
      <c r="AE628" s="10">
        <f t="shared" si="103"/>
        <v>12.477619443095291</v>
      </c>
      <c r="AF628" s="10" t="str">
        <f t="shared" si="98"/>
        <v/>
      </c>
      <c r="AG628" s="10" t="str">
        <f t="shared" si="104"/>
        <v/>
      </c>
      <c r="AH628" s="10" t="str">
        <f>IF(AND(Q628&gt;0,Q628&lt;30,K628=216),'Udvaskning nøgletal'!$C$42,IF(AND(Q628&gt;0,Q628&lt;30,K628&gt;7,K628&lt;17),'Udvaskning nøgletal'!$C$61,IF(AND(Q628&gt;0,Q628&lt;30,K628&lt;7),'Udvaskning nøgletal'!$C$62,"")))</f>
        <v/>
      </c>
      <c r="AI628" s="10">
        <f t="shared" si="100"/>
        <v>260</v>
      </c>
      <c r="AJ628" s="10">
        <f>IF($X628=1,LOOKUP(AI628,'Udvaskning nøgletal'!$C$12:$C$62,'Udvaskning nøgletal'!$E$12:$E$62)+Markniveau!$Y628*Markniveau!$S628/100,IF($X628=2,LOOKUP(AI628,'Udvaskning nøgletal'!$C$12:$C$62,'Udvaskning nøgletal'!$F$12:$F$62)+Markniveau!$Y628*Markniveau!$S628/100,IF($X628=3,LOOKUP(AI628,'Udvaskning nøgletal'!$C$12:$C$62,'Udvaskning nøgletal'!Q638:Q688)+Markniveau!$Y628*Markniveau!$S628/100,"")))</f>
        <v>33.723295792149436</v>
      </c>
      <c r="AK628" s="10">
        <f t="shared" si="99"/>
        <v>12.477619443095291</v>
      </c>
      <c r="AL628" s="10" t="str">
        <f t="shared" si="101"/>
        <v/>
      </c>
      <c r="AM628" s="10" t="str">
        <f t="shared" si="102"/>
        <v/>
      </c>
    </row>
    <row r="629" spans="1:39" x14ac:dyDescent="0.25">
      <c r="A629" s="15">
        <v>21162493</v>
      </c>
      <c r="B629" s="15">
        <v>14.07</v>
      </c>
      <c r="C629" s="15">
        <v>504849</v>
      </c>
      <c r="D629" s="15">
        <v>144391</v>
      </c>
      <c r="E629" s="15" t="s">
        <v>507</v>
      </c>
      <c r="F629" s="15">
        <v>2011</v>
      </c>
      <c r="G629" s="15">
        <v>20110316</v>
      </c>
      <c r="H629" s="15">
        <v>53233</v>
      </c>
      <c r="I629" s="15">
        <v>5.32</v>
      </c>
      <c r="J629" s="6" t="s">
        <v>71</v>
      </c>
      <c r="K629" s="15">
        <v>260</v>
      </c>
      <c r="L629" s="15" t="s">
        <v>45</v>
      </c>
      <c r="M629" s="15" t="s">
        <v>5</v>
      </c>
      <c r="N629" s="11" t="s">
        <v>1384</v>
      </c>
      <c r="O629" s="11" t="s">
        <v>28</v>
      </c>
      <c r="P629" s="11" t="s">
        <v>33</v>
      </c>
      <c r="Q629" s="15">
        <v>0</v>
      </c>
      <c r="R629" s="11" t="s">
        <v>1386</v>
      </c>
      <c r="S629" s="10">
        <v>200.90386724176</v>
      </c>
      <c r="T629" s="15">
        <v>80</v>
      </c>
      <c r="U629" s="15">
        <v>1</v>
      </c>
      <c r="V629" s="15">
        <v>1</v>
      </c>
      <c r="W629" s="15">
        <v>0</v>
      </c>
      <c r="X629" s="15">
        <f>IF(O629='Udvaskning nøgletal'!$D$65,1,IF(O629='Udvaskning nøgletal'!$D$66,2,IF(O629='Udvaskning nøgletal'!$D$67,3,IF(O629='Udvaskning nøgletal'!$D$68,2,""))))</f>
        <v>1</v>
      </c>
      <c r="Y629" s="15">
        <f>LOOKUP(K629,'Udvaskning nøgletal'!$C$12:$C$60,'Udvaskning nøgletal'!$H$12:$H$60)</f>
        <v>0</v>
      </c>
      <c r="Z629" s="10">
        <f>IF(X629=1,LOOKUP(K629,'Udvaskning nøgletal'!$C$12:$C$60,'Udvaskning nøgletal'!$E$12:$E$60)+Markniveau!Y629*Markniveau!S629/100,IF(X629=2,LOOKUP(K629,'Udvaskning nøgletal'!$C$12:$C$60,'Udvaskning nøgletal'!$F$12:$F$60)+Markniveau!Y629*Markniveau!S629/100,IF(X629=3,LOOKUP(K629,'Udvaskning nøgletal'!$C$12:$C$60,'Udvaskning nøgletal'!G639:G687)+Markniveau!Y629*Markniveau!S629/100,"")))</f>
        <v>33.723295792149436</v>
      </c>
      <c r="AA629" s="10">
        <f t="shared" si="96"/>
        <v>179.40793361423502</v>
      </c>
      <c r="AB629" s="10" t="str">
        <f t="shared" si="95"/>
        <v/>
      </c>
      <c r="AC629" s="10" t="str">
        <f t="shared" si="97"/>
        <v/>
      </c>
      <c r="AD629" s="10">
        <f>IF(AND(Q629&gt;0,Q629&lt;30,K629&lt;8),Markniveau!Z629*'Udvaskning nøgletal'!$I$12/100,IF(AND(Q629&gt;0,Q629&lt;30,K629=216),Markniveau!Z629*'Udvaskning nøgletal'!$I$34/100,Markniveau!Z629))</f>
        <v>33.723295792149436</v>
      </c>
      <c r="AE629" s="10">
        <f t="shared" si="103"/>
        <v>179.40793361423502</v>
      </c>
      <c r="AF629" s="10" t="str">
        <f t="shared" si="98"/>
        <v/>
      </c>
      <c r="AG629" s="10" t="str">
        <f t="shared" si="104"/>
        <v/>
      </c>
      <c r="AH629" s="10" t="str">
        <f>IF(AND(Q629&gt;0,Q629&lt;30,K629=216),'Udvaskning nøgletal'!$C$42,IF(AND(Q629&gt;0,Q629&lt;30,K629&gt;7,K629&lt;17),'Udvaskning nøgletal'!$C$61,IF(AND(Q629&gt;0,Q629&lt;30,K629&lt;7),'Udvaskning nøgletal'!$C$62,"")))</f>
        <v/>
      </c>
      <c r="AI629" s="10">
        <f t="shared" si="100"/>
        <v>260</v>
      </c>
      <c r="AJ629" s="10">
        <f>IF($X629=1,LOOKUP(AI629,'Udvaskning nøgletal'!$C$12:$C$62,'Udvaskning nøgletal'!$E$12:$E$62)+Markniveau!$Y629*Markniveau!$S629/100,IF($X629=2,LOOKUP(AI629,'Udvaskning nøgletal'!$C$12:$C$62,'Udvaskning nøgletal'!$F$12:$F$62)+Markniveau!$Y629*Markniveau!$S629/100,IF($X629=3,LOOKUP(AI629,'Udvaskning nøgletal'!$C$12:$C$62,'Udvaskning nøgletal'!Q639:Q689)+Markniveau!$Y629*Markniveau!$S629/100,"")))</f>
        <v>33.723295792149436</v>
      </c>
      <c r="AK629" s="10">
        <f t="shared" si="99"/>
        <v>179.40793361423502</v>
      </c>
      <c r="AL629" s="10" t="str">
        <f t="shared" si="101"/>
        <v/>
      </c>
      <c r="AM629" s="10" t="str">
        <f t="shared" si="102"/>
        <v/>
      </c>
    </row>
    <row r="630" spans="1:39" x14ac:dyDescent="0.25">
      <c r="A630" s="15">
        <v>21162493</v>
      </c>
      <c r="B630" s="15">
        <v>14.07</v>
      </c>
      <c r="C630" s="15">
        <v>504850</v>
      </c>
      <c r="D630" s="15">
        <v>144391</v>
      </c>
      <c r="E630" s="15" t="s">
        <v>507</v>
      </c>
      <c r="F630" s="15">
        <v>2011</v>
      </c>
      <c r="G630" s="15">
        <v>20110316</v>
      </c>
      <c r="H630" s="15">
        <v>3944</v>
      </c>
      <c r="I630" s="15">
        <v>0.39</v>
      </c>
      <c r="J630" s="6" t="s">
        <v>194</v>
      </c>
      <c r="K630" s="15">
        <v>252</v>
      </c>
      <c r="L630" s="15" t="s">
        <v>41</v>
      </c>
      <c r="M630" s="15" t="s">
        <v>4</v>
      </c>
      <c r="N630" s="11" t="s">
        <v>1384</v>
      </c>
      <c r="O630" s="11" t="s">
        <v>28</v>
      </c>
      <c r="P630" s="11" t="s">
        <v>33</v>
      </c>
      <c r="Q630" s="15">
        <v>0</v>
      </c>
      <c r="R630" s="11" t="s">
        <v>1386</v>
      </c>
      <c r="S630" s="10">
        <v>200.90386724176</v>
      </c>
      <c r="T630" s="15">
        <v>80</v>
      </c>
      <c r="U630" s="15">
        <v>1</v>
      </c>
      <c r="V630" s="15">
        <v>1</v>
      </c>
      <c r="W630" s="15">
        <v>0</v>
      </c>
      <c r="X630" s="15">
        <f>IF(O630='Udvaskning nøgletal'!$D$65,1,IF(O630='Udvaskning nøgletal'!$D$66,2,IF(O630='Udvaskning nøgletal'!$D$67,3,IF(O630='Udvaskning nøgletal'!$D$68,2,""))))</f>
        <v>1</v>
      </c>
      <c r="Y630" s="15">
        <f>LOOKUP(K630,'Udvaskning nøgletal'!$C$12:$C$60,'Udvaskning nøgletal'!$H$12:$H$60)</f>
        <v>0</v>
      </c>
      <c r="Z630" s="10">
        <f>IF(X630=1,LOOKUP(K630,'Udvaskning nøgletal'!$C$12:$C$60,'Udvaskning nøgletal'!$E$12:$E$60)+Markniveau!Y630*Markniveau!S630/100,IF(X630=2,LOOKUP(K630,'Udvaskning nøgletal'!$C$12:$C$60,'Udvaskning nøgletal'!$F$12:$F$60)+Markniveau!Y630*Markniveau!S630/100,IF(X630=3,LOOKUP(K630,'Udvaskning nøgletal'!$C$12:$C$60,'Udvaskning nøgletal'!G640:G688)+Markniveau!Y630*Markniveau!S630/100,"")))</f>
        <v>21.2</v>
      </c>
      <c r="AA630" s="10">
        <f t="shared" si="96"/>
        <v>8.2680000000000007</v>
      </c>
      <c r="AB630" s="10" t="str">
        <f t="shared" si="95"/>
        <v/>
      </c>
      <c r="AC630" s="10" t="str">
        <f t="shared" si="97"/>
        <v/>
      </c>
      <c r="AD630" s="10">
        <f>IF(AND(Q630&gt;0,Q630&lt;30,K630&lt;8),Markniveau!Z630*'Udvaskning nøgletal'!$I$12/100,IF(AND(Q630&gt;0,Q630&lt;30,K630=216),Markniveau!Z630*'Udvaskning nøgletal'!$I$34/100,Markniveau!Z630))</f>
        <v>21.2</v>
      </c>
      <c r="AE630" s="10">
        <f t="shared" si="103"/>
        <v>8.2680000000000007</v>
      </c>
      <c r="AF630" s="10" t="str">
        <f t="shared" si="98"/>
        <v/>
      </c>
      <c r="AG630" s="10" t="str">
        <f t="shared" si="104"/>
        <v/>
      </c>
      <c r="AH630" s="10" t="str">
        <f>IF(AND(Q630&gt;0,Q630&lt;30,K630=216),'Udvaskning nøgletal'!$C$42,IF(AND(Q630&gt;0,Q630&lt;30,K630&gt;7,K630&lt;17),'Udvaskning nøgletal'!$C$61,IF(AND(Q630&gt;0,Q630&lt;30,K630&lt;7),'Udvaskning nøgletal'!$C$62,"")))</f>
        <v/>
      </c>
      <c r="AI630" s="10">
        <f t="shared" si="100"/>
        <v>252</v>
      </c>
      <c r="AJ630" s="10">
        <f>IF($X630=1,LOOKUP(AI630,'Udvaskning nøgletal'!$C$12:$C$62,'Udvaskning nøgletal'!$E$12:$E$62)+Markniveau!$Y630*Markniveau!$S630/100,IF($X630=2,LOOKUP(AI630,'Udvaskning nøgletal'!$C$12:$C$62,'Udvaskning nøgletal'!$F$12:$F$62)+Markniveau!$Y630*Markniveau!$S630/100,IF($X630=3,LOOKUP(AI630,'Udvaskning nøgletal'!$C$12:$C$62,'Udvaskning nøgletal'!Q640:Q690)+Markniveau!$Y630*Markniveau!$S630/100,"")))</f>
        <v>21.2</v>
      </c>
      <c r="AK630" s="10">
        <f t="shared" si="99"/>
        <v>8.2680000000000007</v>
      </c>
      <c r="AL630" s="10" t="str">
        <f t="shared" si="101"/>
        <v/>
      </c>
      <c r="AM630" s="10" t="str">
        <f t="shared" si="102"/>
        <v/>
      </c>
    </row>
    <row r="631" spans="1:39" x14ac:dyDescent="0.25">
      <c r="A631" s="15">
        <v>21162493</v>
      </c>
      <c r="B631" s="15">
        <v>14.07</v>
      </c>
      <c r="C631" s="15">
        <v>504851</v>
      </c>
      <c r="D631" s="15">
        <v>144391</v>
      </c>
      <c r="E631" s="15" t="s">
        <v>508</v>
      </c>
      <c r="F631" s="15">
        <v>2011</v>
      </c>
      <c r="G631" s="15">
        <v>20110316</v>
      </c>
      <c r="H631" s="15">
        <v>9104</v>
      </c>
      <c r="I631" s="15">
        <v>0.91</v>
      </c>
      <c r="J631" s="6" t="s">
        <v>509</v>
      </c>
      <c r="K631" s="15">
        <v>260</v>
      </c>
      <c r="L631" s="15" t="s">
        <v>45</v>
      </c>
      <c r="M631" s="15" t="s">
        <v>5</v>
      </c>
      <c r="N631" s="11" t="s">
        <v>1384</v>
      </c>
      <c r="O631" s="11" t="s">
        <v>28</v>
      </c>
      <c r="P631" s="11" t="s">
        <v>33</v>
      </c>
      <c r="Q631" s="15">
        <v>0</v>
      </c>
      <c r="R631" s="11" t="s">
        <v>1386</v>
      </c>
      <c r="S631" s="10">
        <v>200.90386724176</v>
      </c>
      <c r="T631" s="15">
        <v>80</v>
      </c>
      <c r="U631" s="15">
        <v>1</v>
      </c>
      <c r="V631" s="15">
        <v>1</v>
      </c>
      <c r="W631" s="15">
        <v>0</v>
      </c>
      <c r="X631" s="15">
        <f>IF(O631='Udvaskning nøgletal'!$D$65,1,IF(O631='Udvaskning nøgletal'!$D$66,2,IF(O631='Udvaskning nøgletal'!$D$67,3,IF(O631='Udvaskning nøgletal'!$D$68,2,""))))</f>
        <v>1</v>
      </c>
      <c r="Y631" s="15">
        <f>LOOKUP(K631,'Udvaskning nøgletal'!$C$12:$C$60,'Udvaskning nøgletal'!$H$12:$H$60)</f>
        <v>0</v>
      </c>
      <c r="Z631" s="10">
        <f>IF(X631=1,LOOKUP(K631,'Udvaskning nøgletal'!$C$12:$C$60,'Udvaskning nøgletal'!$E$12:$E$60)+Markniveau!Y631*Markniveau!S631/100,IF(X631=2,LOOKUP(K631,'Udvaskning nøgletal'!$C$12:$C$60,'Udvaskning nøgletal'!$F$12:$F$60)+Markniveau!Y631*Markniveau!S631/100,IF(X631=3,LOOKUP(K631,'Udvaskning nøgletal'!$C$12:$C$60,'Udvaskning nøgletal'!G641:G689)+Markniveau!Y631*Markniveau!S631/100,"")))</f>
        <v>33.723295792149436</v>
      </c>
      <c r="AA631" s="10">
        <f t="shared" si="96"/>
        <v>30.688199170855988</v>
      </c>
      <c r="AB631" s="10" t="str">
        <f t="shared" si="95"/>
        <v/>
      </c>
      <c r="AC631" s="10" t="str">
        <f t="shared" si="97"/>
        <v/>
      </c>
      <c r="AD631" s="10">
        <f>IF(AND(Q631&gt;0,Q631&lt;30,K631&lt;8),Markniveau!Z631*'Udvaskning nøgletal'!$I$12/100,IF(AND(Q631&gt;0,Q631&lt;30,K631=216),Markniveau!Z631*'Udvaskning nøgletal'!$I$34/100,Markniveau!Z631))</f>
        <v>33.723295792149436</v>
      </c>
      <c r="AE631" s="10">
        <f t="shared" si="103"/>
        <v>30.688199170855988</v>
      </c>
      <c r="AF631" s="10" t="str">
        <f t="shared" si="98"/>
        <v/>
      </c>
      <c r="AG631" s="10" t="str">
        <f t="shared" si="104"/>
        <v/>
      </c>
      <c r="AH631" s="10" t="str">
        <f>IF(AND(Q631&gt;0,Q631&lt;30,K631=216),'Udvaskning nøgletal'!$C$42,IF(AND(Q631&gt;0,Q631&lt;30,K631&gt;7,K631&lt;17),'Udvaskning nøgletal'!$C$61,IF(AND(Q631&gt;0,Q631&lt;30,K631&lt;7),'Udvaskning nøgletal'!$C$62,"")))</f>
        <v/>
      </c>
      <c r="AI631" s="10">
        <f t="shared" si="100"/>
        <v>260</v>
      </c>
      <c r="AJ631" s="10">
        <f>IF($X631=1,LOOKUP(AI631,'Udvaskning nøgletal'!$C$12:$C$62,'Udvaskning nøgletal'!$E$12:$E$62)+Markniveau!$Y631*Markniveau!$S631/100,IF($X631=2,LOOKUP(AI631,'Udvaskning nøgletal'!$C$12:$C$62,'Udvaskning nøgletal'!$F$12:$F$62)+Markniveau!$Y631*Markniveau!$S631/100,IF($X631=3,LOOKUP(AI631,'Udvaskning nøgletal'!$C$12:$C$62,'Udvaskning nøgletal'!Q641:Q691)+Markniveau!$Y631*Markniveau!$S631/100,"")))</f>
        <v>33.723295792149436</v>
      </c>
      <c r="AK631" s="10">
        <f t="shared" si="99"/>
        <v>30.688199170855988</v>
      </c>
      <c r="AL631" s="10" t="str">
        <f t="shared" si="101"/>
        <v/>
      </c>
      <c r="AM631" s="10" t="str">
        <f t="shared" si="102"/>
        <v/>
      </c>
    </row>
    <row r="632" spans="1:39" x14ac:dyDescent="0.25">
      <c r="A632" s="15">
        <v>21162493</v>
      </c>
      <c r="B632" s="15">
        <v>14.07</v>
      </c>
      <c r="C632" s="15">
        <v>504852</v>
      </c>
      <c r="D632" s="15">
        <v>144391</v>
      </c>
      <c r="E632" s="15" t="s">
        <v>510</v>
      </c>
      <c r="F632" s="15">
        <v>2011</v>
      </c>
      <c r="G632" s="15">
        <v>20110316</v>
      </c>
      <c r="H632" s="15">
        <v>10896</v>
      </c>
      <c r="I632" s="15">
        <v>1.0900000000000001</v>
      </c>
      <c r="J632" s="6" t="s">
        <v>177</v>
      </c>
      <c r="K632" s="15">
        <v>260</v>
      </c>
      <c r="L632" s="15" t="s">
        <v>45</v>
      </c>
      <c r="M632" s="15" t="s">
        <v>5</v>
      </c>
      <c r="N632" s="11" t="s">
        <v>1384</v>
      </c>
      <c r="O632" s="11" t="s">
        <v>28</v>
      </c>
      <c r="P632" s="11" t="s">
        <v>33</v>
      </c>
      <c r="Q632" s="15">
        <v>0</v>
      </c>
      <c r="R632" s="11" t="s">
        <v>1386</v>
      </c>
      <c r="S632" s="10">
        <v>200.90386724176</v>
      </c>
      <c r="T632" s="15">
        <v>80</v>
      </c>
      <c r="U632" s="15">
        <v>1</v>
      </c>
      <c r="V632" s="15">
        <v>1</v>
      </c>
      <c r="W632" s="15">
        <v>0</v>
      </c>
      <c r="X632" s="15">
        <f>IF(O632='Udvaskning nøgletal'!$D$65,1,IF(O632='Udvaskning nøgletal'!$D$66,2,IF(O632='Udvaskning nøgletal'!$D$67,3,IF(O632='Udvaskning nøgletal'!$D$68,2,""))))</f>
        <v>1</v>
      </c>
      <c r="Y632" s="15">
        <f>LOOKUP(K632,'Udvaskning nøgletal'!$C$12:$C$60,'Udvaskning nøgletal'!$H$12:$H$60)</f>
        <v>0</v>
      </c>
      <c r="Z632" s="10">
        <f>IF(X632=1,LOOKUP(K632,'Udvaskning nøgletal'!$C$12:$C$60,'Udvaskning nøgletal'!$E$12:$E$60)+Markniveau!Y632*Markniveau!S632/100,IF(X632=2,LOOKUP(K632,'Udvaskning nøgletal'!$C$12:$C$60,'Udvaskning nøgletal'!$F$12:$F$60)+Markniveau!Y632*Markniveau!S632/100,IF(X632=3,LOOKUP(K632,'Udvaskning nøgletal'!$C$12:$C$60,'Udvaskning nøgletal'!G642:G690)+Markniveau!Y632*Markniveau!S632/100,"")))</f>
        <v>33.723295792149436</v>
      </c>
      <c r="AA632" s="10">
        <f t="shared" si="96"/>
        <v>36.758392413442891</v>
      </c>
      <c r="AB632" s="10" t="str">
        <f t="shared" si="95"/>
        <v/>
      </c>
      <c r="AC632" s="10" t="str">
        <f t="shared" si="97"/>
        <v/>
      </c>
      <c r="AD632" s="10">
        <f>IF(AND(Q632&gt;0,Q632&lt;30,K632&lt;8),Markniveau!Z632*'Udvaskning nøgletal'!$I$12/100,IF(AND(Q632&gt;0,Q632&lt;30,K632=216),Markniveau!Z632*'Udvaskning nøgletal'!$I$34/100,Markniveau!Z632))</f>
        <v>33.723295792149436</v>
      </c>
      <c r="AE632" s="10">
        <f t="shared" si="103"/>
        <v>36.758392413442891</v>
      </c>
      <c r="AF632" s="10" t="str">
        <f t="shared" si="98"/>
        <v/>
      </c>
      <c r="AG632" s="10" t="str">
        <f t="shared" si="104"/>
        <v/>
      </c>
      <c r="AH632" s="10" t="str">
        <f>IF(AND(Q632&gt;0,Q632&lt;30,K632=216),'Udvaskning nøgletal'!$C$42,IF(AND(Q632&gt;0,Q632&lt;30,K632&gt;7,K632&lt;17),'Udvaskning nøgletal'!$C$61,IF(AND(Q632&gt;0,Q632&lt;30,K632&lt;7),'Udvaskning nøgletal'!$C$62,"")))</f>
        <v/>
      </c>
      <c r="AI632" s="10">
        <f t="shared" si="100"/>
        <v>260</v>
      </c>
      <c r="AJ632" s="10">
        <f>IF($X632=1,LOOKUP(AI632,'Udvaskning nøgletal'!$C$12:$C$62,'Udvaskning nøgletal'!$E$12:$E$62)+Markniveau!$Y632*Markniveau!$S632/100,IF($X632=2,LOOKUP(AI632,'Udvaskning nøgletal'!$C$12:$C$62,'Udvaskning nøgletal'!$F$12:$F$62)+Markniveau!$Y632*Markniveau!$S632/100,IF($X632=3,LOOKUP(AI632,'Udvaskning nøgletal'!$C$12:$C$62,'Udvaskning nøgletal'!Q642:Q692)+Markniveau!$Y632*Markniveau!$S632/100,"")))</f>
        <v>33.723295792149436</v>
      </c>
      <c r="AK632" s="10">
        <f t="shared" si="99"/>
        <v>36.758392413442891</v>
      </c>
      <c r="AL632" s="10" t="str">
        <f t="shared" si="101"/>
        <v/>
      </c>
      <c r="AM632" s="10" t="str">
        <f t="shared" si="102"/>
        <v/>
      </c>
    </row>
    <row r="633" spans="1:39" x14ac:dyDescent="0.25">
      <c r="A633" s="15">
        <v>21162493</v>
      </c>
      <c r="B633" s="15">
        <v>14.07</v>
      </c>
      <c r="C633" s="15">
        <v>504853</v>
      </c>
      <c r="D633" s="15">
        <v>144391</v>
      </c>
      <c r="E633" s="15" t="s">
        <v>511</v>
      </c>
      <c r="F633" s="15">
        <v>2011</v>
      </c>
      <c r="G633" s="15">
        <v>20110316</v>
      </c>
      <c r="H633" s="15">
        <v>62890</v>
      </c>
      <c r="I633" s="15">
        <v>6.29</v>
      </c>
      <c r="J633" s="6" t="s">
        <v>127</v>
      </c>
      <c r="K633" s="15">
        <v>260</v>
      </c>
      <c r="L633" s="15" t="s">
        <v>45</v>
      </c>
      <c r="M633" s="15" t="s">
        <v>5</v>
      </c>
      <c r="N633" s="11" t="s">
        <v>1384</v>
      </c>
      <c r="O633" s="11" t="s">
        <v>28</v>
      </c>
      <c r="P633" s="11" t="s">
        <v>33</v>
      </c>
      <c r="Q633" s="15">
        <v>0</v>
      </c>
      <c r="R633" s="11" t="s">
        <v>1386</v>
      </c>
      <c r="S633" s="10">
        <v>200.90386724176</v>
      </c>
      <c r="T633" s="15">
        <v>80</v>
      </c>
      <c r="U633" s="15">
        <v>1</v>
      </c>
      <c r="V633" s="15">
        <v>1</v>
      </c>
      <c r="W633" s="15">
        <v>0</v>
      </c>
      <c r="X633" s="15">
        <f>IF(O633='Udvaskning nøgletal'!$D$65,1,IF(O633='Udvaskning nøgletal'!$D$66,2,IF(O633='Udvaskning nøgletal'!$D$67,3,IF(O633='Udvaskning nøgletal'!$D$68,2,""))))</f>
        <v>1</v>
      </c>
      <c r="Y633" s="15">
        <f>LOOKUP(K633,'Udvaskning nøgletal'!$C$12:$C$60,'Udvaskning nøgletal'!$H$12:$H$60)</f>
        <v>0</v>
      </c>
      <c r="Z633" s="10">
        <f>IF(X633=1,LOOKUP(K633,'Udvaskning nøgletal'!$C$12:$C$60,'Udvaskning nøgletal'!$E$12:$E$60)+Markniveau!Y633*Markniveau!S633/100,IF(X633=2,LOOKUP(K633,'Udvaskning nøgletal'!$C$12:$C$60,'Udvaskning nøgletal'!$F$12:$F$60)+Markniveau!Y633*Markniveau!S633/100,IF(X633=3,LOOKUP(K633,'Udvaskning nøgletal'!$C$12:$C$60,'Udvaskning nøgletal'!G643:G691)+Markniveau!Y633*Markniveau!S633/100,"")))</f>
        <v>33.723295792149436</v>
      </c>
      <c r="AA633" s="10">
        <f t="shared" si="96"/>
        <v>212.11953053261996</v>
      </c>
      <c r="AB633" s="10" t="str">
        <f t="shared" si="95"/>
        <v/>
      </c>
      <c r="AC633" s="10" t="str">
        <f t="shared" si="97"/>
        <v/>
      </c>
      <c r="AD633" s="10">
        <f>IF(AND(Q633&gt;0,Q633&lt;30,K633&lt;8),Markniveau!Z633*'Udvaskning nøgletal'!$I$12/100,IF(AND(Q633&gt;0,Q633&lt;30,K633=216),Markniveau!Z633*'Udvaskning nøgletal'!$I$34/100,Markniveau!Z633))</f>
        <v>33.723295792149436</v>
      </c>
      <c r="AE633" s="10">
        <f t="shared" si="103"/>
        <v>212.11953053261996</v>
      </c>
      <c r="AF633" s="10" t="str">
        <f t="shared" si="98"/>
        <v/>
      </c>
      <c r="AG633" s="10" t="str">
        <f t="shared" si="104"/>
        <v/>
      </c>
      <c r="AH633" s="10" t="str">
        <f>IF(AND(Q633&gt;0,Q633&lt;30,K633=216),'Udvaskning nøgletal'!$C$42,IF(AND(Q633&gt;0,Q633&lt;30,K633&gt;7,K633&lt;17),'Udvaskning nøgletal'!$C$61,IF(AND(Q633&gt;0,Q633&lt;30,K633&lt;7),'Udvaskning nøgletal'!$C$62,"")))</f>
        <v/>
      </c>
      <c r="AI633" s="10">
        <f t="shared" si="100"/>
        <v>260</v>
      </c>
      <c r="AJ633" s="10">
        <f>IF($X633=1,LOOKUP(AI633,'Udvaskning nøgletal'!$C$12:$C$62,'Udvaskning nøgletal'!$E$12:$E$62)+Markniveau!$Y633*Markniveau!$S633/100,IF($X633=2,LOOKUP(AI633,'Udvaskning nøgletal'!$C$12:$C$62,'Udvaskning nøgletal'!$F$12:$F$62)+Markniveau!$Y633*Markniveau!$S633/100,IF($X633=3,LOOKUP(AI633,'Udvaskning nøgletal'!$C$12:$C$62,'Udvaskning nøgletal'!Q643:Q693)+Markniveau!$Y633*Markniveau!$S633/100,"")))</f>
        <v>33.723295792149436</v>
      </c>
      <c r="AK633" s="10">
        <f t="shared" si="99"/>
        <v>212.11953053261996</v>
      </c>
      <c r="AL633" s="10" t="str">
        <f t="shared" si="101"/>
        <v/>
      </c>
      <c r="AM633" s="10" t="str">
        <f t="shared" si="102"/>
        <v/>
      </c>
    </row>
    <row r="634" spans="1:39" x14ac:dyDescent="0.25">
      <c r="A634" s="15">
        <v>21162493</v>
      </c>
      <c r="B634" s="15">
        <v>14.07</v>
      </c>
      <c r="C634" s="15">
        <v>505358</v>
      </c>
      <c r="D634" s="15">
        <v>144391</v>
      </c>
      <c r="E634" s="15" t="s">
        <v>512</v>
      </c>
      <c r="F634" s="15">
        <v>2011</v>
      </c>
      <c r="G634" s="15">
        <v>20110316</v>
      </c>
      <c r="H634" s="15">
        <v>49763</v>
      </c>
      <c r="I634" s="15">
        <v>4.9800000000000004</v>
      </c>
      <c r="J634" s="6" t="s">
        <v>55</v>
      </c>
      <c r="K634" s="15">
        <v>216</v>
      </c>
      <c r="L634" s="15" t="s">
        <v>116</v>
      </c>
      <c r="M634" s="15" t="s">
        <v>5</v>
      </c>
      <c r="N634" s="11" t="s">
        <v>1384</v>
      </c>
      <c r="O634" s="11" t="s">
        <v>28</v>
      </c>
      <c r="P634" s="11" t="s">
        <v>33</v>
      </c>
      <c r="Q634" s="15">
        <v>0</v>
      </c>
      <c r="R634" s="11" t="s">
        <v>1386</v>
      </c>
      <c r="S634" s="10">
        <v>200.90386724176</v>
      </c>
      <c r="T634" s="15">
        <v>80</v>
      </c>
      <c r="U634" s="15">
        <v>1</v>
      </c>
      <c r="V634" s="15">
        <v>1</v>
      </c>
      <c r="W634" s="15">
        <v>0</v>
      </c>
      <c r="X634" s="15">
        <f>IF(O634='Udvaskning nøgletal'!$D$65,1,IF(O634='Udvaskning nøgletal'!$D$66,2,IF(O634='Udvaskning nøgletal'!$D$67,3,IF(O634='Udvaskning nøgletal'!$D$68,2,""))))</f>
        <v>1</v>
      </c>
      <c r="Y634" s="15">
        <f>LOOKUP(K634,'Udvaskning nøgletal'!$C$12:$C$60,'Udvaskning nøgletal'!$H$12:$H$60)</f>
        <v>0</v>
      </c>
      <c r="Z634" s="10">
        <f>IF(X634=1,LOOKUP(K634,'Udvaskning nøgletal'!$C$12:$C$60,'Udvaskning nøgletal'!$E$12:$E$60)+Markniveau!Y634*Markniveau!S634/100,IF(X634=2,LOOKUP(K634,'Udvaskning nøgletal'!$C$12:$C$60,'Udvaskning nøgletal'!$F$12:$F$60)+Markniveau!Y634*Markniveau!S634/100,IF(X634=3,LOOKUP(K634,'Udvaskning nøgletal'!$C$12:$C$60,'Udvaskning nøgletal'!G644:G692)+Markniveau!Y634*Markniveau!S634/100,"")))</f>
        <v>125.85383557148924</v>
      </c>
      <c r="AA634" s="10">
        <f t="shared" si="96"/>
        <v>626.75210114601646</v>
      </c>
      <c r="AB634" s="10" t="str">
        <f t="shared" si="95"/>
        <v/>
      </c>
      <c r="AC634" s="10" t="str">
        <f t="shared" si="97"/>
        <v/>
      </c>
      <c r="AD634" s="10">
        <f>IF(AND(Q634&gt;0,Q634&lt;30,K634&lt;8),Markniveau!Z634*'Udvaskning nøgletal'!$I$12/100,IF(AND(Q634&gt;0,Q634&lt;30,K634=216),Markniveau!Z634*'Udvaskning nøgletal'!$I$34/100,Markniveau!Z634))</f>
        <v>125.85383557148924</v>
      </c>
      <c r="AE634" s="10">
        <f t="shared" si="103"/>
        <v>626.75210114601646</v>
      </c>
      <c r="AF634" s="10" t="str">
        <f t="shared" si="98"/>
        <v/>
      </c>
      <c r="AG634" s="10" t="str">
        <f t="shared" si="104"/>
        <v/>
      </c>
      <c r="AH634" s="10" t="str">
        <f>IF(AND(Q634&gt;0,Q634&lt;30,K634=216),'Udvaskning nøgletal'!$C$42,IF(AND(Q634&gt;0,Q634&lt;30,K634&gt;7,K634&lt;17),'Udvaskning nøgletal'!$C$61,IF(AND(Q634&gt;0,Q634&lt;30,K634&lt;7),'Udvaskning nøgletal'!$C$62,"")))</f>
        <v/>
      </c>
      <c r="AI634" s="10">
        <f t="shared" si="100"/>
        <v>216</v>
      </c>
      <c r="AJ634" s="10">
        <f>IF($X634=1,LOOKUP(AI634,'Udvaskning nøgletal'!$C$12:$C$62,'Udvaskning nøgletal'!$E$12:$E$62)+Markniveau!$Y634*Markniveau!$S634/100,IF($X634=2,LOOKUP(AI634,'Udvaskning nøgletal'!$C$12:$C$62,'Udvaskning nøgletal'!$F$12:$F$62)+Markniveau!$Y634*Markniveau!$S634/100,IF($X634=3,LOOKUP(AI634,'Udvaskning nøgletal'!$C$12:$C$62,'Udvaskning nøgletal'!Q644:Q694)+Markniveau!$Y634*Markniveau!$S634/100,"")))</f>
        <v>125.85383557148924</v>
      </c>
      <c r="AK634" s="10">
        <f t="shared" si="99"/>
        <v>626.75210114601646</v>
      </c>
      <c r="AL634" s="10" t="str">
        <f t="shared" si="101"/>
        <v/>
      </c>
      <c r="AM634" s="10" t="str">
        <f t="shared" si="102"/>
        <v/>
      </c>
    </row>
    <row r="635" spans="1:39" x14ac:dyDescent="0.25">
      <c r="A635" s="15">
        <v>21162493</v>
      </c>
      <c r="B635" s="15">
        <v>14.07</v>
      </c>
      <c r="C635" s="15">
        <v>533628</v>
      </c>
      <c r="D635" s="15">
        <v>144391</v>
      </c>
      <c r="E635" s="15" t="s">
        <v>511</v>
      </c>
      <c r="F635" s="15">
        <v>2011</v>
      </c>
      <c r="G635" s="15">
        <v>20110318</v>
      </c>
      <c r="H635" s="15">
        <v>4949</v>
      </c>
      <c r="I635" s="15">
        <v>0.49</v>
      </c>
      <c r="J635" s="6" t="s">
        <v>65</v>
      </c>
      <c r="K635" s="15">
        <v>252</v>
      </c>
      <c r="L635" s="15" t="s">
        <v>41</v>
      </c>
      <c r="M635" s="15" t="s">
        <v>4</v>
      </c>
      <c r="N635" s="11" t="s">
        <v>1384</v>
      </c>
      <c r="O635" s="11" t="s">
        <v>28</v>
      </c>
      <c r="P635" s="11" t="s">
        <v>33</v>
      </c>
      <c r="Q635" s="15">
        <v>0</v>
      </c>
      <c r="R635" s="11" t="s">
        <v>1386</v>
      </c>
      <c r="S635" s="10">
        <v>200.90386724176</v>
      </c>
      <c r="T635" s="15">
        <v>80</v>
      </c>
      <c r="U635" s="15">
        <v>1</v>
      </c>
      <c r="V635" s="15">
        <v>1</v>
      </c>
      <c r="W635" s="15">
        <v>0</v>
      </c>
      <c r="X635" s="15">
        <f>IF(O635='Udvaskning nøgletal'!$D$65,1,IF(O635='Udvaskning nøgletal'!$D$66,2,IF(O635='Udvaskning nøgletal'!$D$67,3,IF(O635='Udvaskning nøgletal'!$D$68,2,""))))</f>
        <v>1</v>
      </c>
      <c r="Y635" s="15">
        <f>LOOKUP(K635,'Udvaskning nøgletal'!$C$12:$C$60,'Udvaskning nøgletal'!$H$12:$H$60)</f>
        <v>0</v>
      </c>
      <c r="Z635" s="10">
        <f>IF(X635=1,LOOKUP(K635,'Udvaskning nøgletal'!$C$12:$C$60,'Udvaskning nøgletal'!$E$12:$E$60)+Markniveau!Y635*Markniveau!S635/100,IF(X635=2,LOOKUP(K635,'Udvaskning nøgletal'!$C$12:$C$60,'Udvaskning nøgletal'!$F$12:$F$60)+Markniveau!Y635*Markniveau!S635/100,IF(X635=3,LOOKUP(K635,'Udvaskning nøgletal'!$C$12:$C$60,'Udvaskning nøgletal'!G645:G693)+Markniveau!Y635*Markniveau!S635/100,"")))</f>
        <v>21.2</v>
      </c>
      <c r="AA635" s="10">
        <f t="shared" si="96"/>
        <v>10.388</v>
      </c>
      <c r="AB635" s="10" t="str">
        <f t="shared" si="95"/>
        <v/>
      </c>
      <c r="AC635" s="10" t="str">
        <f t="shared" si="97"/>
        <v/>
      </c>
      <c r="AD635" s="10">
        <f>IF(AND(Q635&gt;0,Q635&lt;30,K635&lt;8),Markniveau!Z635*'Udvaskning nøgletal'!$I$12/100,IF(AND(Q635&gt;0,Q635&lt;30,K635=216),Markniveau!Z635*'Udvaskning nøgletal'!$I$34/100,Markniveau!Z635))</f>
        <v>21.2</v>
      </c>
      <c r="AE635" s="10">
        <f t="shared" si="103"/>
        <v>10.388</v>
      </c>
      <c r="AF635" s="10" t="str">
        <f t="shared" si="98"/>
        <v/>
      </c>
      <c r="AG635" s="10" t="str">
        <f t="shared" si="104"/>
        <v/>
      </c>
      <c r="AH635" s="10" t="str">
        <f>IF(AND(Q635&gt;0,Q635&lt;30,K635=216),'Udvaskning nøgletal'!$C$42,IF(AND(Q635&gt;0,Q635&lt;30,K635&gt;7,K635&lt;17),'Udvaskning nøgletal'!$C$61,IF(AND(Q635&gt;0,Q635&lt;30,K635&lt;7),'Udvaskning nøgletal'!$C$62,"")))</f>
        <v/>
      </c>
      <c r="AI635" s="10">
        <f t="shared" si="100"/>
        <v>252</v>
      </c>
      <c r="AJ635" s="10">
        <f>IF($X635=1,LOOKUP(AI635,'Udvaskning nøgletal'!$C$12:$C$62,'Udvaskning nøgletal'!$E$12:$E$62)+Markniveau!$Y635*Markniveau!$S635/100,IF($X635=2,LOOKUP(AI635,'Udvaskning nøgletal'!$C$12:$C$62,'Udvaskning nøgletal'!$F$12:$F$62)+Markniveau!$Y635*Markniveau!$S635/100,IF($X635=3,LOOKUP(AI635,'Udvaskning nøgletal'!$C$12:$C$62,'Udvaskning nøgletal'!Q645:Q695)+Markniveau!$Y635*Markniveau!$S635/100,"")))</f>
        <v>21.2</v>
      </c>
      <c r="AK635" s="10">
        <f t="shared" si="99"/>
        <v>10.388</v>
      </c>
      <c r="AL635" s="10" t="str">
        <f t="shared" si="101"/>
        <v/>
      </c>
      <c r="AM635" s="10" t="str">
        <f t="shared" si="102"/>
        <v/>
      </c>
    </row>
    <row r="636" spans="1:39" x14ac:dyDescent="0.25">
      <c r="A636" s="15">
        <v>21162493</v>
      </c>
      <c r="B636" s="15">
        <v>14.07</v>
      </c>
      <c r="C636" s="15">
        <v>557682</v>
      </c>
      <c r="D636" s="15">
        <v>144391</v>
      </c>
      <c r="E636" s="15" t="s">
        <v>513</v>
      </c>
      <c r="F636" s="15">
        <v>2011</v>
      </c>
      <c r="G636" s="15">
        <v>20110318</v>
      </c>
      <c r="H636" s="15">
        <v>141804</v>
      </c>
      <c r="I636" s="15">
        <v>14.18</v>
      </c>
      <c r="J636" s="6" t="s">
        <v>34</v>
      </c>
      <c r="K636" s="15">
        <v>216</v>
      </c>
      <c r="L636" s="15" t="s">
        <v>116</v>
      </c>
      <c r="M636" s="15" t="s">
        <v>5</v>
      </c>
      <c r="N636" s="11" t="s">
        <v>1384</v>
      </c>
      <c r="O636" s="11" t="s">
        <v>28</v>
      </c>
      <c r="P636" s="11" t="s">
        <v>33</v>
      </c>
      <c r="Q636" s="15">
        <v>0</v>
      </c>
      <c r="R636" s="11" t="s">
        <v>1386</v>
      </c>
      <c r="S636" s="10">
        <v>200.90386724176</v>
      </c>
      <c r="T636" s="15">
        <v>80</v>
      </c>
      <c r="U636" s="15">
        <v>1</v>
      </c>
      <c r="V636" s="15">
        <v>1</v>
      </c>
      <c r="W636" s="15">
        <v>0</v>
      </c>
      <c r="X636" s="15">
        <f>IF(O636='Udvaskning nøgletal'!$D$65,1,IF(O636='Udvaskning nøgletal'!$D$66,2,IF(O636='Udvaskning nøgletal'!$D$67,3,IF(O636='Udvaskning nøgletal'!$D$68,2,""))))</f>
        <v>1</v>
      </c>
      <c r="Y636" s="15">
        <f>LOOKUP(K636,'Udvaskning nøgletal'!$C$12:$C$60,'Udvaskning nøgletal'!$H$12:$H$60)</f>
        <v>0</v>
      </c>
      <c r="Z636" s="10">
        <f>IF(X636=1,LOOKUP(K636,'Udvaskning nøgletal'!$C$12:$C$60,'Udvaskning nøgletal'!$E$12:$E$60)+Markniveau!Y636*Markniveau!S636/100,IF(X636=2,LOOKUP(K636,'Udvaskning nøgletal'!$C$12:$C$60,'Udvaskning nøgletal'!$F$12:$F$60)+Markniveau!Y636*Markniveau!S636/100,IF(X636=3,LOOKUP(K636,'Udvaskning nøgletal'!$C$12:$C$60,'Udvaskning nøgletal'!G646:G694)+Markniveau!Y636*Markniveau!S636/100,"")))</f>
        <v>125.85383557148924</v>
      </c>
      <c r="AA636" s="10">
        <f t="shared" si="96"/>
        <v>1784.6073884037173</v>
      </c>
      <c r="AB636" s="10" t="str">
        <f t="shared" si="95"/>
        <v/>
      </c>
      <c r="AC636" s="10" t="str">
        <f t="shared" si="97"/>
        <v/>
      </c>
      <c r="AD636" s="10">
        <f>IF(AND(Q636&gt;0,Q636&lt;30,K636&lt;8),Markniveau!Z636*'Udvaskning nøgletal'!$I$12/100,IF(AND(Q636&gt;0,Q636&lt;30,K636=216),Markniveau!Z636*'Udvaskning nøgletal'!$I$34/100,Markniveau!Z636))</f>
        <v>125.85383557148924</v>
      </c>
      <c r="AE636" s="10">
        <f t="shared" si="103"/>
        <v>1784.6073884037173</v>
      </c>
      <c r="AF636" s="10" t="str">
        <f t="shared" si="98"/>
        <v/>
      </c>
      <c r="AG636" s="10" t="str">
        <f t="shared" si="104"/>
        <v/>
      </c>
      <c r="AH636" s="10" t="str">
        <f>IF(AND(Q636&gt;0,Q636&lt;30,K636=216),'Udvaskning nøgletal'!$C$42,IF(AND(Q636&gt;0,Q636&lt;30,K636&gt;7,K636&lt;17),'Udvaskning nøgletal'!$C$61,IF(AND(Q636&gt;0,Q636&lt;30,K636&lt;7),'Udvaskning nøgletal'!$C$62,"")))</f>
        <v/>
      </c>
      <c r="AI636" s="10">
        <f t="shared" si="100"/>
        <v>216</v>
      </c>
      <c r="AJ636" s="10">
        <f>IF($X636=1,LOOKUP(AI636,'Udvaskning nøgletal'!$C$12:$C$62,'Udvaskning nøgletal'!$E$12:$E$62)+Markniveau!$Y636*Markniveau!$S636/100,IF($X636=2,LOOKUP(AI636,'Udvaskning nøgletal'!$C$12:$C$62,'Udvaskning nøgletal'!$F$12:$F$62)+Markniveau!$Y636*Markniveau!$S636/100,IF($X636=3,LOOKUP(AI636,'Udvaskning nøgletal'!$C$12:$C$62,'Udvaskning nøgletal'!Q646:Q696)+Markniveau!$Y636*Markniveau!$S636/100,"")))</f>
        <v>125.85383557148924</v>
      </c>
      <c r="AK636" s="10">
        <f t="shared" si="99"/>
        <v>1784.6073884037173</v>
      </c>
      <c r="AL636" s="10" t="str">
        <f t="shared" si="101"/>
        <v/>
      </c>
      <c r="AM636" s="10" t="str">
        <f t="shared" si="102"/>
        <v/>
      </c>
    </row>
    <row r="637" spans="1:39" x14ac:dyDescent="0.25">
      <c r="A637" s="15">
        <v>21162493</v>
      </c>
      <c r="B637" s="15">
        <v>14.07</v>
      </c>
      <c r="C637" s="15">
        <v>557816</v>
      </c>
      <c r="D637" s="15">
        <v>144391</v>
      </c>
      <c r="E637" s="15" t="s">
        <v>514</v>
      </c>
      <c r="F637" s="15">
        <v>2011</v>
      </c>
      <c r="G637" s="15">
        <v>20110318</v>
      </c>
      <c r="H637" s="15">
        <v>48734</v>
      </c>
      <c r="I637" s="15">
        <v>4.87</v>
      </c>
      <c r="J637" s="6" t="s">
        <v>176</v>
      </c>
      <c r="K637" s="15">
        <v>216</v>
      </c>
      <c r="L637" s="15" t="s">
        <v>116</v>
      </c>
      <c r="M637" s="15" t="s">
        <v>5</v>
      </c>
      <c r="N637" s="11" t="s">
        <v>1384</v>
      </c>
      <c r="O637" s="11" t="s">
        <v>28</v>
      </c>
      <c r="P637" s="11" t="s">
        <v>33</v>
      </c>
      <c r="Q637" s="15">
        <v>0</v>
      </c>
      <c r="R637" s="11" t="s">
        <v>1386</v>
      </c>
      <c r="S637" s="10">
        <v>200.90386724176</v>
      </c>
      <c r="T637" s="15">
        <v>80</v>
      </c>
      <c r="U637" s="15">
        <v>1</v>
      </c>
      <c r="V637" s="15">
        <v>1</v>
      </c>
      <c r="W637" s="15">
        <v>0</v>
      </c>
      <c r="X637" s="15">
        <f>IF(O637='Udvaskning nøgletal'!$D$65,1,IF(O637='Udvaskning nøgletal'!$D$66,2,IF(O637='Udvaskning nøgletal'!$D$67,3,IF(O637='Udvaskning nøgletal'!$D$68,2,""))))</f>
        <v>1</v>
      </c>
      <c r="Y637" s="15">
        <f>LOOKUP(K637,'Udvaskning nøgletal'!$C$12:$C$60,'Udvaskning nøgletal'!$H$12:$H$60)</f>
        <v>0</v>
      </c>
      <c r="Z637" s="10">
        <f>IF(X637=1,LOOKUP(K637,'Udvaskning nøgletal'!$C$12:$C$60,'Udvaskning nøgletal'!$E$12:$E$60)+Markniveau!Y637*Markniveau!S637/100,IF(X637=2,LOOKUP(K637,'Udvaskning nøgletal'!$C$12:$C$60,'Udvaskning nøgletal'!$F$12:$F$60)+Markniveau!Y637*Markniveau!S637/100,IF(X637=3,LOOKUP(K637,'Udvaskning nøgletal'!$C$12:$C$60,'Udvaskning nøgletal'!G647:G695)+Markniveau!Y637*Markniveau!S637/100,"")))</f>
        <v>125.85383557148924</v>
      </c>
      <c r="AA637" s="10">
        <f t="shared" si="96"/>
        <v>612.90817923315262</v>
      </c>
      <c r="AB637" s="10" t="str">
        <f t="shared" si="95"/>
        <v/>
      </c>
      <c r="AC637" s="10" t="str">
        <f t="shared" si="97"/>
        <v/>
      </c>
      <c r="AD637" s="10">
        <f>IF(AND(Q637&gt;0,Q637&lt;30,K637&lt;8),Markniveau!Z637*'Udvaskning nøgletal'!$I$12/100,IF(AND(Q637&gt;0,Q637&lt;30,K637=216),Markniveau!Z637*'Udvaskning nøgletal'!$I$34/100,Markniveau!Z637))</f>
        <v>125.85383557148924</v>
      </c>
      <c r="AE637" s="10">
        <f t="shared" si="103"/>
        <v>612.90817923315262</v>
      </c>
      <c r="AF637" s="10" t="str">
        <f t="shared" si="98"/>
        <v/>
      </c>
      <c r="AG637" s="10" t="str">
        <f t="shared" si="104"/>
        <v/>
      </c>
      <c r="AH637" s="10" t="str">
        <f>IF(AND(Q637&gt;0,Q637&lt;30,K637=216),'Udvaskning nøgletal'!$C$42,IF(AND(Q637&gt;0,Q637&lt;30,K637&gt;7,K637&lt;17),'Udvaskning nøgletal'!$C$61,IF(AND(Q637&gt;0,Q637&lt;30,K637&lt;7),'Udvaskning nøgletal'!$C$62,"")))</f>
        <v/>
      </c>
      <c r="AI637" s="10">
        <f t="shared" si="100"/>
        <v>216</v>
      </c>
      <c r="AJ637" s="10">
        <f>IF($X637=1,LOOKUP(AI637,'Udvaskning nøgletal'!$C$12:$C$62,'Udvaskning nøgletal'!$E$12:$E$62)+Markniveau!$Y637*Markniveau!$S637/100,IF($X637=2,LOOKUP(AI637,'Udvaskning nøgletal'!$C$12:$C$62,'Udvaskning nøgletal'!$F$12:$F$62)+Markniveau!$Y637*Markniveau!$S637/100,IF($X637=3,LOOKUP(AI637,'Udvaskning nøgletal'!$C$12:$C$62,'Udvaskning nøgletal'!Q647:Q697)+Markniveau!$Y637*Markniveau!$S637/100,"")))</f>
        <v>125.85383557148924</v>
      </c>
      <c r="AK637" s="10">
        <f t="shared" si="99"/>
        <v>612.90817923315262</v>
      </c>
      <c r="AL637" s="10" t="str">
        <f t="shared" si="101"/>
        <v/>
      </c>
      <c r="AM637" s="10" t="str">
        <f t="shared" si="102"/>
        <v/>
      </c>
    </row>
    <row r="638" spans="1:39" x14ac:dyDescent="0.25">
      <c r="A638" s="15">
        <v>21162493</v>
      </c>
      <c r="B638" s="15">
        <v>14.07</v>
      </c>
      <c r="C638" s="15">
        <v>557818</v>
      </c>
      <c r="D638" s="15">
        <v>144391</v>
      </c>
      <c r="E638" s="15" t="s">
        <v>514</v>
      </c>
      <c r="F638" s="15">
        <v>2011</v>
      </c>
      <c r="G638" s="15">
        <v>20110318</v>
      </c>
      <c r="H638" s="15">
        <v>9820</v>
      </c>
      <c r="I638" s="15">
        <v>0.98</v>
      </c>
      <c r="J638" s="6" t="s">
        <v>515</v>
      </c>
      <c r="K638" s="15">
        <v>263</v>
      </c>
      <c r="L638" s="15" t="s">
        <v>39</v>
      </c>
      <c r="M638" s="15" t="s">
        <v>5</v>
      </c>
      <c r="N638" s="11" t="s">
        <v>1390</v>
      </c>
      <c r="O638" s="11" t="s">
        <v>42</v>
      </c>
      <c r="P638" s="11" t="s">
        <v>33</v>
      </c>
      <c r="Q638" s="15">
        <v>0</v>
      </c>
      <c r="R638" s="11" t="s">
        <v>1386</v>
      </c>
      <c r="S638" s="10">
        <v>200.90386724176</v>
      </c>
      <c r="T638" s="15">
        <v>80</v>
      </c>
      <c r="U638" s="15">
        <v>1</v>
      </c>
      <c r="V638" s="15">
        <v>1</v>
      </c>
      <c r="W638" s="15">
        <v>0</v>
      </c>
      <c r="X638" s="15">
        <f>IF(O638='Udvaskning nøgletal'!$D$65,1,IF(O638='Udvaskning nøgletal'!$D$66,2,IF(O638='Udvaskning nøgletal'!$D$67,3,IF(O638='Udvaskning nøgletal'!$D$68,2,""))))</f>
        <v>2</v>
      </c>
      <c r="Y638" s="15">
        <f>LOOKUP(K638,'Udvaskning nøgletal'!$C$12:$C$60,'Udvaskning nøgletal'!$H$12:$H$60)</f>
        <v>0</v>
      </c>
      <c r="Z638" s="10">
        <f>IF(X638=1,LOOKUP(K638,'Udvaskning nøgletal'!$C$12:$C$60,'Udvaskning nøgletal'!$E$12:$E$60)+Markniveau!Y638*Markniveau!S638/100,IF(X638=2,LOOKUP(K638,'Udvaskning nøgletal'!$C$12:$C$60,'Udvaskning nøgletal'!$F$12:$F$60)+Markniveau!Y638*Markniveau!S638/100,IF(X638=3,LOOKUP(K638,'Udvaskning nøgletal'!$C$12:$C$60,'Udvaskning nøgletal'!G648:G696)+Markniveau!Y638*Markniveau!S638/100,"")))</f>
        <v>27.331185321443094</v>
      </c>
      <c r="AA638" s="10">
        <f t="shared" si="96"/>
        <v>26.784561615014233</v>
      </c>
      <c r="AB638" s="10" t="str">
        <f t="shared" si="95"/>
        <v/>
      </c>
      <c r="AC638" s="10" t="str">
        <f t="shared" si="97"/>
        <v/>
      </c>
      <c r="AD638" s="10">
        <f>IF(AND(Q638&gt;0,Q638&lt;30,K638&lt;8),Markniveau!Z638*'Udvaskning nøgletal'!$I$12/100,IF(AND(Q638&gt;0,Q638&lt;30,K638=216),Markniveau!Z638*'Udvaskning nøgletal'!$I$34/100,Markniveau!Z638))</f>
        <v>27.331185321443094</v>
      </c>
      <c r="AE638" s="10">
        <f t="shared" si="103"/>
        <v>26.784561615014233</v>
      </c>
      <c r="AF638" s="10" t="str">
        <f t="shared" si="98"/>
        <v/>
      </c>
      <c r="AG638" s="10" t="str">
        <f t="shared" si="104"/>
        <v/>
      </c>
      <c r="AH638" s="10" t="str">
        <f>IF(AND(Q638&gt;0,Q638&lt;30,K638=216),'Udvaskning nøgletal'!$C$42,IF(AND(Q638&gt;0,Q638&lt;30,K638&gt;7,K638&lt;17),'Udvaskning nøgletal'!$C$61,IF(AND(Q638&gt;0,Q638&lt;30,K638&lt;7),'Udvaskning nøgletal'!$C$62,"")))</f>
        <v/>
      </c>
      <c r="AI638" s="10">
        <f t="shared" si="100"/>
        <v>263</v>
      </c>
      <c r="AJ638" s="10">
        <f>IF($X638=1,LOOKUP(AI638,'Udvaskning nøgletal'!$C$12:$C$62,'Udvaskning nøgletal'!$E$12:$E$62)+Markniveau!$Y638*Markniveau!$S638/100,IF($X638=2,LOOKUP(AI638,'Udvaskning nøgletal'!$C$12:$C$62,'Udvaskning nøgletal'!$F$12:$F$62)+Markniveau!$Y638*Markniveau!$S638/100,IF($X638=3,LOOKUP(AI638,'Udvaskning nøgletal'!$C$12:$C$62,'Udvaskning nøgletal'!Q648:Q698)+Markniveau!$Y638*Markniveau!$S638/100,"")))</f>
        <v>27.331185321443094</v>
      </c>
      <c r="AK638" s="10">
        <f t="shared" si="99"/>
        <v>26.784561615014233</v>
      </c>
      <c r="AL638" s="10" t="str">
        <f t="shared" si="101"/>
        <v/>
      </c>
      <c r="AM638" s="10" t="str">
        <f t="shared" si="102"/>
        <v/>
      </c>
    </row>
    <row r="639" spans="1:39" x14ac:dyDescent="0.25">
      <c r="A639" s="15">
        <v>21162493</v>
      </c>
      <c r="B639" s="15">
        <v>14.07</v>
      </c>
      <c r="C639" s="15">
        <v>571154</v>
      </c>
      <c r="D639" s="15">
        <v>144391</v>
      </c>
      <c r="E639" s="15" t="s">
        <v>511</v>
      </c>
      <c r="F639" s="15">
        <v>2011</v>
      </c>
      <c r="G639" s="15">
        <v>20110318</v>
      </c>
      <c r="H639" s="15">
        <v>31322</v>
      </c>
      <c r="I639" s="15">
        <v>3.13</v>
      </c>
      <c r="J639" s="6" t="s">
        <v>162</v>
      </c>
      <c r="K639" s="15">
        <v>263</v>
      </c>
      <c r="L639" s="15" t="s">
        <v>39</v>
      </c>
      <c r="M639" s="15" t="s">
        <v>5</v>
      </c>
      <c r="N639" s="11" t="s">
        <v>1384</v>
      </c>
      <c r="O639" s="11" t="s">
        <v>28</v>
      </c>
      <c r="P639" s="11" t="s">
        <v>33</v>
      </c>
      <c r="Q639" s="15">
        <v>0</v>
      </c>
      <c r="R639" s="11" t="s">
        <v>1386</v>
      </c>
      <c r="S639" s="10">
        <v>200.90386724176</v>
      </c>
      <c r="T639" s="15">
        <v>80</v>
      </c>
      <c r="U639" s="15">
        <v>1</v>
      </c>
      <c r="V639" s="15">
        <v>1</v>
      </c>
      <c r="W639" s="15">
        <v>0</v>
      </c>
      <c r="X639" s="15">
        <f>IF(O639='Udvaskning nøgletal'!$D$65,1,IF(O639='Udvaskning nøgletal'!$D$66,2,IF(O639='Udvaskning nøgletal'!$D$67,3,IF(O639='Udvaskning nøgletal'!$D$68,2,""))))</f>
        <v>1</v>
      </c>
      <c r="Y639" s="15">
        <f>LOOKUP(K639,'Udvaskning nøgletal'!$C$12:$C$60,'Udvaskning nøgletal'!$H$12:$H$60)</f>
        <v>0</v>
      </c>
      <c r="Z639" s="10">
        <f>IF(X639=1,LOOKUP(K639,'Udvaskning nøgletal'!$C$12:$C$60,'Udvaskning nøgletal'!$E$12:$E$60)+Markniveau!Y639*Markniveau!S639/100,IF(X639=2,LOOKUP(K639,'Udvaskning nøgletal'!$C$12:$C$60,'Udvaskning nøgletal'!$F$12:$F$60)+Markniveau!Y639*Markniveau!S639/100,IF(X639=3,LOOKUP(K639,'Udvaskning nøgletal'!$C$12:$C$60,'Udvaskning nøgletal'!G649:G697)+Markniveau!Y639*Markniveau!S639/100,"")))</f>
        <v>33.723295792149436</v>
      </c>
      <c r="AA639" s="10">
        <f t="shared" si="96"/>
        <v>105.55391582942774</v>
      </c>
      <c r="AB639" s="10" t="str">
        <f t="shared" si="95"/>
        <v/>
      </c>
      <c r="AC639" s="10" t="str">
        <f t="shared" si="97"/>
        <v/>
      </c>
      <c r="AD639" s="10">
        <f>IF(AND(Q639&gt;0,Q639&lt;30,K639&lt;8),Markniveau!Z639*'Udvaskning nøgletal'!$I$12/100,IF(AND(Q639&gt;0,Q639&lt;30,K639=216),Markniveau!Z639*'Udvaskning nøgletal'!$I$34/100,Markniveau!Z639))</f>
        <v>33.723295792149436</v>
      </c>
      <c r="AE639" s="10">
        <f t="shared" si="103"/>
        <v>105.55391582942774</v>
      </c>
      <c r="AF639" s="10" t="str">
        <f t="shared" si="98"/>
        <v/>
      </c>
      <c r="AG639" s="10" t="str">
        <f t="shared" si="104"/>
        <v/>
      </c>
      <c r="AH639" s="10" t="str">
        <f>IF(AND(Q639&gt;0,Q639&lt;30,K639=216),'Udvaskning nøgletal'!$C$42,IF(AND(Q639&gt;0,Q639&lt;30,K639&gt;7,K639&lt;17),'Udvaskning nøgletal'!$C$61,IF(AND(Q639&gt;0,Q639&lt;30,K639&lt;7),'Udvaskning nøgletal'!$C$62,"")))</f>
        <v/>
      </c>
      <c r="AI639" s="10">
        <f t="shared" si="100"/>
        <v>263</v>
      </c>
      <c r="AJ639" s="10">
        <f>IF($X639=1,LOOKUP(AI639,'Udvaskning nøgletal'!$C$12:$C$62,'Udvaskning nøgletal'!$E$12:$E$62)+Markniveau!$Y639*Markniveau!$S639/100,IF($X639=2,LOOKUP(AI639,'Udvaskning nøgletal'!$C$12:$C$62,'Udvaskning nøgletal'!$F$12:$F$62)+Markniveau!$Y639*Markniveau!$S639/100,IF($X639=3,LOOKUP(AI639,'Udvaskning nøgletal'!$C$12:$C$62,'Udvaskning nøgletal'!Q649:Q699)+Markniveau!$Y639*Markniveau!$S639/100,"")))</f>
        <v>33.723295792149436</v>
      </c>
      <c r="AK639" s="10">
        <f t="shared" si="99"/>
        <v>105.55391582942774</v>
      </c>
      <c r="AL639" s="10" t="str">
        <f t="shared" si="101"/>
        <v/>
      </c>
      <c r="AM639" s="10" t="str">
        <f t="shared" si="102"/>
        <v/>
      </c>
    </row>
    <row r="640" spans="1:39" x14ac:dyDescent="0.25">
      <c r="A640" s="15">
        <v>21162493</v>
      </c>
      <c r="B640" s="15">
        <v>14.07</v>
      </c>
      <c r="C640" s="15">
        <v>578171</v>
      </c>
      <c r="D640" s="15">
        <v>144391</v>
      </c>
      <c r="E640" s="15" t="s">
        <v>511</v>
      </c>
      <c r="F640" s="15">
        <v>2011</v>
      </c>
      <c r="G640" s="15">
        <v>20110318</v>
      </c>
      <c r="H640" s="15">
        <v>46922</v>
      </c>
      <c r="I640" s="15">
        <v>4.6900000000000004</v>
      </c>
      <c r="J640" s="6" t="s">
        <v>69</v>
      </c>
      <c r="K640" s="15">
        <v>263</v>
      </c>
      <c r="L640" s="15" t="s">
        <v>39</v>
      </c>
      <c r="M640" s="15" t="s">
        <v>5</v>
      </c>
      <c r="N640" s="11" t="s">
        <v>1390</v>
      </c>
      <c r="O640" s="11" t="s">
        <v>42</v>
      </c>
      <c r="P640" s="11" t="s">
        <v>33</v>
      </c>
      <c r="Q640" s="15">
        <v>0</v>
      </c>
      <c r="R640" s="11" t="s">
        <v>1386</v>
      </c>
      <c r="S640" s="10">
        <v>200.90386724176</v>
      </c>
      <c r="T640" s="15">
        <v>80</v>
      </c>
      <c r="U640" s="15">
        <v>1</v>
      </c>
      <c r="V640" s="15">
        <v>1</v>
      </c>
      <c r="W640" s="15">
        <v>0</v>
      </c>
      <c r="X640" s="15">
        <f>IF(O640='Udvaskning nøgletal'!$D$65,1,IF(O640='Udvaskning nøgletal'!$D$66,2,IF(O640='Udvaskning nøgletal'!$D$67,3,IF(O640='Udvaskning nøgletal'!$D$68,2,""))))</f>
        <v>2</v>
      </c>
      <c r="Y640" s="15">
        <f>LOOKUP(K640,'Udvaskning nøgletal'!$C$12:$C$60,'Udvaskning nøgletal'!$H$12:$H$60)</f>
        <v>0</v>
      </c>
      <c r="Z640" s="10">
        <f>IF(X640=1,LOOKUP(K640,'Udvaskning nøgletal'!$C$12:$C$60,'Udvaskning nøgletal'!$E$12:$E$60)+Markniveau!Y640*Markniveau!S640/100,IF(X640=2,LOOKUP(K640,'Udvaskning nøgletal'!$C$12:$C$60,'Udvaskning nøgletal'!$F$12:$F$60)+Markniveau!Y640*Markniveau!S640/100,IF(X640=3,LOOKUP(K640,'Udvaskning nøgletal'!$C$12:$C$60,'Udvaskning nøgletal'!G650:G698)+Markniveau!Y640*Markniveau!S640/100,"")))</f>
        <v>27.331185321443094</v>
      </c>
      <c r="AA640" s="10">
        <f t="shared" si="96"/>
        <v>128.18325915756813</v>
      </c>
      <c r="AB640" s="10" t="str">
        <f t="shared" si="95"/>
        <v/>
      </c>
      <c r="AC640" s="10" t="str">
        <f t="shared" si="97"/>
        <v/>
      </c>
      <c r="AD640" s="10">
        <f>IF(AND(Q640&gt;0,Q640&lt;30,K640&lt;8),Markniveau!Z640*'Udvaskning nøgletal'!$I$12/100,IF(AND(Q640&gt;0,Q640&lt;30,K640=216),Markniveau!Z640*'Udvaskning nøgletal'!$I$34/100,Markniveau!Z640))</f>
        <v>27.331185321443094</v>
      </c>
      <c r="AE640" s="10">
        <f t="shared" si="103"/>
        <v>128.18325915756813</v>
      </c>
      <c r="AF640" s="10" t="str">
        <f t="shared" si="98"/>
        <v/>
      </c>
      <c r="AG640" s="10" t="str">
        <f t="shared" si="104"/>
        <v/>
      </c>
      <c r="AH640" s="10" t="str">
        <f>IF(AND(Q640&gt;0,Q640&lt;30,K640=216),'Udvaskning nøgletal'!$C$42,IF(AND(Q640&gt;0,Q640&lt;30,K640&gt;7,K640&lt;17),'Udvaskning nøgletal'!$C$61,IF(AND(Q640&gt;0,Q640&lt;30,K640&lt;7),'Udvaskning nøgletal'!$C$62,"")))</f>
        <v/>
      </c>
      <c r="AI640" s="10">
        <f t="shared" si="100"/>
        <v>263</v>
      </c>
      <c r="AJ640" s="10">
        <f>IF($X640=1,LOOKUP(AI640,'Udvaskning nøgletal'!$C$12:$C$62,'Udvaskning nøgletal'!$E$12:$E$62)+Markniveau!$Y640*Markniveau!$S640/100,IF($X640=2,LOOKUP(AI640,'Udvaskning nøgletal'!$C$12:$C$62,'Udvaskning nøgletal'!$F$12:$F$62)+Markniveau!$Y640*Markniveau!$S640/100,IF($X640=3,LOOKUP(AI640,'Udvaskning nøgletal'!$C$12:$C$62,'Udvaskning nøgletal'!Q650:Q700)+Markniveau!$Y640*Markniveau!$S640/100,"")))</f>
        <v>27.331185321443094</v>
      </c>
      <c r="AK640" s="10">
        <f t="shared" si="99"/>
        <v>128.18325915756813</v>
      </c>
      <c r="AL640" s="10" t="str">
        <f t="shared" si="101"/>
        <v/>
      </c>
      <c r="AM640" s="10" t="str">
        <f t="shared" si="102"/>
        <v/>
      </c>
    </row>
    <row r="641" spans="1:39" x14ac:dyDescent="0.25">
      <c r="A641" s="15">
        <v>21162493</v>
      </c>
      <c r="B641" s="15">
        <v>14.07</v>
      </c>
      <c r="C641" s="15">
        <v>594589</v>
      </c>
      <c r="D641" s="15">
        <v>144391</v>
      </c>
      <c r="E641" s="15" t="s">
        <v>511</v>
      </c>
      <c r="F641" s="15">
        <v>2011</v>
      </c>
      <c r="G641" s="15">
        <v>20110318</v>
      </c>
      <c r="H641" s="15">
        <v>74817</v>
      </c>
      <c r="I641" s="15">
        <v>7.48</v>
      </c>
      <c r="J641" s="6" t="s">
        <v>66</v>
      </c>
      <c r="K641" s="15">
        <v>260</v>
      </c>
      <c r="L641" s="15" t="s">
        <v>45</v>
      </c>
      <c r="M641" s="15" t="s">
        <v>5</v>
      </c>
      <c r="N641" s="11" t="s">
        <v>1384</v>
      </c>
      <c r="O641" s="11" t="s">
        <v>28</v>
      </c>
      <c r="P641" s="11" t="s">
        <v>33</v>
      </c>
      <c r="Q641" s="15">
        <v>0</v>
      </c>
      <c r="R641" s="11" t="s">
        <v>1386</v>
      </c>
      <c r="S641" s="10">
        <v>200.90386724176</v>
      </c>
      <c r="T641" s="15">
        <v>80</v>
      </c>
      <c r="U641" s="15">
        <v>1</v>
      </c>
      <c r="V641" s="15">
        <v>1</v>
      </c>
      <c r="W641" s="15">
        <v>0</v>
      </c>
      <c r="X641" s="15">
        <f>IF(O641='Udvaskning nøgletal'!$D$65,1,IF(O641='Udvaskning nøgletal'!$D$66,2,IF(O641='Udvaskning nøgletal'!$D$67,3,IF(O641='Udvaskning nøgletal'!$D$68,2,""))))</f>
        <v>1</v>
      </c>
      <c r="Y641" s="15">
        <f>LOOKUP(K641,'Udvaskning nøgletal'!$C$12:$C$60,'Udvaskning nøgletal'!$H$12:$H$60)</f>
        <v>0</v>
      </c>
      <c r="Z641" s="10">
        <f>IF(X641=1,LOOKUP(K641,'Udvaskning nøgletal'!$C$12:$C$60,'Udvaskning nøgletal'!$E$12:$E$60)+Markniveau!Y641*Markniveau!S641/100,IF(X641=2,LOOKUP(K641,'Udvaskning nøgletal'!$C$12:$C$60,'Udvaskning nøgletal'!$F$12:$F$60)+Markniveau!Y641*Markniveau!S641/100,IF(X641=3,LOOKUP(K641,'Udvaskning nøgletal'!$C$12:$C$60,'Udvaskning nøgletal'!G651:G699)+Markniveau!Y641*Markniveau!S641/100,"")))</f>
        <v>33.723295792149436</v>
      </c>
      <c r="AA641" s="10">
        <f t="shared" si="96"/>
        <v>252.2502525252778</v>
      </c>
      <c r="AB641" s="10" t="str">
        <f t="shared" si="95"/>
        <v/>
      </c>
      <c r="AC641" s="10" t="str">
        <f t="shared" si="97"/>
        <v/>
      </c>
      <c r="AD641" s="10">
        <f>IF(AND(Q641&gt;0,Q641&lt;30,K641&lt;8),Markniveau!Z641*'Udvaskning nøgletal'!$I$12/100,IF(AND(Q641&gt;0,Q641&lt;30,K641=216),Markniveau!Z641*'Udvaskning nøgletal'!$I$34/100,Markniveau!Z641))</f>
        <v>33.723295792149436</v>
      </c>
      <c r="AE641" s="10">
        <f t="shared" si="103"/>
        <v>252.2502525252778</v>
      </c>
      <c r="AF641" s="10" t="str">
        <f t="shared" si="98"/>
        <v/>
      </c>
      <c r="AG641" s="10" t="str">
        <f t="shared" si="104"/>
        <v/>
      </c>
      <c r="AH641" s="10" t="str">
        <f>IF(AND(Q641&gt;0,Q641&lt;30,K641=216),'Udvaskning nøgletal'!$C$42,IF(AND(Q641&gt;0,Q641&lt;30,K641&gt;7,K641&lt;17),'Udvaskning nøgletal'!$C$61,IF(AND(Q641&gt;0,Q641&lt;30,K641&lt;7),'Udvaskning nøgletal'!$C$62,"")))</f>
        <v/>
      </c>
      <c r="AI641" s="10">
        <f t="shared" si="100"/>
        <v>260</v>
      </c>
      <c r="AJ641" s="10">
        <f>IF($X641=1,LOOKUP(AI641,'Udvaskning nøgletal'!$C$12:$C$62,'Udvaskning nøgletal'!$E$12:$E$62)+Markniveau!$Y641*Markniveau!$S641/100,IF($X641=2,LOOKUP(AI641,'Udvaskning nøgletal'!$C$12:$C$62,'Udvaskning nøgletal'!$F$12:$F$62)+Markniveau!$Y641*Markniveau!$S641/100,IF($X641=3,LOOKUP(AI641,'Udvaskning nøgletal'!$C$12:$C$62,'Udvaskning nøgletal'!Q651:Q701)+Markniveau!$Y641*Markniveau!$S641/100,"")))</f>
        <v>33.723295792149436</v>
      </c>
      <c r="AK641" s="10">
        <f t="shared" si="99"/>
        <v>252.2502525252778</v>
      </c>
      <c r="AL641" s="10" t="str">
        <f t="shared" si="101"/>
        <v/>
      </c>
      <c r="AM641" s="10" t="str">
        <f t="shared" si="102"/>
        <v/>
      </c>
    </row>
    <row r="642" spans="1:39" x14ac:dyDescent="0.25">
      <c r="A642" s="15">
        <v>21162493</v>
      </c>
      <c r="B642" s="15">
        <v>14.07</v>
      </c>
      <c r="C642" s="15">
        <v>496469</v>
      </c>
      <c r="D642" s="15">
        <v>144391</v>
      </c>
      <c r="E642" s="15" t="s">
        <v>514</v>
      </c>
      <c r="F642" s="15">
        <v>2011</v>
      </c>
      <c r="G642" s="15">
        <v>20110316</v>
      </c>
      <c r="H642" s="15">
        <v>9086</v>
      </c>
      <c r="I642" s="15">
        <v>0.91</v>
      </c>
      <c r="J642" s="6" t="s">
        <v>516</v>
      </c>
      <c r="K642" s="15">
        <v>263</v>
      </c>
      <c r="L642" s="15" t="s">
        <v>39</v>
      </c>
      <c r="M642" s="15" t="s">
        <v>5</v>
      </c>
      <c r="N642" s="11" t="s">
        <v>1384</v>
      </c>
      <c r="O642" s="11" t="s">
        <v>28</v>
      </c>
      <c r="P642" s="11" t="s">
        <v>33</v>
      </c>
      <c r="Q642" s="15">
        <v>0</v>
      </c>
      <c r="R642" s="11" t="s">
        <v>1386</v>
      </c>
      <c r="S642" s="10">
        <v>200.90386724176</v>
      </c>
      <c r="T642" s="15">
        <v>80</v>
      </c>
      <c r="U642" s="15">
        <v>1</v>
      </c>
      <c r="V642" s="15">
        <v>1</v>
      </c>
      <c r="W642" s="15">
        <v>0</v>
      </c>
      <c r="X642" s="15">
        <f>IF(O642='Udvaskning nøgletal'!$D$65,1,IF(O642='Udvaskning nøgletal'!$D$66,2,IF(O642='Udvaskning nøgletal'!$D$67,3,IF(O642='Udvaskning nøgletal'!$D$68,2,""))))</f>
        <v>1</v>
      </c>
      <c r="Y642" s="15">
        <f>LOOKUP(K642,'Udvaskning nøgletal'!$C$12:$C$60,'Udvaskning nøgletal'!$H$12:$H$60)</f>
        <v>0</v>
      </c>
      <c r="Z642" s="10">
        <f>IF(X642=1,LOOKUP(K642,'Udvaskning nøgletal'!$C$12:$C$60,'Udvaskning nøgletal'!$E$12:$E$60)+Markniveau!Y642*Markniveau!S642/100,IF(X642=2,LOOKUP(K642,'Udvaskning nøgletal'!$C$12:$C$60,'Udvaskning nøgletal'!$F$12:$F$60)+Markniveau!Y642*Markniveau!S642/100,IF(X642=3,LOOKUP(K642,'Udvaskning nøgletal'!$C$12:$C$60,'Udvaskning nøgletal'!G652:G700)+Markniveau!Y642*Markniveau!S642/100,"")))</f>
        <v>33.723295792149436</v>
      </c>
      <c r="AA642" s="10">
        <f t="shared" si="96"/>
        <v>30.688199170855988</v>
      </c>
      <c r="AB642" s="10" t="str">
        <f t="shared" ref="AB642:AB705" si="105">IF(Q642&gt;0,(100-Q642)*Z642/100,"")</f>
        <v/>
      </c>
      <c r="AC642" s="10" t="str">
        <f t="shared" si="97"/>
        <v/>
      </c>
      <c r="AD642" s="10">
        <f>IF(AND(Q642&gt;0,Q642&lt;30,K642&lt;8),Markniveau!Z642*'Udvaskning nøgletal'!$I$12/100,IF(AND(Q642&gt;0,Q642&lt;30,K642=216),Markniveau!Z642*'Udvaskning nøgletal'!$I$34/100,Markniveau!Z642))</f>
        <v>33.723295792149436</v>
      </c>
      <c r="AE642" s="10">
        <f t="shared" si="103"/>
        <v>30.688199170855988</v>
      </c>
      <c r="AF642" s="10" t="str">
        <f t="shared" si="98"/>
        <v/>
      </c>
      <c r="AG642" s="10" t="str">
        <f t="shared" si="104"/>
        <v/>
      </c>
      <c r="AH642" s="10" t="str">
        <f>IF(AND(Q642&gt;0,Q642&lt;30,K642=216),'Udvaskning nøgletal'!$C$42,IF(AND(Q642&gt;0,Q642&lt;30,K642&gt;7,K642&lt;17),'Udvaskning nøgletal'!$C$61,IF(AND(Q642&gt;0,Q642&lt;30,K642&lt;7),'Udvaskning nøgletal'!$C$62,"")))</f>
        <v/>
      </c>
      <c r="AI642" s="10">
        <f t="shared" si="100"/>
        <v>263</v>
      </c>
      <c r="AJ642" s="10">
        <f>IF($X642=1,LOOKUP(AI642,'Udvaskning nøgletal'!$C$12:$C$62,'Udvaskning nøgletal'!$E$12:$E$62)+Markniveau!$Y642*Markniveau!$S642/100,IF($X642=2,LOOKUP(AI642,'Udvaskning nøgletal'!$C$12:$C$62,'Udvaskning nøgletal'!$F$12:$F$62)+Markniveau!$Y642*Markniveau!$S642/100,IF($X642=3,LOOKUP(AI642,'Udvaskning nøgletal'!$C$12:$C$62,'Udvaskning nøgletal'!Q652:Q702)+Markniveau!$Y642*Markniveau!$S642/100,"")))</f>
        <v>33.723295792149436</v>
      </c>
      <c r="AK642" s="10">
        <f t="shared" si="99"/>
        <v>30.688199170855988</v>
      </c>
      <c r="AL642" s="10" t="str">
        <f t="shared" si="101"/>
        <v/>
      </c>
      <c r="AM642" s="10" t="str">
        <f t="shared" si="102"/>
        <v/>
      </c>
    </row>
    <row r="643" spans="1:39" x14ac:dyDescent="0.25">
      <c r="A643" s="15">
        <v>21162493</v>
      </c>
      <c r="B643" s="15">
        <v>14.07</v>
      </c>
      <c r="C643" s="15">
        <v>496470</v>
      </c>
      <c r="D643" s="15">
        <v>144391</v>
      </c>
      <c r="E643" s="15" t="s">
        <v>514</v>
      </c>
      <c r="F643" s="15">
        <v>2011</v>
      </c>
      <c r="G643" s="15">
        <v>20110316</v>
      </c>
      <c r="H643" s="15">
        <v>14011</v>
      </c>
      <c r="I643" s="15">
        <v>1.4</v>
      </c>
      <c r="J643" s="6" t="s">
        <v>67</v>
      </c>
      <c r="K643" s="15">
        <v>263</v>
      </c>
      <c r="L643" s="15" t="s">
        <v>39</v>
      </c>
      <c r="M643" s="15" t="s">
        <v>5</v>
      </c>
      <c r="N643" s="11" t="s">
        <v>1390</v>
      </c>
      <c r="O643" s="11" t="s">
        <v>42</v>
      </c>
      <c r="P643" s="11" t="s">
        <v>33</v>
      </c>
      <c r="Q643" s="15">
        <v>0</v>
      </c>
      <c r="R643" s="11" t="s">
        <v>1386</v>
      </c>
      <c r="S643" s="10">
        <v>200.90386724176</v>
      </c>
      <c r="T643" s="15">
        <v>80</v>
      </c>
      <c r="U643" s="15">
        <v>1</v>
      </c>
      <c r="V643" s="15">
        <v>1</v>
      </c>
      <c r="W643" s="15">
        <v>0</v>
      </c>
      <c r="X643" s="15">
        <f>IF(O643='Udvaskning nøgletal'!$D$65,1,IF(O643='Udvaskning nøgletal'!$D$66,2,IF(O643='Udvaskning nøgletal'!$D$67,3,IF(O643='Udvaskning nøgletal'!$D$68,2,""))))</f>
        <v>2</v>
      </c>
      <c r="Y643" s="15">
        <f>LOOKUP(K643,'Udvaskning nøgletal'!$C$12:$C$60,'Udvaskning nøgletal'!$H$12:$H$60)</f>
        <v>0</v>
      </c>
      <c r="Z643" s="10">
        <f>IF(X643=1,LOOKUP(K643,'Udvaskning nøgletal'!$C$12:$C$60,'Udvaskning nøgletal'!$E$12:$E$60)+Markniveau!Y643*Markniveau!S643/100,IF(X643=2,LOOKUP(K643,'Udvaskning nøgletal'!$C$12:$C$60,'Udvaskning nøgletal'!$F$12:$F$60)+Markniveau!Y643*Markniveau!S643/100,IF(X643=3,LOOKUP(K643,'Udvaskning nøgletal'!$C$12:$C$60,'Udvaskning nøgletal'!G653:G701)+Markniveau!Y643*Markniveau!S643/100,"")))</f>
        <v>27.331185321443094</v>
      </c>
      <c r="AA643" s="10">
        <f t="shared" ref="AA643:AA706" si="106">Z643*I643</f>
        <v>38.263659450020327</v>
      </c>
      <c r="AB643" s="10" t="str">
        <f t="shared" si="105"/>
        <v/>
      </c>
      <c r="AC643" s="10" t="str">
        <f t="shared" ref="AC643:AC706" si="107">IF(Q643&gt;0,AB643*I643,"")</f>
        <v/>
      </c>
      <c r="AD643" s="10">
        <f>IF(AND(Q643&gt;0,Q643&lt;30,K643&lt;8),Markniveau!Z643*'Udvaskning nøgletal'!$I$12/100,IF(AND(Q643&gt;0,Q643&lt;30,K643=216),Markniveau!Z643*'Udvaskning nøgletal'!$I$34/100,Markniveau!Z643))</f>
        <v>27.331185321443094</v>
      </c>
      <c r="AE643" s="10">
        <f t="shared" si="103"/>
        <v>38.263659450020327</v>
      </c>
      <c r="AF643" s="10" t="str">
        <f t="shared" ref="AF643:AF706" si="108">IF($Q643&gt;0,(100-$Q643)*$AD643/100,"")</f>
        <v/>
      </c>
      <c r="AG643" s="10" t="str">
        <f t="shared" si="104"/>
        <v/>
      </c>
      <c r="AH643" s="10" t="str">
        <f>IF(AND(Q643&gt;0,Q643&lt;30,K643=216),'Udvaskning nøgletal'!$C$42,IF(AND(Q643&gt;0,Q643&lt;30,K643&gt;7,K643&lt;17),'Udvaskning nøgletal'!$C$61,IF(AND(Q643&gt;0,Q643&lt;30,K643&lt;7),'Udvaskning nøgletal'!$C$62,"")))</f>
        <v/>
      </c>
      <c r="AI643" s="10">
        <f t="shared" si="100"/>
        <v>263</v>
      </c>
      <c r="AJ643" s="10">
        <f>IF($X643=1,LOOKUP(AI643,'Udvaskning nøgletal'!$C$12:$C$62,'Udvaskning nøgletal'!$E$12:$E$62)+Markniveau!$Y643*Markniveau!$S643/100,IF($X643=2,LOOKUP(AI643,'Udvaskning nøgletal'!$C$12:$C$62,'Udvaskning nøgletal'!$F$12:$F$62)+Markniveau!$Y643*Markniveau!$S643/100,IF($X643=3,LOOKUP(AI643,'Udvaskning nøgletal'!$C$12:$C$62,'Udvaskning nøgletal'!Q653:Q703)+Markniveau!$Y643*Markniveau!$S643/100,"")))</f>
        <v>27.331185321443094</v>
      </c>
      <c r="AK643" s="10">
        <f t="shared" ref="AK643:AK706" si="109">AJ643*$I643</f>
        <v>38.263659450020327</v>
      </c>
      <c r="AL643" s="10" t="str">
        <f t="shared" si="101"/>
        <v/>
      </c>
      <c r="AM643" s="10" t="str">
        <f t="shared" si="102"/>
        <v/>
      </c>
    </row>
    <row r="644" spans="1:39" x14ac:dyDescent="0.25">
      <c r="A644" s="15">
        <v>21750670</v>
      </c>
      <c r="B644" s="15">
        <v>124.88</v>
      </c>
      <c r="C644" s="15">
        <v>361232</v>
      </c>
      <c r="D644" s="15">
        <v>2574</v>
      </c>
      <c r="E644" s="15" t="s">
        <v>369</v>
      </c>
      <c r="F644" s="15">
        <v>2011</v>
      </c>
      <c r="G644" s="15">
        <v>20110223</v>
      </c>
      <c r="H644" s="15">
        <v>228156</v>
      </c>
      <c r="I644" s="15">
        <v>22.82</v>
      </c>
      <c r="J644" s="6" t="s">
        <v>37</v>
      </c>
      <c r="K644" s="15">
        <v>22</v>
      </c>
      <c r="L644" s="15" t="s">
        <v>213</v>
      </c>
      <c r="M644" s="15" t="s">
        <v>5</v>
      </c>
      <c r="N644" s="11" t="s">
        <v>1391</v>
      </c>
      <c r="O644" s="11" t="s">
        <v>46</v>
      </c>
      <c r="P644" s="11" t="s">
        <v>29</v>
      </c>
      <c r="Q644" s="15">
        <v>0</v>
      </c>
      <c r="R644" s="11" t="s">
        <v>1386</v>
      </c>
      <c r="S644" s="10">
        <v>104.14393323346999</v>
      </c>
      <c r="T644" s="15">
        <v>80</v>
      </c>
      <c r="U644" s="15">
        <v>0</v>
      </c>
      <c r="V644" s="15">
        <v>0</v>
      </c>
      <c r="W644" s="15">
        <v>0</v>
      </c>
      <c r="X644" s="15">
        <f>IF(O644='Udvaskning nøgletal'!$D$65,1,IF(O644='Udvaskning nøgletal'!$D$66,2,IF(O644='Udvaskning nøgletal'!$D$67,3,IF(O644='Udvaskning nøgletal'!$D$68,2,""))))</f>
        <v>2</v>
      </c>
      <c r="Y644" s="15">
        <f>LOOKUP(K644,'Udvaskning nøgletal'!$C$12:$C$60,'Udvaskning nøgletal'!$H$12:$H$60)</f>
        <v>5</v>
      </c>
      <c r="Z644" s="10">
        <f>IF(X644=1,LOOKUP(K644,'Udvaskning nøgletal'!$C$12:$C$60,'Udvaskning nøgletal'!$E$12:$E$60)+Markniveau!Y644*Markniveau!S644/100,IF(X644=2,LOOKUP(K644,'Udvaskning nøgletal'!$C$12:$C$60,'Udvaskning nøgletal'!$F$12:$F$60)+Markniveau!Y644*Markniveau!S644/100,IF(X644=3,LOOKUP(K644,'Udvaskning nøgletal'!$C$12:$C$60,'Udvaskning nøgletal'!G654:G702)+Markniveau!Y644*Markniveau!S644/100,"")))</f>
        <v>56.087196661673502</v>
      </c>
      <c r="AA644" s="10">
        <f t="shared" si="106"/>
        <v>1279.9098278193894</v>
      </c>
      <c r="AB644" s="10" t="str">
        <f t="shared" si="105"/>
        <v/>
      </c>
      <c r="AC644" s="10" t="str">
        <f t="shared" si="107"/>
        <v/>
      </c>
      <c r="AD644" s="10">
        <f>IF(AND(Q644&gt;0,Q644&lt;30,K644&lt;8),Markniveau!Z644*'Udvaskning nøgletal'!$I$12/100,IF(AND(Q644&gt;0,Q644&lt;30,K644=216),Markniveau!Z644*'Udvaskning nøgletal'!$I$34/100,Markniveau!Z644))</f>
        <v>56.087196661673502</v>
      </c>
      <c r="AE644" s="10">
        <f t="shared" si="103"/>
        <v>1279.9098278193894</v>
      </c>
      <c r="AF644" s="10" t="str">
        <f t="shared" si="108"/>
        <v/>
      </c>
      <c r="AG644" s="10" t="str">
        <f t="shared" si="104"/>
        <v/>
      </c>
      <c r="AH644" s="10" t="str">
        <f>IF(AND(Q644&gt;0,Q644&lt;30,K644=216),'Udvaskning nøgletal'!$C$42,IF(AND(Q644&gt;0,Q644&lt;30,K644&gt;7,K644&lt;17),'Udvaskning nøgletal'!$C$61,IF(AND(Q644&gt;0,Q644&lt;30,K644&lt;7),'Udvaskning nøgletal'!$C$62,"")))</f>
        <v/>
      </c>
      <c r="AI644" s="10">
        <f t="shared" si="100"/>
        <v>22</v>
      </c>
      <c r="AJ644" s="10">
        <f>IF($X644=1,LOOKUP(AI644,'Udvaskning nøgletal'!$C$12:$C$62,'Udvaskning nøgletal'!$E$12:$E$62)+Markniveau!$Y644*Markniveau!$S644/100,IF($X644=2,LOOKUP(AI644,'Udvaskning nøgletal'!$C$12:$C$62,'Udvaskning nøgletal'!$F$12:$F$62)+Markniveau!$Y644*Markniveau!$S644/100,IF($X644=3,LOOKUP(AI644,'Udvaskning nøgletal'!$C$12:$C$62,'Udvaskning nøgletal'!Q654:Q704)+Markniveau!$Y644*Markniveau!$S644/100,"")))</f>
        <v>56.087196661673502</v>
      </c>
      <c r="AK644" s="10">
        <f t="shared" si="109"/>
        <v>1279.9098278193894</v>
      </c>
      <c r="AL644" s="10" t="str">
        <f t="shared" si="101"/>
        <v/>
      </c>
      <c r="AM644" s="10" t="str">
        <f t="shared" si="102"/>
        <v/>
      </c>
    </row>
    <row r="645" spans="1:39" x14ac:dyDescent="0.25">
      <c r="A645" s="15">
        <v>21750670</v>
      </c>
      <c r="B645" s="15">
        <v>124.88</v>
      </c>
      <c r="C645" s="15">
        <v>361233</v>
      </c>
      <c r="D645" s="15">
        <v>2574</v>
      </c>
      <c r="E645" s="15" t="s">
        <v>369</v>
      </c>
      <c r="F645" s="15">
        <v>2011</v>
      </c>
      <c r="G645" s="15">
        <v>20110223</v>
      </c>
      <c r="H645" s="15">
        <v>167220</v>
      </c>
      <c r="I645" s="15">
        <v>16.72</v>
      </c>
      <c r="J645" s="6" t="s">
        <v>1398</v>
      </c>
      <c r="K645" s="15">
        <v>11</v>
      </c>
      <c r="L645" s="15" t="s">
        <v>102</v>
      </c>
      <c r="M645" s="15" t="s">
        <v>5</v>
      </c>
      <c r="N645" s="11" t="s">
        <v>1391</v>
      </c>
      <c r="O645" s="11" t="s">
        <v>46</v>
      </c>
      <c r="P645" s="11" t="s">
        <v>29</v>
      </c>
      <c r="Q645" s="15">
        <v>95</v>
      </c>
      <c r="R645" s="11" t="s">
        <v>3</v>
      </c>
      <c r="S645" s="10">
        <v>104.14393323346999</v>
      </c>
      <c r="T645" s="15">
        <v>80</v>
      </c>
      <c r="U645" s="15">
        <v>0</v>
      </c>
      <c r="V645" s="15">
        <v>0</v>
      </c>
      <c r="W645" s="15">
        <v>0</v>
      </c>
      <c r="X645" s="15">
        <f>IF(O645='Udvaskning nøgletal'!$D$65,1,IF(O645='Udvaskning nøgletal'!$D$66,2,IF(O645='Udvaskning nøgletal'!$D$67,3,IF(O645='Udvaskning nøgletal'!$D$68,2,""))))</f>
        <v>2</v>
      </c>
      <c r="Y645" s="15">
        <f>LOOKUP(K645,'Udvaskning nøgletal'!$C$12:$C$60,'Udvaskning nøgletal'!$H$12:$H$60)</f>
        <v>5</v>
      </c>
      <c r="Z645" s="10">
        <f>IF(X645=1,LOOKUP(K645,'Udvaskning nøgletal'!$C$12:$C$60,'Udvaskning nøgletal'!$E$12:$E$60)+Markniveau!Y645*Markniveau!S645/100,IF(X645=2,LOOKUP(K645,'Udvaskning nøgletal'!$C$12:$C$60,'Udvaskning nøgletal'!$F$12:$F$60)+Markniveau!Y645*Markniveau!S645/100,IF(X645=3,LOOKUP(K645,'Udvaskning nøgletal'!$C$12:$C$60,'Udvaskning nøgletal'!G655:G703)+Markniveau!Y645*Markniveau!S645/100,"")))</f>
        <v>56.087196661673502</v>
      </c>
      <c r="AA645" s="10">
        <f t="shared" si="106"/>
        <v>937.77792818318085</v>
      </c>
      <c r="AB645" s="10">
        <f t="shared" si="105"/>
        <v>2.8043598330836748</v>
      </c>
      <c r="AC645" s="10">
        <f t="shared" si="107"/>
        <v>46.888896409159038</v>
      </c>
      <c r="AD645" s="10">
        <f>IF(AND(Q645&gt;0,Q645&lt;30,K645&lt;8),Markniveau!Z645*'Udvaskning nøgletal'!$I$12/100,IF(AND(Q645&gt;0,Q645&lt;30,K645=216),Markniveau!Z645*'Udvaskning nøgletal'!$I$34/100,Markniveau!Z645))</f>
        <v>56.087196661673502</v>
      </c>
      <c r="AE645" s="10">
        <f t="shared" si="103"/>
        <v>937.77792818318085</v>
      </c>
      <c r="AF645" s="10">
        <f t="shared" si="108"/>
        <v>2.8043598330836748</v>
      </c>
      <c r="AG645" s="10">
        <f t="shared" si="104"/>
        <v>46.888896409159038</v>
      </c>
      <c r="AH645" s="10" t="str">
        <f>IF(AND(Q645&gt;0,Q645&lt;30,K645=216),'Udvaskning nøgletal'!$C$42,IF(AND(Q645&gt;0,Q645&lt;30,K645&gt;7,K645&lt;17),'Udvaskning nøgletal'!$C$61,IF(AND(Q645&gt;0,Q645&lt;30,K645&lt;7),'Udvaskning nøgletal'!$C$62,"")))</f>
        <v/>
      </c>
      <c r="AI645" s="10">
        <f t="shared" si="100"/>
        <v>11</v>
      </c>
      <c r="AJ645" s="10">
        <f>IF($X645=1,LOOKUP(AI645,'Udvaskning nøgletal'!$C$12:$C$62,'Udvaskning nøgletal'!$E$12:$E$62)+Markniveau!$Y645*Markniveau!$S645/100,IF($X645=2,LOOKUP(AI645,'Udvaskning nøgletal'!$C$12:$C$62,'Udvaskning nøgletal'!$F$12:$F$62)+Markniveau!$Y645*Markniveau!$S645/100,IF($X645=3,LOOKUP(AI645,'Udvaskning nøgletal'!$C$12:$C$62,'Udvaskning nøgletal'!Q655:Q705)+Markniveau!$Y645*Markniveau!$S645/100,"")))</f>
        <v>56.087196661673502</v>
      </c>
      <c r="AK645" s="10">
        <f t="shared" si="109"/>
        <v>937.77792818318085</v>
      </c>
      <c r="AL645" s="10">
        <f t="shared" si="101"/>
        <v>2.8043598330836748</v>
      </c>
      <c r="AM645" s="10">
        <f t="shared" si="102"/>
        <v>46.888896409159038</v>
      </c>
    </row>
    <row r="646" spans="1:39" x14ac:dyDescent="0.25">
      <c r="A646" s="15">
        <v>21750670</v>
      </c>
      <c r="B646" s="15">
        <v>124.88</v>
      </c>
      <c r="C646" s="15">
        <v>361234</v>
      </c>
      <c r="D646" s="15">
        <v>2574</v>
      </c>
      <c r="E646" s="15" t="s">
        <v>517</v>
      </c>
      <c r="F646" s="15">
        <v>2011</v>
      </c>
      <c r="G646" s="15">
        <v>20110223</v>
      </c>
      <c r="H646" s="15">
        <v>134162</v>
      </c>
      <c r="I646" s="15">
        <v>13.42</v>
      </c>
      <c r="J646" s="6" t="s">
        <v>31</v>
      </c>
      <c r="K646" s="15">
        <v>10</v>
      </c>
      <c r="L646" s="15" t="s">
        <v>107</v>
      </c>
      <c r="M646" s="15" t="s">
        <v>5</v>
      </c>
      <c r="N646" s="11" t="s">
        <v>1391</v>
      </c>
      <c r="O646" s="11" t="s">
        <v>46</v>
      </c>
      <c r="P646" s="11" t="s">
        <v>29</v>
      </c>
      <c r="Q646" s="15">
        <v>95</v>
      </c>
      <c r="R646" s="11" t="s">
        <v>3</v>
      </c>
      <c r="S646" s="10">
        <v>104.14393323346999</v>
      </c>
      <c r="T646" s="15">
        <v>80</v>
      </c>
      <c r="U646" s="15">
        <v>0</v>
      </c>
      <c r="V646" s="15">
        <v>0</v>
      </c>
      <c r="W646" s="15">
        <v>0</v>
      </c>
      <c r="X646" s="15">
        <f>IF(O646='Udvaskning nøgletal'!$D$65,1,IF(O646='Udvaskning nøgletal'!$D$66,2,IF(O646='Udvaskning nøgletal'!$D$67,3,IF(O646='Udvaskning nøgletal'!$D$68,2,""))))</f>
        <v>2</v>
      </c>
      <c r="Y646" s="15">
        <f>LOOKUP(K646,'Udvaskning nøgletal'!$C$12:$C$60,'Udvaskning nøgletal'!$H$12:$H$60)</f>
        <v>5</v>
      </c>
      <c r="Z646" s="10">
        <f>IF(X646=1,LOOKUP(K646,'Udvaskning nøgletal'!$C$12:$C$60,'Udvaskning nøgletal'!$E$12:$E$60)+Markniveau!Y646*Markniveau!S646/100,IF(X646=2,LOOKUP(K646,'Udvaskning nøgletal'!$C$12:$C$60,'Udvaskning nøgletal'!$F$12:$F$60)+Markniveau!Y646*Markniveau!S646/100,IF(X646=3,LOOKUP(K646,'Udvaskning nøgletal'!$C$12:$C$60,'Udvaskning nøgletal'!G656:G704)+Markniveau!Y646*Markniveau!S646/100,"")))</f>
        <v>56.087196661673502</v>
      </c>
      <c r="AA646" s="10">
        <f t="shared" si="106"/>
        <v>752.69017919965836</v>
      </c>
      <c r="AB646" s="10">
        <f t="shared" si="105"/>
        <v>2.8043598330836748</v>
      </c>
      <c r="AC646" s="10">
        <f t="shared" si="107"/>
        <v>37.634508959982917</v>
      </c>
      <c r="AD646" s="10">
        <f>IF(AND(Q646&gt;0,Q646&lt;30,K646&lt;8),Markniveau!Z646*'Udvaskning nøgletal'!$I$12/100,IF(AND(Q646&gt;0,Q646&lt;30,K646=216),Markniveau!Z646*'Udvaskning nøgletal'!$I$34/100,Markniveau!Z646))</f>
        <v>56.087196661673502</v>
      </c>
      <c r="AE646" s="10">
        <f t="shared" si="103"/>
        <v>752.69017919965836</v>
      </c>
      <c r="AF646" s="10">
        <f t="shared" si="108"/>
        <v>2.8043598330836748</v>
      </c>
      <c r="AG646" s="10">
        <f t="shared" si="104"/>
        <v>37.634508959982917</v>
      </c>
      <c r="AH646" s="10" t="str">
        <f>IF(AND(Q646&gt;0,Q646&lt;30,K646=216),'Udvaskning nøgletal'!$C$42,IF(AND(Q646&gt;0,Q646&lt;30,K646&gt;7,K646&lt;17),'Udvaskning nøgletal'!$C$61,IF(AND(Q646&gt;0,Q646&lt;30,K646&lt;7),'Udvaskning nøgletal'!$C$62,"")))</f>
        <v/>
      </c>
      <c r="AI646" s="10">
        <f t="shared" si="100"/>
        <v>10</v>
      </c>
      <c r="AJ646" s="10">
        <f>IF($X646=1,LOOKUP(AI646,'Udvaskning nøgletal'!$C$12:$C$62,'Udvaskning nøgletal'!$E$12:$E$62)+Markniveau!$Y646*Markniveau!$S646/100,IF($X646=2,LOOKUP(AI646,'Udvaskning nøgletal'!$C$12:$C$62,'Udvaskning nøgletal'!$F$12:$F$62)+Markniveau!$Y646*Markniveau!$S646/100,IF($X646=3,LOOKUP(AI646,'Udvaskning nøgletal'!$C$12:$C$62,'Udvaskning nøgletal'!Q656:Q706)+Markniveau!$Y646*Markniveau!$S646/100,"")))</f>
        <v>56.087196661673502</v>
      </c>
      <c r="AK646" s="10">
        <f t="shared" si="109"/>
        <v>752.69017919965836</v>
      </c>
      <c r="AL646" s="10">
        <f t="shared" si="101"/>
        <v>2.8043598330836748</v>
      </c>
      <c r="AM646" s="10">
        <f t="shared" si="102"/>
        <v>37.634508959982917</v>
      </c>
    </row>
    <row r="647" spans="1:39" x14ac:dyDescent="0.25">
      <c r="A647" s="15">
        <v>21750670</v>
      </c>
      <c r="B647" s="15">
        <v>124.88</v>
      </c>
      <c r="C647" s="15">
        <v>361235</v>
      </c>
      <c r="D647" s="15">
        <v>2574</v>
      </c>
      <c r="E647" s="15" t="s">
        <v>518</v>
      </c>
      <c r="F647" s="15">
        <v>2011</v>
      </c>
      <c r="G647" s="15">
        <v>20110223</v>
      </c>
      <c r="H647" s="15">
        <v>147855</v>
      </c>
      <c r="I647" s="15">
        <v>14.79</v>
      </c>
      <c r="J647" s="6" t="s">
        <v>34</v>
      </c>
      <c r="K647" s="15">
        <v>10</v>
      </c>
      <c r="L647" s="15" t="s">
        <v>107</v>
      </c>
      <c r="M647" s="15" t="s">
        <v>5</v>
      </c>
      <c r="N647" s="11" t="s">
        <v>1391</v>
      </c>
      <c r="O647" s="11" t="s">
        <v>46</v>
      </c>
      <c r="P647" s="11" t="s">
        <v>29</v>
      </c>
      <c r="Q647" s="15">
        <v>95</v>
      </c>
      <c r="R647" s="11" t="s">
        <v>3</v>
      </c>
      <c r="S647" s="10">
        <v>104.14393323346999</v>
      </c>
      <c r="T647" s="15">
        <v>80</v>
      </c>
      <c r="U647" s="15">
        <v>0</v>
      </c>
      <c r="V647" s="15">
        <v>0</v>
      </c>
      <c r="W647" s="15">
        <v>0</v>
      </c>
      <c r="X647" s="15">
        <f>IF(O647='Udvaskning nøgletal'!$D$65,1,IF(O647='Udvaskning nøgletal'!$D$66,2,IF(O647='Udvaskning nøgletal'!$D$67,3,IF(O647='Udvaskning nøgletal'!$D$68,2,""))))</f>
        <v>2</v>
      </c>
      <c r="Y647" s="15">
        <f>LOOKUP(K647,'Udvaskning nøgletal'!$C$12:$C$60,'Udvaskning nøgletal'!$H$12:$H$60)</f>
        <v>5</v>
      </c>
      <c r="Z647" s="10">
        <f>IF(X647=1,LOOKUP(K647,'Udvaskning nøgletal'!$C$12:$C$60,'Udvaskning nøgletal'!$E$12:$E$60)+Markniveau!Y647*Markniveau!S647/100,IF(X647=2,LOOKUP(K647,'Udvaskning nøgletal'!$C$12:$C$60,'Udvaskning nøgletal'!$F$12:$F$60)+Markniveau!Y647*Markniveau!S647/100,IF(X647=3,LOOKUP(K647,'Udvaskning nøgletal'!$C$12:$C$60,'Udvaskning nøgletal'!G657:G705)+Markniveau!Y647*Markniveau!S647/100,"")))</f>
        <v>56.087196661673502</v>
      </c>
      <c r="AA647" s="10">
        <f t="shared" si="106"/>
        <v>829.52963862615104</v>
      </c>
      <c r="AB647" s="10">
        <f t="shared" si="105"/>
        <v>2.8043598330836748</v>
      </c>
      <c r="AC647" s="10">
        <f t="shared" si="107"/>
        <v>41.476481931307546</v>
      </c>
      <c r="AD647" s="10">
        <f>IF(AND(Q647&gt;0,Q647&lt;30,K647&lt;8),Markniveau!Z647*'Udvaskning nøgletal'!$I$12/100,IF(AND(Q647&gt;0,Q647&lt;30,K647=216),Markniveau!Z647*'Udvaskning nøgletal'!$I$34/100,Markniveau!Z647))</f>
        <v>56.087196661673502</v>
      </c>
      <c r="AE647" s="10">
        <f t="shared" si="103"/>
        <v>829.52963862615104</v>
      </c>
      <c r="AF647" s="10">
        <f t="shared" si="108"/>
        <v>2.8043598330836748</v>
      </c>
      <c r="AG647" s="10">
        <f t="shared" si="104"/>
        <v>41.476481931307546</v>
      </c>
      <c r="AH647" s="10" t="str">
        <f>IF(AND(Q647&gt;0,Q647&lt;30,K647=216),'Udvaskning nøgletal'!$C$42,IF(AND(Q647&gt;0,Q647&lt;30,K647&gt;7,K647&lt;17),'Udvaskning nøgletal'!$C$61,IF(AND(Q647&gt;0,Q647&lt;30,K647&lt;7),'Udvaskning nøgletal'!$C$62,"")))</f>
        <v/>
      </c>
      <c r="AI647" s="10">
        <f t="shared" si="100"/>
        <v>10</v>
      </c>
      <c r="AJ647" s="10">
        <f>IF($X647=1,LOOKUP(AI647,'Udvaskning nøgletal'!$C$12:$C$62,'Udvaskning nøgletal'!$E$12:$E$62)+Markniveau!$Y647*Markniveau!$S647/100,IF($X647=2,LOOKUP(AI647,'Udvaskning nøgletal'!$C$12:$C$62,'Udvaskning nøgletal'!$F$12:$F$62)+Markniveau!$Y647*Markniveau!$S647/100,IF($X647=3,LOOKUP(AI647,'Udvaskning nøgletal'!$C$12:$C$62,'Udvaskning nøgletal'!Q657:Q707)+Markniveau!$Y647*Markniveau!$S647/100,"")))</f>
        <v>56.087196661673502</v>
      </c>
      <c r="AK647" s="10">
        <f t="shared" si="109"/>
        <v>829.52963862615104</v>
      </c>
      <c r="AL647" s="10">
        <f t="shared" si="101"/>
        <v>2.8043598330836748</v>
      </c>
      <c r="AM647" s="10">
        <f t="shared" si="102"/>
        <v>41.476481931307546</v>
      </c>
    </row>
    <row r="648" spans="1:39" x14ac:dyDescent="0.25">
      <c r="A648" s="15">
        <v>21750670</v>
      </c>
      <c r="B648" s="15">
        <v>124.88</v>
      </c>
      <c r="C648" s="15">
        <v>361236</v>
      </c>
      <c r="D648" s="15">
        <v>2574</v>
      </c>
      <c r="E648" s="15" t="s">
        <v>518</v>
      </c>
      <c r="F648" s="15">
        <v>2011</v>
      </c>
      <c r="G648" s="15">
        <v>20110223</v>
      </c>
      <c r="H648" s="15">
        <v>16219</v>
      </c>
      <c r="I648" s="15">
        <v>1.62</v>
      </c>
      <c r="J648" s="6" t="s">
        <v>36</v>
      </c>
      <c r="K648" s="15">
        <v>1</v>
      </c>
      <c r="L648" s="15" t="s">
        <v>32</v>
      </c>
      <c r="M648" s="15" t="s">
        <v>5</v>
      </c>
      <c r="N648" s="11" t="s">
        <v>1391</v>
      </c>
      <c r="O648" s="11" t="s">
        <v>46</v>
      </c>
      <c r="P648" s="11" t="s">
        <v>29</v>
      </c>
      <c r="Q648" s="15">
        <v>95</v>
      </c>
      <c r="R648" s="11" t="s">
        <v>3</v>
      </c>
      <c r="S648" s="10">
        <v>104.14393323346999</v>
      </c>
      <c r="T648" s="15">
        <v>80</v>
      </c>
      <c r="U648" s="15">
        <v>0</v>
      </c>
      <c r="V648" s="15">
        <v>0</v>
      </c>
      <c r="W648" s="15">
        <v>0</v>
      </c>
      <c r="X648" s="15">
        <f>IF(O648='Udvaskning nøgletal'!$D$65,1,IF(O648='Udvaskning nøgletal'!$D$66,2,IF(O648='Udvaskning nøgletal'!$D$67,3,IF(O648='Udvaskning nøgletal'!$D$68,2,""))))</f>
        <v>2</v>
      </c>
      <c r="Y648" s="15">
        <f>LOOKUP(K648,'Udvaskning nøgletal'!$C$12:$C$60,'Udvaskning nøgletal'!$H$12:$H$60)</f>
        <v>5</v>
      </c>
      <c r="Z648" s="10">
        <f>IF(X648=1,LOOKUP(K648,'Udvaskning nøgletal'!$C$12:$C$60,'Udvaskning nøgletal'!$E$12:$E$60)+Markniveau!Y648*Markniveau!S648/100,IF(X648=2,LOOKUP(K648,'Udvaskning nøgletal'!$C$12:$C$60,'Udvaskning nøgletal'!$F$12:$F$60)+Markniveau!Y648*Markniveau!S648/100,IF(X648=3,LOOKUP(K648,'Udvaskning nøgletal'!$C$12:$C$60,'Udvaskning nøgletal'!G658:G706)+Markniveau!Y648*Markniveau!S648/100,"")))</f>
        <v>56.087196661673502</v>
      </c>
      <c r="AA648" s="10">
        <f t="shared" si="106"/>
        <v>90.861258591911081</v>
      </c>
      <c r="AB648" s="10">
        <f t="shared" si="105"/>
        <v>2.8043598330836748</v>
      </c>
      <c r="AC648" s="10">
        <f t="shared" si="107"/>
        <v>4.5430629295955534</v>
      </c>
      <c r="AD648" s="10">
        <f>IF(AND(Q648&gt;0,Q648&lt;30,K648&lt;8),Markniveau!Z648*'Udvaskning nøgletal'!$I$12/100,IF(AND(Q648&gt;0,Q648&lt;30,K648=216),Markniveau!Z648*'Udvaskning nøgletal'!$I$34/100,Markniveau!Z648))</f>
        <v>56.087196661673502</v>
      </c>
      <c r="AE648" s="10">
        <f t="shared" si="103"/>
        <v>90.861258591911081</v>
      </c>
      <c r="AF648" s="10">
        <f t="shared" si="108"/>
        <v>2.8043598330836748</v>
      </c>
      <c r="AG648" s="10">
        <f t="shared" si="104"/>
        <v>4.5430629295955534</v>
      </c>
      <c r="AH648" s="10" t="str">
        <f>IF(AND(Q648&gt;0,Q648&lt;30,K648=216),'Udvaskning nøgletal'!$C$42,IF(AND(Q648&gt;0,Q648&lt;30,K648&gt;7,K648&lt;17),'Udvaskning nøgletal'!$C$61,IF(AND(Q648&gt;0,Q648&lt;30,K648&lt;7),'Udvaskning nøgletal'!$C$62,"")))</f>
        <v/>
      </c>
      <c r="AI648" s="10">
        <f t="shared" ref="AI648:AI711" si="110">IF(SUM(AH648)&gt;0,AH648,K648)</f>
        <v>1</v>
      </c>
      <c r="AJ648" s="10">
        <f>IF($X648=1,LOOKUP(AI648,'Udvaskning nøgletal'!$C$12:$C$62,'Udvaskning nøgletal'!$E$12:$E$62)+Markniveau!$Y648*Markniveau!$S648/100,IF($X648=2,LOOKUP(AI648,'Udvaskning nøgletal'!$C$12:$C$62,'Udvaskning nøgletal'!$F$12:$F$62)+Markniveau!$Y648*Markniveau!$S648/100,IF($X648=3,LOOKUP(AI648,'Udvaskning nøgletal'!$C$12:$C$62,'Udvaskning nøgletal'!Q658:Q708)+Markniveau!$Y648*Markniveau!$S648/100,"")))</f>
        <v>56.087196661673502</v>
      </c>
      <c r="AK648" s="10">
        <f t="shared" si="109"/>
        <v>90.861258591911081</v>
      </c>
      <c r="AL648" s="10">
        <f t="shared" si="101"/>
        <v>2.8043598330836748</v>
      </c>
      <c r="AM648" s="10">
        <f t="shared" si="102"/>
        <v>4.5430629295955534</v>
      </c>
    </row>
    <row r="649" spans="1:39" x14ac:dyDescent="0.25">
      <c r="A649" s="15">
        <v>21750670</v>
      </c>
      <c r="B649" s="15">
        <v>124.88</v>
      </c>
      <c r="C649" s="15">
        <v>361237</v>
      </c>
      <c r="D649" s="15">
        <v>2574</v>
      </c>
      <c r="E649" s="15" t="s">
        <v>518</v>
      </c>
      <c r="F649" s="15">
        <v>2011</v>
      </c>
      <c r="G649" s="15">
        <v>20110223</v>
      </c>
      <c r="H649" s="15">
        <v>51913</v>
      </c>
      <c r="I649" s="15">
        <v>5.19</v>
      </c>
      <c r="J649" s="6" t="s">
        <v>1400</v>
      </c>
      <c r="K649" s="15">
        <v>15</v>
      </c>
      <c r="L649" s="15" t="s">
        <v>362</v>
      </c>
      <c r="M649" s="15" t="s">
        <v>5</v>
      </c>
      <c r="N649" s="11" t="s">
        <v>1391</v>
      </c>
      <c r="O649" s="11" t="s">
        <v>46</v>
      </c>
      <c r="P649" s="11" t="s">
        <v>29</v>
      </c>
      <c r="Q649" s="15">
        <v>95</v>
      </c>
      <c r="R649" s="11" t="s">
        <v>3</v>
      </c>
      <c r="S649" s="10">
        <v>104.14393323346999</v>
      </c>
      <c r="T649" s="15">
        <v>80</v>
      </c>
      <c r="U649" s="15">
        <v>0</v>
      </c>
      <c r="V649" s="15">
        <v>0</v>
      </c>
      <c r="W649" s="15">
        <v>0</v>
      </c>
      <c r="X649" s="15">
        <f>IF(O649='Udvaskning nøgletal'!$D$65,1,IF(O649='Udvaskning nøgletal'!$D$66,2,IF(O649='Udvaskning nøgletal'!$D$67,3,IF(O649='Udvaskning nøgletal'!$D$68,2,""))))</f>
        <v>2</v>
      </c>
      <c r="Y649" s="15">
        <f>LOOKUP(K649,'Udvaskning nøgletal'!$C$12:$C$60,'Udvaskning nøgletal'!$H$12:$H$60)</f>
        <v>5</v>
      </c>
      <c r="Z649" s="10">
        <f>IF(X649=1,LOOKUP(K649,'Udvaskning nøgletal'!$C$12:$C$60,'Udvaskning nøgletal'!$E$12:$E$60)+Markniveau!Y649*Markniveau!S649/100,IF(X649=2,LOOKUP(K649,'Udvaskning nøgletal'!$C$12:$C$60,'Udvaskning nøgletal'!$F$12:$F$60)+Markniveau!Y649*Markniveau!S649/100,IF(X649=3,LOOKUP(K649,'Udvaskning nøgletal'!$C$12:$C$60,'Udvaskning nøgletal'!G659:G707)+Markniveau!Y649*Markniveau!S649/100,"")))</f>
        <v>56.087196661673502</v>
      </c>
      <c r="AA649" s="10">
        <f t="shared" si="106"/>
        <v>291.09255067408549</v>
      </c>
      <c r="AB649" s="10">
        <f t="shared" si="105"/>
        <v>2.8043598330836748</v>
      </c>
      <c r="AC649" s="10">
        <f t="shared" si="107"/>
        <v>14.554627533704274</v>
      </c>
      <c r="AD649" s="10">
        <f>IF(AND(Q649&gt;0,Q649&lt;30,K649&lt;8),Markniveau!Z649*'Udvaskning nøgletal'!$I$12/100,IF(AND(Q649&gt;0,Q649&lt;30,K649=216),Markniveau!Z649*'Udvaskning nøgletal'!$I$34/100,Markniveau!Z649))</f>
        <v>56.087196661673502</v>
      </c>
      <c r="AE649" s="10">
        <f t="shared" si="103"/>
        <v>291.09255067408549</v>
      </c>
      <c r="AF649" s="10">
        <f t="shared" si="108"/>
        <v>2.8043598330836748</v>
      </c>
      <c r="AG649" s="10">
        <f t="shared" si="104"/>
        <v>14.554627533704274</v>
      </c>
      <c r="AH649" s="10" t="str">
        <f>IF(AND(Q649&gt;0,Q649&lt;30,K649=216),'Udvaskning nøgletal'!$C$42,IF(AND(Q649&gt;0,Q649&lt;30,K649&gt;7,K649&lt;17),'Udvaskning nøgletal'!$C$61,IF(AND(Q649&gt;0,Q649&lt;30,K649&lt;7),'Udvaskning nøgletal'!$C$62,"")))</f>
        <v/>
      </c>
      <c r="AI649" s="10">
        <f t="shared" si="110"/>
        <v>15</v>
      </c>
      <c r="AJ649" s="10">
        <f>IF($X649=1,LOOKUP(AI649,'Udvaskning nøgletal'!$C$12:$C$62,'Udvaskning nøgletal'!$E$12:$E$62)+Markniveau!$Y649*Markniveau!$S649/100,IF($X649=2,LOOKUP(AI649,'Udvaskning nøgletal'!$C$12:$C$62,'Udvaskning nøgletal'!$F$12:$F$62)+Markniveau!$Y649*Markniveau!$S649/100,IF($X649=3,LOOKUP(AI649,'Udvaskning nøgletal'!$C$12:$C$62,'Udvaskning nøgletal'!Q659:Q709)+Markniveau!$Y649*Markniveau!$S649/100,"")))</f>
        <v>56.087196661673502</v>
      </c>
      <c r="AK649" s="10">
        <f t="shared" si="109"/>
        <v>291.09255067408549</v>
      </c>
      <c r="AL649" s="10">
        <f t="shared" si="101"/>
        <v>2.8043598330836748</v>
      </c>
      <c r="AM649" s="10">
        <f t="shared" si="102"/>
        <v>14.554627533704274</v>
      </c>
    </row>
    <row r="650" spans="1:39" x14ac:dyDescent="0.25">
      <c r="A650" s="15">
        <v>21750670</v>
      </c>
      <c r="B650" s="15">
        <v>124.88</v>
      </c>
      <c r="C650" s="15">
        <v>361238</v>
      </c>
      <c r="D650" s="15">
        <v>2574</v>
      </c>
      <c r="E650" s="15" t="s">
        <v>518</v>
      </c>
      <c r="F650" s="15">
        <v>2011</v>
      </c>
      <c r="G650" s="15">
        <v>20110223</v>
      </c>
      <c r="H650" s="15">
        <v>67834</v>
      </c>
      <c r="I650" s="15">
        <v>6.78</v>
      </c>
      <c r="J650" s="6" t="s">
        <v>1399</v>
      </c>
      <c r="K650" s="15">
        <v>15</v>
      </c>
      <c r="L650" s="15" t="s">
        <v>362</v>
      </c>
      <c r="M650" s="15" t="s">
        <v>5</v>
      </c>
      <c r="N650" s="11" t="s">
        <v>1391</v>
      </c>
      <c r="O650" s="11" t="s">
        <v>46</v>
      </c>
      <c r="P650" s="11" t="s">
        <v>29</v>
      </c>
      <c r="Q650" s="15">
        <v>95</v>
      </c>
      <c r="R650" s="11" t="s">
        <v>3</v>
      </c>
      <c r="S650" s="10">
        <v>104.14393323346999</v>
      </c>
      <c r="T650" s="15">
        <v>80</v>
      </c>
      <c r="U650" s="15">
        <v>0</v>
      </c>
      <c r="V650" s="15">
        <v>0</v>
      </c>
      <c r="W650" s="15">
        <v>0</v>
      </c>
      <c r="X650" s="15">
        <f>IF(O650='Udvaskning nøgletal'!$D$65,1,IF(O650='Udvaskning nøgletal'!$D$66,2,IF(O650='Udvaskning nøgletal'!$D$67,3,IF(O650='Udvaskning nøgletal'!$D$68,2,""))))</f>
        <v>2</v>
      </c>
      <c r="Y650" s="15">
        <f>LOOKUP(K650,'Udvaskning nøgletal'!$C$12:$C$60,'Udvaskning nøgletal'!$H$12:$H$60)</f>
        <v>5</v>
      </c>
      <c r="Z650" s="10">
        <f>IF(X650=1,LOOKUP(K650,'Udvaskning nøgletal'!$C$12:$C$60,'Udvaskning nøgletal'!$E$12:$E$60)+Markniveau!Y650*Markniveau!S650/100,IF(X650=2,LOOKUP(K650,'Udvaskning nøgletal'!$C$12:$C$60,'Udvaskning nøgletal'!$F$12:$F$60)+Markniveau!Y650*Markniveau!S650/100,IF(X650=3,LOOKUP(K650,'Udvaskning nøgletal'!$C$12:$C$60,'Udvaskning nøgletal'!G660:G708)+Markniveau!Y650*Markniveau!S650/100,"")))</f>
        <v>56.087196661673502</v>
      </c>
      <c r="AA650" s="10">
        <f t="shared" si="106"/>
        <v>380.27119336614635</v>
      </c>
      <c r="AB650" s="10">
        <f t="shared" si="105"/>
        <v>2.8043598330836748</v>
      </c>
      <c r="AC650" s="10">
        <f t="shared" si="107"/>
        <v>19.013559668307316</v>
      </c>
      <c r="AD650" s="10">
        <f>IF(AND(Q650&gt;0,Q650&lt;30,K650&lt;8),Markniveau!Z650*'Udvaskning nøgletal'!$I$12/100,IF(AND(Q650&gt;0,Q650&lt;30,K650=216),Markniveau!Z650*'Udvaskning nøgletal'!$I$34/100,Markniveau!Z650))</f>
        <v>56.087196661673502</v>
      </c>
      <c r="AE650" s="10">
        <f t="shared" si="103"/>
        <v>380.27119336614635</v>
      </c>
      <c r="AF650" s="10">
        <f t="shared" si="108"/>
        <v>2.8043598330836748</v>
      </c>
      <c r="AG650" s="10">
        <f t="shared" si="104"/>
        <v>19.013559668307316</v>
      </c>
      <c r="AH650" s="10" t="str">
        <f>IF(AND(Q650&gt;0,Q650&lt;30,K650=216),'Udvaskning nøgletal'!$C$42,IF(AND(Q650&gt;0,Q650&lt;30,K650&gt;7,K650&lt;17),'Udvaskning nøgletal'!$C$61,IF(AND(Q650&gt;0,Q650&lt;30,K650&lt;7),'Udvaskning nøgletal'!$C$62,"")))</f>
        <v/>
      </c>
      <c r="AI650" s="10">
        <f t="shared" si="110"/>
        <v>15</v>
      </c>
      <c r="AJ650" s="10">
        <f>IF($X650=1,LOOKUP(AI650,'Udvaskning nøgletal'!$C$12:$C$62,'Udvaskning nøgletal'!$E$12:$E$62)+Markniveau!$Y650*Markniveau!$S650/100,IF($X650=2,LOOKUP(AI650,'Udvaskning nøgletal'!$C$12:$C$62,'Udvaskning nøgletal'!$F$12:$F$62)+Markniveau!$Y650*Markniveau!$S650/100,IF($X650=3,LOOKUP(AI650,'Udvaskning nøgletal'!$C$12:$C$62,'Udvaskning nøgletal'!Q660:Q710)+Markniveau!$Y650*Markniveau!$S650/100,"")))</f>
        <v>56.087196661673502</v>
      </c>
      <c r="AK650" s="10">
        <f t="shared" si="109"/>
        <v>380.27119336614635</v>
      </c>
      <c r="AL650" s="10">
        <f t="shared" si="101"/>
        <v>2.8043598330836748</v>
      </c>
      <c r="AM650" s="10">
        <f t="shared" si="102"/>
        <v>19.013559668307316</v>
      </c>
    </row>
    <row r="651" spans="1:39" x14ac:dyDescent="0.25">
      <c r="A651" s="15">
        <v>21750670</v>
      </c>
      <c r="B651" s="15">
        <v>124.88</v>
      </c>
      <c r="C651" s="15">
        <v>361730</v>
      </c>
      <c r="D651" s="15">
        <v>2574</v>
      </c>
      <c r="E651" s="15" t="s">
        <v>519</v>
      </c>
      <c r="F651" s="15">
        <v>2011</v>
      </c>
      <c r="G651" s="15">
        <v>20110223</v>
      </c>
      <c r="H651" s="15">
        <v>144192</v>
      </c>
      <c r="I651" s="15">
        <v>14.42</v>
      </c>
      <c r="J651" s="6" t="s">
        <v>69</v>
      </c>
      <c r="K651" s="15">
        <v>11</v>
      </c>
      <c r="L651" s="15" t="s">
        <v>102</v>
      </c>
      <c r="M651" s="15" t="s">
        <v>5</v>
      </c>
      <c r="N651" s="11" t="s">
        <v>1391</v>
      </c>
      <c r="O651" s="11" t="s">
        <v>46</v>
      </c>
      <c r="P651" s="11" t="s">
        <v>29</v>
      </c>
      <c r="Q651" s="15">
        <v>95</v>
      </c>
      <c r="R651" s="11" t="s">
        <v>3</v>
      </c>
      <c r="S651" s="10">
        <v>104.14393323346999</v>
      </c>
      <c r="T651" s="15">
        <v>80</v>
      </c>
      <c r="U651" s="15">
        <v>0</v>
      </c>
      <c r="V651" s="15">
        <v>0</v>
      </c>
      <c r="W651" s="15">
        <v>0</v>
      </c>
      <c r="X651" s="15">
        <f>IF(O651='Udvaskning nøgletal'!$D$65,1,IF(O651='Udvaskning nøgletal'!$D$66,2,IF(O651='Udvaskning nøgletal'!$D$67,3,IF(O651='Udvaskning nøgletal'!$D$68,2,""))))</f>
        <v>2</v>
      </c>
      <c r="Y651" s="15">
        <f>LOOKUP(K651,'Udvaskning nøgletal'!$C$12:$C$60,'Udvaskning nøgletal'!$H$12:$H$60)</f>
        <v>5</v>
      </c>
      <c r="Z651" s="10">
        <f>IF(X651=1,LOOKUP(K651,'Udvaskning nøgletal'!$C$12:$C$60,'Udvaskning nøgletal'!$E$12:$E$60)+Markniveau!Y651*Markniveau!S651/100,IF(X651=2,LOOKUP(K651,'Udvaskning nøgletal'!$C$12:$C$60,'Udvaskning nøgletal'!$F$12:$F$60)+Markniveau!Y651*Markniveau!S651/100,IF(X651=3,LOOKUP(K651,'Udvaskning nøgletal'!$C$12:$C$60,'Udvaskning nøgletal'!G661:G709)+Markniveau!Y651*Markniveau!S651/100,"")))</f>
        <v>56.087196661673502</v>
      </c>
      <c r="AA651" s="10">
        <f t="shared" si="106"/>
        <v>808.77737586133185</v>
      </c>
      <c r="AB651" s="10">
        <f t="shared" si="105"/>
        <v>2.8043598330836748</v>
      </c>
      <c r="AC651" s="10">
        <f t="shared" si="107"/>
        <v>40.43886879306659</v>
      </c>
      <c r="AD651" s="10">
        <f>IF(AND(Q651&gt;0,Q651&lt;30,K651&lt;8),Markniveau!Z651*'Udvaskning nøgletal'!$I$12/100,IF(AND(Q651&gt;0,Q651&lt;30,K651=216),Markniveau!Z651*'Udvaskning nøgletal'!$I$34/100,Markniveau!Z651))</f>
        <v>56.087196661673502</v>
      </c>
      <c r="AE651" s="10">
        <f t="shared" si="103"/>
        <v>808.77737586133185</v>
      </c>
      <c r="AF651" s="10">
        <f t="shared" si="108"/>
        <v>2.8043598330836748</v>
      </c>
      <c r="AG651" s="10">
        <f t="shared" si="104"/>
        <v>40.43886879306659</v>
      </c>
      <c r="AH651" s="10" t="str">
        <f>IF(AND(Q651&gt;0,Q651&lt;30,K651=216),'Udvaskning nøgletal'!$C$42,IF(AND(Q651&gt;0,Q651&lt;30,K651&gt;7,K651&lt;17),'Udvaskning nøgletal'!$C$61,IF(AND(Q651&gt;0,Q651&lt;30,K651&lt;7),'Udvaskning nøgletal'!$C$62,"")))</f>
        <v/>
      </c>
      <c r="AI651" s="10">
        <f t="shared" si="110"/>
        <v>11</v>
      </c>
      <c r="AJ651" s="10">
        <f>IF($X651=1,LOOKUP(AI651,'Udvaskning nøgletal'!$C$12:$C$62,'Udvaskning nøgletal'!$E$12:$E$62)+Markniveau!$Y651*Markniveau!$S651/100,IF($X651=2,LOOKUP(AI651,'Udvaskning nøgletal'!$C$12:$C$62,'Udvaskning nøgletal'!$F$12:$F$62)+Markniveau!$Y651*Markniveau!$S651/100,IF($X651=3,LOOKUP(AI651,'Udvaskning nøgletal'!$C$12:$C$62,'Udvaskning nøgletal'!Q661:Q711)+Markniveau!$Y651*Markniveau!$S651/100,"")))</f>
        <v>56.087196661673502</v>
      </c>
      <c r="AK651" s="10">
        <f t="shared" si="109"/>
        <v>808.77737586133185</v>
      </c>
      <c r="AL651" s="10">
        <f t="shared" ref="AL651:AL714" si="111">IF($Q651&gt;0,(100-$Q651)*AJ651/100,"")</f>
        <v>2.8043598330836748</v>
      </c>
      <c r="AM651" s="10">
        <f t="shared" ref="AM651:AM714" si="112">IF($Q651&gt;0,(100-$Q651)*AJ651/100*I651,"")</f>
        <v>40.43886879306659</v>
      </c>
    </row>
    <row r="652" spans="1:39" x14ac:dyDescent="0.25">
      <c r="A652" s="15">
        <v>21750670</v>
      </c>
      <c r="B652" s="15">
        <v>124.88</v>
      </c>
      <c r="C652" s="15">
        <v>361731</v>
      </c>
      <c r="D652" s="15">
        <v>2574</v>
      </c>
      <c r="E652" s="15" t="s">
        <v>520</v>
      </c>
      <c r="F652" s="15">
        <v>2011</v>
      </c>
      <c r="G652" s="15">
        <v>20110223</v>
      </c>
      <c r="H652" s="15">
        <v>48706</v>
      </c>
      <c r="I652" s="15">
        <v>4.87</v>
      </c>
      <c r="J652" s="6" t="s">
        <v>38</v>
      </c>
      <c r="K652" s="15">
        <v>11</v>
      </c>
      <c r="L652" s="15" t="s">
        <v>102</v>
      </c>
      <c r="M652" s="15" t="s">
        <v>5</v>
      </c>
      <c r="N652" s="11" t="s">
        <v>1391</v>
      </c>
      <c r="O652" s="11" t="s">
        <v>46</v>
      </c>
      <c r="P652" s="11" t="s">
        <v>33</v>
      </c>
      <c r="Q652" s="15">
        <v>0</v>
      </c>
      <c r="R652" s="11" t="s">
        <v>1386</v>
      </c>
      <c r="S652" s="10">
        <v>104.14393323346999</v>
      </c>
      <c r="T652" s="15">
        <v>80</v>
      </c>
      <c r="U652" s="15">
        <v>0</v>
      </c>
      <c r="V652" s="15">
        <v>0</v>
      </c>
      <c r="W652" s="15">
        <v>0</v>
      </c>
      <c r="X652" s="15">
        <f>IF(O652='Udvaskning nøgletal'!$D$65,1,IF(O652='Udvaskning nøgletal'!$D$66,2,IF(O652='Udvaskning nøgletal'!$D$67,3,IF(O652='Udvaskning nøgletal'!$D$68,2,""))))</f>
        <v>2</v>
      </c>
      <c r="Y652" s="15">
        <f>LOOKUP(K652,'Udvaskning nøgletal'!$C$12:$C$60,'Udvaskning nøgletal'!$H$12:$H$60)</f>
        <v>5</v>
      </c>
      <c r="Z652" s="10">
        <f>IF(X652=1,LOOKUP(K652,'Udvaskning nøgletal'!$C$12:$C$60,'Udvaskning nøgletal'!$E$12:$E$60)+Markniveau!Y652*Markniveau!S652/100,IF(X652=2,LOOKUP(K652,'Udvaskning nøgletal'!$C$12:$C$60,'Udvaskning nøgletal'!$F$12:$F$60)+Markniveau!Y652*Markniveau!S652/100,IF(X652=3,LOOKUP(K652,'Udvaskning nøgletal'!$C$12:$C$60,'Udvaskning nøgletal'!G662:G710)+Markniveau!Y652*Markniveau!S652/100,"")))</f>
        <v>56.087196661673502</v>
      </c>
      <c r="AA652" s="10">
        <f t="shared" si="106"/>
        <v>273.14464774234995</v>
      </c>
      <c r="AB652" s="10" t="str">
        <f t="shared" si="105"/>
        <v/>
      </c>
      <c r="AC652" s="10" t="str">
        <f t="shared" si="107"/>
        <v/>
      </c>
      <c r="AD652" s="10">
        <f>IF(AND(Q652&gt;0,Q652&lt;30,K652&lt;8),Markniveau!Z652*'Udvaskning nøgletal'!$I$12/100,IF(AND(Q652&gt;0,Q652&lt;30,K652=216),Markniveau!Z652*'Udvaskning nøgletal'!$I$34/100,Markniveau!Z652))</f>
        <v>56.087196661673502</v>
      </c>
      <c r="AE652" s="10">
        <f t="shared" si="103"/>
        <v>273.14464774234995</v>
      </c>
      <c r="AF652" s="10" t="str">
        <f t="shared" si="108"/>
        <v/>
      </c>
      <c r="AG652" s="10" t="str">
        <f t="shared" si="104"/>
        <v/>
      </c>
      <c r="AH652" s="10" t="str">
        <f>IF(AND(Q652&gt;0,Q652&lt;30,K652=216),'Udvaskning nøgletal'!$C$42,IF(AND(Q652&gt;0,Q652&lt;30,K652&gt;7,K652&lt;17),'Udvaskning nøgletal'!$C$61,IF(AND(Q652&gt;0,Q652&lt;30,K652&lt;7),'Udvaskning nøgletal'!$C$62,"")))</f>
        <v/>
      </c>
      <c r="AI652" s="10">
        <f t="shared" si="110"/>
        <v>11</v>
      </c>
      <c r="AJ652" s="10">
        <f>IF($X652=1,LOOKUP(AI652,'Udvaskning nøgletal'!$C$12:$C$62,'Udvaskning nøgletal'!$E$12:$E$62)+Markniveau!$Y652*Markniveau!$S652/100,IF($X652=2,LOOKUP(AI652,'Udvaskning nøgletal'!$C$12:$C$62,'Udvaskning nøgletal'!$F$12:$F$62)+Markniveau!$Y652*Markniveau!$S652/100,IF($X652=3,LOOKUP(AI652,'Udvaskning nøgletal'!$C$12:$C$62,'Udvaskning nøgletal'!Q662:Q712)+Markniveau!$Y652*Markniveau!$S652/100,"")))</f>
        <v>56.087196661673502</v>
      </c>
      <c r="AK652" s="10">
        <f t="shared" si="109"/>
        <v>273.14464774234995</v>
      </c>
      <c r="AL652" s="10" t="str">
        <f t="shared" si="111"/>
        <v/>
      </c>
      <c r="AM652" s="10" t="str">
        <f t="shared" si="112"/>
        <v/>
      </c>
    </row>
    <row r="653" spans="1:39" x14ac:dyDescent="0.25">
      <c r="A653" s="15">
        <v>21750670</v>
      </c>
      <c r="B653" s="15">
        <v>124.88</v>
      </c>
      <c r="C653" s="15">
        <v>361732</v>
      </c>
      <c r="D653" s="15">
        <v>2574</v>
      </c>
      <c r="E653" s="15" t="s">
        <v>281</v>
      </c>
      <c r="F653" s="15">
        <v>2011</v>
      </c>
      <c r="G653" s="15">
        <v>20110223</v>
      </c>
      <c r="H653" s="15">
        <v>101722</v>
      </c>
      <c r="I653" s="15">
        <v>10.17</v>
      </c>
      <c r="J653" s="6" t="s">
        <v>91</v>
      </c>
      <c r="K653" s="15">
        <v>11</v>
      </c>
      <c r="L653" s="15" t="s">
        <v>102</v>
      </c>
      <c r="M653" s="15" t="s">
        <v>5</v>
      </c>
      <c r="N653" s="11" t="s">
        <v>1391</v>
      </c>
      <c r="O653" s="11" t="s">
        <v>46</v>
      </c>
      <c r="P653" s="11" t="s">
        <v>29</v>
      </c>
      <c r="Q653" s="15">
        <v>95</v>
      </c>
      <c r="R653" s="11" t="s">
        <v>3</v>
      </c>
      <c r="S653" s="10">
        <v>104.14393323346999</v>
      </c>
      <c r="T653" s="15">
        <v>80</v>
      </c>
      <c r="U653" s="15">
        <v>0</v>
      </c>
      <c r="V653" s="15">
        <v>0</v>
      </c>
      <c r="W653" s="15">
        <v>0</v>
      </c>
      <c r="X653" s="15">
        <f>IF(O653='Udvaskning nøgletal'!$D$65,1,IF(O653='Udvaskning nøgletal'!$D$66,2,IF(O653='Udvaskning nøgletal'!$D$67,3,IF(O653='Udvaskning nøgletal'!$D$68,2,""))))</f>
        <v>2</v>
      </c>
      <c r="Y653" s="15">
        <f>LOOKUP(K653,'Udvaskning nøgletal'!$C$12:$C$60,'Udvaskning nøgletal'!$H$12:$H$60)</f>
        <v>5</v>
      </c>
      <c r="Z653" s="10">
        <f>IF(X653=1,LOOKUP(K653,'Udvaskning nøgletal'!$C$12:$C$60,'Udvaskning nøgletal'!$E$12:$E$60)+Markniveau!Y653*Markniveau!S653/100,IF(X653=2,LOOKUP(K653,'Udvaskning nøgletal'!$C$12:$C$60,'Udvaskning nøgletal'!$F$12:$F$60)+Markniveau!Y653*Markniveau!S653/100,IF(X653=3,LOOKUP(K653,'Udvaskning nøgletal'!$C$12:$C$60,'Udvaskning nøgletal'!G663:G711)+Markniveau!Y653*Markniveau!S653/100,"")))</f>
        <v>56.087196661673502</v>
      </c>
      <c r="AA653" s="10">
        <f t="shared" si="106"/>
        <v>570.40679004921947</v>
      </c>
      <c r="AB653" s="10">
        <f t="shared" si="105"/>
        <v>2.8043598330836748</v>
      </c>
      <c r="AC653" s="10">
        <f t="shared" si="107"/>
        <v>28.52033950246097</v>
      </c>
      <c r="AD653" s="10">
        <f>IF(AND(Q653&gt;0,Q653&lt;30,K653&lt;8),Markniveau!Z653*'Udvaskning nøgletal'!$I$12/100,IF(AND(Q653&gt;0,Q653&lt;30,K653=216),Markniveau!Z653*'Udvaskning nøgletal'!$I$34/100,Markniveau!Z653))</f>
        <v>56.087196661673502</v>
      </c>
      <c r="AE653" s="10">
        <f t="shared" si="103"/>
        <v>570.40679004921947</v>
      </c>
      <c r="AF653" s="10">
        <f t="shared" si="108"/>
        <v>2.8043598330836748</v>
      </c>
      <c r="AG653" s="10">
        <f t="shared" si="104"/>
        <v>28.52033950246097</v>
      </c>
      <c r="AH653" s="10" t="str">
        <f>IF(AND(Q653&gt;0,Q653&lt;30,K653=216),'Udvaskning nøgletal'!$C$42,IF(AND(Q653&gt;0,Q653&lt;30,K653&gt;7,K653&lt;17),'Udvaskning nøgletal'!$C$61,IF(AND(Q653&gt;0,Q653&lt;30,K653&lt;7),'Udvaskning nøgletal'!$C$62,"")))</f>
        <v/>
      </c>
      <c r="AI653" s="10">
        <f t="shared" si="110"/>
        <v>11</v>
      </c>
      <c r="AJ653" s="10">
        <f>IF($X653=1,LOOKUP(AI653,'Udvaskning nøgletal'!$C$12:$C$62,'Udvaskning nøgletal'!$E$12:$E$62)+Markniveau!$Y653*Markniveau!$S653/100,IF($X653=2,LOOKUP(AI653,'Udvaskning nøgletal'!$C$12:$C$62,'Udvaskning nøgletal'!$F$12:$F$62)+Markniveau!$Y653*Markniveau!$S653/100,IF($X653=3,LOOKUP(AI653,'Udvaskning nøgletal'!$C$12:$C$62,'Udvaskning nøgletal'!Q663:Q713)+Markniveau!$Y653*Markniveau!$S653/100,"")))</f>
        <v>56.087196661673502</v>
      </c>
      <c r="AK653" s="10">
        <f t="shared" si="109"/>
        <v>570.40679004921947</v>
      </c>
      <c r="AL653" s="10">
        <f t="shared" si="111"/>
        <v>2.8043598330836748</v>
      </c>
      <c r="AM653" s="10">
        <f t="shared" si="112"/>
        <v>28.52033950246097</v>
      </c>
    </row>
    <row r="654" spans="1:39" x14ac:dyDescent="0.25">
      <c r="A654" s="15">
        <v>21750670</v>
      </c>
      <c r="B654" s="15">
        <v>124.88</v>
      </c>
      <c r="C654" s="15">
        <v>361733</v>
      </c>
      <c r="D654" s="15">
        <v>2574</v>
      </c>
      <c r="E654" s="15" t="s">
        <v>521</v>
      </c>
      <c r="F654" s="15">
        <v>2011</v>
      </c>
      <c r="G654" s="15">
        <v>20110223</v>
      </c>
      <c r="H654" s="15">
        <v>33575</v>
      </c>
      <c r="I654" s="15">
        <v>3.36</v>
      </c>
      <c r="J654" s="6" t="s">
        <v>53</v>
      </c>
      <c r="K654" s="15">
        <v>11</v>
      </c>
      <c r="L654" s="15" t="s">
        <v>102</v>
      </c>
      <c r="M654" s="15" t="s">
        <v>5</v>
      </c>
      <c r="N654" s="11" t="s">
        <v>1391</v>
      </c>
      <c r="O654" s="11" t="s">
        <v>46</v>
      </c>
      <c r="P654" s="11" t="s">
        <v>29</v>
      </c>
      <c r="Q654" s="15">
        <v>95</v>
      </c>
      <c r="R654" s="11" t="s">
        <v>3</v>
      </c>
      <c r="S654" s="10">
        <v>104.14393323346999</v>
      </c>
      <c r="T654" s="15">
        <v>80</v>
      </c>
      <c r="U654" s="15">
        <v>0</v>
      </c>
      <c r="V654" s="15">
        <v>0</v>
      </c>
      <c r="W654" s="15">
        <v>0</v>
      </c>
      <c r="X654" s="15">
        <f>IF(O654='Udvaskning nøgletal'!$D$65,1,IF(O654='Udvaskning nøgletal'!$D$66,2,IF(O654='Udvaskning nøgletal'!$D$67,3,IF(O654='Udvaskning nøgletal'!$D$68,2,""))))</f>
        <v>2</v>
      </c>
      <c r="Y654" s="15">
        <f>LOOKUP(K654,'Udvaskning nøgletal'!$C$12:$C$60,'Udvaskning nøgletal'!$H$12:$H$60)</f>
        <v>5</v>
      </c>
      <c r="Z654" s="10">
        <f>IF(X654=1,LOOKUP(K654,'Udvaskning nøgletal'!$C$12:$C$60,'Udvaskning nøgletal'!$E$12:$E$60)+Markniveau!Y654*Markniveau!S654/100,IF(X654=2,LOOKUP(K654,'Udvaskning nøgletal'!$C$12:$C$60,'Udvaskning nøgletal'!$F$12:$F$60)+Markniveau!Y654*Markniveau!S654/100,IF(X654=3,LOOKUP(K654,'Udvaskning nøgletal'!$C$12:$C$60,'Udvaskning nøgletal'!G664:G712)+Markniveau!Y654*Markniveau!S654/100,"")))</f>
        <v>56.087196661673502</v>
      </c>
      <c r="AA654" s="10">
        <f t="shared" si="106"/>
        <v>188.45298078322296</v>
      </c>
      <c r="AB654" s="10">
        <f t="shared" si="105"/>
        <v>2.8043598330836748</v>
      </c>
      <c r="AC654" s="10">
        <f t="shared" si="107"/>
        <v>9.422649039161147</v>
      </c>
      <c r="AD654" s="10">
        <f>IF(AND(Q654&gt;0,Q654&lt;30,K654&lt;8),Markniveau!Z654*'Udvaskning nøgletal'!$I$12/100,IF(AND(Q654&gt;0,Q654&lt;30,K654=216),Markniveau!Z654*'Udvaskning nøgletal'!$I$34/100,Markniveau!Z654))</f>
        <v>56.087196661673502</v>
      </c>
      <c r="AE654" s="10">
        <f t="shared" si="103"/>
        <v>188.45298078322296</v>
      </c>
      <c r="AF654" s="10">
        <f t="shared" si="108"/>
        <v>2.8043598330836748</v>
      </c>
      <c r="AG654" s="10">
        <f t="shared" si="104"/>
        <v>9.422649039161147</v>
      </c>
      <c r="AH654" s="10" t="str">
        <f>IF(AND(Q654&gt;0,Q654&lt;30,K654=216),'Udvaskning nøgletal'!$C$42,IF(AND(Q654&gt;0,Q654&lt;30,K654&gt;7,K654&lt;17),'Udvaskning nøgletal'!$C$61,IF(AND(Q654&gt;0,Q654&lt;30,K654&lt;7),'Udvaskning nøgletal'!$C$62,"")))</f>
        <v/>
      </c>
      <c r="AI654" s="10">
        <f t="shared" si="110"/>
        <v>11</v>
      </c>
      <c r="AJ654" s="10">
        <f>IF($X654=1,LOOKUP(AI654,'Udvaskning nøgletal'!$C$12:$C$62,'Udvaskning nøgletal'!$E$12:$E$62)+Markniveau!$Y654*Markniveau!$S654/100,IF($X654=2,LOOKUP(AI654,'Udvaskning nøgletal'!$C$12:$C$62,'Udvaskning nøgletal'!$F$12:$F$62)+Markniveau!$Y654*Markniveau!$S654/100,IF($X654=3,LOOKUP(AI654,'Udvaskning nøgletal'!$C$12:$C$62,'Udvaskning nøgletal'!Q664:Q714)+Markniveau!$Y654*Markniveau!$S654/100,"")))</f>
        <v>56.087196661673502</v>
      </c>
      <c r="AK654" s="10">
        <f t="shared" si="109"/>
        <v>188.45298078322296</v>
      </c>
      <c r="AL654" s="10">
        <f t="shared" si="111"/>
        <v>2.8043598330836748</v>
      </c>
      <c r="AM654" s="10">
        <f t="shared" si="112"/>
        <v>9.422649039161147</v>
      </c>
    </row>
    <row r="655" spans="1:39" x14ac:dyDescent="0.25">
      <c r="A655" s="15">
        <v>21750670</v>
      </c>
      <c r="B655" s="15">
        <v>124.88</v>
      </c>
      <c r="C655" s="15">
        <v>361734</v>
      </c>
      <c r="D655" s="15">
        <v>2574</v>
      </c>
      <c r="E655" s="15" t="s">
        <v>522</v>
      </c>
      <c r="F655" s="15">
        <v>2011</v>
      </c>
      <c r="G655" s="15">
        <v>20110223</v>
      </c>
      <c r="H655" s="15">
        <v>26549</v>
      </c>
      <c r="I655" s="15">
        <v>2.65</v>
      </c>
      <c r="J655" s="6" t="s">
        <v>58</v>
      </c>
      <c r="K655" s="15">
        <v>16</v>
      </c>
      <c r="L655" s="15" t="s">
        <v>523</v>
      </c>
      <c r="M655" s="15" t="s">
        <v>5</v>
      </c>
      <c r="N655" s="11" t="s">
        <v>1384</v>
      </c>
      <c r="O655" s="11" t="s">
        <v>28</v>
      </c>
      <c r="P655" s="11" t="s">
        <v>33</v>
      </c>
      <c r="Q655" s="15">
        <v>0</v>
      </c>
      <c r="R655" s="11" t="s">
        <v>1386</v>
      </c>
      <c r="S655" s="10">
        <v>104.14393323346999</v>
      </c>
      <c r="T655" s="15">
        <v>80</v>
      </c>
      <c r="U655" s="15">
        <v>0</v>
      </c>
      <c r="V655" s="15">
        <v>0</v>
      </c>
      <c r="W655" s="15">
        <v>0</v>
      </c>
      <c r="X655" s="15">
        <f>IF(O655='Udvaskning nøgletal'!$D$65,1,IF(O655='Udvaskning nøgletal'!$D$66,2,IF(O655='Udvaskning nøgletal'!$D$67,3,IF(O655='Udvaskning nøgletal'!$D$68,2,""))))</f>
        <v>1</v>
      </c>
      <c r="Y655" s="15">
        <f>LOOKUP(K655,'Udvaskning nøgletal'!$C$12:$C$60,'Udvaskning nøgletal'!$H$12:$H$60)</f>
        <v>5</v>
      </c>
      <c r="Z655" s="10">
        <f>IF(X655=1,LOOKUP(K655,'Udvaskning nøgletal'!$C$12:$C$60,'Udvaskning nøgletal'!$E$12:$E$60)+Markniveau!Y655*Markniveau!S655/100,IF(X655=2,LOOKUP(K655,'Udvaskning nøgletal'!$C$12:$C$60,'Udvaskning nøgletal'!$F$12:$F$60)+Markniveau!Y655*Markniveau!S655/100,IF(X655=3,LOOKUP(K655,'Udvaskning nøgletal'!$C$12:$C$60,'Udvaskning nøgletal'!G665:G713)+Markniveau!Y655*Markniveau!S655/100,"")))</f>
        <v>69.867196661673489</v>
      </c>
      <c r="AA655" s="10">
        <f t="shared" si="106"/>
        <v>185.14807115343473</v>
      </c>
      <c r="AB655" s="10" t="str">
        <f t="shared" si="105"/>
        <v/>
      </c>
      <c r="AC655" s="10" t="str">
        <f t="shared" si="107"/>
        <v/>
      </c>
      <c r="AD655" s="10">
        <f>IF(AND(Q655&gt;0,Q655&lt;30,K655&lt;8),Markniveau!Z655*'Udvaskning nøgletal'!$I$12/100,IF(AND(Q655&gt;0,Q655&lt;30,K655=216),Markniveau!Z655*'Udvaskning nøgletal'!$I$34/100,Markniveau!Z655))</f>
        <v>69.867196661673489</v>
      </c>
      <c r="AE655" s="10">
        <f t="shared" si="103"/>
        <v>185.14807115343473</v>
      </c>
      <c r="AF655" s="10" t="str">
        <f t="shared" si="108"/>
        <v/>
      </c>
      <c r="AG655" s="10" t="str">
        <f t="shared" si="104"/>
        <v/>
      </c>
      <c r="AH655" s="10" t="str">
        <f>IF(AND(Q655&gt;0,Q655&lt;30,K655=216),'Udvaskning nøgletal'!$C$42,IF(AND(Q655&gt;0,Q655&lt;30,K655&gt;7,K655&lt;17),'Udvaskning nøgletal'!$C$61,IF(AND(Q655&gt;0,Q655&lt;30,K655&lt;7),'Udvaskning nøgletal'!$C$62,"")))</f>
        <v/>
      </c>
      <c r="AI655" s="10">
        <f t="shared" si="110"/>
        <v>16</v>
      </c>
      <c r="AJ655" s="10">
        <f>IF($X655=1,LOOKUP(AI655,'Udvaskning nøgletal'!$C$12:$C$62,'Udvaskning nøgletal'!$E$12:$E$62)+Markniveau!$Y655*Markniveau!$S655/100,IF($X655=2,LOOKUP(AI655,'Udvaskning nøgletal'!$C$12:$C$62,'Udvaskning nøgletal'!$F$12:$F$62)+Markniveau!$Y655*Markniveau!$S655/100,IF($X655=3,LOOKUP(AI655,'Udvaskning nøgletal'!$C$12:$C$62,'Udvaskning nøgletal'!Q665:Q715)+Markniveau!$Y655*Markniveau!$S655/100,"")))</f>
        <v>69.867196661673489</v>
      </c>
      <c r="AK655" s="10">
        <f t="shared" si="109"/>
        <v>185.14807115343473</v>
      </c>
      <c r="AL655" s="10" t="str">
        <f t="shared" si="111"/>
        <v/>
      </c>
      <c r="AM655" s="10" t="str">
        <f t="shared" si="112"/>
        <v/>
      </c>
    </row>
    <row r="656" spans="1:39" x14ac:dyDescent="0.25">
      <c r="A656" s="15">
        <v>21750670</v>
      </c>
      <c r="B656" s="15">
        <v>124.88</v>
      </c>
      <c r="C656" s="15">
        <v>361735</v>
      </c>
      <c r="D656" s="15">
        <v>2574</v>
      </c>
      <c r="E656" s="15" t="s">
        <v>524</v>
      </c>
      <c r="F656" s="15">
        <v>2011</v>
      </c>
      <c r="G656" s="15">
        <v>20110223</v>
      </c>
      <c r="H656" s="15">
        <v>40139</v>
      </c>
      <c r="I656" s="15">
        <v>4.01</v>
      </c>
      <c r="J656" s="6" t="s">
        <v>144</v>
      </c>
      <c r="K656" s="15">
        <v>16</v>
      </c>
      <c r="L656" s="15" t="s">
        <v>523</v>
      </c>
      <c r="M656" s="15" t="s">
        <v>5</v>
      </c>
      <c r="N656" s="11" t="s">
        <v>1384</v>
      </c>
      <c r="O656" s="11" t="s">
        <v>28</v>
      </c>
      <c r="P656" s="11" t="s">
        <v>33</v>
      </c>
      <c r="Q656" s="15">
        <v>0</v>
      </c>
      <c r="R656" s="11" t="s">
        <v>1386</v>
      </c>
      <c r="S656" s="10">
        <v>104.14393323346999</v>
      </c>
      <c r="T656" s="15">
        <v>80</v>
      </c>
      <c r="U656" s="15">
        <v>0</v>
      </c>
      <c r="V656" s="15">
        <v>0</v>
      </c>
      <c r="W656" s="15">
        <v>0</v>
      </c>
      <c r="X656" s="15">
        <f>IF(O656='Udvaskning nøgletal'!$D$65,1,IF(O656='Udvaskning nøgletal'!$D$66,2,IF(O656='Udvaskning nøgletal'!$D$67,3,IF(O656='Udvaskning nøgletal'!$D$68,2,""))))</f>
        <v>1</v>
      </c>
      <c r="Y656" s="15">
        <f>LOOKUP(K656,'Udvaskning nøgletal'!$C$12:$C$60,'Udvaskning nøgletal'!$H$12:$H$60)</f>
        <v>5</v>
      </c>
      <c r="Z656" s="10">
        <f>IF(X656=1,LOOKUP(K656,'Udvaskning nøgletal'!$C$12:$C$60,'Udvaskning nøgletal'!$E$12:$E$60)+Markniveau!Y656*Markniveau!S656/100,IF(X656=2,LOOKUP(K656,'Udvaskning nøgletal'!$C$12:$C$60,'Udvaskning nøgletal'!$F$12:$F$60)+Markniveau!Y656*Markniveau!S656/100,IF(X656=3,LOOKUP(K656,'Udvaskning nøgletal'!$C$12:$C$60,'Udvaskning nøgletal'!G666:G714)+Markniveau!Y656*Markniveau!S656/100,"")))</f>
        <v>69.867196661673489</v>
      </c>
      <c r="AA656" s="10">
        <f t="shared" si="106"/>
        <v>280.16745861331066</v>
      </c>
      <c r="AB656" s="10" t="str">
        <f t="shared" si="105"/>
        <v/>
      </c>
      <c r="AC656" s="10" t="str">
        <f t="shared" si="107"/>
        <v/>
      </c>
      <c r="AD656" s="10">
        <f>IF(AND(Q656&gt;0,Q656&lt;30,K656&lt;8),Markniveau!Z656*'Udvaskning nøgletal'!$I$12/100,IF(AND(Q656&gt;0,Q656&lt;30,K656=216),Markniveau!Z656*'Udvaskning nøgletal'!$I$34/100,Markniveau!Z656))</f>
        <v>69.867196661673489</v>
      </c>
      <c r="AE656" s="10">
        <f t="shared" si="103"/>
        <v>280.16745861331066</v>
      </c>
      <c r="AF656" s="10" t="str">
        <f t="shared" si="108"/>
        <v/>
      </c>
      <c r="AG656" s="10" t="str">
        <f t="shared" si="104"/>
        <v/>
      </c>
      <c r="AH656" s="10" t="str">
        <f>IF(AND(Q656&gt;0,Q656&lt;30,K656=216),'Udvaskning nøgletal'!$C$42,IF(AND(Q656&gt;0,Q656&lt;30,K656&gt;7,K656&lt;17),'Udvaskning nøgletal'!$C$61,IF(AND(Q656&gt;0,Q656&lt;30,K656&lt;7),'Udvaskning nøgletal'!$C$62,"")))</f>
        <v/>
      </c>
      <c r="AI656" s="10">
        <f t="shared" si="110"/>
        <v>16</v>
      </c>
      <c r="AJ656" s="10">
        <f>IF($X656=1,LOOKUP(AI656,'Udvaskning nøgletal'!$C$12:$C$62,'Udvaskning nøgletal'!$E$12:$E$62)+Markniveau!$Y656*Markniveau!$S656/100,IF($X656=2,LOOKUP(AI656,'Udvaskning nøgletal'!$C$12:$C$62,'Udvaskning nøgletal'!$F$12:$F$62)+Markniveau!$Y656*Markniveau!$S656/100,IF($X656=3,LOOKUP(AI656,'Udvaskning nøgletal'!$C$12:$C$62,'Udvaskning nøgletal'!Q666:Q716)+Markniveau!$Y656*Markniveau!$S656/100,"")))</f>
        <v>69.867196661673489</v>
      </c>
      <c r="AK656" s="10">
        <f t="shared" si="109"/>
        <v>280.16745861331066</v>
      </c>
      <c r="AL656" s="10" t="str">
        <f t="shared" si="111"/>
        <v/>
      </c>
      <c r="AM656" s="10" t="str">
        <f t="shared" si="112"/>
        <v/>
      </c>
    </row>
    <row r="657" spans="1:39" x14ac:dyDescent="0.25">
      <c r="A657" s="15">
        <v>21750670</v>
      </c>
      <c r="B657" s="15">
        <v>124.88</v>
      </c>
      <c r="C657" s="15">
        <v>361736</v>
      </c>
      <c r="D657" s="15">
        <v>2574</v>
      </c>
      <c r="E657" s="15" t="s">
        <v>525</v>
      </c>
      <c r="F657" s="15">
        <v>2011</v>
      </c>
      <c r="G657" s="15">
        <v>20110223</v>
      </c>
      <c r="H657" s="15">
        <v>25970</v>
      </c>
      <c r="I657" s="15">
        <v>2.6</v>
      </c>
      <c r="J657" s="6" t="s">
        <v>164</v>
      </c>
      <c r="K657" s="15">
        <v>16</v>
      </c>
      <c r="L657" s="15" t="s">
        <v>523</v>
      </c>
      <c r="M657" s="15" t="s">
        <v>5</v>
      </c>
      <c r="N657" s="11" t="s">
        <v>1384</v>
      </c>
      <c r="O657" s="11" t="s">
        <v>28</v>
      </c>
      <c r="P657" s="11" t="s">
        <v>33</v>
      </c>
      <c r="Q657" s="15">
        <v>0</v>
      </c>
      <c r="R657" s="11" t="s">
        <v>1386</v>
      </c>
      <c r="S657" s="10">
        <v>104.14393323346999</v>
      </c>
      <c r="T657" s="15">
        <v>80</v>
      </c>
      <c r="U657" s="15">
        <v>0</v>
      </c>
      <c r="V657" s="15">
        <v>0</v>
      </c>
      <c r="W657" s="15">
        <v>0</v>
      </c>
      <c r="X657" s="15">
        <f>IF(O657='Udvaskning nøgletal'!$D$65,1,IF(O657='Udvaskning nøgletal'!$D$66,2,IF(O657='Udvaskning nøgletal'!$D$67,3,IF(O657='Udvaskning nøgletal'!$D$68,2,""))))</f>
        <v>1</v>
      </c>
      <c r="Y657" s="15">
        <f>LOOKUP(K657,'Udvaskning nøgletal'!$C$12:$C$60,'Udvaskning nøgletal'!$H$12:$H$60)</f>
        <v>5</v>
      </c>
      <c r="Z657" s="10">
        <f>IF(X657=1,LOOKUP(K657,'Udvaskning nøgletal'!$C$12:$C$60,'Udvaskning nøgletal'!$E$12:$E$60)+Markniveau!Y657*Markniveau!S657/100,IF(X657=2,LOOKUP(K657,'Udvaskning nøgletal'!$C$12:$C$60,'Udvaskning nøgletal'!$F$12:$F$60)+Markniveau!Y657*Markniveau!S657/100,IF(X657=3,LOOKUP(K657,'Udvaskning nøgletal'!$C$12:$C$60,'Udvaskning nøgletal'!G667:G715)+Markniveau!Y657*Markniveau!S657/100,"")))</f>
        <v>69.867196661673489</v>
      </c>
      <c r="AA657" s="10">
        <f t="shared" si="106"/>
        <v>181.65471132035108</v>
      </c>
      <c r="AB657" s="10" t="str">
        <f t="shared" si="105"/>
        <v/>
      </c>
      <c r="AC657" s="10" t="str">
        <f t="shared" si="107"/>
        <v/>
      </c>
      <c r="AD657" s="10">
        <f>IF(AND(Q657&gt;0,Q657&lt;30,K657&lt;8),Markniveau!Z657*'Udvaskning nøgletal'!$I$12/100,IF(AND(Q657&gt;0,Q657&lt;30,K657=216),Markniveau!Z657*'Udvaskning nøgletal'!$I$34/100,Markniveau!Z657))</f>
        <v>69.867196661673489</v>
      </c>
      <c r="AE657" s="10">
        <f t="shared" ref="AE657:AE720" si="113">AD657*I657</f>
        <v>181.65471132035108</v>
      </c>
      <c r="AF657" s="10" t="str">
        <f t="shared" si="108"/>
        <v/>
      </c>
      <c r="AG657" s="10" t="str">
        <f t="shared" ref="AG657:AG720" si="114">IF($Q657&gt;0,(100-$Q657)*$AD657/100*I657,"")</f>
        <v/>
      </c>
      <c r="AH657" s="10" t="str">
        <f>IF(AND(Q657&gt;0,Q657&lt;30,K657=216),'Udvaskning nøgletal'!$C$42,IF(AND(Q657&gt;0,Q657&lt;30,K657&gt;7,K657&lt;17),'Udvaskning nøgletal'!$C$61,IF(AND(Q657&gt;0,Q657&lt;30,K657&lt;7),'Udvaskning nøgletal'!$C$62,"")))</f>
        <v/>
      </c>
      <c r="AI657" s="10">
        <f t="shared" si="110"/>
        <v>16</v>
      </c>
      <c r="AJ657" s="10">
        <f>IF($X657=1,LOOKUP(AI657,'Udvaskning nøgletal'!$C$12:$C$62,'Udvaskning nøgletal'!$E$12:$E$62)+Markniveau!$Y657*Markniveau!$S657/100,IF($X657=2,LOOKUP(AI657,'Udvaskning nøgletal'!$C$12:$C$62,'Udvaskning nøgletal'!$F$12:$F$62)+Markniveau!$Y657*Markniveau!$S657/100,IF($X657=3,LOOKUP(AI657,'Udvaskning nøgletal'!$C$12:$C$62,'Udvaskning nøgletal'!Q667:Q717)+Markniveau!$Y657*Markniveau!$S657/100,"")))</f>
        <v>69.867196661673489</v>
      </c>
      <c r="AK657" s="10">
        <f t="shared" si="109"/>
        <v>181.65471132035108</v>
      </c>
      <c r="AL657" s="10" t="str">
        <f t="shared" si="111"/>
        <v/>
      </c>
      <c r="AM657" s="10" t="str">
        <f t="shared" si="112"/>
        <v/>
      </c>
    </row>
    <row r="658" spans="1:39" x14ac:dyDescent="0.25">
      <c r="A658" s="15">
        <v>21750670</v>
      </c>
      <c r="B658" s="15">
        <v>124.88</v>
      </c>
      <c r="C658" s="15">
        <v>361737</v>
      </c>
      <c r="D658" s="15">
        <v>2574</v>
      </c>
      <c r="E658" s="15" t="s">
        <v>526</v>
      </c>
      <c r="F658" s="15">
        <v>2011</v>
      </c>
      <c r="G658" s="15">
        <v>20110223</v>
      </c>
      <c r="H658" s="15">
        <v>73724</v>
      </c>
      <c r="I658" s="15">
        <v>7.37</v>
      </c>
      <c r="J658" s="6" t="s">
        <v>137</v>
      </c>
      <c r="K658" s="15">
        <v>16</v>
      </c>
      <c r="L658" s="15" t="s">
        <v>523</v>
      </c>
      <c r="M658" s="15" t="s">
        <v>5</v>
      </c>
      <c r="N658" s="11" t="s">
        <v>1384</v>
      </c>
      <c r="O658" s="11" t="s">
        <v>28</v>
      </c>
      <c r="P658" s="11" t="s">
        <v>33</v>
      </c>
      <c r="Q658" s="15">
        <v>0</v>
      </c>
      <c r="R658" s="11" t="s">
        <v>1386</v>
      </c>
      <c r="S658" s="10">
        <v>104.14393323346999</v>
      </c>
      <c r="T658" s="15">
        <v>80</v>
      </c>
      <c r="U658" s="15">
        <v>0</v>
      </c>
      <c r="V658" s="15">
        <v>0</v>
      </c>
      <c r="W658" s="15">
        <v>0</v>
      </c>
      <c r="X658" s="15">
        <f>IF(O658='Udvaskning nøgletal'!$D$65,1,IF(O658='Udvaskning nøgletal'!$D$66,2,IF(O658='Udvaskning nøgletal'!$D$67,3,IF(O658='Udvaskning nøgletal'!$D$68,2,""))))</f>
        <v>1</v>
      </c>
      <c r="Y658" s="15">
        <f>LOOKUP(K658,'Udvaskning nøgletal'!$C$12:$C$60,'Udvaskning nøgletal'!$H$12:$H$60)</f>
        <v>5</v>
      </c>
      <c r="Z658" s="10">
        <f>IF(X658=1,LOOKUP(K658,'Udvaskning nøgletal'!$C$12:$C$60,'Udvaskning nøgletal'!$E$12:$E$60)+Markniveau!Y658*Markniveau!S658/100,IF(X658=2,LOOKUP(K658,'Udvaskning nøgletal'!$C$12:$C$60,'Udvaskning nøgletal'!$F$12:$F$60)+Markniveau!Y658*Markniveau!S658/100,IF(X658=3,LOOKUP(K658,'Udvaskning nøgletal'!$C$12:$C$60,'Udvaskning nøgletal'!G668:G716)+Markniveau!Y658*Markniveau!S658/100,"")))</f>
        <v>69.867196661673489</v>
      </c>
      <c r="AA658" s="10">
        <f t="shared" si="106"/>
        <v>514.92123939653368</v>
      </c>
      <c r="AB658" s="10" t="str">
        <f t="shared" si="105"/>
        <v/>
      </c>
      <c r="AC658" s="10" t="str">
        <f t="shared" si="107"/>
        <v/>
      </c>
      <c r="AD658" s="10">
        <f>IF(AND(Q658&gt;0,Q658&lt;30,K658&lt;8),Markniveau!Z658*'Udvaskning nøgletal'!$I$12/100,IF(AND(Q658&gt;0,Q658&lt;30,K658=216),Markniveau!Z658*'Udvaskning nøgletal'!$I$34/100,Markniveau!Z658))</f>
        <v>69.867196661673489</v>
      </c>
      <c r="AE658" s="10">
        <f t="shared" si="113"/>
        <v>514.92123939653368</v>
      </c>
      <c r="AF658" s="10" t="str">
        <f t="shared" si="108"/>
        <v/>
      </c>
      <c r="AG658" s="10" t="str">
        <f t="shared" si="114"/>
        <v/>
      </c>
      <c r="AH658" s="10" t="str">
        <f>IF(AND(Q658&gt;0,Q658&lt;30,K658=216),'Udvaskning nøgletal'!$C$42,IF(AND(Q658&gt;0,Q658&lt;30,K658&gt;7,K658&lt;17),'Udvaskning nøgletal'!$C$61,IF(AND(Q658&gt;0,Q658&lt;30,K658&lt;7),'Udvaskning nøgletal'!$C$62,"")))</f>
        <v/>
      </c>
      <c r="AI658" s="10">
        <f t="shared" si="110"/>
        <v>16</v>
      </c>
      <c r="AJ658" s="10">
        <f>IF($X658=1,LOOKUP(AI658,'Udvaskning nøgletal'!$C$12:$C$62,'Udvaskning nøgletal'!$E$12:$E$62)+Markniveau!$Y658*Markniveau!$S658/100,IF($X658=2,LOOKUP(AI658,'Udvaskning nøgletal'!$C$12:$C$62,'Udvaskning nøgletal'!$F$12:$F$62)+Markniveau!$Y658*Markniveau!$S658/100,IF($X658=3,LOOKUP(AI658,'Udvaskning nøgletal'!$C$12:$C$62,'Udvaskning nøgletal'!Q668:Q718)+Markniveau!$Y658*Markniveau!$S658/100,"")))</f>
        <v>69.867196661673489</v>
      </c>
      <c r="AK658" s="10">
        <f t="shared" si="109"/>
        <v>514.92123939653368</v>
      </c>
      <c r="AL658" s="10" t="str">
        <f t="shared" si="111"/>
        <v/>
      </c>
      <c r="AM658" s="10" t="str">
        <f t="shared" si="112"/>
        <v/>
      </c>
    </row>
    <row r="659" spans="1:39" x14ac:dyDescent="0.25">
      <c r="A659" s="15">
        <v>21750670</v>
      </c>
      <c r="B659" s="15">
        <v>124.88</v>
      </c>
      <c r="C659" s="15">
        <v>361738</v>
      </c>
      <c r="D659" s="15">
        <v>2574</v>
      </c>
      <c r="E659" s="15" t="s">
        <v>527</v>
      </c>
      <c r="F659" s="15">
        <v>2011</v>
      </c>
      <c r="G659" s="15">
        <v>20110223</v>
      </c>
      <c r="H659" s="15">
        <v>28595</v>
      </c>
      <c r="I659" s="15">
        <v>2.86</v>
      </c>
      <c r="J659" s="6" t="s">
        <v>26</v>
      </c>
      <c r="K659" s="15">
        <v>16</v>
      </c>
      <c r="L659" s="15" t="s">
        <v>523</v>
      </c>
      <c r="M659" s="15" t="s">
        <v>5</v>
      </c>
      <c r="N659" s="11" t="s">
        <v>1384</v>
      </c>
      <c r="O659" s="11" t="s">
        <v>28</v>
      </c>
      <c r="P659" s="11" t="s">
        <v>33</v>
      </c>
      <c r="Q659" s="15">
        <v>0</v>
      </c>
      <c r="R659" s="11" t="s">
        <v>1386</v>
      </c>
      <c r="S659" s="10">
        <v>104.14393323346999</v>
      </c>
      <c r="T659" s="15">
        <v>80</v>
      </c>
      <c r="U659" s="15">
        <v>0</v>
      </c>
      <c r="V659" s="15">
        <v>0</v>
      </c>
      <c r="W659" s="15">
        <v>0</v>
      </c>
      <c r="X659" s="15">
        <f>IF(O659='Udvaskning nøgletal'!$D$65,1,IF(O659='Udvaskning nøgletal'!$D$66,2,IF(O659='Udvaskning nøgletal'!$D$67,3,IF(O659='Udvaskning nøgletal'!$D$68,2,""))))</f>
        <v>1</v>
      </c>
      <c r="Y659" s="15">
        <f>LOOKUP(K659,'Udvaskning nøgletal'!$C$12:$C$60,'Udvaskning nøgletal'!$H$12:$H$60)</f>
        <v>5</v>
      </c>
      <c r="Z659" s="10">
        <f>IF(X659=1,LOOKUP(K659,'Udvaskning nøgletal'!$C$12:$C$60,'Udvaskning nøgletal'!$E$12:$E$60)+Markniveau!Y659*Markniveau!S659/100,IF(X659=2,LOOKUP(K659,'Udvaskning nøgletal'!$C$12:$C$60,'Udvaskning nøgletal'!$F$12:$F$60)+Markniveau!Y659*Markniveau!S659/100,IF(X659=3,LOOKUP(K659,'Udvaskning nøgletal'!$C$12:$C$60,'Udvaskning nøgletal'!G669:G717)+Markniveau!Y659*Markniveau!S659/100,"")))</f>
        <v>69.867196661673489</v>
      </c>
      <c r="AA659" s="10">
        <f t="shared" si="106"/>
        <v>199.82018245238618</v>
      </c>
      <c r="AB659" s="10" t="str">
        <f t="shared" si="105"/>
        <v/>
      </c>
      <c r="AC659" s="10" t="str">
        <f t="shared" si="107"/>
        <v/>
      </c>
      <c r="AD659" s="10">
        <f>IF(AND(Q659&gt;0,Q659&lt;30,K659&lt;8),Markniveau!Z659*'Udvaskning nøgletal'!$I$12/100,IF(AND(Q659&gt;0,Q659&lt;30,K659=216),Markniveau!Z659*'Udvaskning nøgletal'!$I$34/100,Markniveau!Z659))</f>
        <v>69.867196661673489</v>
      </c>
      <c r="AE659" s="10">
        <f t="shared" si="113"/>
        <v>199.82018245238618</v>
      </c>
      <c r="AF659" s="10" t="str">
        <f t="shared" si="108"/>
        <v/>
      </c>
      <c r="AG659" s="10" t="str">
        <f t="shared" si="114"/>
        <v/>
      </c>
      <c r="AH659" s="10" t="str">
        <f>IF(AND(Q659&gt;0,Q659&lt;30,K659=216),'Udvaskning nøgletal'!$C$42,IF(AND(Q659&gt;0,Q659&lt;30,K659&gt;7,K659&lt;17),'Udvaskning nøgletal'!$C$61,IF(AND(Q659&gt;0,Q659&lt;30,K659&lt;7),'Udvaskning nøgletal'!$C$62,"")))</f>
        <v/>
      </c>
      <c r="AI659" s="10">
        <f t="shared" si="110"/>
        <v>16</v>
      </c>
      <c r="AJ659" s="10">
        <f>IF($X659=1,LOOKUP(AI659,'Udvaskning nøgletal'!$C$12:$C$62,'Udvaskning nøgletal'!$E$12:$E$62)+Markniveau!$Y659*Markniveau!$S659/100,IF($X659=2,LOOKUP(AI659,'Udvaskning nøgletal'!$C$12:$C$62,'Udvaskning nøgletal'!$F$12:$F$62)+Markniveau!$Y659*Markniveau!$S659/100,IF($X659=3,LOOKUP(AI659,'Udvaskning nøgletal'!$C$12:$C$62,'Udvaskning nøgletal'!Q669:Q719)+Markniveau!$Y659*Markniveau!$S659/100,"")))</f>
        <v>69.867196661673489</v>
      </c>
      <c r="AK659" s="10">
        <f t="shared" si="109"/>
        <v>199.82018245238618</v>
      </c>
      <c r="AL659" s="10" t="str">
        <f t="shared" si="111"/>
        <v/>
      </c>
      <c r="AM659" s="10" t="str">
        <f t="shared" si="112"/>
        <v/>
      </c>
    </row>
    <row r="660" spans="1:39" x14ac:dyDescent="0.25">
      <c r="A660" s="15">
        <v>21750670</v>
      </c>
      <c r="B660" s="15">
        <v>124.88</v>
      </c>
      <c r="C660" s="15">
        <v>361739</v>
      </c>
      <c r="D660" s="15">
        <v>2574</v>
      </c>
      <c r="E660" s="15" t="s">
        <v>528</v>
      </c>
      <c r="F660" s="15">
        <v>2011</v>
      </c>
      <c r="G660" s="15">
        <v>20110223</v>
      </c>
      <c r="H660" s="15">
        <v>38140</v>
      </c>
      <c r="I660" s="15">
        <v>3.81</v>
      </c>
      <c r="J660" s="6" t="s">
        <v>122</v>
      </c>
      <c r="K660" s="15">
        <v>16</v>
      </c>
      <c r="L660" s="15" t="s">
        <v>523</v>
      </c>
      <c r="M660" s="15" t="s">
        <v>5</v>
      </c>
      <c r="N660" s="11" t="s">
        <v>1384</v>
      </c>
      <c r="O660" s="11" t="s">
        <v>28</v>
      </c>
      <c r="P660" s="11" t="s">
        <v>33</v>
      </c>
      <c r="Q660" s="15">
        <v>0</v>
      </c>
      <c r="R660" s="11" t="s">
        <v>1386</v>
      </c>
      <c r="S660" s="10">
        <v>104.14393323346999</v>
      </c>
      <c r="T660" s="15">
        <v>80</v>
      </c>
      <c r="U660" s="15">
        <v>0</v>
      </c>
      <c r="V660" s="15">
        <v>0</v>
      </c>
      <c r="W660" s="15">
        <v>0</v>
      </c>
      <c r="X660" s="15">
        <f>IF(O660='Udvaskning nøgletal'!$D$65,1,IF(O660='Udvaskning nøgletal'!$D$66,2,IF(O660='Udvaskning nøgletal'!$D$67,3,IF(O660='Udvaskning nøgletal'!$D$68,2,""))))</f>
        <v>1</v>
      </c>
      <c r="Y660" s="15">
        <f>LOOKUP(K660,'Udvaskning nøgletal'!$C$12:$C$60,'Udvaskning nøgletal'!$H$12:$H$60)</f>
        <v>5</v>
      </c>
      <c r="Z660" s="10">
        <f>IF(X660=1,LOOKUP(K660,'Udvaskning nøgletal'!$C$12:$C$60,'Udvaskning nøgletal'!$E$12:$E$60)+Markniveau!Y660*Markniveau!S660/100,IF(X660=2,LOOKUP(K660,'Udvaskning nøgletal'!$C$12:$C$60,'Udvaskning nøgletal'!$F$12:$F$60)+Markniveau!Y660*Markniveau!S660/100,IF(X660=3,LOOKUP(K660,'Udvaskning nøgletal'!$C$12:$C$60,'Udvaskning nøgletal'!G670:G718)+Markniveau!Y660*Markniveau!S660/100,"")))</f>
        <v>69.867196661673489</v>
      </c>
      <c r="AA660" s="10">
        <f t="shared" si="106"/>
        <v>266.19401928097602</v>
      </c>
      <c r="AB660" s="10" t="str">
        <f t="shared" si="105"/>
        <v/>
      </c>
      <c r="AC660" s="10" t="str">
        <f t="shared" si="107"/>
        <v/>
      </c>
      <c r="AD660" s="10">
        <f>IF(AND(Q660&gt;0,Q660&lt;30,K660&lt;8),Markniveau!Z660*'Udvaskning nøgletal'!$I$12/100,IF(AND(Q660&gt;0,Q660&lt;30,K660=216),Markniveau!Z660*'Udvaskning nøgletal'!$I$34/100,Markniveau!Z660))</f>
        <v>69.867196661673489</v>
      </c>
      <c r="AE660" s="10">
        <f t="shared" si="113"/>
        <v>266.19401928097602</v>
      </c>
      <c r="AF660" s="10" t="str">
        <f t="shared" si="108"/>
        <v/>
      </c>
      <c r="AG660" s="10" t="str">
        <f t="shared" si="114"/>
        <v/>
      </c>
      <c r="AH660" s="10" t="str">
        <f>IF(AND(Q660&gt;0,Q660&lt;30,K660=216),'Udvaskning nøgletal'!$C$42,IF(AND(Q660&gt;0,Q660&lt;30,K660&gt;7,K660&lt;17),'Udvaskning nøgletal'!$C$61,IF(AND(Q660&gt;0,Q660&lt;30,K660&lt;7),'Udvaskning nøgletal'!$C$62,"")))</f>
        <v/>
      </c>
      <c r="AI660" s="10">
        <f t="shared" si="110"/>
        <v>16</v>
      </c>
      <c r="AJ660" s="10">
        <f>IF($X660=1,LOOKUP(AI660,'Udvaskning nøgletal'!$C$12:$C$62,'Udvaskning nøgletal'!$E$12:$E$62)+Markniveau!$Y660*Markniveau!$S660/100,IF($X660=2,LOOKUP(AI660,'Udvaskning nøgletal'!$C$12:$C$62,'Udvaskning nøgletal'!$F$12:$F$62)+Markniveau!$Y660*Markniveau!$S660/100,IF($X660=3,LOOKUP(AI660,'Udvaskning nøgletal'!$C$12:$C$62,'Udvaskning nøgletal'!Q670:Q720)+Markniveau!$Y660*Markniveau!$S660/100,"")))</f>
        <v>69.867196661673489</v>
      </c>
      <c r="AK660" s="10">
        <f t="shared" si="109"/>
        <v>266.19401928097602</v>
      </c>
      <c r="AL660" s="10" t="str">
        <f t="shared" si="111"/>
        <v/>
      </c>
      <c r="AM660" s="10" t="str">
        <f t="shared" si="112"/>
        <v/>
      </c>
    </row>
    <row r="661" spans="1:39" x14ac:dyDescent="0.25">
      <c r="A661" s="15">
        <v>21750670</v>
      </c>
      <c r="B661" s="15">
        <v>124.88</v>
      </c>
      <c r="C661" s="15">
        <v>361740</v>
      </c>
      <c r="D661" s="15">
        <v>2574</v>
      </c>
      <c r="E661" s="15" t="s">
        <v>529</v>
      </c>
      <c r="F661" s="15">
        <v>2011</v>
      </c>
      <c r="G661" s="15">
        <v>20110223</v>
      </c>
      <c r="H661" s="15">
        <v>8439</v>
      </c>
      <c r="I661" s="15">
        <v>0.84</v>
      </c>
      <c r="J661" s="6" t="s">
        <v>74</v>
      </c>
      <c r="K661" s="15">
        <v>16</v>
      </c>
      <c r="L661" s="15" t="s">
        <v>523</v>
      </c>
      <c r="M661" s="15" t="s">
        <v>5</v>
      </c>
      <c r="N661" s="11" t="s">
        <v>1384</v>
      </c>
      <c r="O661" s="11" t="s">
        <v>28</v>
      </c>
      <c r="P661" s="11" t="s">
        <v>33</v>
      </c>
      <c r="Q661" s="15">
        <v>0</v>
      </c>
      <c r="R661" s="11" t="s">
        <v>1386</v>
      </c>
      <c r="S661" s="10">
        <v>104.14393323346999</v>
      </c>
      <c r="T661" s="15">
        <v>80</v>
      </c>
      <c r="U661" s="15">
        <v>0</v>
      </c>
      <c r="V661" s="15">
        <v>0</v>
      </c>
      <c r="W661" s="15">
        <v>0</v>
      </c>
      <c r="X661" s="15">
        <f>IF(O661='Udvaskning nøgletal'!$D$65,1,IF(O661='Udvaskning nøgletal'!$D$66,2,IF(O661='Udvaskning nøgletal'!$D$67,3,IF(O661='Udvaskning nøgletal'!$D$68,2,""))))</f>
        <v>1</v>
      </c>
      <c r="Y661" s="15">
        <f>LOOKUP(K661,'Udvaskning nøgletal'!$C$12:$C$60,'Udvaskning nøgletal'!$H$12:$H$60)</f>
        <v>5</v>
      </c>
      <c r="Z661" s="10">
        <f>IF(X661=1,LOOKUP(K661,'Udvaskning nøgletal'!$C$12:$C$60,'Udvaskning nøgletal'!$E$12:$E$60)+Markniveau!Y661*Markniveau!S661/100,IF(X661=2,LOOKUP(K661,'Udvaskning nøgletal'!$C$12:$C$60,'Udvaskning nøgletal'!$F$12:$F$60)+Markniveau!Y661*Markniveau!S661/100,IF(X661=3,LOOKUP(K661,'Udvaskning nøgletal'!$C$12:$C$60,'Udvaskning nøgletal'!G671:G719)+Markniveau!Y661*Markniveau!S661/100,"")))</f>
        <v>69.867196661673489</v>
      </c>
      <c r="AA661" s="10">
        <f t="shared" si="106"/>
        <v>58.688445195805727</v>
      </c>
      <c r="AB661" s="10" t="str">
        <f t="shared" si="105"/>
        <v/>
      </c>
      <c r="AC661" s="10" t="str">
        <f t="shared" si="107"/>
        <v/>
      </c>
      <c r="AD661" s="10">
        <f>IF(AND(Q661&gt;0,Q661&lt;30,K661&lt;8),Markniveau!Z661*'Udvaskning nøgletal'!$I$12/100,IF(AND(Q661&gt;0,Q661&lt;30,K661=216),Markniveau!Z661*'Udvaskning nøgletal'!$I$34/100,Markniveau!Z661))</f>
        <v>69.867196661673489</v>
      </c>
      <c r="AE661" s="10">
        <f t="shared" si="113"/>
        <v>58.688445195805727</v>
      </c>
      <c r="AF661" s="10" t="str">
        <f t="shared" si="108"/>
        <v/>
      </c>
      <c r="AG661" s="10" t="str">
        <f t="shared" si="114"/>
        <v/>
      </c>
      <c r="AH661" s="10" t="str">
        <f>IF(AND(Q661&gt;0,Q661&lt;30,K661=216),'Udvaskning nøgletal'!$C$42,IF(AND(Q661&gt;0,Q661&lt;30,K661&gt;7,K661&lt;17),'Udvaskning nøgletal'!$C$61,IF(AND(Q661&gt;0,Q661&lt;30,K661&lt;7),'Udvaskning nøgletal'!$C$62,"")))</f>
        <v/>
      </c>
      <c r="AI661" s="10">
        <f t="shared" si="110"/>
        <v>16</v>
      </c>
      <c r="AJ661" s="10">
        <f>IF($X661=1,LOOKUP(AI661,'Udvaskning nøgletal'!$C$12:$C$62,'Udvaskning nøgletal'!$E$12:$E$62)+Markniveau!$Y661*Markniveau!$S661/100,IF($X661=2,LOOKUP(AI661,'Udvaskning nøgletal'!$C$12:$C$62,'Udvaskning nøgletal'!$F$12:$F$62)+Markniveau!$Y661*Markniveau!$S661/100,IF($X661=3,LOOKUP(AI661,'Udvaskning nøgletal'!$C$12:$C$62,'Udvaskning nøgletal'!Q671:Q721)+Markniveau!$Y661*Markniveau!$S661/100,"")))</f>
        <v>69.867196661673489</v>
      </c>
      <c r="AK661" s="10">
        <f t="shared" si="109"/>
        <v>58.688445195805727</v>
      </c>
      <c r="AL661" s="10" t="str">
        <f t="shared" si="111"/>
        <v/>
      </c>
      <c r="AM661" s="10" t="str">
        <f t="shared" si="112"/>
        <v/>
      </c>
    </row>
    <row r="662" spans="1:39" x14ac:dyDescent="0.25">
      <c r="A662" s="15">
        <v>21750670</v>
      </c>
      <c r="B662" s="15">
        <v>124.88</v>
      </c>
      <c r="C662" s="15">
        <v>362267</v>
      </c>
      <c r="D662" s="15">
        <v>2574</v>
      </c>
      <c r="E662" s="15" t="s">
        <v>530</v>
      </c>
      <c r="F662" s="15">
        <v>2011</v>
      </c>
      <c r="G662" s="15">
        <v>20110223</v>
      </c>
      <c r="H662" s="15">
        <v>65539</v>
      </c>
      <c r="I662" s="15">
        <v>6.55</v>
      </c>
      <c r="J662" s="6" t="s">
        <v>95</v>
      </c>
      <c r="K662" s="15">
        <v>16</v>
      </c>
      <c r="L662" s="15" t="s">
        <v>523</v>
      </c>
      <c r="M662" s="15" t="s">
        <v>5</v>
      </c>
      <c r="N662" s="11" t="s">
        <v>1384</v>
      </c>
      <c r="O662" s="11" t="s">
        <v>28</v>
      </c>
      <c r="P662" s="11" t="s">
        <v>33</v>
      </c>
      <c r="Q662" s="15">
        <v>0</v>
      </c>
      <c r="R662" s="11" t="s">
        <v>1386</v>
      </c>
      <c r="S662" s="10">
        <v>104.14393323346999</v>
      </c>
      <c r="T662" s="15">
        <v>80</v>
      </c>
      <c r="U662" s="15">
        <v>0</v>
      </c>
      <c r="V662" s="15">
        <v>0</v>
      </c>
      <c r="W662" s="15">
        <v>0</v>
      </c>
      <c r="X662" s="15">
        <f>IF(O662='Udvaskning nøgletal'!$D$65,1,IF(O662='Udvaskning nøgletal'!$D$66,2,IF(O662='Udvaskning nøgletal'!$D$67,3,IF(O662='Udvaskning nøgletal'!$D$68,2,""))))</f>
        <v>1</v>
      </c>
      <c r="Y662" s="15">
        <f>LOOKUP(K662,'Udvaskning nøgletal'!$C$12:$C$60,'Udvaskning nøgletal'!$H$12:$H$60)</f>
        <v>5</v>
      </c>
      <c r="Z662" s="10">
        <f>IF(X662=1,LOOKUP(K662,'Udvaskning nøgletal'!$C$12:$C$60,'Udvaskning nøgletal'!$E$12:$E$60)+Markniveau!Y662*Markniveau!S662/100,IF(X662=2,LOOKUP(K662,'Udvaskning nøgletal'!$C$12:$C$60,'Udvaskning nøgletal'!$F$12:$F$60)+Markniveau!Y662*Markniveau!S662/100,IF(X662=3,LOOKUP(K662,'Udvaskning nøgletal'!$C$12:$C$60,'Udvaskning nøgletal'!G672:G720)+Markniveau!Y662*Markniveau!S662/100,"")))</f>
        <v>69.867196661673489</v>
      </c>
      <c r="AA662" s="10">
        <f t="shared" si="106"/>
        <v>457.63013813396134</v>
      </c>
      <c r="AB662" s="10" t="str">
        <f t="shared" si="105"/>
        <v/>
      </c>
      <c r="AC662" s="10" t="str">
        <f t="shared" si="107"/>
        <v/>
      </c>
      <c r="AD662" s="10">
        <f>IF(AND(Q662&gt;0,Q662&lt;30,K662&lt;8),Markniveau!Z662*'Udvaskning nøgletal'!$I$12/100,IF(AND(Q662&gt;0,Q662&lt;30,K662=216),Markniveau!Z662*'Udvaskning nøgletal'!$I$34/100,Markniveau!Z662))</f>
        <v>69.867196661673489</v>
      </c>
      <c r="AE662" s="10">
        <f t="shared" si="113"/>
        <v>457.63013813396134</v>
      </c>
      <c r="AF662" s="10" t="str">
        <f t="shared" si="108"/>
        <v/>
      </c>
      <c r="AG662" s="10" t="str">
        <f t="shared" si="114"/>
        <v/>
      </c>
      <c r="AH662" s="10" t="str">
        <f>IF(AND(Q662&gt;0,Q662&lt;30,K662=216),'Udvaskning nøgletal'!$C$42,IF(AND(Q662&gt;0,Q662&lt;30,K662&gt;7,K662&lt;17),'Udvaskning nøgletal'!$C$61,IF(AND(Q662&gt;0,Q662&lt;30,K662&lt;7),'Udvaskning nøgletal'!$C$62,"")))</f>
        <v/>
      </c>
      <c r="AI662" s="10">
        <f t="shared" si="110"/>
        <v>16</v>
      </c>
      <c r="AJ662" s="10">
        <f>IF($X662=1,LOOKUP(AI662,'Udvaskning nøgletal'!$C$12:$C$62,'Udvaskning nøgletal'!$E$12:$E$62)+Markniveau!$Y662*Markniveau!$S662/100,IF($X662=2,LOOKUP(AI662,'Udvaskning nøgletal'!$C$12:$C$62,'Udvaskning nøgletal'!$F$12:$F$62)+Markniveau!$Y662*Markniveau!$S662/100,IF($X662=3,LOOKUP(AI662,'Udvaskning nøgletal'!$C$12:$C$62,'Udvaskning nøgletal'!Q672:Q722)+Markniveau!$Y662*Markniveau!$S662/100,"")))</f>
        <v>69.867196661673489</v>
      </c>
      <c r="AK662" s="10">
        <f t="shared" si="109"/>
        <v>457.63013813396134</v>
      </c>
      <c r="AL662" s="10" t="str">
        <f t="shared" si="111"/>
        <v/>
      </c>
      <c r="AM662" s="10" t="str">
        <f t="shared" si="112"/>
        <v/>
      </c>
    </row>
    <row r="663" spans="1:39" x14ac:dyDescent="0.25">
      <c r="A663" s="15">
        <v>21750670</v>
      </c>
      <c r="B663" s="15">
        <v>124.88</v>
      </c>
      <c r="C663" s="15">
        <v>362268</v>
      </c>
      <c r="D663" s="15">
        <v>2574</v>
      </c>
      <c r="E663" s="15" t="s">
        <v>416</v>
      </c>
      <c r="F663" s="15">
        <v>2011</v>
      </c>
      <c r="G663" s="15">
        <v>20110223</v>
      </c>
      <c r="H663" s="15">
        <v>20234</v>
      </c>
      <c r="I663" s="15">
        <v>2.02</v>
      </c>
      <c r="J663" s="6" t="s">
        <v>397</v>
      </c>
      <c r="K663" s="15">
        <v>11</v>
      </c>
      <c r="L663" s="15" t="s">
        <v>102</v>
      </c>
      <c r="M663" s="15" t="s">
        <v>5</v>
      </c>
      <c r="N663" s="11" t="s">
        <v>1391</v>
      </c>
      <c r="O663" s="11" t="s">
        <v>46</v>
      </c>
      <c r="P663" s="11" t="s">
        <v>33</v>
      </c>
      <c r="Q663" s="15">
        <v>0</v>
      </c>
      <c r="R663" s="11" t="s">
        <v>1386</v>
      </c>
      <c r="S663" s="10">
        <v>104.14393323346999</v>
      </c>
      <c r="T663" s="15">
        <v>80</v>
      </c>
      <c r="U663" s="15">
        <v>0</v>
      </c>
      <c r="V663" s="15">
        <v>0</v>
      </c>
      <c r="W663" s="15">
        <v>0</v>
      </c>
      <c r="X663" s="15">
        <f>IF(O663='Udvaskning nøgletal'!$D$65,1,IF(O663='Udvaskning nøgletal'!$D$66,2,IF(O663='Udvaskning nøgletal'!$D$67,3,IF(O663='Udvaskning nøgletal'!$D$68,2,""))))</f>
        <v>2</v>
      </c>
      <c r="Y663" s="15">
        <f>LOOKUP(K663,'Udvaskning nøgletal'!$C$12:$C$60,'Udvaskning nøgletal'!$H$12:$H$60)</f>
        <v>5</v>
      </c>
      <c r="Z663" s="10">
        <f>IF(X663=1,LOOKUP(K663,'Udvaskning nøgletal'!$C$12:$C$60,'Udvaskning nøgletal'!$E$12:$E$60)+Markniveau!Y663*Markniveau!S663/100,IF(X663=2,LOOKUP(K663,'Udvaskning nøgletal'!$C$12:$C$60,'Udvaskning nøgletal'!$F$12:$F$60)+Markniveau!Y663*Markniveau!S663/100,IF(X663=3,LOOKUP(K663,'Udvaskning nøgletal'!$C$12:$C$60,'Udvaskning nøgletal'!G673:G721)+Markniveau!Y663*Markniveau!S663/100,"")))</f>
        <v>56.087196661673502</v>
      </c>
      <c r="AA663" s="10">
        <f t="shared" si="106"/>
        <v>113.29613725658048</v>
      </c>
      <c r="AB663" s="10" t="str">
        <f t="shared" si="105"/>
        <v/>
      </c>
      <c r="AC663" s="10" t="str">
        <f t="shared" si="107"/>
        <v/>
      </c>
      <c r="AD663" s="10">
        <f>IF(AND(Q663&gt;0,Q663&lt;30,K663&lt;8),Markniveau!Z663*'Udvaskning nøgletal'!$I$12/100,IF(AND(Q663&gt;0,Q663&lt;30,K663=216),Markniveau!Z663*'Udvaskning nøgletal'!$I$34/100,Markniveau!Z663))</f>
        <v>56.087196661673502</v>
      </c>
      <c r="AE663" s="10">
        <f t="shared" si="113"/>
        <v>113.29613725658048</v>
      </c>
      <c r="AF663" s="10" t="str">
        <f t="shared" si="108"/>
        <v/>
      </c>
      <c r="AG663" s="10" t="str">
        <f t="shared" si="114"/>
        <v/>
      </c>
      <c r="AH663" s="10" t="str">
        <f>IF(AND(Q663&gt;0,Q663&lt;30,K663=216),'Udvaskning nøgletal'!$C$42,IF(AND(Q663&gt;0,Q663&lt;30,K663&gt;7,K663&lt;17),'Udvaskning nøgletal'!$C$61,IF(AND(Q663&gt;0,Q663&lt;30,K663&lt;7),'Udvaskning nøgletal'!$C$62,"")))</f>
        <v/>
      </c>
      <c r="AI663" s="10">
        <f t="shared" si="110"/>
        <v>11</v>
      </c>
      <c r="AJ663" s="10">
        <f>IF($X663=1,LOOKUP(AI663,'Udvaskning nøgletal'!$C$12:$C$62,'Udvaskning nøgletal'!$E$12:$E$62)+Markniveau!$Y663*Markniveau!$S663/100,IF($X663=2,LOOKUP(AI663,'Udvaskning nøgletal'!$C$12:$C$62,'Udvaskning nøgletal'!$F$12:$F$62)+Markniveau!$Y663*Markniveau!$S663/100,IF($X663=3,LOOKUP(AI663,'Udvaskning nøgletal'!$C$12:$C$62,'Udvaskning nøgletal'!Q673:Q723)+Markniveau!$Y663*Markniveau!$S663/100,"")))</f>
        <v>56.087196661673502</v>
      </c>
      <c r="AK663" s="10">
        <f t="shared" si="109"/>
        <v>113.29613725658048</v>
      </c>
      <c r="AL663" s="10" t="str">
        <f t="shared" si="111"/>
        <v/>
      </c>
      <c r="AM663" s="10" t="str">
        <f t="shared" si="112"/>
        <v/>
      </c>
    </row>
    <row r="664" spans="1:39" x14ac:dyDescent="0.25">
      <c r="A664" s="15">
        <v>21750670</v>
      </c>
      <c r="B664" s="15">
        <v>124.88</v>
      </c>
      <c r="C664" s="15">
        <v>362269</v>
      </c>
      <c r="D664" s="15">
        <v>2574</v>
      </c>
      <c r="E664" s="15" t="s">
        <v>531</v>
      </c>
      <c r="F664" s="15">
        <v>2011</v>
      </c>
      <c r="G664" s="15">
        <v>20110223</v>
      </c>
      <c r="H664" s="15">
        <v>19989</v>
      </c>
      <c r="I664" s="15">
        <v>2</v>
      </c>
      <c r="J664" s="6" t="s">
        <v>133</v>
      </c>
      <c r="K664" s="15">
        <v>1</v>
      </c>
      <c r="L664" s="15" t="s">
        <v>32</v>
      </c>
      <c r="M664" s="15" t="s">
        <v>5</v>
      </c>
      <c r="N664" s="11" t="s">
        <v>1391</v>
      </c>
      <c r="O664" s="11" t="s">
        <v>46</v>
      </c>
      <c r="P664" s="11" t="s">
        <v>33</v>
      </c>
      <c r="Q664" s="15">
        <v>0</v>
      </c>
      <c r="R664" s="11" t="s">
        <v>1386</v>
      </c>
      <c r="S664" s="10">
        <v>104.14393323346999</v>
      </c>
      <c r="T664" s="15">
        <v>80</v>
      </c>
      <c r="U664" s="15">
        <v>0</v>
      </c>
      <c r="V664" s="15">
        <v>0</v>
      </c>
      <c r="W664" s="15">
        <v>0</v>
      </c>
      <c r="X664" s="15">
        <f>IF(O664='Udvaskning nøgletal'!$D$65,1,IF(O664='Udvaskning nøgletal'!$D$66,2,IF(O664='Udvaskning nøgletal'!$D$67,3,IF(O664='Udvaskning nøgletal'!$D$68,2,""))))</f>
        <v>2</v>
      </c>
      <c r="Y664" s="15">
        <f>LOOKUP(K664,'Udvaskning nøgletal'!$C$12:$C$60,'Udvaskning nøgletal'!$H$12:$H$60)</f>
        <v>5</v>
      </c>
      <c r="Z664" s="10">
        <f>IF(X664=1,LOOKUP(K664,'Udvaskning nøgletal'!$C$12:$C$60,'Udvaskning nøgletal'!$E$12:$E$60)+Markniveau!Y664*Markniveau!S664/100,IF(X664=2,LOOKUP(K664,'Udvaskning nøgletal'!$C$12:$C$60,'Udvaskning nøgletal'!$F$12:$F$60)+Markniveau!Y664*Markniveau!S664/100,IF(X664=3,LOOKUP(K664,'Udvaskning nøgletal'!$C$12:$C$60,'Udvaskning nøgletal'!G674:G722)+Markniveau!Y664*Markniveau!S664/100,"")))</f>
        <v>56.087196661673502</v>
      </c>
      <c r="AA664" s="10">
        <f t="shared" si="106"/>
        <v>112.174393323347</v>
      </c>
      <c r="AB664" s="10" t="str">
        <f t="shared" si="105"/>
        <v/>
      </c>
      <c r="AC664" s="10" t="str">
        <f t="shared" si="107"/>
        <v/>
      </c>
      <c r="AD664" s="10">
        <f>IF(AND(Q664&gt;0,Q664&lt;30,K664&lt;8),Markniveau!Z664*'Udvaskning nøgletal'!$I$12/100,IF(AND(Q664&gt;0,Q664&lt;30,K664=216),Markniveau!Z664*'Udvaskning nøgletal'!$I$34/100,Markniveau!Z664))</f>
        <v>56.087196661673502</v>
      </c>
      <c r="AE664" s="10">
        <f t="shared" si="113"/>
        <v>112.174393323347</v>
      </c>
      <c r="AF664" s="10" t="str">
        <f t="shared" si="108"/>
        <v/>
      </c>
      <c r="AG664" s="10" t="str">
        <f t="shared" si="114"/>
        <v/>
      </c>
      <c r="AH664" s="10" t="str">
        <f>IF(AND(Q664&gt;0,Q664&lt;30,K664=216),'Udvaskning nøgletal'!$C$42,IF(AND(Q664&gt;0,Q664&lt;30,K664&gt;7,K664&lt;17),'Udvaskning nøgletal'!$C$61,IF(AND(Q664&gt;0,Q664&lt;30,K664&lt;7),'Udvaskning nøgletal'!$C$62,"")))</f>
        <v/>
      </c>
      <c r="AI664" s="10">
        <f t="shared" si="110"/>
        <v>1</v>
      </c>
      <c r="AJ664" s="10">
        <f>IF($X664=1,LOOKUP(AI664,'Udvaskning nøgletal'!$C$12:$C$62,'Udvaskning nøgletal'!$E$12:$E$62)+Markniveau!$Y664*Markniveau!$S664/100,IF($X664=2,LOOKUP(AI664,'Udvaskning nøgletal'!$C$12:$C$62,'Udvaskning nøgletal'!$F$12:$F$62)+Markniveau!$Y664*Markniveau!$S664/100,IF($X664=3,LOOKUP(AI664,'Udvaskning nøgletal'!$C$12:$C$62,'Udvaskning nøgletal'!Q674:Q724)+Markniveau!$Y664*Markniveau!$S664/100,"")))</f>
        <v>56.087196661673502</v>
      </c>
      <c r="AK664" s="10">
        <f t="shared" si="109"/>
        <v>112.174393323347</v>
      </c>
      <c r="AL664" s="10" t="str">
        <f t="shared" si="111"/>
        <v/>
      </c>
      <c r="AM664" s="10" t="str">
        <f t="shared" si="112"/>
        <v/>
      </c>
    </row>
    <row r="665" spans="1:39" x14ac:dyDescent="0.25">
      <c r="A665" s="15">
        <v>21750670</v>
      </c>
      <c r="B665" s="15">
        <v>124.88</v>
      </c>
      <c r="C665" s="15">
        <v>362270</v>
      </c>
      <c r="D665" s="15">
        <v>2574</v>
      </c>
      <c r="E665" s="15" t="s">
        <v>531</v>
      </c>
      <c r="F665" s="15">
        <v>2011</v>
      </c>
      <c r="G665" s="15">
        <v>20110223</v>
      </c>
      <c r="H665" s="15">
        <v>3679</v>
      </c>
      <c r="I665" s="15">
        <v>0.37</v>
      </c>
      <c r="J665" s="6" t="s">
        <v>498</v>
      </c>
      <c r="K665" s="15">
        <v>263</v>
      </c>
      <c r="L665" s="15" t="s">
        <v>39</v>
      </c>
      <c r="M665" s="15" t="s">
        <v>5</v>
      </c>
      <c r="N665" s="11" t="s">
        <v>1391</v>
      </c>
      <c r="O665" s="11" t="s">
        <v>46</v>
      </c>
      <c r="P665" s="11" t="s">
        <v>33</v>
      </c>
      <c r="Q665" s="15">
        <v>0</v>
      </c>
      <c r="R665" s="11" t="s">
        <v>1386</v>
      </c>
      <c r="S665" s="10">
        <v>104.14393323346999</v>
      </c>
      <c r="T665" s="15">
        <v>80</v>
      </c>
      <c r="U665" s="15">
        <v>0</v>
      </c>
      <c r="V665" s="15">
        <v>0</v>
      </c>
      <c r="W665" s="15">
        <v>0</v>
      </c>
      <c r="X665" s="15">
        <f>IF(O665='Udvaskning nøgletal'!$D$65,1,IF(O665='Udvaskning nøgletal'!$D$66,2,IF(O665='Udvaskning nøgletal'!$D$67,3,IF(O665='Udvaskning nøgletal'!$D$68,2,""))))</f>
        <v>2</v>
      </c>
      <c r="Y665" s="15">
        <f>LOOKUP(K665,'Udvaskning nøgletal'!$C$12:$C$60,'Udvaskning nøgletal'!$H$12:$H$60)</f>
        <v>0</v>
      </c>
      <c r="Z665" s="10">
        <f>IF(X665=1,LOOKUP(K665,'Udvaskning nøgletal'!$C$12:$C$60,'Udvaskning nøgletal'!$E$12:$E$60)+Markniveau!Y665*Markniveau!S665/100,IF(X665=2,LOOKUP(K665,'Udvaskning nøgletal'!$C$12:$C$60,'Udvaskning nøgletal'!$F$12:$F$60)+Markniveau!Y665*Markniveau!S665/100,IF(X665=3,LOOKUP(K665,'Udvaskning nøgletal'!$C$12:$C$60,'Udvaskning nøgletal'!G675:G723)+Markniveau!Y665*Markniveau!S665/100,"")))</f>
        <v>27.331185321443094</v>
      </c>
      <c r="AA665" s="10">
        <f t="shared" si="106"/>
        <v>10.112538568933944</v>
      </c>
      <c r="AB665" s="10" t="str">
        <f t="shared" si="105"/>
        <v/>
      </c>
      <c r="AC665" s="10" t="str">
        <f t="shared" si="107"/>
        <v/>
      </c>
      <c r="AD665" s="10">
        <f>IF(AND(Q665&gt;0,Q665&lt;30,K665&lt;8),Markniveau!Z665*'Udvaskning nøgletal'!$I$12/100,IF(AND(Q665&gt;0,Q665&lt;30,K665=216),Markniveau!Z665*'Udvaskning nøgletal'!$I$34/100,Markniveau!Z665))</f>
        <v>27.331185321443094</v>
      </c>
      <c r="AE665" s="10">
        <f t="shared" si="113"/>
        <v>10.112538568933944</v>
      </c>
      <c r="AF665" s="10" t="str">
        <f t="shared" si="108"/>
        <v/>
      </c>
      <c r="AG665" s="10" t="str">
        <f t="shared" si="114"/>
        <v/>
      </c>
      <c r="AH665" s="10" t="str">
        <f>IF(AND(Q665&gt;0,Q665&lt;30,K665=216),'Udvaskning nøgletal'!$C$42,IF(AND(Q665&gt;0,Q665&lt;30,K665&gt;7,K665&lt;17),'Udvaskning nøgletal'!$C$61,IF(AND(Q665&gt;0,Q665&lt;30,K665&lt;7),'Udvaskning nøgletal'!$C$62,"")))</f>
        <v/>
      </c>
      <c r="AI665" s="10">
        <f t="shared" si="110"/>
        <v>263</v>
      </c>
      <c r="AJ665" s="10">
        <f>IF($X665=1,LOOKUP(AI665,'Udvaskning nøgletal'!$C$12:$C$62,'Udvaskning nøgletal'!$E$12:$E$62)+Markniveau!$Y665*Markniveau!$S665/100,IF($X665=2,LOOKUP(AI665,'Udvaskning nøgletal'!$C$12:$C$62,'Udvaskning nøgletal'!$F$12:$F$62)+Markniveau!$Y665*Markniveau!$S665/100,IF($X665=3,LOOKUP(AI665,'Udvaskning nøgletal'!$C$12:$C$62,'Udvaskning nøgletal'!Q675:Q725)+Markniveau!$Y665*Markniveau!$S665/100,"")))</f>
        <v>27.331185321443094</v>
      </c>
      <c r="AK665" s="10">
        <f t="shared" si="109"/>
        <v>10.112538568933944</v>
      </c>
      <c r="AL665" s="10" t="str">
        <f t="shared" si="111"/>
        <v/>
      </c>
      <c r="AM665" s="10" t="str">
        <f t="shared" si="112"/>
        <v/>
      </c>
    </row>
    <row r="666" spans="1:39" x14ac:dyDescent="0.25">
      <c r="A666" s="15">
        <v>21750670</v>
      </c>
      <c r="B666" s="15">
        <v>124.88</v>
      </c>
      <c r="C666" s="15">
        <v>362271</v>
      </c>
      <c r="D666" s="15">
        <v>2574</v>
      </c>
      <c r="E666" s="15" t="s">
        <v>532</v>
      </c>
      <c r="F666" s="15">
        <v>2011</v>
      </c>
      <c r="G666" s="15">
        <v>20110223</v>
      </c>
      <c r="H666" s="15">
        <v>44582</v>
      </c>
      <c r="I666" s="15">
        <v>4.46</v>
      </c>
      <c r="J666" s="6" t="s">
        <v>533</v>
      </c>
      <c r="K666" s="15">
        <v>1</v>
      </c>
      <c r="L666" s="15" t="s">
        <v>32</v>
      </c>
      <c r="M666" s="15" t="s">
        <v>5</v>
      </c>
      <c r="N666" s="11" t="s">
        <v>1391</v>
      </c>
      <c r="O666" s="11" t="s">
        <v>46</v>
      </c>
      <c r="P666" s="11" t="s">
        <v>33</v>
      </c>
      <c r="Q666" s="15">
        <v>0</v>
      </c>
      <c r="R666" s="11" t="s">
        <v>1386</v>
      </c>
      <c r="S666" s="10">
        <v>104.14393323346999</v>
      </c>
      <c r="T666" s="15">
        <v>80</v>
      </c>
      <c r="U666" s="15">
        <v>0</v>
      </c>
      <c r="V666" s="15">
        <v>0</v>
      </c>
      <c r="W666" s="15">
        <v>0</v>
      </c>
      <c r="X666" s="15">
        <f>IF(O666='Udvaskning nøgletal'!$D$65,1,IF(O666='Udvaskning nøgletal'!$D$66,2,IF(O666='Udvaskning nøgletal'!$D$67,3,IF(O666='Udvaskning nøgletal'!$D$68,2,""))))</f>
        <v>2</v>
      </c>
      <c r="Y666" s="15">
        <f>LOOKUP(K666,'Udvaskning nøgletal'!$C$12:$C$60,'Udvaskning nøgletal'!$H$12:$H$60)</f>
        <v>5</v>
      </c>
      <c r="Z666" s="10">
        <f>IF(X666=1,LOOKUP(K666,'Udvaskning nøgletal'!$C$12:$C$60,'Udvaskning nøgletal'!$E$12:$E$60)+Markniveau!Y666*Markniveau!S666/100,IF(X666=2,LOOKUP(K666,'Udvaskning nøgletal'!$C$12:$C$60,'Udvaskning nøgletal'!$F$12:$F$60)+Markniveau!Y666*Markniveau!S666/100,IF(X666=3,LOOKUP(K666,'Udvaskning nøgletal'!$C$12:$C$60,'Udvaskning nøgletal'!G676:G724)+Markniveau!Y666*Markniveau!S666/100,"")))</f>
        <v>56.087196661673502</v>
      </c>
      <c r="AA666" s="10">
        <f t="shared" si="106"/>
        <v>250.14889711106383</v>
      </c>
      <c r="AB666" s="10" t="str">
        <f t="shared" si="105"/>
        <v/>
      </c>
      <c r="AC666" s="10" t="str">
        <f t="shared" si="107"/>
        <v/>
      </c>
      <c r="AD666" s="10">
        <f>IF(AND(Q666&gt;0,Q666&lt;30,K666&lt;8),Markniveau!Z666*'Udvaskning nøgletal'!$I$12/100,IF(AND(Q666&gt;0,Q666&lt;30,K666=216),Markniveau!Z666*'Udvaskning nøgletal'!$I$34/100,Markniveau!Z666))</f>
        <v>56.087196661673502</v>
      </c>
      <c r="AE666" s="10">
        <f t="shared" si="113"/>
        <v>250.14889711106383</v>
      </c>
      <c r="AF666" s="10" t="str">
        <f t="shared" si="108"/>
        <v/>
      </c>
      <c r="AG666" s="10" t="str">
        <f t="shared" si="114"/>
        <v/>
      </c>
      <c r="AH666" s="10" t="str">
        <f>IF(AND(Q666&gt;0,Q666&lt;30,K666=216),'Udvaskning nøgletal'!$C$42,IF(AND(Q666&gt;0,Q666&lt;30,K666&gt;7,K666&lt;17),'Udvaskning nøgletal'!$C$61,IF(AND(Q666&gt;0,Q666&lt;30,K666&lt;7),'Udvaskning nøgletal'!$C$62,"")))</f>
        <v/>
      </c>
      <c r="AI666" s="10">
        <f t="shared" si="110"/>
        <v>1</v>
      </c>
      <c r="AJ666" s="10">
        <f>IF($X666=1,LOOKUP(AI666,'Udvaskning nøgletal'!$C$12:$C$62,'Udvaskning nøgletal'!$E$12:$E$62)+Markniveau!$Y666*Markniveau!$S666/100,IF($X666=2,LOOKUP(AI666,'Udvaskning nøgletal'!$C$12:$C$62,'Udvaskning nøgletal'!$F$12:$F$62)+Markniveau!$Y666*Markniveau!$S666/100,IF($X666=3,LOOKUP(AI666,'Udvaskning nøgletal'!$C$12:$C$62,'Udvaskning nøgletal'!Q676:Q726)+Markniveau!$Y666*Markniveau!$S666/100,"")))</f>
        <v>56.087196661673502</v>
      </c>
      <c r="AK666" s="10">
        <f t="shared" si="109"/>
        <v>250.14889711106383</v>
      </c>
      <c r="AL666" s="10" t="str">
        <f t="shared" si="111"/>
        <v/>
      </c>
      <c r="AM666" s="10" t="str">
        <f t="shared" si="112"/>
        <v/>
      </c>
    </row>
    <row r="667" spans="1:39" x14ac:dyDescent="0.25">
      <c r="A667" s="15">
        <v>21750670</v>
      </c>
      <c r="B667" s="15">
        <v>124.88</v>
      </c>
      <c r="C667" s="15">
        <v>362272</v>
      </c>
      <c r="D667" s="15">
        <v>2574</v>
      </c>
      <c r="E667" s="15" t="s">
        <v>534</v>
      </c>
      <c r="F667" s="15">
        <v>2011</v>
      </c>
      <c r="G667" s="15">
        <v>20110223</v>
      </c>
      <c r="H667" s="15">
        <v>51825</v>
      </c>
      <c r="I667" s="15">
        <v>5.18</v>
      </c>
      <c r="J667" s="6" t="s">
        <v>173</v>
      </c>
      <c r="K667" s="15">
        <v>16</v>
      </c>
      <c r="L667" s="15" t="s">
        <v>523</v>
      </c>
      <c r="M667" s="15" t="s">
        <v>5</v>
      </c>
      <c r="N667" s="11" t="s">
        <v>1384</v>
      </c>
      <c r="O667" s="11" t="s">
        <v>28</v>
      </c>
      <c r="P667" s="11" t="s">
        <v>33</v>
      </c>
      <c r="Q667" s="15">
        <v>0</v>
      </c>
      <c r="R667" s="11" t="s">
        <v>1386</v>
      </c>
      <c r="S667" s="10">
        <v>104.14393323346999</v>
      </c>
      <c r="T667" s="15">
        <v>80</v>
      </c>
      <c r="U667" s="15">
        <v>0</v>
      </c>
      <c r="V667" s="15">
        <v>0</v>
      </c>
      <c r="W667" s="15">
        <v>0</v>
      </c>
      <c r="X667" s="15">
        <f>IF(O667='Udvaskning nøgletal'!$D$65,1,IF(O667='Udvaskning nøgletal'!$D$66,2,IF(O667='Udvaskning nøgletal'!$D$67,3,IF(O667='Udvaskning nøgletal'!$D$68,2,""))))</f>
        <v>1</v>
      </c>
      <c r="Y667" s="15">
        <f>LOOKUP(K667,'Udvaskning nøgletal'!$C$12:$C$60,'Udvaskning nøgletal'!$H$12:$H$60)</f>
        <v>5</v>
      </c>
      <c r="Z667" s="10">
        <f>IF(X667=1,LOOKUP(K667,'Udvaskning nøgletal'!$C$12:$C$60,'Udvaskning nøgletal'!$E$12:$E$60)+Markniveau!Y667*Markniveau!S667/100,IF(X667=2,LOOKUP(K667,'Udvaskning nøgletal'!$C$12:$C$60,'Udvaskning nøgletal'!$F$12:$F$60)+Markniveau!Y667*Markniveau!S667/100,IF(X667=3,LOOKUP(K667,'Udvaskning nøgletal'!$C$12:$C$60,'Udvaskning nøgletal'!G677:G725)+Markniveau!Y667*Markniveau!S667/100,"")))</f>
        <v>69.867196661673489</v>
      </c>
      <c r="AA667" s="10">
        <f t="shared" si="106"/>
        <v>361.91207870746865</v>
      </c>
      <c r="AB667" s="10" t="str">
        <f t="shared" si="105"/>
        <v/>
      </c>
      <c r="AC667" s="10" t="str">
        <f t="shared" si="107"/>
        <v/>
      </c>
      <c r="AD667" s="10">
        <f>IF(AND(Q667&gt;0,Q667&lt;30,K667&lt;8),Markniveau!Z667*'Udvaskning nøgletal'!$I$12/100,IF(AND(Q667&gt;0,Q667&lt;30,K667=216),Markniveau!Z667*'Udvaskning nøgletal'!$I$34/100,Markniveau!Z667))</f>
        <v>69.867196661673489</v>
      </c>
      <c r="AE667" s="10">
        <f t="shared" si="113"/>
        <v>361.91207870746865</v>
      </c>
      <c r="AF667" s="10" t="str">
        <f t="shared" si="108"/>
        <v/>
      </c>
      <c r="AG667" s="10" t="str">
        <f t="shared" si="114"/>
        <v/>
      </c>
      <c r="AH667" s="10" t="str">
        <f>IF(AND(Q667&gt;0,Q667&lt;30,K667=216),'Udvaskning nøgletal'!$C$42,IF(AND(Q667&gt;0,Q667&lt;30,K667&gt;7,K667&lt;17),'Udvaskning nøgletal'!$C$61,IF(AND(Q667&gt;0,Q667&lt;30,K667&lt;7),'Udvaskning nøgletal'!$C$62,"")))</f>
        <v/>
      </c>
      <c r="AI667" s="10">
        <f t="shared" si="110"/>
        <v>16</v>
      </c>
      <c r="AJ667" s="10">
        <f>IF($X667=1,LOOKUP(AI667,'Udvaskning nøgletal'!$C$12:$C$62,'Udvaskning nøgletal'!$E$12:$E$62)+Markniveau!$Y667*Markniveau!$S667/100,IF($X667=2,LOOKUP(AI667,'Udvaskning nøgletal'!$C$12:$C$62,'Udvaskning nøgletal'!$F$12:$F$62)+Markniveau!$Y667*Markniveau!$S667/100,IF($X667=3,LOOKUP(AI667,'Udvaskning nøgletal'!$C$12:$C$62,'Udvaskning nøgletal'!Q677:Q727)+Markniveau!$Y667*Markniveau!$S667/100,"")))</f>
        <v>69.867196661673489</v>
      </c>
      <c r="AK667" s="10">
        <f t="shared" si="109"/>
        <v>361.91207870746865</v>
      </c>
      <c r="AL667" s="10" t="str">
        <f t="shared" si="111"/>
        <v/>
      </c>
      <c r="AM667" s="10" t="str">
        <f t="shared" si="112"/>
        <v/>
      </c>
    </row>
    <row r="668" spans="1:39" x14ac:dyDescent="0.25">
      <c r="A668" s="15">
        <v>21750670</v>
      </c>
      <c r="B668" s="15">
        <v>124.88</v>
      </c>
      <c r="C668" s="15">
        <v>362273</v>
      </c>
      <c r="D668" s="15">
        <v>2574</v>
      </c>
      <c r="E668" s="15" t="s">
        <v>430</v>
      </c>
      <c r="F668" s="15">
        <v>2011</v>
      </c>
      <c r="G668" s="15">
        <v>20110223</v>
      </c>
      <c r="H668" s="15">
        <v>191600</v>
      </c>
      <c r="I668" s="15">
        <v>19.16</v>
      </c>
      <c r="J668" s="6" t="s">
        <v>134</v>
      </c>
      <c r="K668" s="15">
        <v>11</v>
      </c>
      <c r="L668" s="15" t="s">
        <v>102</v>
      </c>
      <c r="M668" s="15" t="s">
        <v>5</v>
      </c>
      <c r="N668" s="11" t="s">
        <v>1391</v>
      </c>
      <c r="O668" s="11" t="s">
        <v>46</v>
      </c>
      <c r="P668" s="11" t="s">
        <v>33</v>
      </c>
      <c r="Q668" s="15">
        <v>0</v>
      </c>
      <c r="R668" s="11" t="s">
        <v>1386</v>
      </c>
      <c r="S668" s="10">
        <v>104.14393323346999</v>
      </c>
      <c r="T668" s="15">
        <v>80</v>
      </c>
      <c r="U668" s="15">
        <v>0</v>
      </c>
      <c r="V668" s="15">
        <v>0</v>
      </c>
      <c r="W668" s="15">
        <v>0</v>
      </c>
      <c r="X668" s="15">
        <f>IF(O668='Udvaskning nøgletal'!$D$65,1,IF(O668='Udvaskning nøgletal'!$D$66,2,IF(O668='Udvaskning nøgletal'!$D$67,3,IF(O668='Udvaskning nøgletal'!$D$68,2,""))))</f>
        <v>2</v>
      </c>
      <c r="Y668" s="15">
        <f>LOOKUP(K668,'Udvaskning nøgletal'!$C$12:$C$60,'Udvaskning nøgletal'!$H$12:$H$60)</f>
        <v>5</v>
      </c>
      <c r="Z668" s="10">
        <f>IF(X668=1,LOOKUP(K668,'Udvaskning nøgletal'!$C$12:$C$60,'Udvaskning nøgletal'!$E$12:$E$60)+Markniveau!Y668*Markniveau!S668/100,IF(X668=2,LOOKUP(K668,'Udvaskning nøgletal'!$C$12:$C$60,'Udvaskning nøgletal'!$F$12:$F$60)+Markniveau!Y668*Markniveau!S668/100,IF(X668=3,LOOKUP(K668,'Udvaskning nøgletal'!$C$12:$C$60,'Udvaskning nøgletal'!G678:G726)+Markniveau!Y668*Markniveau!S668/100,"")))</f>
        <v>56.087196661673502</v>
      </c>
      <c r="AA668" s="10">
        <f t="shared" si="106"/>
        <v>1074.6306880376644</v>
      </c>
      <c r="AB668" s="10" t="str">
        <f t="shared" si="105"/>
        <v/>
      </c>
      <c r="AC668" s="10" t="str">
        <f t="shared" si="107"/>
        <v/>
      </c>
      <c r="AD668" s="10">
        <f>IF(AND(Q668&gt;0,Q668&lt;30,K668&lt;8),Markniveau!Z668*'Udvaskning nøgletal'!$I$12/100,IF(AND(Q668&gt;0,Q668&lt;30,K668=216),Markniveau!Z668*'Udvaskning nøgletal'!$I$34/100,Markniveau!Z668))</f>
        <v>56.087196661673502</v>
      </c>
      <c r="AE668" s="10">
        <f t="shared" si="113"/>
        <v>1074.6306880376644</v>
      </c>
      <c r="AF668" s="10" t="str">
        <f t="shared" si="108"/>
        <v/>
      </c>
      <c r="AG668" s="10" t="str">
        <f t="shared" si="114"/>
        <v/>
      </c>
      <c r="AH668" s="10" t="str">
        <f>IF(AND(Q668&gt;0,Q668&lt;30,K668=216),'Udvaskning nøgletal'!$C$42,IF(AND(Q668&gt;0,Q668&lt;30,K668&gt;7,K668&lt;17),'Udvaskning nøgletal'!$C$61,IF(AND(Q668&gt;0,Q668&lt;30,K668&lt;7),'Udvaskning nøgletal'!$C$62,"")))</f>
        <v/>
      </c>
      <c r="AI668" s="10">
        <f t="shared" si="110"/>
        <v>11</v>
      </c>
      <c r="AJ668" s="10">
        <f>IF($X668=1,LOOKUP(AI668,'Udvaskning nøgletal'!$C$12:$C$62,'Udvaskning nøgletal'!$E$12:$E$62)+Markniveau!$Y668*Markniveau!$S668/100,IF($X668=2,LOOKUP(AI668,'Udvaskning nøgletal'!$C$12:$C$62,'Udvaskning nøgletal'!$F$12:$F$62)+Markniveau!$Y668*Markniveau!$S668/100,IF($X668=3,LOOKUP(AI668,'Udvaskning nøgletal'!$C$12:$C$62,'Udvaskning nøgletal'!Q678:Q728)+Markniveau!$Y668*Markniveau!$S668/100,"")))</f>
        <v>56.087196661673502</v>
      </c>
      <c r="AK668" s="10">
        <f t="shared" si="109"/>
        <v>1074.6306880376644</v>
      </c>
      <c r="AL668" s="10" t="str">
        <f t="shared" si="111"/>
        <v/>
      </c>
      <c r="AM668" s="10" t="str">
        <f t="shared" si="112"/>
        <v/>
      </c>
    </row>
    <row r="669" spans="1:39" x14ac:dyDescent="0.25">
      <c r="A669" s="15">
        <v>21750670</v>
      </c>
      <c r="B669" s="15">
        <v>124.88</v>
      </c>
      <c r="C669" s="15">
        <v>362274</v>
      </c>
      <c r="D669" s="15">
        <v>2574</v>
      </c>
      <c r="E669" s="15" t="s">
        <v>535</v>
      </c>
      <c r="F669" s="15">
        <v>2011</v>
      </c>
      <c r="G669" s="15">
        <v>20110223</v>
      </c>
      <c r="H669" s="15">
        <v>155868</v>
      </c>
      <c r="I669" s="15">
        <v>15.59</v>
      </c>
      <c r="J669" s="6" t="s">
        <v>536</v>
      </c>
      <c r="K669" s="15">
        <v>1</v>
      </c>
      <c r="L669" s="15" t="s">
        <v>32</v>
      </c>
      <c r="M669" s="15" t="s">
        <v>5</v>
      </c>
      <c r="N669" s="11" t="s">
        <v>1391</v>
      </c>
      <c r="O669" s="11" t="s">
        <v>46</v>
      </c>
      <c r="P669" s="11" t="s">
        <v>29</v>
      </c>
      <c r="Q669" s="15">
        <v>0</v>
      </c>
      <c r="R669" s="11" t="s">
        <v>1386</v>
      </c>
      <c r="S669" s="10">
        <v>104.14393323346999</v>
      </c>
      <c r="T669" s="15">
        <v>80</v>
      </c>
      <c r="U669" s="15">
        <v>0</v>
      </c>
      <c r="V669" s="15">
        <v>0</v>
      </c>
      <c r="W669" s="15">
        <v>0</v>
      </c>
      <c r="X669" s="15">
        <f>IF(O669='Udvaskning nøgletal'!$D$65,1,IF(O669='Udvaskning nøgletal'!$D$66,2,IF(O669='Udvaskning nøgletal'!$D$67,3,IF(O669='Udvaskning nøgletal'!$D$68,2,""))))</f>
        <v>2</v>
      </c>
      <c r="Y669" s="15">
        <f>LOOKUP(K669,'Udvaskning nøgletal'!$C$12:$C$60,'Udvaskning nøgletal'!$H$12:$H$60)</f>
        <v>5</v>
      </c>
      <c r="Z669" s="10">
        <f>IF(X669=1,LOOKUP(K669,'Udvaskning nøgletal'!$C$12:$C$60,'Udvaskning nøgletal'!$E$12:$E$60)+Markniveau!Y669*Markniveau!S669/100,IF(X669=2,LOOKUP(K669,'Udvaskning nøgletal'!$C$12:$C$60,'Udvaskning nøgletal'!$F$12:$F$60)+Markniveau!Y669*Markniveau!S669/100,IF(X669=3,LOOKUP(K669,'Udvaskning nøgletal'!$C$12:$C$60,'Udvaskning nøgletal'!G679:G727)+Markniveau!Y669*Markniveau!S669/100,"")))</f>
        <v>56.087196661673502</v>
      </c>
      <c r="AA669" s="10">
        <f t="shared" si="106"/>
        <v>874.39939595548992</v>
      </c>
      <c r="AB669" s="10" t="str">
        <f t="shared" si="105"/>
        <v/>
      </c>
      <c r="AC669" s="10" t="str">
        <f t="shared" si="107"/>
        <v/>
      </c>
      <c r="AD669" s="10">
        <f>IF(AND(Q669&gt;0,Q669&lt;30,K669&lt;8),Markniveau!Z669*'Udvaskning nøgletal'!$I$12/100,IF(AND(Q669&gt;0,Q669&lt;30,K669=216),Markniveau!Z669*'Udvaskning nøgletal'!$I$34/100,Markniveau!Z669))</f>
        <v>56.087196661673502</v>
      </c>
      <c r="AE669" s="10">
        <f t="shared" si="113"/>
        <v>874.39939595548992</v>
      </c>
      <c r="AF669" s="10" t="str">
        <f t="shared" si="108"/>
        <v/>
      </c>
      <c r="AG669" s="10" t="str">
        <f t="shared" si="114"/>
        <v/>
      </c>
      <c r="AH669" s="10" t="str">
        <f>IF(AND(Q669&gt;0,Q669&lt;30,K669=216),'Udvaskning nøgletal'!$C$42,IF(AND(Q669&gt;0,Q669&lt;30,K669&gt;7,K669&lt;17),'Udvaskning nøgletal'!$C$61,IF(AND(Q669&gt;0,Q669&lt;30,K669&lt;7),'Udvaskning nøgletal'!$C$62,"")))</f>
        <v/>
      </c>
      <c r="AI669" s="10">
        <f t="shared" si="110"/>
        <v>1</v>
      </c>
      <c r="AJ669" s="10">
        <f>IF($X669=1,LOOKUP(AI669,'Udvaskning nøgletal'!$C$12:$C$62,'Udvaskning nøgletal'!$E$12:$E$62)+Markniveau!$Y669*Markniveau!$S669/100,IF($X669=2,LOOKUP(AI669,'Udvaskning nøgletal'!$C$12:$C$62,'Udvaskning nøgletal'!$F$12:$F$62)+Markniveau!$Y669*Markniveau!$S669/100,IF($X669=3,LOOKUP(AI669,'Udvaskning nøgletal'!$C$12:$C$62,'Udvaskning nøgletal'!Q679:Q729)+Markniveau!$Y669*Markniveau!$S669/100,"")))</f>
        <v>56.087196661673502</v>
      </c>
      <c r="AK669" s="10">
        <f t="shared" si="109"/>
        <v>874.39939595548992</v>
      </c>
      <c r="AL669" s="10" t="str">
        <f t="shared" si="111"/>
        <v/>
      </c>
      <c r="AM669" s="10" t="str">
        <f t="shared" si="112"/>
        <v/>
      </c>
    </row>
    <row r="670" spans="1:39" x14ac:dyDescent="0.25">
      <c r="A670" s="15">
        <v>21750670</v>
      </c>
      <c r="B670" s="15">
        <v>124.88</v>
      </c>
      <c r="C670" s="15">
        <v>362758</v>
      </c>
      <c r="D670" s="15">
        <v>2574</v>
      </c>
      <c r="E670" s="15" t="s">
        <v>535</v>
      </c>
      <c r="F670" s="15">
        <v>2011</v>
      </c>
      <c r="G670" s="15">
        <v>20110223</v>
      </c>
      <c r="H670" s="15">
        <v>208316</v>
      </c>
      <c r="I670" s="15">
        <v>20.83</v>
      </c>
      <c r="J670" s="6" t="s">
        <v>60</v>
      </c>
      <c r="K670" s="15">
        <v>1</v>
      </c>
      <c r="L670" s="15" t="s">
        <v>32</v>
      </c>
      <c r="M670" s="15" t="s">
        <v>5</v>
      </c>
      <c r="N670" s="11" t="s">
        <v>1391</v>
      </c>
      <c r="O670" s="11" t="s">
        <v>46</v>
      </c>
      <c r="P670" s="11" t="s">
        <v>33</v>
      </c>
      <c r="Q670" s="15">
        <v>0</v>
      </c>
      <c r="R670" s="11" t="s">
        <v>1386</v>
      </c>
      <c r="S670" s="10">
        <v>104.14393323346999</v>
      </c>
      <c r="T670" s="15">
        <v>80</v>
      </c>
      <c r="U670" s="15">
        <v>0</v>
      </c>
      <c r="V670" s="15">
        <v>0</v>
      </c>
      <c r="W670" s="15">
        <v>0</v>
      </c>
      <c r="X670" s="15">
        <f>IF(O670='Udvaskning nøgletal'!$D$65,1,IF(O670='Udvaskning nøgletal'!$D$66,2,IF(O670='Udvaskning nøgletal'!$D$67,3,IF(O670='Udvaskning nøgletal'!$D$68,2,""))))</f>
        <v>2</v>
      </c>
      <c r="Y670" s="15">
        <f>LOOKUP(K670,'Udvaskning nøgletal'!$C$12:$C$60,'Udvaskning nøgletal'!$H$12:$H$60)</f>
        <v>5</v>
      </c>
      <c r="Z670" s="10">
        <f>IF(X670=1,LOOKUP(K670,'Udvaskning nøgletal'!$C$12:$C$60,'Udvaskning nøgletal'!$E$12:$E$60)+Markniveau!Y670*Markniveau!S670/100,IF(X670=2,LOOKUP(K670,'Udvaskning nøgletal'!$C$12:$C$60,'Udvaskning nøgletal'!$F$12:$F$60)+Markniveau!Y670*Markniveau!S670/100,IF(X670=3,LOOKUP(K670,'Udvaskning nøgletal'!$C$12:$C$60,'Udvaskning nøgletal'!G680:G728)+Markniveau!Y670*Markniveau!S670/100,"")))</f>
        <v>56.087196661673502</v>
      </c>
      <c r="AA670" s="10">
        <f t="shared" si="106"/>
        <v>1168.296306462659</v>
      </c>
      <c r="AB670" s="10" t="str">
        <f t="shared" si="105"/>
        <v/>
      </c>
      <c r="AC670" s="10" t="str">
        <f t="shared" si="107"/>
        <v/>
      </c>
      <c r="AD670" s="10">
        <f>IF(AND(Q670&gt;0,Q670&lt;30,K670&lt;8),Markniveau!Z670*'Udvaskning nøgletal'!$I$12/100,IF(AND(Q670&gt;0,Q670&lt;30,K670=216),Markniveau!Z670*'Udvaskning nøgletal'!$I$34/100,Markniveau!Z670))</f>
        <v>56.087196661673502</v>
      </c>
      <c r="AE670" s="10">
        <f t="shared" si="113"/>
        <v>1168.296306462659</v>
      </c>
      <c r="AF670" s="10" t="str">
        <f t="shared" si="108"/>
        <v/>
      </c>
      <c r="AG670" s="10" t="str">
        <f t="shared" si="114"/>
        <v/>
      </c>
      <c r="AH670" s="10" t="str">
        <f>IF(AND(Q670&gt;0,Q670&lt;30,K670=216),'Udvaskning nøgletal'!$C$42,IF(AND(Q670&gt;0,Q670&lt;30,K670&gt;7,K670&lt;17),'Udvaskning nøgletal'!$C$61,IF(AND(Q670&gt;0,Q670&lt;30,K670&lt;7),'Udvaskning nøgletal'!$C$62,"")))</f>
        <v/>
      </c>
      <c r="AI670" s="10">
        <f t="shared" si="110"/>
        <v>1</v>
      </c>
      <c r="AJ670" s="10">
        <f>IF($X670=1,LOOKUP(AI670,'Udvaskning nøgletal'!$C$12:$C$62,'Udvaskning nøgletal'!$E$12:$E$62)+Markniveau!$Y670*Markniveau!$S670/100,IF($X670=2,LOOKUP(AI670,'Udvaskning nøgletal'!$C$12:$C$62,'Udvaskning nøgletal'!$F$12:$F$62)+Markniveau!$Y670*Markniveau!$S670/100,IF($X670=3,LOOKUP(AI670,'Udvaskning nøgletal'!$C$12:$C$62,'Udvaskning nøgletal'!Q680:Q730)+Markniveau!$Y670*Markniveau!$S670/100,"")))</f>
        <v>56.087196661673502</v>
      </c>
      <c r="AK670" s="10">
        <f t="shared" si="109"/>
        <v>1168.296306462659</v>
      </c>
      <c r="AL670" s="10" t="str">
        <f t="shared" si="111"/>
        <v/>
      </c>
      <c r="AM670" s="10" t="str">
        <f t="shared" si="112"/>
        <v/>
      </c>
    </row>
    <row r="671" spans="1:39" x14ac:dyDescent="0.25">
      <c r="A671" s="15">
        <v>21750670</v>
      </c>
      <c r="B671" s="15">
        <v>124.88</v>
      </c>
      <c r="C671" s="15">
        <v>362759</v>
      </c>
      <c r="D671" s="15">
        <v>2574</v>
      </c>
      <c r="E671" s="15" t="s">
        <v>431</v>
      </c>
      <c r="F671" s="15">
        <v>2011</v>
      </c>
      <c r="G671" s="15">
        <v>20110223</v>
      </c>
      <c r="H671" s="15">
        <v>84896</v>
      </c>
      <c r="I671" s="15">
        <v>8.49</v>
      </c>
      <c r="J671" s="6" t="s">
        <v>35</v>
      </c>
      <c r="K671" s="15">
        <v>11</v>
      </c>
      <c r="L671" s="15" t="s">
        <v>102</v>
      </c>
      <c r="M671" s="15" t="s">
        <v>5</v>
      </c>
      <c r="N671" s="11" t="s">
        <v>1391</v>
      </c>
      <c r="O671" s="11" t="s">
        <v>46</v>
      </c>
      <c r="P671" s="11" t="s">
        <v>33</v>
      </c>
      <c r="Q671" s="15">
        <v>0</v>
      </c>
      <c r="R671" s="11" t="s">
        <v>1386</v>
      </c>
      <c r="S671" s="10">
        <v>104.14393323346999</v>
      </c>
      <c r="T671" s="15">
        <v>80</v>
      </c>
      <c r="U671" s="15">
        <v>0</v>
      </c>
      <c r="V671" s="15">
        <v>0</v>
      </c>
      <c r="W671" s="15">
        <v>0</v>
      </c>
      <c r="X671" s="15">
        <f>IF(O671='Udvaskning nøgletal'!$D$65,1,IF(O671='Udvaskning nøgletal'!$D$66,2,IF(O671='Udvaskning nøgletal'!$D$67,3,IF(O671='Udvaskning nøgletal'!$D$68,2,""))))</f>
        <v>2</v>
      </c>
      <c r="Y671" s="15">
        <f>LOOKUP(K671,'Udvaskning nøgletal'!$C$12:$C$60,'Udvaskning nøgletal'!$H$12:$H$60)</f>
        <v>5</v>
      </c>
      <c r="Z671" s="10">
        <f>IF(X671=1,LOOKUP(K671,'Udvaskning nøgletal'!$C$12:$C$60,'Udvaskning nøgletal'!$E$12:$E$60)+Markniveau!Y671*Markniveau!S671/100,IF(X671=2,LOOKUP(K671,'Udvaskning nøgletal'!$C$12:$C$60,'Udvaskning nøgletal'!$F$12:$F$60)+Markniveau!Y671*Markniveau!S671/100,IF(X671=3,LOOKUP(K671,'Udvaskning nøgletal'!$C$12:$C$60,'Udvaskning nøgletal'!G681:G729)+Markniveau!Y671*Markniveau!S671/100,"")))</f>
        <v>56.087196661673502</v>
      </c>
      <c r="AA671" s="10">
        <f t="shared" si="106"/>
        <v>476.18029965760803</v>
      </c>
      <c r="AB671" s="10" t="str">
        <f t="shared" si="105"/>
        <v/>
      </c>
      <c r="AC671" s="10" t="str">
        <f t="shared" si="107"/>
        <v/>
      </c>
      <c r="AD671" s="10">
        <f>IF(AND(Q671&gt;0,Q671&lt;30,K671&lt;8),Markniveau!Z671*'Udvaskning nøgletal'!$I$12/100,IF(AND(Q671&gt;0,Q671&lt;30,K671=216),Markniveau!Z671*'Udvaskning nøgletal'!$I$34/100,Markniveau!Z671))</f>
        <v>56.087196661673502</v>
      </c>
      <c r="AE671" s="10">
        <f t="shared" si="113"/>
        <v>476.18029965760803</v>
      </c>
      <c r="AF671" s="10" t="str">
        <f t="shared" si="108"/>
        <v/>
      </c>
      <c r="AG671" s="10" t="str">
        <f t="shared" si="114"/>
        <v/>
      </c>
      <c r="AH671" s="10" t="str">
        <f>IF(AND(Q671&gt;0,Q671&lt;30,K671=216),'Udvaskning nøgletal'!$C$42,IF(AND(Q671&gt;0,Q671&lt;30,K671&gt;7,K671&lt;17),'Udvaskning nøgletal'!$C$61,IF(AND(Q671&gt;0,Q671&lt;30,K671&lt;7),'Udvaskning nøgletal'!$C$62,"")))</f>
        <v/>
      </c>
      <c r="AI671" s="10">
        <f t="shared" si="110"/>
        <v>11</v>
      </c>
      <c r="AJ671" s="10">
        <f>IF($X671=1,LOOKUP(AI671,'Udvaskning nøgletal'!$C$12:$C$62,'Udvaskning nøgletal'!$E$12:$E$62)+Markniveau!$Y671*Markniveau!$S671/100,IF($X671=2,LOOKUP(AI671,'Udvaskning nøgletal'!$C$12:$C$62,'Udvaskning nøgletal'!$F$12:$F$62)+Markniveau!$Y671*Markniveau!$S671/100,IF($X671=3,LOOKUP(AI671,'Udvaskning nøgletal'!$C$12:$C$62,'Udvaskning nøgletal'!Q681:Q731)+Markniveau!$Y671*Markniveau!$S671/100,"")))</f>
        <v>56.087196661673502</v>
      </c>
      <c r="AK671" s="10">
        <f t="shared" si="109"/>
        <v>476.18029965760803</v>
      </c>
      <c r="AL671" s="10" t="str">
        <f t="shared" si="111"/>
        <v/>
      </c>
      <c r="AM671" s="10" t="str">
        <f t="shared" si="112"/>
        <v/>
      </c>
    </row>
    <row r="672" spans="1:39" x14ac:dyDescent="0.25">
      <c r="A672" s="15">
        <v>21750670</v>
      </c>
      <c r="B672" s="15">
        <v>124.88</v>
      </c>
      <c r="C672" s="15">
        <v>362760</v>
      </c>
      <c r="D672" s="15">
        <v>2574</v>
      </c>
      <c r="E672" s="15" t="s">
        <v>532</v>
      </c>
      <c r="F672" s="15">
        <v>2011</v>
      </c>
      <c r="G672" s="15">
        <v>20110223</v>
      </c>
      <c r="H672" s="15">
        <v>45408</v>
      </c>
      <c r="I672" s="15">
        <v>4.54</v>
      </c>
      <c r="J672" s="6" t="s">
        <v>495</v>
      </c>
      <c r="K672" s="15">
        <v>15</v>
      </c>
      <c r="L672" s="15" t="s">
        <v>362</v>
      </c>
      <c r="M672" s="15" t="s">
        <v>5</v>
      </c>
      <c r="N672" s="11" t="s">
        <v>1391</v>
      </c>
      <c r="O672" s="11" t="s">
        <v>46</v>
      </c>
      <c r="P672" s="11" t="s">
        <v>33</v>
      </c>
      <c r="Q672" s="15">
        <v>0</v>
      </c>
      <c r="R672" s="11" t="s">
        <v>1386</v>
      </c>
      <c r="S672" s="10">
        <v>104.14393323346999</v>
      </c>
      <c r="T672" s="15">
        <v>80</v>
      </c>
      <c r="U672" s="15">
        <v>0</v>
      </c>
      <c r="V672" s="15">
        <v>0</v>
      </c>
      <c r="W672" s="15">
        <v>0</v>
      </c>
      <c r="X672" s="15">
        <f>IF(O672='Udvaskning nøgletal'!$D$65,1,IF(O672='Udvaskning nøgletal'!$D$66,2,IF(O672='Udvaskning nøgletal'!$D$67,3,IF(O672='Udvaskning nøgletal'!$D$68,2,""))))</f>
        <v>2</v>
      </c>
      <c r="Y672" s="15">
        <f>LOOKUP(K672,'Udvaskning nøgletal'!$C$12:$C$60,'Udvaskning nøgletal'!$H$12:$H$60)</f>
        <v>5</v>
      </c>
      <c r="Z672" s="10">
        <f>IF(X672=1,LOOKUP(K672,'Udvaskning nøgletal'!$C$12:$C$60,'Udvaskning nøgletal'!$E$12:$E$60)+Markniveau!Y672*Markniveau!S672/100,IF(X672=2,LOOKUP(K672,'Udvaskning nøgletal'!$C$12:$C$60,'Udvaskning nøgletal'!$F$12:$F$60)+Markniveau!Y672*Markniveau!S672/100,IF(X672=3,LOOKUP(K672,'Udvaskning nøgletal'!$C$12:$C$60,'Udvaskning nøgletal'!G682:G730)+Markniveau!Y672*Markniveau!S672/100,"")))</f>
        <v>56.087196661673502</v>
      </c>
      <c r="AA672" s="10">
        <f t="shared" si="106"/>
        <v>254.6358728439977</v>
      </c>
      <c r="AB672" s="10" t="str">
        <f t="shared" si="105"/>
        <v/>
      </c>
      <c r="AC672" s="10" t="str">
        <f t="shared" si="107"/>
        <v/>
      </c>
      <c r="AD672" s="10">
        <f>IF(AND(Q672&gt;0,Q672&lt;30,K672&lt;8),Markniveau!Z672*'Udvaskning nøgletal'!$I$12/100,IF(AND(Q672&gt;0,Q672&lt;30,K672=216),Markniveau!Z672*'Udvaskning nøgletal'!$I$34/100,Markniveau!Z672))</f>
        <v>56.087196661673502</v>
      </c>
      <c r="AE672" s="10">
        <f t="shared" si="113"/>
        <v>254.6358728439977</v>
      </c>
      <c r="AF672" s="10" t="str">
        <f t="shared" si="108"/>
        <v/>
      </c>
      <c r="AG672" s="10" t="str">
        <f t="shared" si="114"/>
        <v/>
      </c>
      <c r="AH672" s="10" t="str">
        <f>IF(AND(Q672&gt;0,Q672&lt;30,K672=216),'Udvaskning nøgletal'!$C$42,IF(AND(Q672&gt;0,Q672&lt;30,K672&gt;7,K672&lt;17),'Udvaskning nøgletal'!$C$61,IF(AND(Q672&gt;0,Q672&lt;30,K672&lt;7),'Udvaskning nøgletal'!$C$62,"")))</f>
        <v/>
      </c>
      <c r="AI672" s="10">
        <f t="shared" si="110"/>
        <v>15</v>
      </c>
      <c r="AJ672" s="10">
        <f>IF($X672=1,LOOKUP(AI672,'Udvaskning nøgletal'!$C$12:$C$62,'Udvaskning nøgletal'!$E$12:$E$62)+Markniveau!$Y672*Markniveau!$S672/100,IF($X672=2,LOOKUP(AI672,'Udvaskning nøgletal'!$C$12:$C$62,'Udvaskning nøgletal'!$F$12:$F$62)+Markniveau!$Y672*Markniveau!$S672/100,IF($X672=3,LOOKUP(AI672,'Udvaskning nøgletal'!$C$12:$C$62,'Udvaskning nøgletal'!Q682:Q732)+Markniveau!$Y672*Markniveau!$S672/100,"")))</f>
        <v>56.087196661673502</v>
      </c>
      <c r="AK672" s="10">
        <f t="shared" si="109"/>
        <v>254.6358728439977</v>
      </c>
      <c r="AL672" s="10" t="str">
        <f t="shared" si="111"/>
        <v/>
      </c>
      <c r="AM672" s="10" t="str">
        <f t="shared" si="112"/>
        <v/>
      </c>
    </row>
    <row r="673" spans="1:39" x14ac:dyDescent="0.25">
      <c r="A673" s="15">
        <v>21750670</v>
      </c>
      <c r="B673" s="15">
        <v>124.88</v>
      </c>
      <c r="C673" s="15">
        <v>360730</v>
      </c>
      <c r="D673" s="15">
        <v>2574</v>
      </c>
      <c r="E673" s="15" t="s">
        <v>537</v>
      </c>
      <c r="F673" s="15">
        <v>2011</v>
      </c>
      <c r="G673" s="15">
        <v>20110223</v>
      </c>
      <c r="H673" s="15">
        <v>61636</v>
      </c>
      <c r="I673" s="15">
        <v>6.16</v>
      </c>
      <c r="J673" s="6" t="s">
        <v>61</v>
      </c>
      <c r="K673" s="15">
        <v>11</v>
      </c>
      <c r="L673" s="15" t="s">
        <v>102</v>
      </c>
      <c r="M673" s="15" t="s">
        <v>5</v>
      </c>
      <c r="N673" s="11" t="s">
        <v>1391</v>
      </c>
      <c r="O673" s="11" t="s">
        <v>46</v>
      </c>
      <c r="P673" s="11" t="s">
        <v>33</v>
      </c>
      <c r="Q673" s="15">
        <v>0</v>
      </c>
      <c r="R673" s="11" t="s">
        <v>1386</v>
      </c>
      <c r="S673" s="10">
        <v>104.14393323346999</v>
      </c>
      <c r="T673" s="15">
        <v>80</v>
      </c>
      <c r="U673" s="15">
        <v>0</v>
      </c>
      <c r="V673" s="15">
        <v>0</v>
      </c>
      <c r="W673" s="15">
        <v>0</v>
      </c>
      <c r="X673" s="15">
        <f>IF(O673='Udvaskning nøgletal'!$D$65,1,IF(O673='Udvaskning nøgletal'!$D$66,2,IF(O673='Udvaskning nøgletal'!$D$67,3,IF(O673='Udvaskning nøgletal'!$D$68,2,""))))</f>
        <v>2</v>
      </c>
      <c r="Y673" s="15">
        <f>LOOKUP(K673,'Udvaskning nøgletal'!$C$12:$C$60,'Udvaskning nøgletal'!$H$12:$H$60)</f>
        <v>5</v>
      </c>
      <c r="Z673" s="10">
        <f>IF(X673=1,LOOKUP(K673,'Udvaskning nøgletal'!$C$12:$C$60,'Udvaskning nøgletal'!$E$12:$E$60)+Markniveau!Y673*Markniveau!S673/100,IF(X673=2,LOOKUP(K673,'Udvaskning nøgletal'!$C$12:$C$60,'Udvaskning nøgletal'!$F$12:$F$60)+Markniveau!Y673*Markniveau!S673/100,IF(X673=3,LOOKUP(K673,'Udvaskning nøgletal'!$C$12:$C$60,'Udvaskning nøgletal'!G683:G731)+Markniveau!Y673*Markniveau!S673/100,"")))</f>
        <v>56.087196661673502</v>
      </c>
      <c r="AA673" s="10">
        <f t="shared" si="106"/>
        <v>345.49713143590878</v>
      </c>
      <c r="AB673" s="10" t="str">
        <f t="shared" si="105"/>
        <v/>
      </c>
      <c r="AC673" s="10" t="str">
        <f t="shared" si="107"/>
        <v/>
      </c>
      <c r="AD673" s="10">
        <f>IF(AND(Q673&gt;0,Q673&lt;30,K673&lt;8),Markniveau!Z673*'Udvaskning nøgletal'!$I$12/100,IF(AND(Q673&gt;0,Q673&lt;30,K673=216),Markniveau!Z673*'Udvaskning nøgletal'!$I$34/100,Markniveau!Z673))</f>
        <v>56.087196661673502</v>
      </c>
      <c r="AE673" s="10">
        <f t="shared" si="113"/>
        <v>345.49713143590878</v>
      </c>
      <c r="AF673" s="10" t="str">
        <f t="shared" si="108"/>
        <v/>
      </c>
      <c r="AG673" s="10" t="str">
        <f t="shared" si="114"/>
        <v/>
      </c>
      <c r="AH673" s="10" t="str">
        <f>IF(AND(Q673&gt;0,Q673&lt;30,K673=216),'Udvaskning nøgletal'!$C$42,IF(AND(Q673&gt;0,Q673&lt;30,K673&gt;7,K673&lt;17),'Udvaskning nøgletal'!$C$61,IF(AND(Q673&gt;0,Q673&lt;30,K673&lt;7),'Udvaskning nøgletal'!$C$62,"")))</f>
        <v/>
      </c>
      <c r="AI673" s="10">
        <f t="shared" si="110"/>
        <v>11</v>
      </c>
      <c r="AJ673" s="10">
        <f>IF($X673=1,LOOKUP(AI673,'Udvaskning nøgletal'!$C$12:$C$62,'Udvaskning nøgletal'!$E$12:$E$62)+Markniveau!$Y673*Markniveau!$S673/100,IF($X673=2,LOOKUP(AI673,'Udvaskning nøgletal'!$C$12:$C$62,'Udvaskning nøgletal'!$F$12:$F$62)+Markniveau!$Y673*Markniveau!$S673/100,IF($X673=3,LOOKUP(AI673,'Udvaskning nøgletal'!$C$12:$C$62,'Udvaskning nøgletal'!Q683:Q733)+Markniveau!$Y673*Markniveau!$S673/100,"")))</f>
        <v>56.087196661673502</v>
      </c>
      <c r="AK673" s="10">
        <f t="shared" si="109"/>
        <v>345.49713143590878</v>
      </c>
      <c r="AL673" s="10" t="str">
        <f t="shared" si="111"/>
        <v/>
      </c>
      <c r="AM673" s="10" t="str">
        <f t="shared" si="112"/>
        <v/>
      </c>
    </row>
    <row r="674" spans="1:39" x14ac:dyDescent="0.25">
      <c r="A674" s="15">
        <v>21750670</v>
      </c>
      <c r="B674" s="15">
        <v>124.88</v>
      </c>
      <c r="C674" s="15">
        <v>361231</v>
      </c>
      <c r="D674" s="15">
        <v>2574</v>
      </c>
      <c r="E674" s="15" t="s">
        <v>538</v>
      </c>
      <c r="F674" s="15">
        <v>2011</v>
      </c>
      <c r="G674" s="15">
        <v>20110223</v>
      </c>
      <c r="H674" s="15">
        <v>7709</v>
      </c>
      <c r="I674" s="15">
        <v>0.77</v>
      </c>
      <c r="J674" s="6" t="s">
        <v>1402</v>
      </c>
      <c r="K674" s="15">
        <v>251</v>
      </c>
      <c r="L674" s="15" t="s">
        <v>355</v>
      </c>
      <c r="M674" s="15" t="s">
        <v>4</v>
      </c>
      <c r="N674" s="11" t="s">
        <v>1391</v>
      </c>
      <c r="O674" s="11" t="s">
        <v>46</v>
      </c>
      <c r="P674" s="11" t="s">
        <v>33</v>
      </c>
      <c r="Q674" s="15">
        <v>0</v>
      </c>
      <c r="R674" s="11" t="s">
        <v>1386</v>
      </c>
      <c r="S674" s="10">
        <v>104.14393323346999</v>
      </c>
      <c r="T674" s="15">
        <v>80</v>
      </c>
      <c r="U674" s="15">
        <v>0</v>
      </c>
      <c r="V674" s="15">
        <v>0</v>
      </c>
      <c r="W674" s="15">
        <v>0</v>
      </c>
      <c r="X674" s="15">
        <f>IF(O674='Udvaskning nøgletal'!$D$65,1,IF(O674='Udvaskning nøgletal'!$D$66,2,IF(O674='Udvaskning nøgletal'!$D$67,3,IF(O674='Udvaskning nøgletal'!$D$68,2,""))))</f>
        <v>2</v>
      </c>
      <c r="Y674" s="15">
        <f>LOOKUP(K674,'Udvaskning nøgletal'!$C$12:$C$60,'Udvaskning nøgletal'!$H$12:$H$60)</f>
        <v>0</v>
      </c>
      <c r="Z674" s="10">
        <f>IF(X674=1,LOOKUP(K674,'Udvaskning nøgletal'!$C$12:$C$60,'Udvaskning nøgletal'!$E$12:$E$60)+Markniveau!Y674*Markniveau!S674/100,IF(X674=2,LOOKUP(K674,'Udvaskning nøgletal'!$C$12:$C$60,'Udvaskning nøgletal'!$F$12:$F$60)+Markniveau!Y674*Markniveau!S674/100,IF(X674=3,LOOKUP(K674,'Udvaskning nøgletal'!$C$12:$C$60,'Udvaskning nøgletal'!G684:G732)+Markniveau!Y674*Markniveau!S674/100,"")))</f>
        <v>21.2</v>
      </c>
      <c r="AA674" s="10">
        <f t="shared" si="106"/>
        <v>16.323999999999998</v>
      </c>
      <c r="AB674" s="10" t="str">
        <f t="shared" si="105"/>
        <v/>
      </c>
      <c r="AC674" s="10" t="str">
        <f t="shared" si="107"/>
        <v/>
      </c>
      <c r="AD674" s="10">
        <f>IF(AND(Q674&gt;0,Q674&lt;30,K674&lt;8),Markniveau!Z674*'Udvaskning nøgletal'!$I$12/100,IF(AND(Q674&gt;0,Q674&lt;30,K674=216),Markniveau!Z674*'Udvaskning nøgletal'!$I$34/100,Markniveau!Z674))</f>
        <v>21.2</v>
      </c>
      <c r="AE674" s="10">
        <f t="shared" si="113"/>
        <v>16.323999999999998</v>
      </c>
      <c r="AF674" s="10" t="str">
        <f t="shared" si="108"/>
        <v/>
      </c>
      <c r="AG674" s="10" t="str">
        <f t="shared" si="114"/>
        <v/>
      </c>
      <c r="AH674" s="10" t="str">
        <f>IF(AND(Q674&gt;0,Q674&lt;30,K674=216),'Udvaskning nøgletal'!$C$42,IF(AND(Q674&gt;0,Q674&lt;30,K674&gt;7,K674&lt;17),'Udvaskning nøgletal'!$C$61,IF(AND(Q674&gt;0,Q674&lt;30,K674&lt;7),'Udvaskning nøgletal'!$C$62,"")))</f>
        <v/>
      </c>
      <c r="AI674" s="10">
        <f t="shared" si="110"/>
        <v>251</v>
      </c>
      <c r="AJ674" s="10">
        <f>IF($X674=1,LOOKUP(AI674,'Udvaskning nøgletal'!$C$12:$C$62,'Udvaskning nøgletal'!$E$12:$E$62)+Markniveau!$Y674*Markniveau!$S674/100,IF($X674=2,LOOKUP(AI674,'Udvaskning nøgletal'!$C$12:$C$62,'Udvaskning nøgletal'!$F$12:$F$62)+Markniveau!$Y674*Markniveau!$S674/100,IF($X674=3,LOOKUP(AI674,'Udvaskning nøgletal'!$C$12:$C$62,'Udvaskning nøgletal'!Q684:Q734)+Markniveau!$Y674*Markniveau!$S674/100,"")))</f>
        <v>21.2</v>
      </c>
      <c r="AK674" s="10">
        <f t="shared" si="109"/>
        <v>16.323999999999998</v>
      </c>
      <c r="AL674" s="10" t="str">
        <f t="shared" si="111"/>
        <v/>
      </c>
      <c r="AM674" s="10" t="str">
        <f t="shared" si="112"/>
        <v/>
      </c>
    </row>
    <row r="675" spans="1:39" x14ac:dyDescent="0.25">
      <c r="A675" s="15">
        <v>25302133</v>
      </c>
      <c r="B675" s="15">
        <v>139.84</v>
      </c>
      <c r="C675" s="15">
        <v>194789</v>
      </c>
      <c r="D675" s="15">
        <v>96891</v>
      </c>
      <c r="E675" s="15" t="s">
        <v>442</v>
      </c>
      <c r="F675" s="15">
        <v>2011</v>
      </c>
      <c r="G675" s="15">
        <v>20110418</v>
      </c>
      <c r="H675" s="15">
        <v>28675</v>
      </c>
      <c r="I675" s="15">
        <v>2.87</v>
      </c>
      <c r="J675" s="6" t="s">
        <v>37</v>
      </c>
      <c r="K675" s="15">
        <v>1</v>
      </c>
      <c r="L675" s="15" t="s">
        <v>32</v>
      </c>
      <c r="M675" s="15" t="s">
        <v>5</v>
      </c>
      <c r="N675" s="11" t="s">
        <v>1384</v>
      </c>
      <c r="O675" s="11" t="s">
        <v>28</v>
      </c>
      <c r="P675" s="11" t="s">
        <v>29</v>
      </c>
      <c r="Q675" s="15">
        <v>95</v>
      </c>
      <c r="R675" s="11" t="s">
        <v>3</v>
      </c>
      <c r="S675" s="10">
        <v>121.70710446527001</v>
      </c>
      <c r="T675" s="15">
        <v>80</v>
      </c>
      <c r="U675" s="15">
        <v>0</v>
      </c>
      <c r="V675" s="15">
        <v>0</v>
      </c>
      <c r="W675" s="15">
        <v>0</v>
      </c>
      <c r="X675" s="15">
        <f>IF(O675='Udvaskning nøgletal'!$D$65,1,IF(O675='Udvaskning nøgletal'!$D$66,2,IF(O675='Udvaskning nøgletal'!$D$67,3,IF(O675='Udvaskning nøgletal'!$D$68,2,""))))</f>
        <v>1</v>
      </c>
      <c r="Y675" s="15">
        <f>LOOKUP(K675,'Udvaskning nøgletal'!$C$12:$C$60,'Udvaskning nøgletal'!$H$12:$H$60)</f>
        <v>5</v>
      </c>
      <c r="Z675" s="10">
        <f>IF(X675=1,LOOKUP(K675,'Udvaskning nøgletal'!$C$12:$C$60,'Udvaskning nøgletal'!$E$12:$E$60)+Markniveau!Y675*Markniveau!S675/100,IF(X675=2,LOOKUP(K675,'Udvaskning nøgletal'!$C$12:$C$60,'Udvaskning nøgletal'!$F$12:$F$60)+Markniveau!Y675*Markniveau!S675/100,IF(X675=3,LOOKUP(K675,'Udvaskning nøgletal'!$C$12:$C$60,'Udvaskning nøgletal'!G685:G733)+Markniveau!Y675*Markniveau!S675/100,"")))</f>
        <v>70.745355223263502</v>
      </c>
      <c r="AA675" s="10">
        <f t="shared" si="106"/>
        <v>203.03916949076626</v>
      </c>
      <c r="AB675" s="10">
        <f t="shared" si="105"/>
        <v>3.5372677611631751</v>
      </c>
      <c r="AC675" s="10">
        <f t="shared" si="107"/>
        <v>10.151958474538313</v>
      </c>
      <c r="AD675" s="10">
        <f>IF(AND(Q675&gt;0,Q675&lt;30,K675&lt;8),Markniveau!Z675*'Udvaskning nøgletal'!$I$12/100,IF(AND(Q675&gt;0,Q675&lt;30,K675=216),Markniveau!Z675*'Udvaskning nøgletal'!$I$34/100,Markniveau!Z675))</f>
        <v>70.745355223263502</v>
      </c>
      <c r="AE675" s="10">
        <f t="shared" si="113"/>
        <v>203.03916949076626</v>
      </c>
      <c r="AF675" s="10">
        <f t="shared" si="108"/>
        <v>3.5372677611631751</v>
      </c>
      <c r="AG675" s="10">
        <f t="shared" si="114"/>
        <v>10.151958474538313</v>
      </c>
      <c r="AH675" s="10" t="str">
        <f>IF(AND(Q675&gt;0,Q675&lt;30,K675=216),'Udvaskning nøgletal'!$C$42,IF(AND(Q675&gt;0,Q675&lt;30,K675&gt;7,K675&lt;17),'Udvaskning nøgletal'!$C$61,IF(AND(Q675&gt;0,Q675&lt;30,K675&lt;7),'Udvaskning nøgletal'!$C$62,"")))</f>
        <v/>
      </c>
      <c r="AI675" s="10">
        <f t="shared" si="110"/>
        <v>1</v>
      </c>
      <c r="AJ675" s="10">
        <f>IF($X675=1,LOOKUP(AI675,'Udvaskning nøgletal'!$C$12:$C$62,'Udvaskning nøgletal'!$E$12:$E$62)+Markniveau!$Y675*Markniveau!$S675/100,IF($X675=2,LOOKUP(AI675,'Udvaskning nøgletal'!$C$12:$C$62,'Udvaskning nøgletal'!$F$12:$F$62)+Markniveau!$Y675*Markniveau!$S675/100,IF($X675=3,LOOKUP(AI675,'Udvaskning nøgletal'!$C$12:$C$62,'Udvaskning nøgletal'!Q685:Q735)+Markniveau!$Y675*Markniveau!$S675/100,"")))</f>
        <v>70.745355223263502</v>
      </c>
      <c r="AK675" s="10">
        <f t="shared" si="109"/>
        <v>203.03916949076626</v>
      </c>
      <c r="AL675" s="10">
        <f t="shared" si="111"/>
        <v>3.5372677611631751</v>
      </c>
      <c r="AM675" s="10">
        <f t="shared" si="112"/>
        <v>10.151958474538313</v>
      </c>
    </row>
    <row r="676" spans="1:39" x14ac:dyDescent="0.25">
      <c r="A676" s="15">
        <v>25302133</v>
      </c>
      <c r="B676" s="15">
        <v>139.84</v>
      </c>
      <c r="C676" s="15">
        <v>194791</v>
      </c>
      <c r="D676" s="15">
        <v>96891</v>
      </c>
      <c r="E676" s="15" t="s">
        <v>441</v>
      </c>
      <c r="F676" s="15">
        <v>2011</v>
      </c>
      <c r="G676" s="15">
        <v>20110418</v>
      </c>
      <c r="H676" s="15">
        <v>36011</v>
      </c>
      <c r="I676" s="15">
        <v>3.6</v>
      </c>
      <c r="J676" s="6" t="s">
        <v>61</v>
      </c>
      <c r="K676" s="15">
        <v>1</v>
      </c>
      <c r="L676" s="15" t="s">
        <v>32</v>
      </c>
      <c r="M676" s="15" t="s">
        <v>5</v>
      </c>
      <c r="N676" s="11" t="s">
        <v>1384</v>
      </c>
      <c r="O676" s="11" t="s">
        <v>28</v>
      </c>
      <c r="P676" s="11" t="s">
        <v>29</v>
      </c>
      <c r="Q676" s="15">
        <v>95</v>
      </c>
      <c r="R676" s="11" t="s">
        <v>3</v>
      </c>
      <c r="S676" s="10">
        <v>121.70710446527001</v>
      </c>
      <c r="T676" s="15">
        <v>80</v>
      </c>
      <c r="U676" s="15">
        <v>0</v>
      </c>
      <c r="V676" s="15">
        <v>0</v>
      </c>
      <c r="W676" s="15">
        <v>0</v>
      </c>
      <c r="X676" s="15">
        <f>IF(O676='Udvaskning nøgletal'!$D$65,1,IF(O676='Udvaskning nøgletal'!$D$66,2,IF(O676='Udvaskning nøgletal'!$D$67,3,IF(O676='Udvaskning nøgletal'!$D$68,2,""))))</f>
        <v>1</v>
      </c>
      <c r="Y676" s="15">
        <f>LOOKUP(K676,'Udvaskning nøgletal'!$C$12:$C$60,'Udvaskning nøgletal'!$H$12:$H$60)</f>
        <v>5</v>
      </c>
      <c r="Z676" s="10">
        <f>IF(X676=1,LOOKUP(K676,'Udvaskning nøgletal'!$C$12:$C$60,'Udvaskning nøgletal'!$E$12:$E$60)+Markniveau!Y676*Markniveau!S676/100,IF(X676=2,LOOKUP(K676,'Udvaskning nøgletal'!$C$12:$C$60,'Udvaskning nøgletal'!$F$12:$F$60)+Markniveau!Y676*Markniveau!S676/100,IF(X676=3,LOOKUP(K676,'Udvaskning nøgletal'!$C$12:$C$60,'Udvaskning nøgletal'!G686:G734)+Markniveau!Y676*Markniveau!S676/100,"")))</f>
        <v>70.745355223263502</v>
      </c>
      <c r="AA676" s="10">
        <f t="shared" si="106"/>
        <v>254.68327880374861</v>
      </c>
      <c r="AB676" s="10">
        <f t="shared" si="105"/>
        <v>3.5372677611631751</v>
      </c>
      <c r="AC676" s="10">
        <f t="shared" si="107"/>
        <v>12.734163940187431</v>
      </c>
      <c r="AD676" s="10">
        <f>IF(AND(Q676&gt;0,Q676&lt;30,K676&lt;8),Markniveau!Z676*'Udvaskning nøgletal'!$I$12/100,IF(AND(Q676&gt;0,Q676&lt;30,K676=216),Markniveau!Z676*'Udvaskning nøgletal'!$I$34/100,Markniveau!Z676))</f>
        <v>70.745355223263502</v>
      </c>
      <c r="AE676" s="10">
        <f t="shared" si="113"/>
        <v>254.68327880374861</v>
      </c>
      <c r="AF676" s="10">
        <f t="shared" si="108"/>
        <v>3.5372677611631751</v>
      </c>
      <c r="AG676" s="10">
        <f t="shared" si="114"/>
        <v>12.734163940187431</v>
      </c>
      <c r="AH676" s="10" t="str">
        <f>IF(AND(Q676&gt;0,Q676&lt;30,K676=216),'Udvaskning nøgletal'!$C$42,IF(AND(Q676&gt;0,Q676&lt;30,K676&gt;7,K676&lt;17),'Udvaskning nøgletal'!$C$61,IF(AND(Q676&gt;0,Q676&lt;30,K676&lt;7),'Udvaskning nøgletal'!$C$62,"")))</f>
        <v/>
      </c>
      <c r="AI676" s="10">
        <f t="shared" si="110"/>
        <v>1</v>
      </c>
      <c r="AJ676" s="10">
        <f>IF($X676=1,LOOKUP(AI676,'Udvaskning nøgletal'!$C$12:$C$62,'Udvaskning nøgletal'!$E$12:$E$62)+Markniveau!$Y676*Markniveau!$S676/100,IF($X676=2,LOOKUP(AI676,'Udvaskning nøgletal'!$C$12:$C$62,'Udvaskning nøgletal'!$F$12:$F$62)+Markniveau!$Y676*Markniveau!$S676/100,IF($X676=3,LOOKUP(AI676,'Udvaskning nøgletal'!$C$12:$C$62,'Udvaskning nøgletal'!Q686:Q736)+Markniveau!$Y676*Markniveau!$S676/100,"")))</f>
        <v>70.745355223263502</v>
      </c>
      <c r="AK676" s="10">
        <f t="shared" si="109"/>
        <v>254.68327880374861</v>
      </c>
      <c r="AL676" s="10">
        <f t="shared" si="111"/>
        <v>3.5372677611631751</v>
      </c>
      <c r="AM676" s="10">
        <f t="shared" si="112"/>
        <v>12.734163940187431</v>
      </c>
    </row>
    <row r="677" spans="1:39" x14ac:dyDescent="0.25">
      <c r="A677" s="15">
        <v>25302133</v>
      </c>
      <c r="B677" s="15">
        <v>139.84</v>
      </c>
      <c r="C677" s="15">
        <v>195832</v>
      </c>
      <c r="D677" s="15">
        <v>96891</v>
      </c>
      <c r="E677" s="15" t="s">
        <v>539</v>
      </c>
      <c r="F677" s="15">
        <v>2011</v>
      </c>
      <c r="G677" s="15">
        <v>20110418</v>
      </c>
      <c r="H677" s="15">
        <v>129449</v>
      </c>
      <c r="I677" s="15">
        <v>12.94</v>
      </c>
      <c r="J677" s="6" t="s">
        <v>38</v>
      </c>
      <c r="K677" s="15">
        <v>11</v>
      </c>
      <c r="L677" s="15" t="s">
        <v>102</v>
      </c>
      <c r="M677" s="15" t="s">
        <v>5</v>
      </c>
      <c r="N677" s="11" t="s">
        <v>1391</v>
      </c>
      <c r="O677" s="11" t="s">
        <v>46</v>
      </c>
      <c r="P677" s="11" t="s">
        <v>29</v>
      </c>
      <c r="Q677" s="15">
        <v>0</v>
      </c>
      <c r="R677" s="11" t="s">
        <v>1386</v>
      </c>
      <c r="S677" s="10">
        <v>121.70710446527001</v>
      </c>
      <c r="T677" s="15">
        <v>80</v>
      </c>
      <c r="U677" s="15">
        <v>0</v>
      </c>
      <c r="V677" s="15">
        <v>0</v>
      </c>
      <c r="W677" s="15">
        <v>0</v>
      </c>
      <c r="X677" s="15">
        <f>IF(O677='Udvaskning nøgletal'!$D$65,1,IF(O677='Udvaskning nøgletal'!$D$66,2,IF(O677='Udvaskning nøgletal'!$D$67,3,IF(O677='Udvaskning nøgletal'!$D$68,2,""))))</f>
        <v>2</v>
      </c>
      <c r="Y677" s="15">
        <f>LOOKUP(K677,'Udvaskning nøgletal'!$C$12:$C$60,'Udvaskning nøgletal'!$H$12:$H$60)</f>
        <v>5</v>
      </c>
      <c r="Z677" s="10">
        <f>IF(X677=1,LOOKUP(K677,'Udvaskning nøgletal'!$C$12:$C$60,'Udvaskning nøgletal'!$E$12:$E$60)+Markniveau!Y677*Markniveau!S677/100,IF(X677=2,LOOKUP(K677,'Udvaskning nøgletal'!$C$12:$C$60,'Udvaskning nøgletal'!$F$12:$F$60)+Markniveau!Y677*Markniveau!S677/100,IF(X677=3,LOOKUP(K677,'Udvaskning nøgletal'!$C$12:$C$60,'Udvaskning nøgletal'!G687:G735)+Markniveau!Y677*Markniveau!S677/100,"")))</f>
        <v>56.965355223263501</v>
      </c>
      <c r="AA677" s="10">
        <f t="shared" si="106"/>
        <v>737.13169658902962</v>
      </c>
      <c r="AB677" s="10" t="str">
        <f t="shared" si="105"/>
        <v/>
      </c>
      <c r="AC677" s="10" t="str">
        <f t="shared" si="107"/>
        <v/>
      </c>
      <c r="AD677" s="10">
        <f>IF(AND(Q677&gt;0,Q677&lt;30,K677&lt;8),Markniveau!Z677*'Udvaskning nøgletal'!$I$12/100,IF(AND(Q677&gt;0,Q677&lt;30,K677=216),Markniveau!Z677*'Udvaskning nøgletal'!$I$34/100,Markniveau!Z677))</f>
        <v>56.965355223263501</v>
      </c>
      <c r="AE677" s="10">
        <f t="shared" si="113"/>
        <v>737.13169658902962</v>
      </c>
      <c r="AF677" s="10" t="str">
        <f t="shared" si="108"/>
        <v/>
      </c>
      <c r="AG677" s="10" t="str">
        <f t="shared" si="114"/>
        <v/>
      </c>
      <c r="AH677" s="10" t="str">
        <f>IF(AND(Q677&gt;0,Q677&lt;30,K677=216),'Udvaskning nøgletal'!$C$42,IF(AND(Q677&gt;0,Q677&lt;30,K677&gt;7,K677&lt;17),'Udvaskning nøgletal'!$C$61,IF(AND(Q677&gt;0,Q677&lt;30,K677&lt;7),'Udvaskning nøgletal'!$C$62,"")))</f>
        <v/>
      </c>
      <c r="AI677" s="10">
        <f t="shared" si="110"/>
        <v>11</v>
      </c>
      <c r="AJ677" s="10">
        <f>IF($X677=1,LOOKUP(AI677,'Udvaskning nøgletal'!$C$12:$C$62,'Udvaskning nøgletal'!$E$12:$E$62)+Markniveau!$Y677*Markniveau!$S677/100,IF($X677=2,LOOKUP(AI677,'Udvaskning nøgletal'!$C$12:$C$62,'Udvaskning nøgletal'!$F$12:$F$62)+Markniveau!$Y677*Markniveau!$S677/100,IF($X677=3,LOOKUP(AI677,'Udvaskning nøgletal'!$C$12:$C$62,'Udvaskning nøgletal'!Q687:Q737)+Markniveau!$Y677*Markniveau!$S677/100,"")))</f>
        <v>56.965355223263501</v>
      </c>
      <c r="AK677" s="10">
        <f t="shared" si="109"/>
        <v>737.13169658902962</v>
      </c>
      <c r="AL677" s="10" t="str">
        <f t="shared" si="111"/>
        <v/>
      </c>
      <c r="AM677" s="10" t="str">
        <f t="shared" si="112"/>
        <v/>
      </c>
    </row>
    <row r="678" spans="1:39" x14ac:dyDescent="0.25">
      <c r="A678" s="15">
        <v>25302133</v>
      </c>
      <c r="B678" s="15">
        <v>139.84</v>
      </c>
      <c r="C678" s="15">
        <v>195833</v>
      </c>
      <c r="D678" s="15">
        <v>96891</v>
      </c>
      <c r="E678" s="15" t="s">
        <v>540</v>
      </c>
      <c r="F678" s="15">
        <v>2011</v>
      </c>
      <c r="G678" s="15">
        <v>20110418</v>
      </c>
      <c r="H678" s="15">
        <v>94390</v>
      </c>
      <c r="I678" s="15">
        <v>9.44</v>
      </c>
      <c r="J678" s="6" t="s">
        <v>92</v>
      </c>
      <c r="K678" s="15">
        <v>1</v>
      </c>
      <c r="L678" s="15" t="s">
        <v>32</v>
      </c>
      <c r="M678" s="15" t="s">
        <v>5</v>
      </c>
      <c r="N678" s="11" t="s">
        <v>1391</v>
      </c>
      <c r="O678" s="11" t="s">
        <v>46</v>
      </c>
      <c r="P678" s="11" t="s">
        <v>29</v>
      </c>
      <c r="Q678" s="15">
        <v>95</v>
      </c>
      <c r="R678" s="11" t="s">
        <v>3</v>
      </c>
      <c r="S678" s="10">
        <v>121.70710446527001</v>
      </c>
      <c r="T678" s="15">
        <v>80</v>
      </c>
      <c r="U678" s="15">
        <v>0</v>
      </c>
      <c r="V678" s="15">
        <v>0</v>
      </c>
      <c r="W678" s="15">
        <v>0</v>
      </c>
      <c r="X678" s="15">
        <f>IF(O678='Udvaskning nøgletal'!$D$65,1,IF(O678='Udvaskning nøgletal'!$D$66,2,IF(O678='Udvaskning nøgletal'!$D$67,3,IF(O678='Udvaskning nøgletal'!$D$68,2,""))))</f>
        <v>2</v>
      </c>
      <c r="Y678" s="15">
        <f>LOOKUP(K678,'Udvaskning nøgletal'!$C$12:$C$60,'Udvaskning nøgletal'!$H$12:$H$60)</f>
        <v>5</v>
      </c>
      <c r="Z678" s="10">
        <f>IF(X678=1,LOOKUP(K678,'Udvaskning nøgletal'!$C$12:$C$60,'Udvaskning nøgletal'!$E$12:$E$60)+Markniveau!Y678*Markniveau!S678/100,IF(X678=2,LOOKUP(K678,'Udvaskning nøgletal'!$C$12:$C$60,'Udvaskning nøgletal'!$F$12:$F$60)+Markniveau!Y678*Markniveau!S678/100,IF(X678=3,LOOKUP(K678,'Udvaskning nøgletal'!$C$12:$C$60,'Udvaskning nøgletal'!G688:G736)+Markniveau!Y678*Markniveau!S678/100,"")))</f>
        <v>56.965355223263501</v>
      </c>
      <c r="AA678" s="10">
        <f t="shared" si="106"/>
        <v>537.75295330760741</v>
      </c>
      <c r="AB678" s="10">
        <f t="shared" si="105"/>
        <v>2.848267761163175</v>
      </c>
      <c r="AC678" s="10">
        <f t="shared" si="107"/>
        <v>26.887647665380371</v>
      </c>
      <c r="AD678" s="10">
        <f>IF(AND(Q678&gt;0,Q678&lt;30,K678&lt;8),Markniveau!Z678*'Udvaskning nøgletal'!$I$12/100,IF(AND(Q678&gt;0,Q678&lt;30,K678=216),Markniveau!Z678*'Udvaskning nøgletal'!$I$34/100,Markniveau!Z678))</f>
        <v>56.965355223263501</v>
      </c>
      <c r="AE678" s="10">
        <f t="shared" si="113"/>
        <v>537.75295330760741</v>
      </c>
      <c r="AF678" s="10">
        <f t="shared" si="108"/>
        <v>2.848267761163175</v>
      </c>
      <c r="AG678" s="10">
        <f t="shared" si="114"/>
        <v>26.887647665380371</v>
      </c>
      <c r="AH678" s="10" t="str">
        <f>IF(AND(Q678&gt;0,Q678&lt;30,K678=216),'Udvaskning nøgletal'!$C$42,IF(AND(Q678&gt;0,Q678&lt;30,K678&gt;7,K678&lt;17),'Udvaskning nøgletal'!$C$61,IF(AND(Q678&gt;0,Q678&lt;30,K678&lt;7),'Udvaskning nøgletal'!$C$62,"")))</f>
        <v/>
      </c>
      <c r="AI678" s="10">
        <f t="shared" si="110"/>
        <v>1</v>
      </c>
      <c r="AJ678" s="10">
        <f>IF($X678=1,LOOKUP(AI678,'Udvaskning nøgletal'!$C$12:$C$62,'Udvaskning nøgletal'!$E$12:$E$62)+Markniveau!$Y678*Markniveau!$S678/100,IF($X678=2,LOOKUP(AI678,'Udvaskning nøgletal'!$C$12:$C$62,'Udvaskning nøgletal'!$F$12:$F$62)+Markniveau!$Y678*Markniveau!$S678/100,IF($X678=3,LOOKUP(AI678,'Udvaskning nøgletal'!$C$12:$C$62,'Udvaskning nøgletal'!Q688:Q738)+Markniveau!$Y678*Markniveau!$S678/100,"")))</f>
        <v>56.965355223263501</v>
      </c>
      <c r="AK678" s="10">
        <f t="shared" si="109"/>
        <v>537.75295330760741</v>
      </c>
      <c r="AL678" s="10">
        <f t="shared" si="111"/>
        <v>2.848267761163175</v>
      </c>
      <c r="AM678" s="10">
        <f t="shared" si="112"/>
        <v>26.887647665380371</v>
      </c>
    </row>
    <row r="679" spans="1:39" x14ac:dyDescent="0.25">
      <c r="A679" s="15">
        <v>25302133</v>
      </c>
      <c r="B679" s="15">
        <v>139.84</v>
      </c>
      <c r="C679" s="15">
        <v>195837</v>
      </c>
      <c r="D679" s="15">
        <v>96891</v>
      </c>
      <c r="E679" s="15" t="s">
        <v>541</v>
      </c>
      <c r="F679" s="15">
        <v>2011</v>
      </c>
      <c r="G679" s="15">
        <v>20110418</v>
      </c>
      <c r="H679" s="15">
        <v>41269</v>
      </c>
      <c r="I679" s="15">
        <v>4.13</v>
      </c>
      <c r="J679" s="6" t="s">
        <v>65</v>
      </c>
      <c r="K679" s="15">
        <v>1</v>
      </c>
      <c r="L679" s="15" t="s">
        <v>32</v>
      </c>
      <c r="M679" s="15" t="s">
        <v>5</v>
      </c>
      <c r="N679" s="11" t="s">
        <v>1384</v>
      </c>
      <c r="O679" s="11" t="s">
        <v>28</v>
      </c>
      <c r="P679" s="11" t="s">
        <v>33</v>
      </c>
      <c r="Q679" s="15">
        <v>0</v>
      </c>
      <c r="R679" s="11" t="s">
        <v>1386</v>
      </c>
      <c r="S679" s="10">
        <v>121.70710446527001</v>
      </c>
      <c r="T679" s="15">
        <v>80</v>
      </c>
      <c r="U679" s="15">
        <v>0</v>
      </c>
      <c r="V679" s="15">
        <v>0</v>
      </c>
      <c r="W679" s="15">
        <v>0</v>
      </c>
      <c r="X679" s="15">
        <f>IF(O679='Udvaskning nøgletal'!$D$65,1,IF(O679='Udvaskning nøgletal'!$D$66,2,IF(O679='Udvaskning nøgletal'!$D$67,3,IF(O679='Udvaskning nøgletal'!$D$68,2,""))))</f>
        <v>1</v>
      </c>
      <c r="Y679" s="15">
        <f>LOOKUP(K679,'Udvaskning nøgletal'!$C$12:$C$60,'Udvaskning nøgletal'!$H$12:$H$60)</f>
        <v>5</v>
      </c>
      <c r="Z679" s="10">
        <f>IF(X679=1,LOOKUP(K679,'Udvaskning nøgletal'!$C$12:$C$60,'Udvaskning nøgletal'!$E$12:$E$60)+Markniveau!Y679*Markniveau!S679/100,IF(X679=2,LOOKUP(K679,'Udvaskning nøgletal'!$C$12:$C$60,'Udvaskning nøgletal'!$F$12:$F$60)+Markniveau!Y679*Markniveau!S679/100,IF(X679=3,LOOKUP(K679,'Udvaskning nøgletal'!$C$12:$C$60,'Udvaskning nøgletal'!G689:G737)+Markniveau!Y679*Markniveau!S679/100,"")))</f>
        <v>70.745355223263502</v>
      </c>
      <c r="AA679" s="10">
        <f t="shared" si="106"/>
        <v>292.17831707207824</v>
      </c>
      <c r="AB679" s="10" t="str">
        <f t="shared" si="105"/>
        <v/>
      </c>
      <c r="AC679" s="10" t="str">
        <f t="shared" si="107"/>
        <v/>
      </c>
      <c r="AD679" s="10">
        <f>IF(AND(Q679&gt;0,Q679&lt;30,K679&lt;8),Markniveau!Z679*'Udvaskning nøgletal'!$I$12/100,IF(AND(Q679&gt;0,Q679&lt;30,K679=216),Markniveau!Z679*'Udvaskning nøgletal'!$I$34/100,Markniveau!Z679))</f>
        <v>70.745355223263502</v>
      </c>
      <c r="AE679" s="10">
        <f t="shared" si="113"/>
        <v>292.17831707207824</v>
      </c>
      <c r="AF679" s="10" t="str">
        <f t="shared" si="108"/>
        <v/>
      </c>
      <c r="AG679" s="10" t="str">
        <f t="shared" si="114"/>
        <v/>
      </c>
      <c r="AH679" s="10" t="str">
        <f>IF(AND(Q679&gt;0,Q679&lt;30,K679=216),'Udvaskning nøgletal'!$C$42,IF(AND(Q679&gt;0,Q679&lt;30,K679&gt;7,K679&lt;17),'Udvaskning nøgletal'!$C$61,IF(AND(Q679&gt;0,Q679&lt;30,K679&lt;7),'Udvaskning nøgletal'!$C$62,"")))</f>
        <v/>
      </c>
      <c r="AI679" s="10">
        <f t="shared" si="110"/>
        <v>1</v>
      </c>
      <c r="AJ679" s="10">
        <f>IF($X679=1,LOOKUP(AI679,'Udvaskning nøgletal'!$C$12:$C$62,'Udvaskning nøgletal'!$E$12:$E$62)+Markniveau!$Y679*Markniveau!$S679/100,IF($X679=2,LOOKUP(AI679,'Udvaskning nøgletal'!$C$12:$C$62,'Udvaskning nøgletal'!$F$12:$F$62)+Markniveau!$Y679*Markniveau!$S679/100,IF($X679=3,LOOKUP(AI679,'Udvaskning nøgletal'!$C$12:$C$62,'Udvaskning nøgletal'!Q689:Q739)+Markniveau!$Y679*Markniveau!$S679/100,"")))</f>
        <v>70.745355223263502</v>
      </c>
      <c r="AK679" s="10">
        <f t="shared" si="109"/>
        <v>292.17831707207824</v>
      </c>
      <c r="AL679" s="10" t="str">
        <f t="shared" si="111"/>
        <v/>
      </c>
      <c r="AM679" s="10" t="str">
        <f t="shared" si="112"/>
        <v/>
      </c>
    </row>
    <row r="680" spans="1:39" x14ac:dyDescent="0.25">
      <c r="A680" s="15">
        <v>25302133</v>
      </c>
      <c r="B680" s="15">
        <v>139.84</v>
      </c>
      <c r="C680" s="15">
        <v>196339</v>
      </c>
      <c r="D680" s="15">
        <v>96891</v>
      </c>
      <c r="E680" s="15" t="s">
        <v>492</v>
      </c>
      <c r="F680" s="15">
        <v>2011</v>
      </c>
      <c r="G680" s="15">
        <v>20110418</v>
      </c>
      <c r="H680" s="15">
        <v>192657</v>
      </c>
      <c r="I680" s="15">
        <v>19.27</v>
      </c>
      <c r="J680" s="6" t="s">
        <v>301</v>
      </c>
      <c r="K680" s="15">
        <v>10</v>
      </c>
      <c r="L680" s="15" t="s">
        <v>107</v>
      </c>
      <c r="M680" s="15" t="s">
        <v>5</v>
      </c>
      <c r="N680" s="11" t="s">
        <v>1384</v>
      </c>
      <c r="O680" s="11" t="s">
        <v>28</v>
      </c>
      <c r="P680" s="11" t="s">
        <v>33</v>
      </c>
      <c r="Q680" s="15">
        <v>0</v>
      </c>
      <c r="R680" s="11" t="s">
        <v>1386</v>
      </c>
      <c r="S680" s="10">
        <v>121.70710446527001</v>
      </c>
      <c r="T680" s="15">
        <v>80</v>
      </c>
      <c r="U680" s="15">
        <v>0</v>
      </c>
      <c r="V680" s="15">
        <v>0</v>
      </c>
      <c r="W680" s="15">
        <v>0</v>
      </c>
      <c r="X680" s="15">
        <f>IF(O680='Udvaskning nøgletal'!$D$65,1,IF(O680='Udvaskning nøgletal'!$D$66,2,IF(O680='Udvaskning nøgletal'!$D$67,3,IF(O680='Udvaskning nøgletal'!$D$68,2,""))))</f>
        <v>1</v>
      </c>
      <c r="Y680" s="15">
        <f>LOOKUP(K680,'Udvaskning nøgletal'!$C$12:$C$60,'Udvaskning nøgletal'!$H$12:$H$60)</f>
        <v>5</v>
      </c>
      <c r="Z680" s="10">
        <f>IF(X680=1,LOOKUP(K680,'Udvaskning nøgletal'!$C$12:$C$60,'Udvaskning nøgletal'!$E$12:$E$60)+Markniveau!Y680*Markniveau!S680/100,IF(X680=2,LOOKUP(K680,'Udvaskning nøgletal'!$C$12:$C$60,'Udvaskning nøgletal'!$F$12:$F$60)+Markniveau!Y680*Markniveau!S680/100,IF(X680=3,LOOKUP(K680,'Udvaskning nøgletal'!$C$12:$C$60,'Udvaskning nøgletal'!G690:G738)+Markniveau!Y680*Markniveau!S680/100,"")))</f>
        <v>70.745355223263502</v>
      </c>
      <c r="AA680" s="10">
        <f t="shared" si="106"/>
        <v>1363.2629951522877</v>
      </c>
      <c r="AB680" s="10" t="str">
        <f t="shared" si="105"/>
        <v/>
      </c>
      <c r="AC680" s="10" t="str">
        <f t="shared" si="107"/>
        <v/>
      </c>
      <c r="AD680" s="10">
        <f>IF(AND(Q680&gt;0,Q680&lt;30,K680&lt;8),Markniveau!Z680*'Udvaskning nøgletal'!$I$12/100,IF(AND(Q680&gt;0,Q680&lt;30,K680=216),Markniveau!Z680*'Udvaskning nøgletal'!$I$34/100,Markniveau!Z680))</f>
        <v>70.745355223263502</v>
      </c>
      <c r="AE680" s="10">
        <f t="shared" si="113"/>
        <v>1363.2629951522877</v>
      </c>
      <c r="AF680" s="10" t="str">
        <f t="shared" si="108"/>
        <v/>
      </c>
      <c r="AG680" s="10" t="str">
        <f t="shared" si="114"/>
        <v/>
      </c>
      <c r="AH680" s="10" t="str">
        <f>IF(AND(Q680&gt;0,Q680&lt;30,K680=216),'Udvaskning nøgletal'!$C$42,IF(AND(Q680&gt;0,Q680&lt;30,K680&gt;7,K680&lt;17),'Udvaskning nøgletal'!$C$61,IF(AND(Q680&gt;0,Q680&lt;30,K680&lt;7),'Udvaskning nøgletal'!$C$62,"")))</f>
        <v/>
      </c>
      <c r="AI680" s="10">
        <f t="shared" si="110"/>
        <v>10</v>
      </c>
      <c r="AJ680" s="10">
        <f>IF($X680=1,LOOKUP(AI680,'Udvaskning nøgletal'!$C$12:$C$62,'Udvaskning nøgletal'!$E$12:$E$62)+Markniveau!$Y680*Markniveau!$S680/100,IF($X680=2,LOOKUP(AI680,'Udvaskning nøgletal'!$C$12:$C$62,'Udvaskning nøgletal'!$F$12:$F$62)+Markniveau!$Y680*Markniveau!$S680/100,IF($X680=3,LOOKUP(AI680,'Udvaskning nøgletal'!$C$12:$C$62,'Udvaskning nøgletal'!Q690:Q740)+Markniveau!$Y680*Markniveau!$S680/100,"")))</f>
        <v>70.745355223263502</v>
      </c>
      <c r="AK680" s="10">
        <f t="shared" si="109"/>
        <v>1363.2629951522877</v>
      </c>
      <c r="AL680" s="10" t="str">
        <f t="shared" si="111"/>
        <v/>
      </c>
      <c r="AM680" s="10" t="str">
        <f t="shared" si="112"/>
        <v/>
      </c>
    </row>
    <row r="681" spans="1:39" x14ac:dyDescent="0.25">
      <c r="A681" s="15">
        <v>25302133</v>
      </c>
      <c r="B681" s="15">
        <v>139.84</v>
      </c>
      <c r="C681" s="15">
        <v>196340</v>
      </c>
      <c r="D681" s="15">
        <v>96891</v>
      </c>
      <c r="E681" s="15" t="s">
        <v>542</v>
      </c>
      <c r="F681" s="15">
        <v>2011</v>
      </c>
      <c r="G681" s="15">
        <v>20110418</v>
      </c>
      <c r="H681" s="15">
        <v>128069</v>
      </c>
      <c r="I681" s="15">
        <v>12.81</v>
      </c>
      <c r="J681" s="6" t="s">
        <v>458</v>
      </c>
      <c r="K681" s="15">
        <v>11</v>
      </c>
      <c r="L681" s="15" t="s">
        <v>102</v>
      </c>
      <c r="M681" s="15" t="s">
        <v>5</v>
      </c>
      <c r="N681" s="11" t="s">
        <v>1384</v>
      </c>
      <c r="O681" s="11" t="s">
        <v>28</v>
      </c>
      <c r="P681" s="11" t="s">
        <v>33</v>
      </c>
      <c r="Q681" s="15">
        <v>0</v>
      </c>
      <c r="R681" s="11" t="s">
        <v>1386</v>
      </c>
      <c r="S681" s="10">
        <v>121.70710446527001</v>
      </c>
      <c r="T681" s="15">
        <v>80</v>
      </c>
      <c r="U681" s="15">
        <v>0</v>
      </c>
      <c r="V681" s="15">
        <v>0</v>
      </c>
      <c r="W681" s="15">
        <v>0</v>
      </c>
      <c r="X681" s="15">
        <f>IF(O681='Udvaskning nøgletal'!$D$65,1,IF(O681='Udvaskning nøgletal'!$D$66,2,IF(O681='Udvaskning nøgletal'!$D$67,3,IF(O681='Udvaskning nøgletal'!$D$68,2,""))))</f>
        <v>1</v>
      </c>
      <c r="Y681" s="15">
        <f>LOOKUP(K681,'Udvaskning nøgletal'!$C$12:$C$60,'Udvaskning nøgletal'!$H$12:$H$60)</f>
        <v>5</v>
      </c>
      <c r="Z681" s="10">
        <f>IF(X681=1,LOOKUP(K681,'Udvaskning nøgletal'!$C$12:$C$60,'Udvaskning nøgletal'!$E$12:$E$60)+Markniveau!Y681*Markniveau!S681/100,IF(X681=2,LOOKUP(K681,'Udvaskning nøgletal'!$C$12:$C$60,'Udvaskning nøgletal'!$F$12:$F$60)+Markniveau!Y681*Markniveau!S681/100,IF(X681=3,LOOKUP(K681,'Udvaskning nøgletal'!$C$12:$C$60,'Udvaskning nøgletal'!G691:G739)+Markniveau!Y681*Markniveau!S681/100,"")))</f>
        <v>70.745355223263502</v>
      </c>
      <c r="AA681" s="10">
        <f t="shared" si="106"/>
        <v>906.24800041000549</v>
      </c>
      <c r="AB681" s="10" t="str">
        <f t="shared" si="105"/>
        <v/>
      </c>
      <c r="AC681" s="10" t="str">
        <f t="shared" si="107"/>
        <v/>
      </c>
      <c r="AD681" s="10">
        <f>IF(AND(Q681&gt;0,Q681&lt;30,K681&lt;8),Markniveau!Z681*'Udvaskning nøgletal'!$I$12/100,IF(AND(Q681&gt;0,Q681&lt;30,K681=216),Markniveau!Z681*'Udvaskning nøgletal'!$I$34/100,Markniveau!Z681))</f>
        <v>70.745355223263502</v>
      </c>
      <c r="AE681" s="10">
        <f t="shared" si="113"/>
        <v>906.24800041000549</v>
      </c>
      <c r="AF681" s="10" t="str">
        <f t="shared" si="108"/>
        <v/>
      </c>
      <c r="AG681" s="10" t="str">
        <f t="shared" si="114"/>
        <v/>
      </c>
      <c r="AH681" s="10" t="str">
        <f>IF(AND(Q681&gt;0,Q681&lt;30,K681=216),'Udvaskning nøgletal'!$C$42,IF(AND(Q681&gt;0,Q681&lt;30,K681&gt;7,K681&lt;17),'Udvaskning nøgletal'!$C$61,IF(AND(Q681&gt;0,Q681&lt;30,K681&lt;7),'Udvaskning nøgletal'!$C$62,"")))</f>
        <v/>
      </c>
      <c r="AI681" s="10">
        <f t="shared" si="110"/>
        <v>11</v>
      </c>
      <c r="AJ681" s="10">
        <f>IF($X681=1,LOOKUP(AI681,'Udvaskning nøgletal'!$C$12:$C$62,'Udvaskning nøgletal'!$E$12:$E$62)+Markniveau!$Y681*Markniveau!$S681/100,IF($X681=2,LOOKUP(AI681,'Udvaskning nøgletal'!$C$12:$C$62,'Udvaskning nøgletal'!$F$12:$F$62)+Markniveau!$Y681*Markniveau!$S681/100,IF($X681=3,LOOKUP(AI681,'Udvaskning nøgletal'!$C$12:$C$62,'Udvaskning nøgletal'!Q691:Q741)+Markniveau!$Y681*Markniveau!$S681/100,"")))</f>
        <v>70.745355223263502</v>
      </c>
      <c r="AK681" s="10">
        <f t="shared" si="109"/>
        <v>906.24800041000549</v>
      </c>
      <c r="AL681" s="10" t="str">
        <f t="shared" si="111"/>
        <v/>
      </c>
      <c r="AM681" s="10" t="str">
        <f t="shared" si="112"/>
        <v/>
      </c>
    </row>
    <row r="682" spans="1:39" x14ac:dyDescent="0.25">
      <c r="A682" s="15">
        <v>25302133</v>
      </c>
      <c r="B682" s="15">
        <v>139.84</v>
      </c>
      <c r="C682" s="15">
        <v>196341</v>
      </c>
      <c r="D682" s="15">
        <v>96891</v>
      </c>
      <c r="E682" s="15" t="s">
        <v>541</v>
      </c>
      <c r="F682" s="15">
        <v>2011</v>
      </c>
      <c r="G682" s="15">
        <v>20110418</v>
      </c>
      <c r="H682" s="15">
        <v>191968</v>
      </c>
      <c r="I682" s="15">
        <v>19.2</v>
      </c>
      <c r="J682" s="6" t="s">
        <v>194</v>
      </c>
      <c r="K682" s="15">
        <v>1</v>
      </c>
      <c r="L682" s="15" t="s">
        <v>32</v>
      </c>
      <c r="M682" s="15" t="s">
        <v>5</v>
      </c>
      <c r="N682" s="11" t="s">
        <v>1384</v>
      </c>
      <c r="O682" s="11" t="s">
        <v>28</v>
      </c>
      <c r="P682" s="11" t="s">
        <v>33</v>
      </c>
      <c r="Q682" s="15">
        <v>0</v>
      </c>
      <c r="R682" s="11" t="s">
        <v>1386</v>
      </c>
      <c r="S682" s="10">
        <v>121.70710446527001</v>
      </c>
      <c r="T682" s="15">
        <v>80</v>
      </c>
      <c r="U682" s="15">
        <v>0</v>
      </c>
      <c r="V682" s="15">
        <v>0</v>
      </c>
      <c r="W682" s="15">
        <v>0</v>
      </c>
      <c r="X682" s="15">
        <f>IF(O682='Udvaskning nøgletal'!$D$65,1,IF(O682='Udvaskning nøgletal'!$D$66,2,IF(O682='Udvaskning nøgletal'!$D$67,3,IF(O682='Udvaskning nøgletal'!$D$68,2,""))))</f>
        <v>1</v>
      </c>
      <c r="Y682" s="15">
        <f>LOOKUP(K682,'Udvaskning nøgletal'!$C$12:$C$60,'Udvaskning nøgletal'!$H$12:$H$60)</f>
        <v>5</v>
      </c>
      <c r="Z682" s="10">
        <f>IF(X682=1,LOOKUP(K682,'Udvaskning nøgletal'!$C$12:$C$60,'Udvaskning nøgletal'!$E$12:$E$60)+Markniveau!Y682*Markniveau!S682/100,IF(X682=2,LOOKUP(K682,'Udvaskning nøgletal'!$C$12:$C$60,'Udvaskning nøgletal'!$F$12:$F$60)+Markniveau!Y682*Markniveau!S682/100,IF(X682=3,LOOKUP(K682,'Udvaskning nøgletal'!$C$12:$C$60,'Udvaskning nøgletal'!G692:G740)+Markniveau!Y682*Markniveau!S682/100,"")))</f>
        <v>70.745355223263502</v>
      </c>
      <c r="AA682" s="10">
        <f t="shared" si="106"/>
        <v>1358.3108202866592</v>
      </c>
      <c r="AB682" s="10" t="str">
        <f t="shared" si="105"/>
        <v/>
      </c>
      <c r="AC682" s="10" t="str">
        <f t="shared" si="107"/>
        <v/>
      </c>
      <c r="AD682" s="10">
        <f>IF(AND(Q682&gt;0,Q682&lt;30,K682&lt;8),Markniveau!Z682*'Udvaskning nøgletal'!$I$12/100,IF(AND(Q682&gt;0,Q682&lt;30,K682=216),Markniveau!Z682*'Udvaskning nøgletal'!$I$34/100,Markniveau!Z682))</f>
        <v>70.745355223263502</v>
      </c>
      <c r="AE682" s="10">
        <f t="shared" si="113"/>
        <v>1358.3108202866592</v>
      </c>
      <c r="AF682" s="10" t="str">
        <f t="shared" si="108"/>
        <v/>
      </c>
      <c r="AG682" s="10" t="str">
        <f t="shared" si="114"/>
        <v/>
      </c>
      <c r="AH682" s="10" t="str">
        <f>IF(AND(Q682&gt;0,Q682&lt;30,K682=216),'Udvaskning nøgletal'!$C$42,IF(AND(Q682&gt;0,Q682&lt;30,K682&gt;7,K682&lt;17),'Udvaskning nøgletal'!$C$61,IF(AND(Q682&gt;0,Q682&lt;30,K682&lt;7),'Udvaskning nøgletal'!$C$62,"")))</f>
        <v/>
      </c>
      <c r="AI682" s="10">
        <f t="shared" si="110"/>
        <v>1</v>
      </c>
      <c r="AJ682" s="10">
        <f>IF($X682=1,LOOKUP(AI682,'Udvaskning nøgletal'!$C$12:$C$62,'Udvaskning nøgletal'!$E$12:$E$62)+Markniveau!$Y682*Markniveau!$S682/100,IF($X682=2,LOOKUP(AI682,'Udvaskning nøgletal'!$C$12:$C$62,'Udvaskning nøgletal'!$F$12:$F$62)+Markniveau!$Y682*Markniveau!$S682/100,IF($X682=3,LOOKUP(AI682,'Udvaskning nøgletal'!$C$12:$C$62,'Udvaskning nøgletal'!Q692:Q742)+Markniveau!$Y682*Markniveau!$S682/100,"")))</f>
        <v>70.745355223263502</v>
      </c>
      <c r="AK682" s="10">
        <f t="shared" si="109"/>
        <v>1358.3108202866592</v>
      </c>
      <c r="AL682" s="10" t="str">
        <f t="shared" si="111"/>
        <v/>
      </c>
      <c r="AM682" s="10" t="str">
        <f t="shared" si="112"/>
        <v/>
      </c>
    </row>
    <row r="683" spans="1:39" x14ac:dyDescent="0.25">
      <c r="A683" s="15">
        <v>25302133</v>
      </c>
      <c r="B683" s="15">
        <v>139.84</v>
      </c>
      <c r="C683" s="15">
        <v>196342</v>
      </c>
      <c r="D683" s="15">
        <v>96891</v>
      </c>
      <c r="E683" s="15" t="s">
        <v>543</v>
      </c>
      <c r="F683" s="15">
        <v>2011</v>
      </c>
      <c r="G683" s="15">
        <v>20110418</v>
      </c>
      <c r="H683" s="15">
        <v>95647</v>
      </c>
      <c r="I683" s="15">
        <v>9.56</v>
      </c>
      <c r="J683" s="6" t="s">
        <v>144</v>
      </c>
      <c r="K683" s="15">
        <v>22</v>
      </c>
      <c r="L683" s="15" t="s">
        <v>213</v>
      </c>
      <c r="M683" s="15" t="s">
        <v>5</v>
      </c>
      <c r="N683" s="11" t="s">
        <v>1391</v>
      </c>
      <c r="O683" s="11" t="s">
        <v>46</v>
      </c>
      <c r="P683" s="11" t="s">
        <v>29</v>
      </c>
      <c r="Q683" s="15">
        <v>95</v>
      </c>
      <c r="R683" s="11" t="s">
        <v>3</v>
      </c>
      <c r="S683" s="10">
        <v>121.70710446527001</v>
      </c>
      <c r="T683" s="15">
        <v>80</v>
      </c>
      <c r="U683" s="15">
        <v>0</v>
      </c>
      <c r="V683" s="15">
        <v>0</v>
      </c>
      <c r="W683" s="15">
        <v>0</v>
      </c>
      <c r="X683" s="15">
        <f>IF(O683='Udvaskning nøgletal'!$D$65,1,IF(O683='Udvaskning nøgletal'!$D$66,2,IF(O683='Udvaskning nøgletal'!$D$67,3,IF(O683='Udvaskning nøgletal'!$D$68,2,""))))</f>
        <v>2</v>
      </c>
      <c r="Y683" s="15">
        <f>LOOKUP(K683,'Udvaskning nøgletal'!$C$12:$C$60,'Udvaskning nøgletal'!$H$12:$H$60)</f>
        <v>5</v>
      </c>
      <c r="Z683" s="10">
        <f>IF(X683=1,LOOKUP(K683,'Udvaskning nøgletal'!$C$12:$C$60,'Udvaskning nøgletal'!$E$12:$E$60)+Markniveau!Y683*Markniveau!S683/100,IF(X683=2,LOOKUP(K683,'Udvaskning nøgletal'!$C$12:$C$60,'Udvaskning nøgletal'!$F$12:$F$60)+Markniveau!Y683*Markniveau!S683/100,IF(X683=3,LOOKUP(K683,'Udvaskning nøgletal'!$C$12:$C$60,'Udvaskning nøgletal'!G693:G741)+Markniveau!Y683*Markniveau!S683/100,"")))</f>
        <v>56.965355223263501</v>
      </c>
      <c r="AA683" s="10">
        <f t="shared" si="106"/>
        <v>544.58879593439906</v>
      </c>
      <c r="AB683" s="10">
        <f t="shared" si="105"/>
        <v>2.848267761163175</v>
      </c>
      <c r="AC683" s="10">
        <f t="shared" si="107"/>
        <v>27.229439796719955</v>
      </c>
      <c r="AD683" s="10">
        <f>IF(AND(Q683&gt;0,Q683&lt;30,K683&lt;8),Markniveau!Z683*'Udvaskning nøgletal'!$I$12/100,IF(AND(Q683&gt;0,Q683&lt;30,K683=216),Markniveau!Z683*'Udvaskning nøgletal'!$I$34/100,Markniveau!Z683))</f>
        <v>56.965355223263501</v>
      </c>
      <c r="AE683" s="10">
        <f t="shared" si="113"/>
        <v>544.58879593439906</v>
      </c>
      <c r="AF683" s="10">
        <f t="shared" si="108"/>
        <v>2.848267761163175</v>
      </c>
      <c r="AG683" s="10">
        <f t="shared" si="114"/>
        <v>27.229439796719955</v>
      </c>
      <c r="AH683" s="10" t="str">
        <f>IF(AND(Q683&gt;0,Q683&lt;30,K683=216),'Udvaskning nøgletal'!$C$42,IF(AND(Q683&gt;0,Q683&lt;30,K683&gt;7,K683&lt;17),'Udvaskning nøgletal'!$C$61,IF(AND(Q683&gt;0,Q683&lt;30,K683&lt;7),'Udvaskning nøgletal'!$C$62,"")))</f>
        <v/>
      </c>
      <c r="AI683" s="10">
        <f t="shared" si="110"/>
        <v>22</v>
      </c>
      <c r="AJ683" s="10">
        <f>IF($X683=1,LOOKUP(AI683,'Udvaskning nøgletal'!$C$12:$C$62,'Udvaskning nøgletal'!$E$12:$E$62)+Markniveau!$Y683*Markniveau!$S683/100,IF($X683=2,LOOKUP(AI683,'Udvaskning nøgletal'!$C$12:$C$62,'Udvaskning nøgletal'!$F$12:$F$62)+Markniveau!$Y683*Markniveau!$S683/100,IF($X683=3,LOOKUP(AI683,'Udvaskning nøgletal'!$C$12:$C$62,'Udvaskning nøgletal'!Q693:Q743)+Markniveau!$Y683*Markniveau!$S683/100,"")))</f>
        <v>56.965355223263501</v>
      </c>
      <c r="AK683" s="10">
        <f t="shared" si="109"/>
        <v>544.58879593439906</v>
      </c>
      <c r="AL683" s="10">
        <f t="shared" si="111"/>
        <v>2.848267761163175</v>
      </c>
      <c r="AM683" s="10">
        <f t="shared" si="112"/>
        <v>27.229439796719955</v>
      </c>
    </row>
    <row r="684" spans="1:39" x14ac:dyDescent="0.25">
      <c r="A684" s="15">
        <v>25302133</v>
      </c>
      <c r="B684" s="15">
        <v>139.84</v>
      </c>
      <c r="C684" s="15">
        <v>197394</v>
      </c>
      <c r="D684" s="15">
        <v>96891</v>
      </c>
      <c r="E684" s="15" t="s">
        <v>544</v>
      </c>
      <c r="F684" s="15">
        <v>2011</v>
      </c>
      <c r="G684" s="15">
        <v>20110418</v>
      </c>
      <c r="H684" s="15">
        <v>26755</v>
      </c>
      <c r="I684" s="15">
        <v>2.68</v>
      </c>
      <c r="J684" s="6" t="s">
        <v>545</v>
      </c>
      <c r="K684" s="15">
        <v>10</v>
      </c>
      <c r="L684" s="15" t="s">
        <v>107</v>
      </c>
      <c r="M684" s="15" t="s">
        <v>5</v>
      </c>
      <c r="N684" s="11" t="s">
        <v>1384</v>
      </c>
      <c r="O684" s="11" t="s">
        <v>28</v>
      </c>
      <c r="P684" s="11" t="s">
        <v>33</v>
      </c>
      <c r="Q684" s="15">
        <v>0</v>
      </c>
      <c r="R684" s="11" t="s">
        <v>1386</v>
      </c>
      <c r="S684" s="10">
        <v>121.70710446527001</v>
      </c>
      <c r="T684" s="15">
        <v>80</v>
      </c>
      <c r="U684" s="15">
        <v>0</v>
      </c>
      <c r="V684" s="15">
        <v>0</v>
      </c>
      <c r="W684" s="15">
        <v>0</v>
      </c>
      <c r="X684" s="15">
        <f>IF(O684='Udvaskning nøgletal'!$D$65,1,IF(O684='Udvaskning nøgletal'!$D$66,2,IF(O684='Udvaskning nøgletal'!$D$67,3,IF(O684='Udvaskning nøgletal'!$D$68,2,""))))</f>
        <v>1</v>
      </c>
      <c r="Y684" s="15">
        <f>LOOKUP(K684,'Udvaskning nøgletal'!$C$12:$C$60,'Udvaskning nøgletal'!$H$12:$H$60)</f>
        <v>5</v>
      </c>
      <c r="Z684" s="10">
        <f>IF(X684=1,LOOKUP(K684,'Udvaskning nøgletal'!$C$12:$C$60,'Udvaskning nøgletal'!$E$12:$E$60)+Markniveau!Y684*Markniveau!S684/100,IF(X684=2,LOOKUP(K684,'Udvaskning nøgletal'!$C$12:$C$60,'Udvaskning nøgletal'!$F$12:$F$60)+Markniveau!Y684*Markniveau!S684/100,IF(X684=3,LOOKUP(K684,'Udvaskning nøgletal'!$C$12:$C$60,'Udvaskning nøgletal'!G694:G742)+Markniveau!Y684*Markniveau!S684/100,"")))</f>
        <v>70.745355223263502</v>
      </c>
      <c r="AA684" s="10">
        <f t="shared" si="106"/>
        <v>189.5975519983462</v>
      </c>
      <c r="AB684" s="10" t="str">
        <f t="shared" si="105"/>
        <v/>
      </c>
      <c r="AC684" s="10" t="str">
        <f t="shared" si="107"/>
        <v/>
      </c>
      <c r="AD684" s="10">
        <f>IF(AND(Q684&gt;0,Q684&lt;30,K684&lt;8),Markniveau!Z684*'Udvaskning nøgletal'!$I$12/100,IF(AND(Q684&gt;0,Q684&lt;30,K684=216),Markniveau!Z684*'Udvaskning nøgletal'!$I$34/100,Markniveau!Z684))</f>
        <v>70.745355223263502</v>
      </c>
      <c r="AE684" s="10">
        <f t="shared" si="113"/>
        <v>189.5975519983462</v>
      </c>
      <c r="AF684" s="10" t="str">
        <f t="shared" si="108"/>
        <v/>
      </c>
      <c r="AG684" s="10" t="str">
        <f t="shared" si="114"/>
        <v/>
      </c>
      <c r="AH684" s="10" t="str">
        <f>IF(AND(Q684&gt;0,Q684&lt;30,K684=216),'Udvaskning nøgletal'!$C$42,IF(AND(Q684&gt;0,Q684&lt;30,K684&gt;7,K684&lt;17),'Udvaskning nøgletal'!$C$61,IF(AND(Q684&gt;0,Q684&lt;30,K684&lt;7),'Udvaskning nøgletal'!$C$62,"")))</f>
        <v/>
      </c>
      <c r="AI684" s="10">
        <f t="shared" si="110"/>
        <v>10</v>
      </c>
      <c r="AJ684" s="10">
        <f>IF($X684=1,LOOKUP(AI684,'Udvaskning nøgletal'!$C$12:$C$62,'Udvaskning nøgletal'!$E$12:$E$62)+Markniveau!$Y684*Markniveau!$S684/100,IF($X684=2,LOOKUP(AI684,'Udvaskning nøgletal'!$C$12:$C$62,'Udvaskning nøgletal'!$F$12:$F$62)+Markniveau!$Y684*Markniveau!$S684/100,IF($X684=3,LOOKUP(AI684,'Udvaskning nøgletal'!$C$12:$C$62,'Udvaskning nøgletal'!Q694:Q744)+Markniveau!$Y684*Markniveau!$S684/100,"")))</f>
        <v>70.745355223263502</v>
      </c>
      <c r="AK684" s="10">
        <f t="shared" si="109"/>
        <v>189.5975519983462</v>
      </c>
      <c r="AL684" s="10" t="str">
        <f t="shared" si="111"/>
        <v/>
      </c>
      <c r="AM684" s="10" t="str">
        <f t="shared" si="112"/>
        <v/>
      </c>
    </row>
    <row r="685" spans="1:39" x14ac:dyDescent="0.25">
      <c r="A685" s="15">
        <v>25302133</v>
      </c>
      <c r="B685" s="15">
        <v>139.84</v>
      </c>
      <c r="C685" s="15">
        <v>197395</v>
      </c>
      <c r="D685" s="15">
        <v>96891</v>
      </c>
      <c r="E685" s="15" t="s">
        <v>546</v>
      </c>
      <c r="F685" s="15">
        <v>2011</v>
      </c>
      <c r="G685" s="15">
        <v>20110418</v>
      </c>
      <c r="H685" s="15">
        <v>32808</v>
      </c>
      <c r="I685" s="15">
        <v>3.28</v>
      </c>
      <c r="J685" s="6" t="s">
        <v>547</v>
      </c>
      <c r="K685" s="15">
        <v>11</v>
      </c>
      <c r="L685" s="15" t="s">
        <v>102</v>
      </c>
      <c r="M685" s="15" t="s">
        <v>5</v>
      </c>
      <c r="N685" s="11" t="s">
        <v>1384</v>
      </c>
      <c r="O685" s="11" t="s">
        <v>28</v>
      </c>
      <c r="P685" s="11" t="s">
        <v>33</v>
      </c>
      <c r="Q685" s="15">
        <v>0</v>
      </c>
      <c r="R685" s="11" t="s">
        <v>1386</v>
      </c>
      <c r="S685" s="10">
        <v>121.70710446527001</v>
      </c>
      <c r="T685" s="15">
        <v>80</v>
      </c>
      <c r="U685" s="15">
        <v>0</v>
      </c>
      <c r="V685" s="15">
        <v>0</v>
      </c>
      <c r="W685" s="15">
        <v>0</v>
      </c>
      <c r="X685" s="15">
        <f>IF(O685='Udvaskning nøgletal'!$D$65,1,IF(O685='Udvaskning nøgletal'!$D$66,2,IF(O685='Udvaskning nøgletal'!$D$67,3,IF(O685='Udvaskning nøgletal'!$D$68,2,""))))</f>
        <v>1</v>
      </c>
      <c r="Y685" s="15">
        <f>LOOKUP(K685,'Udvaskning nøgletal'!$C$12:$C$60,'Udvaskning nøgletal'!$H$12:$H$60)</f>
        <v>5</v>
      </c>
      <c r="Z685" s="10">
        <f>IF(X685=1,LOOKUP(K685,'Udvaskning nøgletal'!$C$12:$C$60,'Udvaskning nøgletal'!$E$12:$E$60)+Markniveau!Y685*Markniveau!S685/100,IF(X685=2,LOOKUP(K685,'Udvaskning nøgletal'!$C$12:$C$60,'Udvaskning nøgletal'!$F$12:$F$60)+Markniveau!Y685*Markniveau!S685/100,IF(X685=3,LOOKUP(K685,'Udvaskning nøgletal'!$C$12:$C$60,'Udvaskning nøgletal'!G695:G743)+Markniveau!Y685*Markniveau!S685/100,"")))</f>
        <v>70.745355223263502</v>
      </c>
      <c r="AA685" s="10">
        <f t="shared" si="106"/>
        <v>232.04476513230426</v>
      </c>
      <c r="AB685" s="10" t="str">
        <f t="shared" si="105"/>
        <v/>
      </c>
      <c r="AC685" s="10" t="str">
        <f t="shared" si="107"/>
        <v/>
      </c>
      <c r="AD685" s="10">
        <f>IF(AND(Q685&gt;0,Q685&lt;30,K685&lt;8),Markniveau!Z685*'Udvaskning nøgletal'!$I$12/100,IF(AND(Q685&gt;0,Q685&lt;30,K685=216),Markniveau!Z685*'Udvaskning nøgletal'!$I$34/100,Markniveau!Z685))</f>
        <v>70.745355223263502</v>
      </c>
      <c r="AE685" s="10">
        <f t="shared" si="113"/>
        <v>232.04476513230426</v>
      </c>
      <c r="AF685" s="10" t="str">
        <f t="shared" si="108"/>
        <v/>
      </c>
      <c r="AG685" s="10" t="str">
        <f t="shared" si="114"/>
        <v/>
      </c>
      <c r="AH685" s="10" t="str">
        <f>IF(AND(Q685&gt;0,Q685&lt;30,K685=216),'Udvaskning nøgletal'!$C$42,IF(AND(Q685&gt;0,Q685&lt;30,K685&gt;7,K685&lt;17),'Udvaskning nøgletal'!$C$61,IF(AND(Q685&gt;0,Q685&lt;30,K685&lt;7),'Udvaskning nøgletal'!$C$62,"")))</f>
        <v/>
      </c>
      <c r="AI685" s="10">
        <f t="shared" si="110"/>
        <v>11</v>
      </c>
      <c r="AJ685" s="10">
        <f>IF($X685=1,LOOKUP(AI685,'Udvaskning nøgletal'!$C$12:$C$62,'Udvaskning nøgletal'!$E$12:$E$62)+Markniveau!$Y685*Markniveau!$S685/100,IF($X685=2,LOOKUP(AI685,'Udvaskning nøgletal'!$C$12:$C$62,'Udvaskning nøgletal'!$F$12:$F$62)+Markniveau!$Y685*Markniveau!$S685/100,IF($X685=3,LOOKUP(AI685,'Udvaskning nøgletal'!$C$12:$C$62,'Udvaskning nøgletal'!Q695:Q745)+Markniveau!$Y685*Markniveau!$S685/100,"")))</f>
        <v>70.745355223263502</v>
      </c>
      <c r="AK685" s="10">
        <f t="shared" si="109"/>
        <v>232.04476513230426</v>
      </c>
      <c r="AL685" s="10" t="str">
        <f t="shared" si="111"/>
        <v/>
      </c>
      <c r="AM685" s="10" t="str">
        <f t="shared" si="112"/>
        <v/>
      </c>
    </row>
    <row r="686" spans="1:39" x14ac:dyDescent="0.25">
      <c r="A686" s="15">
        <v>25302133</v>
      </c>
      <c r="B686" s="15">
        <v>139.84</v>
      </c>
      <c r="C686" s="15">
        <v>197396</v>
      </c>
      <c r="D686" s="15">
        <v>96891</v>
      </c>
      <c r="E686" s="15" t="s">
        <v>548</v>
      </c>
      <c r="F686" s="15">
        <v>2011</v>
      </c>
      <c r="G686" s="15">
        <v>20110418</v>
      </c>
      <c r="H686" s="15">
        <v>19762</v>
      </c>
      <c r="I686" s="15">
        <v>1.98</v>
      </c>
      <c r="J686" s="6" t="s">
        <v>549</v>
      </c>
      <c r="K686" s="15">
        <v>10</v>
      </c>
      <c r="L686" s="15" t="s">
        <v>107</v>
      </c>
      <c r="M686" s="15" t="s">
        <v>5</v>
      </c>
      <c r="N686" s="11" t="s">
        <v>1384</v>
      </c>
      <c r="O686" s="11" t="s">
        <v>28</v>
      </c>
      <c r="P686" s="11" t="s">
        <v>33</v>
      </c>
      <c r="Q686" s="15">
        <v>0</v>
      </c>
      <c r="R686" s="11" t="s">
        <v>1386</v>
      </c>
      <c r="S686" s="10">
        <v>121.70710446527001</v>
      </c>
      <c r="T686" s="15">
        <v>80</v>
      </c>
      <c r="U686" s="15">
        <v>0</v>
      </c>
      <c r="V686" s="15">
        <v>0</v>
      </c>
      <c r="W686" s="15">
        <v>0</v>
      </c>
      <c r="X686" s="15">
        <f>IF(O686='Udvaskning nøgletal'!$D$65,1,IF(O686='Udvaskning nøgletal'!$D$66,2,IF(O686='Udvaskning nøgletal'!$D$67,3,IF(O686='Udvaskning nøgletal'!$D$68,2,""))))</f>
        <v>1</v>
      </c>
      <c r="Y686" s="15">
        <f>LOOKUP(K686,'Udvaskning nøgletal'!$C$12:$C$60,'Udvaskning nøgletal'!$H$12:$H$60)</f>
        <v>5</v>
      </c>
      <c r="Z686" s="10">
        <f>IF(X686=1,LOOKUP(K686,'Udvaskning nøgletal'!$C$12:$C$60,'Udvaskning nøgletal'!$E$12:$E$60)+Markniveau!Y686*Markniveau!S686/100,IF(X686=2,LOOKUP(K686,'Udvaskning nøgletal'!$C$12:$C$60,'Udvaskning nøgletal'!$F$12:$F$60)+Markniveau!Y686*Markniveau!S686/100,IF(X686=3,LOOKUP(K686,'Udvaskning nøgletal'!$C$12:$C$60,'Udvaskning nøgletal'!G696:G744)+Markniveau!Y686*Markniveau!S686/100,"")))</f>
        <v>70.745355223263502</v>
      </c>
      <c r="AA686" s="10">
        <f t="shared" si="106"/>
        <v>140.07580334206173</v>
      </c>
      <c r="AB686" s="10" t="str">
        <f t="shared" si="105"/>
        <v/>
      </c>
      <c r="AC686" s="10" t="str">
        <f t="shared" si="107"/>
        <v/>
      </c>
      <c r="AD686" s="10">
        <f>IF(AND(Q686&gt;0,Q686&lt;30,K686&lt;8),Markniveau!Z686*'Udvaskning nøgletal'!$I$12/100,IF(AND(Q686&gt;0,Q686&lt;30,K686=216),Markniveau!Z686*'Udvaskning nøgletal'!$I$34/100,Markniveau!Z686))</f>
        <v>70.745355223263502</v>
      </c>
      <c r="AE686" s="10">
        <f t="shared" si="113"/>
        <v>140.07580334206173</v>
      </c>
      <c r="AF686" s="10" t="str">
        <f t="shared" si="108"/>
        <v/>
      </c>
      <c r="AG686" s="10" t="str">
        <f t="shared" si="114"/>
        <v/>
      </c>
      <c r="AH686" s="10" t="str">
        <f>IF(AND(Q686&gt;0,Q686&lt;30,K686=216),'Udvaskning nøgletal'!$C$42,IF(AND(Q686&gt;0,Q686&lt;30,K686&gt;7,K686&lt;17),'Udvaskning nøgletal'!$C$61,IF(AND(Q686&gt;0,Q686&lt;30,K686&lt;7),'Udvaskning nøgletal'!$C$62,"")))</f>
        <v/>
      </c>
      <c r="AI686" s="10">
        <f t="shared" si="110"/>
        <v>10</v>
      </c>
      <c r="AJ686" s="10">
        <f>IF($X686=1,LOOKUP(AI686,'Udvaskning nøgletal'!$C$12:$C$62,'Udvaskning nøgletal'!$E$12:$E$62)+Markniveau!$Y686*Markniveau!$S686/100,IF($X686=2,LOOKUP(AI686,'Udvaskning nøgletal'!$C$12:$C$62,'Udvaskning nøgletal'!$F$12:$F$62)+Markniveau!$Y686*Markniveau!$S686/100,IF($X686=3,LOOKUP(AI686,'Udvaskning nøgletal'!$C$12:$C$62,'Udvaskning nøgletal'!Q696:Q746)+Markniveau!$Y686*Markniveau!$S686/100,"")))</f>
        <v>70.745355223263502</v>
      </c>
      <c r="AK686" s="10">
        <f t="shared" si="109"/>
        <v>140.07580334206173</v>
      </c>
      <c r="AL686" s="10" t="str">
        <f t="shared" si="111"/>
        <v/>
      </c>
      <c r="AM686" s="10" t="str">
        <f t="shared" si="112"/>
        <v/>
      </c>
    </row>
    <row r="687" spans="1:39" x14ac:dyDescent="0.25">
      <c r="A687" s="15">
        <v>25302133</v>
      </c>
      <c r="B687" s="15">
        <v>139.84</v>
      </c>
      <c r="C687" s="15">
        <v>197397</v>
      </c>
      <c r="D687" s="15">
        <v>96891</v>
      </c>
      <c r="E687" s="15" t="s">
        <v>550</v>
      </c>
      <c r="F687" s="15">
        <v>2011</v>
      </c>
      <c r="G687" s="15">
        <v>20110418</v>
      </c>
      <c r="H687" s="15">
        <v>266692</v>
      </c>
      <c r="I687" s="15">
        <v>26.67</v>
      </c>
      <c r="J687" s="6" t="s">
        <v>67</v>
      </c>
      <c r="K687" s="15">
        <v>11</v>
      </c>
      <c r="L687" s="15" t="s">
        <v>102</v>
      </c>
      <c r="M687" s="15" t="s">
        <v>5</v>
      </c>
      <c r="N687" s="11" t="s">
        <v>1384</v>
      </c>
      <c r="O687" s="11" t="s">
        <v>28</v>
      </c>
      <c r="P687" s="11" t="s">
        <v>33</v>
      </c>
      <c r="Q687" s="15">
        <v>0</v>
      </c>
      <c r="R687" s="11" t="s">
        <v>1386</v>
      </c>
      <c r="S687" s="10">
        <v>121.70710446527001</v>
      </c>
      <c r="T687" s="15">
        <v>80</v>
      </c>
      <c r="U687" s="15">
        <v>0</v>
      </c>
      <c r="V687" s="15">
        <v>0</v>
      </c>
      <c r="W687" s="15">
        <v>0</v>
      </c>
      <c r="X687" s="15">
        <f>IF(O687='Udvaskning nøgletal'!$D$65,1,IF(O687='Udvaskning nøgletal'!$D$66,2,IF(O687='Udvaskning nøgletal'!$D$67,3,IF(O687='Udvaskning nøgletal'!$D$68,2,""))))</f>
        <v>1</v>
      </c>
      <c r="Y687" s="15">
        <f>LOOKUP(K687,'Udvaskning nøgletal'!$C$12:$C$60,'Udvaskning nøgletal'!$H$12:$H$60)</f>
        <v>5</v>
      </c>
      <c r="Z687" s="10">
        <f>IF(X687=1,LOOKUP(K687,'Udvaskning nøgletal'!$C$12:$C$60,'Udvaskning nøgletal'!$E$12:$E$60)+Markniveau!Y687*Markniveau!S687/100,IF(X687=2,LOOKUP(K687,'Udvaskning nøgletal'!$C$12:$C$60,'Udvaskning nøgletal'!$F$12:$F$60)+Markniveau!Y687*Markniveau!S687/100,IF(X687=3,LOOKUP(K687,'Udvaskning nøgletal'!$C$12:$C$60,'Udvaskning nøgletal'!G697:G745)+Markniveau!Y687*Markniveau!S687/100,"")))</f>
        <v>70.745355223263502</v>
      </c>
      <c r="AA687" s="10">
        <f t="shared" si="106"/>
        <v>1886.7786238044378</v>
      </c>
      <c r="AB687" s="10" t="str">
        <f t="shared" si="105"/>
        <v/>
      </c>
      <c r="AC687" s="10" t="str">
        <f t="shared" si="107"/>
        <v/>
      </c>
      <c r="AD687" s="10">
        <f>IF(AND(Q687&gt;0,Q687&lt;30,K687&lt;8),Markniveau!Z687*'Udvaskning nøgletal'!$I$12/100,IF(AND(Q687&gt;0,Q687&lt;30,K687=216),Markniveau!Z687*'Udvaskning nøgletal'!$I$34/100,Markniveau!Z687))</f>
        <v>70.745355223263502</v>
      </c>
      <c r="AE687" s="10">
        <f t="shared" si="113"/>
        <v>1886.7786238044378</v>
      </c>
      <c r="AF687" s="10" t="str">
        <f t="shared" si="108"/>
        <v/>
      </c>
      <c r="AG687" s="10" t="str">
        <f t="shared" si="114"/>
        <v/>
      </c>
      <c r="AH687" s="10" t="str">
        <f>IF(AND(Q687&gt;0,Q687&lt;30,K687=216),'Udvaskning nøgletal'!$C$42,IF(AND(Q687&gt;0,Q687&lt;30,K687&gt;7,K687&lt;17),'Udvaskning nøgletal'!$C$61,IF(AND(Q687&gt;0,Q687&lt;30,K687&lt;7),'Udvaskning nøgletal'!$C$62,"")))</f>
        <v/>
      </c>
      <c r="AI687" s="10">
        <f t="shared" si="110"/>
        <v>11</v>
      </c>
      <c r="AJ687" s="10">
        <f>IF($X687=1,LOOKUP(AI687,'Udvaskning nøgletal'!$C$12:$C$62,'Udvaskning nøgletal'!$E$12:$E$62)+Markniveau!$Y687*Markniveau!$S687/100,IF($X687=2,LOOKUP(AI687,'Udvaskning nøgletal'!$C$12:$C$62,'Udvaskning nøgletal'!$F$12:$F$62)+Markniveau!$Y687*Markniveau!$S687/100,IF($X687=3,LOOKUP(AI687,'Udvaskning nøgletal'!$C$12:$C$62,'Udvaskning nøgletal'!Q697:Q747)+Markniveau!$Y687*Markniveau!$S687/100,"")))</f>
        <v>70.745355223263502</v>
      </c>
      <c r="AK687" s="10">
        <f t="shared" si="109"/>
        <v>1886.7786238044378</v>
      </c>
      <c r="AL687" s="10" t="str">
        <f t="shared" si="111"/>
        <v/>
      </c>
      <c r="AM687" s="10" t="str">
        <f t="shared" si="112"/>
        <v/>
      </c>
    </row>
    <row r="688" spans="1:39" x14ac:dyDescent="0.25">
      <c r="A688" s="15">
        <v>25302133</v>
      </c>
      <c r="B688" s="15">
        <v>139.84</v>
      </c>
      <c r="C688" s="15">
        <v>197398</v>
      </c>
      <c r="D688" s="15">
        <v>96891</v>
      </c>
      <c r="E688" s="15" t="s">
        <v>551</v>
      </c>
      <c r="F688" s="15">
        <v>2011</v>
      </c>
      <c r="G688" s="15">
        <v>20110418</v>
      </c>
      <c r="H688" s="15">
        <v>73657</v>
      </c>
      <c r="I688" s="15">
        <v>7.37</v>
      </c>
      <c r="J688" s="6" t="s">
        <v>51</v>
      </c>
      <c r="K688" s="15">
        <v>11</v>
      </c>
      <c r="L688" s="15" t="s">
        <v>102</v>
      </c>
      <c r="M688" s="15" t="s">
        <v>5</v>
      </c>
      <c r="N688" s="11" t="s">
        <v>1384</v>
      </c>
      <c r="O688" s="11" t="s">
        <v>28</v>
      </c>
      <c r="P688" s="11" t="s">
        <v>33</v>
      </c>
      <c r="Q688" s="15">
        <v>0</v>
      </c>
      <c r="R688" s="11" t="s">
        <v>1386</v>
      </c>
      <c r="S688" s="10">
        <v>121.70710446527001</v>
      </c>
      <c r="T688" s="15">
        <v>80</v>
      </c>
      <c r="U688" s="15">
        <v>0</v>
      </c>
      <c r="V688" s="15">
        <v>0</v>
      </c>
      <c r="W688" s="15">
        <v>0</v>
      </c>
      <c r="X688" s="15">
        <f>IF(O688='Udvaskning nøgletal'!$D$65,1,IF(O688='Udvaskning nøgletal'!$D$66,2,IF(O688='Udvaskning nøgletal'!$D$67,3,IF(O688='Udvaskning nøgletal'!$D$68,2,""))))</f>
        <v>1</v>
      </c>
      <c r="Y688" s="15">
        <f>LOOKUP(K688,'Udvaskning nøgletal'!$C$12:$C$60,'Udvaskning nøgletal'!$H$12:$H$60)</f>
        <v>5</v>
      </c>
      <c r="Z688" s="10">
        <f>IF(X688=1,LOOKUP(K688,'Udvaskning nøgletal'!$C$12:$C$60,'Udvaskning nøgletal'!$E$12:$E$60)+Markniveau!Y688*Markniveau!S688/100,IF(X688=2,LOOKUP(K688,'Udvaskning nøgletal'!$C$12:$C$60,'Udvaskning nøgletal'!$F$12:$F$60)+Markniveau!Y688*Markniveau!S688/100,IF(X688=3,LOOKUP(K688,'Udvaskning nøgletal'!$C$12:$C$60,'Udvaskning nøgletal'!G698:G746)+Markniveau!Y688*Markniveau!S688/100,"")))</f>
        <v>70.745355223263502</v>
      </c>
      <c r="AA688" s="10">
        <f t="shared" si="106"/>
        <v>521.39326799545199</v>
      </c>
      <c r="AB688" s="10" t="str">
        <f t="shared" si="105"/>
        <v/>
      </c>
      <c r="AC688" s="10" t="str">
        <f t="shared" si="107"/>
        <v/>
      </c>
      <c r="AD688" s="10">
        <f>IF(AND(Q688&gt;0,Q688&lt;30,K688&lt;8),Markniveau!Z688*'Udvaskning nøgletal'!$I$12/100,IF(AND(Q688&gt;0,Q688&lt;30,K688=216),Markniveau!Z688*'Udvaskning nøgletal'!$I$34/100,Markniveau!Z688))</f>
        <v>70.745355223263502</v>
      </c>
      <c r="AE688" s="10">
        <f t="shared" si="113"/>
        <v>521.39326799545199</v>
      </c>
      <c r="AF688" s="10" t="str">
        <f t="shared" si="108"/>
        <v/>
      </c>
      <c r="AG688" s="10" t="str">
        <f t="shared" si="114"/>
        <v/>
      </c>
      <c r="AH688" s="10" t="str">
        <f>IF(AND(Q688&gt;0,Q688&lt;30,K688=216),'Udvaskning nøgletal'!$C$42,IF(AND(Q688&gt;0,Q688&lt;30,K688&gt;7,K688&lt;17),'Udvaskning nøgletal'!$C$61,IF(AND(Q688&gt;0,Q688&lt;30,K688&lt;7),'Udvaskning nøgletal'!$C$62,"")))</f>
        <v/>
      </c>
      <c r="AI688" s="10">
        <f t="shared" si="110"/>
        <v>11</v>
      </c>
      <c r="AJ688" s="10">
        <f>IF($X688=1,LOOKUP(AI688,'Udvaskning nøgletal'!$C$12:$C$62,'Udvaskning nøgletal'!$E$12:$E$62)+Markniveau!$Y688*Markniveau!$S688/100,IF($X688=2,LOOKUP(AI688,'Udvaskning nøgletal'!$C$12:$C$62,'Udvaskning nøgletal'!$F$12:$F$62)+Markniveau!$Y688*Markniveau!$S688/100,IF($X688=3,LOOKUP(AI688,'Udvaskning nøgletal'!$C$12:$C$62,'Udvaskning nøgletal'!Q698:Q748)+Markniveau!$Y688*Markniveau!$S688/100,"")))</f>
        <v>70.745355223263502</v>
      </c>
      <c r="AK688" s="10">
        <f t="shared" si="109"/>
        <v>521.39326799545199</v>
      </c>
      <c r="AL688" s="10" t="str">
        <f t="shared" si="111"/>
        <v/>
      </c>
      <c r="AM688" s="10" t="str">
        <f t="shared" si="112"/>
        <v/>
      </c>
    </row>
    <row r="689" spans="1:39" x14ac:dyDescent="0.25">
      <c r="A689" s="15">
        <v>25302133</v>
      </c>
      <c r="B689" s="15">
        <v>139.84</v>
      </c>
      <c r="C689" s="15">
        <v>197399</v>
      </c>
      <c r="D689" s="15">
        <v>96891</v>
      </c>
      <c r="E689" s="15" t="s">
        <v>552</v>
      </c>
      <c r="F689" s="15">
        <v>2011</v>
      </c>
      <c r="G689" s="15">
        <v>20110418</v>
      </c>
      <c r="H689" s="15">
        <v>78503</v>
      </c>
      <c r="I689" s="15">
        <v>7.85</v>
      </c>
      <c r="J689" s="6" t="s">
        <v>553</v>
      </c>
      <c r="K689" s="15">
        <v>11</v>
      </c>
      <c r="L689" s="15" t="s">
        <v>102</v>
      </c>
      <c r="M689" s="15" t="s">
        <v>5</v>
      </c>
      <c r="N689" s="11" t="s">
        <v>1384</v>
      </c>
      <c r="O689" s="11" t="s">
        <v>28</v>
      </c>
      <c r="P689" s="11" t="s">
        <v>33</v>
      </c>
      <c r="Q689" s="15">
        <v>0</v>
      </c>
      <c r="R689" s="11" t="s">
        <v>1386</v>
      </c>
      <c r="S689" s="10">
        <v>121.70710446527001</v>
      </c>
      <c r="T689" s="15">
        <v>80</v>
      </c>
      <c r="U689" s="15">
        <v>0</v>
      </c>
      <c r="V689" s="15">
        <v>0</v>
      </c>
      <c r="W689" s="15">
        <v>0</v>
      </c>
      <c r="X689" s="15">
        <f>IF(O689='Udvaskning nøgletal'!$D$65,1,IF(O689='Udvaskning nøgletal'!$D$66,2,IF(O689='Udvaskning nøgletal'!$D$67,3,IF(O689='Udvaskning nøgletal'!$D$68,2,""))))</f>
        <v>1</v>
      </c>
      <c r="Y689" s="15">
        <f>LOOKUP(K689,'Udvaskning nøgletal'!$C$12:$C$60,'Udvaskning nøgletal'!$H$12:$H$60)</f>
        <v>5</v>
      </c>
      <c r="Z689" s="10">
        <f>IF(X689=1,LOOKUP(K689,'Udvaskning nøgletal'!$C$12:$C$60,'Udvaskning nøgletal'!$E$12:$E$60)+Markniveau!Y689*Markniveau!S689/100,IF(X689=2,LOOKUP(K689,'Udvaskning nøgletal'!$C$12:$C$60,'Udvaskning nøgletal'!$F$12:$F$60)+Markniveau!Y689*Markniveau!S689/100,IF(X689=3,LOOKUP(K689,'Udvaskning nøgletal'!$C$12:$C$60,'Udvaskning nøgletal'!G699:G747)+Markniveau!Y689*Markniveau!S689/100,"")))</f>
        <v>70.745355223263502</v>
      </c>
      <c r="AA689" s="10">
        <f t="shared" si="106"/>
        <v>555.35103850261851</v>
      </c>
      <c r="AB689" s="10" t="str">
        <f t="shared" si="105"/>
        <v/>
      </c>
      <c r="AC689" s="10" t="str">
        <f t="shared" si="107"/>
        <v/>
      </c>
      <c r="AD689" s="10">
        <f>IF(AND(Q689&gt;0,Q689&lt;30,K689&lt;8),Markniveau!Z689*'Udvaskning nøgletal'!$I$12/100,IF(AND(Q689&gt;0,Q689&lt;30,K689=216),Markniveau!Z689*'Udvaskning nøgletal'!$I$34/100,Markniveau!Z689))</f>
        <v>70.745355223263502</v>
      </c>
      <c r="AE689" s="10">
        <f t="shared" si="113"/>
        <v>555.35103850261851</v>
      </c>
      <c r="AF689" s="10" t="str">
        <f t="shared" si="108"/>
        <v/>
      </c>
      <c r="AG689" s="10" t="str">
        <f t="shared" si="114"/>
        <v/>
      </c>
      <c r="AH689" s="10" t="str">
        <f>IF(AND(Q689&gt;0,Q689&lt;30,K689=216),'Udvaskning nøgletal'!$C$42,IF(AND(Q689&gt;0,Q689&lt;30,K689&gt;7,K689&lt;17),'Udvaskning nøgletal'!$C$61,IF(AND(Q689&gt;0,Q689&lt;30,K689&lt;7),'Udvaskning nøgletal'!$C$62,"")))</f>
        <v/>
      </c>
      <c r="AI689" s="10">
        <f t="shared" si="110"/>
        <v>11</v>
      </c>
      <c r="AJ689" s="10">
        <f>IF($X689=1,LOOKUP(AI689,'Udvaskning nøgletal'!$C$12:$C$62,'Udvaskning nøgletal'!$E$12:$E$62)+Markniveau!$Y689*Markniveau!$S689/100,IF($X689=2,LOOKUP(AI689,'Udvaskning nøgletal'!$C$12:$C$62,'Udvaskning nøgletal'!$F$12:$F$62)+Markniveau!$Y689*Markniveau!$S689/100,IF($X689=3,LOOKUP(AI689,'Udvaskning nøgletal'!$C$12:$C$62,'Udvaskning nøgletal'!Q699:Q749)+Markniveau!$Y689*Markniveau!$S689/100,"")))</f>
        <v>70.745355223263502</v>
      </c>
      <c r="AK689" s="10">
        <f t="shared" si="109"/>
        <v>555.35103850261851</v>
      </c>
      <c r="AL689" s="10" t="str">
        <f t="shared" si="111"/>
        <v/>
      </c>
      <c r="AM689" s="10" t="str">
        <f t="shared" si="112"/>
        <v/>
      </c>
    </row>
    <row r="690" spans="1:39" x14ac:dyDescent="0.25">
      <c r="A690" s="15">
        <v>25302133</v>
      </c>
      <c r="B690" s="15">
        <v>139.84</v>
      </c>
      <c r="C690" s="15">
        <v>197936</v>
      </c>
      <c r="D690" s="15">
        <v>96891</v>
      </c>
      <c r="E690" s="15" t="s">
        <v>554</v>
      </c>
      <c r="F690" s="15">
        <v>2011</v>
      </c>
      <c r="G690" s="15">
        <v>20110418</v>
      </c>
      <c r="H690" s="15">
        <v>69925</v>
      </c>
      <c r="I690" s="15">
        <v>6.99</v>
      </c>
      <c r="J690" s="6" t="s">
        <v>555</v>
      </c>
      <c r="K690" s="15">
        <v>11</v>
      </c>
      <c r="L690" s="15" t="s">
        <v>102</v>
      </c>
      <c r="M690" s="15" t="s">
        <v>5</v>
      </c>
      <c r="N690" s="11" t="s">
        <v>1384</v>
      </c>
      <c r="O690" s="11" t="s">
        <v>28</v>
      </c>
      <c r="P690" s="11" t="s">
        <v>33</v>
      </c>
      <c r="Q690" s="15">
        <v>0</v>
      </c>
      <c r="R690" s="11" t="s">
        <v>1386</v>
      </c>
      <c r="S690" s="10">
        <v>121.70710446527001</v>
      </c>
      <c r="T690" s="15">
        <v>80</v>
      </c>
      <c r="U690" s="15">
        <v>0</v>
      </c>
      <c r="V690" s="15">
        <v>0</v>
      </c>
      <c r="W690" s="15">
        <v>0</v>
      </c>
      <c r="X690" s="15">
        <f>IF(O690='Udvaskning nøgletal'!$D$65,1,IF(O690='Udvaskning nøgletal'!$D$66,2,IF(O690='Udvaskning nøgletal'!$D$67,3,IF(O690='Udvaskning nøgletal'!$D$68,2,""))))</f>
        <v>1</v>
      </c>
      <c r="Y690" s="15">
        <f>LOOKUP(K690,'Udvaskning nøgletal'!$C$12:$C$60,'Udvaskning nøgletal'!$H$12:$H$60)</f>
        <v>5</v>
      </c>
      <c r="Z690" s="10">
        <f>IF(X690=1,LOOKUP(K690,'Udvaskning nøgletal'!$C$12:$C$60,'Udvaskning nøgletal'!$E$12:$E$60)+Markniveau!Y690*Markniveau!S690/100,IF(X690=2,LOOKUP(K690,'Udvaskning nøgletal'!$C$12:$C$60,'Udvaskning nøgletal'!$F$12:$F$60)+Markniveau!Y690*Markniveau!S690/100,IF(X690=3,LOOKUP(K690,'Udvaskning nøgletal'!$C$12:$C$60,'Udvaskning nøgletal'!G700:G748)+Markniveau!Y690*Markniveau!S690/100,"")))</f>
        <v>70.745355223263502</v>
      </c>
      <c r="AA690" s="10">
        <f t="shared" si="106"/>
        <v>494.51003301061189</v>
      </c>
      <c r="AB690" s="10" t="str">
        <f t="shared" si="105"/>
        <v/>
      </c>
      <c r="AC690" s="10" t="str">
        <f t="shared" si="107"/>
        <v/>
      </c>
      <c r="AD690" s="10">
        <f>IF(AND(Q690&gt;0,Q690&lt;30,K690&lt;8),Markniveau!Z690*'Udvaskning nøgletal'!$I$12/100,IF(AND(Q690&gt;0,Q690&lt;30,K690=216),Markniveau!Z690*'Udvaskning nøgletal'!$I$34/100,Markniveau!Z690))</f>
        <v>70.745355223263502</v>
      </c>
      <c r="AE690" s="10">
        <f t="shared" si="113"/>
        <v>494.51003301061189</v>
      </c>
      <c r="AF690" s="10" t="str">
        <f t="shared" si="108"/>
        <v/>
      </c>
      <c r="AG690" s="10" t="str">
        <f t="shared" si="114"/>
        <v/>
      </c>
      <c r="AH690" s="10" t="str">
        <f>IF(AND(Q690&gt;0,Q690&lt;30,K690=216),'Udvaskning nøgletal'!$C$42,IF(AND(Q690&gt;0,Q690&lt;30,K690&gt;7,K690&lt;17),'Udvaskning nøgletal'!$C$61,IF(AND(Q690&gt;0,Q690&lt;30,K690&lt;7),'Udvaskning nøgletal'!$C$62,"")))</f>
        <v/>
      </c>
      <c r="AI690" s="10">
        <f t="shared" si="110"/>
        <v>11</v>
      </c>
      <c r="AJ690" s="10">
        <f>IF($X690=1,LOOKUP(AI690,'Udvaskning nøgletal'!$C$12:$C$62,'Udvaskning nøgletal'!$E$12:$E$62)+Markniveau!$Y690*Markniveau!$S690/100,IF($X690=2,LOOKUP(AI690,'Udvaskning nøgletal'!$C$12:$C$62,'Udvaskning nøgletal'!$F$12:$F$62)+Markniveau!$Y690*Markniveau!$S690/100,IF($X690=3,LOOKUP(AI690,'Udvaskning nøgletal'!$C$12:$C$62,'Udvaskning nøgletal'!Q700:Q750)+Markniveau!$Y690*Markniveau!$S690/100,"")))</f>
        <v>70.745355223263502</v>
      </c>
      <c r="AK690" s="10">
        <f t="shared" si="109"/>
        <v>494.51003301061189</v>
      </c>
      <c r="AL690" s="10" t="str">
        <f t="shared" si="111"/>
        <v/>
      </c>
      <c r="AM690" s="10" t="str">
        <f t="shared" si="112"/>
        <v/>
      </c>
    </row>
    <row r="691" spans="1:39" x14ac:dyDescent="0.25">
      <c r="A691" s="15">
        <v>25302133</v>
      </c>
      <c r="B691" s="15">
        <v>139.84</v>
      </c>
      <c r="C691" s="15">
        <v>197938</v>
      </c>
      <c r="D691" s="15">
        <v>96891</v>
      </c>
      <c r="E691" s="15" t="s">
        <v>292</v>
      </c>
      <c r="F691" s="15">
        <v>2011</v>
      </c>
      <c r="G691" s="15">
        <v>20110418</v>
      </c>
      <c r="H691" s="15">
        <v>161231</v>
      </c>
      <c r="I691" s="15">
        <v>16.12</v>
      </c>
      <c r="J691" s="6" t="s">
        <v>53</v>
      </c>
      <c r="K691" s="15">
        <v>1</v>
      </c>
      <c r="L691" s="15" t="s">
        <v>32</v>
      </c>
      <c r="M691" s="15" t="s">
        <v>5</v>
      </c>
      <c r="N691" s="11" t="s">
        <v>1384</v>
      </c>
      <c r="O691" s="11" t="s">
        <v>28</v>
      </c>
      <c r="P691" s="11" t="s">
        <v>29</v>
      </c>
      <c r="Q691" s="15">
        <v>95</v>
      </c>
      <c r="R691" s="11" t="s">
        <v>3</v>
      </c>
      <c r="S691" s="10">
        <v>121.70710446527001</v>
      </c>
      <c r="T691" s="15">
        <v>80</v>
      </c>
      <c r="U691" s="15">
        <v>0</v>
      </c>
      <c r="V691" s="15">
        <v>0</v>
      </c>
      <c r="W691" s="15">
        <v>0</v>
      </c>
      <c r="X691" s="15">
        <f>IF(O691='Udvaskning nøgletal'!$D$65,1,IF(O691='Udvaskning nøgletal'!$D$66,2,IF(O691='Udvaskning nøgletal'!$D$67,3,IF(O691='Udvaskning nøgletal'!$D$68,2,""))))</f>
        <v>1</v>
      </c>
      <c r="Y691" s="15">
        <f>LOOKUP(K691,'Udvaskning nøgletal'!$C$12:$C$60,'Udvaskning nøgletal'!$H$12:$H$60)</f>
        <v>5</v>
      </c>
      <c r="Z691" s="10">
        <f>IF(X691=1,LOOKUP(K691,'Udvaskning nøgletal'!$C$12:$C$60,'Udvaskning nøgletal'!$E$12:$E$60)+Markniveau!Y691*Markniveau!S691/100,IF(X691=2,LOOKUP(K691,'Udvaskning nøgletal'!$C$12:$C$60,'Udvaskning nøgletal'!$F$12:$F$60)+Markniveau!Y691*Markniveau!S691/100,IF(X691=3,LOOKUP(K691,'Udvaskning nøgletal'!$C$12:$C$60,'Udvaskning nøgletal'!G701:G749)+Markniveau!Y691*Markniveau!S691/100,"")))</f>
        <v>70.745355223263502</v>
      </c>
      <c r="AA691" s="10">
        <f t="shared" si="106"/>
        <v>1140.4151261990078</v>
      </c>
      <c r="AB691" s="10">
        <f t="shared" si="105"/>
        <v>3.5372677611631751</v>
      </c>
      <c r="AC691" s="10">
        <f t="shared" si="107"/>
        <v>57.020756309950386</v>
      </c>
      <c r="AD691" s="10">
        <f>IF(AND(Q691&gt;0,Q691&lt;30,K691&lt;8),Markniveau!Z691*'Udvaskning nøgletal'!$I$12/100,IF(AND(Q691&gt;0,Q691&lt;30,K691=216),Markniveau!Z691*'Udvaskning nøgletal'!$I$34/100,Markniveau!Z691))</f>
        <v>70.745355223263502</v>
      </c>
      <c r="AE691" s="10">
        <f t="shared" si="113"/>
        <v>1140.4151261990078</v>
      </c>
      <c r="AF691" s="10">
        <f t="shared" si="108"/>
        <v>3.5372677611631751</v>
      </c>
      <c r="AG691" s="10">
        <f t="shared" si="114"/>
        <v>57.020756309950386</v>
      </c>
      <c r="AH691" s="10" t="str">
        <f>IF(AND(Q691&gt;0,Q691&lt;30,K691=216),'Udvaskning nøgletal'!$C$42,IF(AND(Q691&gt;0,Q691&lt;30,K691&gt;7,K691&lt;17),'Udvaskning nøgletal'!$C$61,IF(AND(Q691&gt;0,Q691&lt;30,K691&lt;7),'Udvaskning nøgletal'!$C$62,"")))</f>
        <v/>
      </c>
      <c r="AI691" s="10">
        <f t="shared" si="110"/>
        <v>1</v>
      </c>
      <c r="AJ691" s="10">
        <f>IF($X691=1,LOOKUP(AI691,'Udvaskning nøgletal'!$C$12:$C$62,'Udvaskning nøgletal'!$E$12:$E$62)+Markniveau!$Y691*Markniveau!$S691/100,IF($X691=2,LOOKUP(AI691,'Udvaskning nøgletal'!$C$12:$C$62,'Udvaskning nøgletal'!$F$12:$F$62)+Markniveau!$Y691*Markniveau!$S691/100,IF($X691=3,LOOKUP(AI691,'Udvaskning nøgletal'!$C$12:$C$62,'Udvaskning nøgletal'!Q701:Q751)+Markniveau!$Y691*Markniveau!$S691/100,"")))</f>
        <v>70.745355223263502</v>
      </c>
      <c r="AK691" s="10">
        <f t="shared" si="109"/>
        <v>1140.4151261990078</v>
      </c>
      <c r="AL691" s="10">
        <f t="shared" si="111"/>
        <v>3.5372677611631751</v>
      </c>
      <c r="AM691" s="10">
        <f t="shared" si="112"/>
        <v>57.020756309950386</v>
      </c>
    </row>
    <row r="692" spans="1:39" x14ac:dyDescent="0.25">
      <c r="A692" s="15">
        <v>25302133</v>
      </c>
      <c r="B692" s="15">
        <v>139.84</v>
      </c>
      <c r="C692" s="15">
        <v>197939</v>
      </c>
      <c r="D692" s="15">
        <v>96891</v>
      </c>
      <c r="E692" s="15" t="s">
        <v>556</v>
      </c>
      <c r="F692" s="15">
        <v>2011</v>
      </c>
      <c r="G692" s="15">
        <v>20110418</v>
      </c>
      <c r="H692" s="15">
        <v>85470</v>
      </c>
      <c r="I692" s="15">
        <v>8.5500000000000007</v>
      </c>
      <c r="J692" s="6" t="s">
        <v>58</v>
      </c>
      <c r="K692" s="15">
        <v>22</v>
      </c>
      <c r="L692" s="15" t="s">
        <v>213</v>
      </c>
      <c r="M692" s="15" t="s">
        <v>5</v>
      </c>
      <c r="N692" s="11" t="s">
        <v>1391</v>
      </c>
      <c r="O692" s="11" t="s">
        <v>46</v>
      </c>
      <c r="P692" s="11" t="s">
        <v>29</v>
      </c>
      <c r="Q692" s="15">
        <v>95</v>
      </c>
      <c r="R692" s="11" t="s">
        <v>3</v>
      </c>
      <c r="S692" s="10">
        <v>121.70710446527001</v>
      </c>
      <c r="T692" s="15">
        <v>80</v>
      </c>
      <c r="U692" s="15">
        <v>0</v>
      </c>
      <c r="V692" s="15">
        <v>0</v>
      </c>
      <c r="W692" s="15">
        <v>0</v>
      </c>
      <c r="X692" s="15">
        <f>IF(O692='Udvaskning nøgletal'!$D$65,1,IF(O692='Udvaskning nøgletal'!$D$66,2,IF(O692='Udvaskning nøgletal'!$D$67,3,IF(O692='Udvaskning nøgletal'!$D$68,2,""))))</f>
        <v>2</v>
      </c>
      <c r="Y692" s="15">
        <f>LOOKUP(K692,'Udvaskning nøgletal'!$C$12:$C$60,'Udvaskning nøgletal'!$H$12:$H$60)</f>
        <v>5</v>
      </c>
      <c r="Z692" s="10">
        <f>IF(X692=1,LOOKUP(K692,'Udvaskning nøgletal'!$C$12:$C$60,'Udvaskning nøgletal'!$E$12:$E$60)+Markniveau!Y692*Markniveau!S692/100,IF(X692=2,LOOKUP(K692,'Udvaskning nøgletal'!$C$12:$C$60,'Udvaskning nøgletal'!$F$12:$F$60)+Markniveau!Y692*Markniveau!S692/100,IF(X692=3,LOOKUP(K692,'Udvaskning nøgletal'!$C$12:$C$60,'Udvaskning nøgletal'!G702:G750)+Markniveau!Y692*Markniveau!S692/100,"")))</f>
        <v>56.965355223263501</v>
      </c>
      <c r="AA692" s="10">
        <f t="shared" si="106"/>
        <v>487.05378715890299</v>
      </c>
      <c r="AB692" s="10">
        <f t="shared" si="105"/>
        <v>2.848267761163175</v>
      </c>
      <c r="AC692" s="10">
        <f t="shared" si="107"/>
        <v>24.352689357945149</v>
      </c>
      <c r="AD692" s="10">
        <f>IF(AND(Q692&gt;0,Q692&lt;30,K692&lt;8),Markniveau!Z692*'Udvaskning nøgletal'!$I$12/100,IF(AND(Q692&gt;0,Q692&lt;30,K692=216),Markniveau!Z692*'Udvaskning nøgletal'!$I$34/100,Markniveau!Z692))</f>
        <v>56.965355223263501</v>
      </c>
      <c r="AE692" s="10">
        <f t="shared" si="113"/>
        <v>487.05378715890299</v>
      </c>
      <c r="AF692" s="10">
        <f t="shared" si="108"/>
        <v>2.848267761163175</v>
      </c>
      <c r="AG692" s="10">
        <f t="shared" si="114"/>
        <v>24.352689357945149</v>
      </c>
      <c r="AH692" s="10" t="str">
        <f>IF(AND(Q692&gt;0,Q692&lt;30,K692=216),'Udvaskning nøgletal'!$C$42,IF(AND(Q692&gt;0,Q692&lt;30,K692&gt;7,K692&lt;17),'Udvaskning nøgletal'!$C$61,IF(AND(Q692&gt;0,Q692&lt;30,K692&lt;7),'Udvaskning nøgletal'!$C$62,"")))</f>
        <v/>
      </c>
      <c r="AI692" s="10">
        <f t="shared" si="110"/>
        <v>22</v>
      </c>
      <c r="AJ692" s="10">
        <f>IF($X692=1,LOOKUP(AI692,'Udvaskning nøgletal'!$C$12:$C$62,'Udvaskning nøgletal'!$E$12:$E$62)+Markniveau!$Y692*Markniveau!$S692/100,IF($X692=2,LOOKUP(AI692,'Udvaskning nøgletal'!$C$12:$C$62,'Udvaskning nøgletal'!$F$12:$F$62)+Markniveau!$Y692*Markniveau!$S692/100,IF($X692=3,LOOKUP(AI692,'Udvaskning nøgletal'!$C$12:$C$62,'Udvaskning nøgletal'!Q702:Q752)+Markniveau!$Y692*Markniveau!$S692/100,"")))</f>
        <v>56.965355223263501</v>
      </c>
      <c r="AK692" s="10">
        <f t="shared" si="109"/>
        <v>487.05378715890299</v>
      </c>
      <c r="AL692" s="10">
        <f t="shared" si="111"/>
        <v>2.848267761163175</v>
      </c>
      <c r="AM692" s="10">
        <f t="shared" si="112"/>
        <v>24.352689357945149</v>
      </c>
    </row>
    <row r="693" spans="1:39" x14ac:dyDescent="0.25">
      <c r="A693" s="15">
        <v>25302133</v>
      </c>
      <c r="B693" s="15">
        <v>139.84</v>
      </c>
      <c r="C693" s="15">
        <v>197940</v>
      </c>
      <c r="D693" s="15">
        <v>96891</v>
      </c>
      <c r="E693" s="15" t="s">
        <v>404</v>
      </c>
      <c r="F693" s="15">
        <v>2011</v>
      </c>
      <c r="G693" s="15">
        <v>20110418</v>
      </c>
      <c r="H693" s="15">
        <v>77860</v>
      </c>
      <c r="I693" s="15">
        <v>7.79</v>
      </c>
      <c r="J693" s="6" t="s">
        <v>91</v>
      </c>
      <c r="K693" s="15">
        <v>22</v>
      </c>
      <c r="L693" s="15" t="s">
        <v>213</v>
      </c>
      <c r="M693" s="15" t="s">
        <v>5</v>
      </c>
      <c r="N693" s="11" t="s">
        <v>1384</v>
      </c>
      <c r="O693" s="11" t="s">
        <v>28</v>
      </c>
      <c r="P693" s="11" t="s">
        <v>33</v>
      </c>
      <c r="Q693" s="15">
        <v>0</v>
      </c>
      <c r="R693" s="11" t="s">
        <v>1386</v>
      </c>
      <c r="S693" s="10">
        <v>121.70710446527001</v>
      </c>
      <c r="T693" s="15">
        <v>80</v>
      </c>
      <c r="U693" s="15">
        <v>0</v>
      </c>
      <c r="V693" s="15">
        <v>0</v>
      </c>
      <c r="W693" s="15">
        <v>0</v>
      </c>
      <c r="X693" s="15">
        <f>IF(O693='Udvaskning nøgletal'!$D$65,1,IF(O693='Udvaskning nøgletal'!$D$66,2,IF(O693='Udvaskning nøgletal'!$D$67,3,IF(O693='Udvaskning nøgletal'!$D$68,2,""))))</f>
        <v>1</v>
      </c>
      <c r="Y693" s="15">
        <f>LOOKUP(K693,'Udvaskning nøgletal'!$C$12:$C$60,'Udvaskning nøgletal'!$H$12:$H$60)</f>
        <v>5</v>
      </c>
      <c r="Z693" s="10">
        <f>IF(X693=1,LOOKUP(K693,'Udvaskning nøgletal'!$C$12:$C$60,'Udvaskning nøgletal'!$E$12:$E$60)+Markniveau!Y693*Markniveau!S693/100,IF(X693=2,LOOKUP(K693,'Udvaskning nøgletal'!$C$12:$C$60,'Udvaskning nøgletal'!$F$12:$F$60)+Markniveau!Y693*Markniveau!S693/100,IF(X693=3,LOOKUP(K693,'Udvaskning nøgletal'!$C$12:$C$60,'Udvaskning nøgletal'!G703:G751)+Markniveau!Y693*Markniveau!S693/100,"")))</f>
        <v>70.745355223263502</v>
      </c>
      <c r="AA693" s="10">
        <f t="shared" si="106"/>
        <v>551.10631718922264</v>
      </c>
      <c r="AB693" s="10" t="str">
        <f t="shared" si="105"/>
        <v/>
      </c>
      <c r="AC693" s="10" t="str">
        <f t="shared" si="107"/>
        <v/>
      </c>
      <c r="AD693" s="10">
        <f>IF(AND(Q693&gt;0,Q693&lt;30,K693&lt;8),Markniveau!Z693*'Udvaskning nøgletal'!$I$12/100,IF(AND(Q693&gt;0,Q693&lt;30,K693=216),Markniveau!Z693*'Udvaskning nøgletal'!$I$34/100,Markniveau!Z693))</f>
        <v>70.745355223263502</v>
      </c>
      <c r="AE693" s="10">
        <f t="shared" si="113"/>
        <v>551.10631718922264</v>
      </c>
      <c r="AF693" s="10" t="str">
        <f t="shared" si="108"/>
        <v/>
      </c>
      <c r="AG693" s="10" t="str">
        <f t="shared" si="114"/>
        <v/>
      </c>
      <c r="AH693" s="10" t="str">
        <f>IF(AND(Q693&gt;0,Q693&lt;30,K693=216),'Udvaskning nøgletal'!$C$42,IF(AND(Q693&gt;0,Q693&lt;30,K693&gt;7,K693&lt;17),'Udvaskning nøgletal'!$C$61,IF(AND(Q693&gt;0,Q693&lt;30,K693&lt;7),'Udvaskning nøgletal'!$C$62,"")))</f>
        <v/>
      </c>
      <c r="AI693" s="10">
        <f t="shared" si="110"/>
        <v>22</v>
      </c>
      <c r="AJ693" s="10">
        <f>IF($X693=1,LOOKUP(AI693,'Udvaskning nøgletal'!$C$12:$C$62,'Udvaskning nøgletal'!$E$12:$E$62)+Markniveau!$Y693*Markniveau!$S693/100,IF($X693=2,LOOKUP(AI693,'Udvaskning nøgletal'!$C$12:$C$62,'Udvaskning nøgletal'!$F$12:$F$62)+Markniveau!$Y693*Markniveau!$S693/100,IF($X693=3,LOOKUP(AI693,'Udvaskning nøgletal'!$C$12:$C$62,'Udvaskning nøgletal'!Q703:Q753)+Markniveau!$Y693*Markniveau!$S693/100,"")))</f>
        <v>70.745355223263502</v>
      </c>
      <c r="AK693" s="10">
        <f t="shared" si="109"/>
        <v>551.10631718922264</v>
      </c>
      <c r="AL693" s="10" t="str">
        <f t="shared" si="111"/>
        <v/>
      </c>
      <c r="AM693" s="10" t="str">
        <f t="shared" si="112"/>
        <v/>
      </c>
    </row>
    <row r="694" spans="1:39" x14ac:dyDescent="0.25">
      <c r="A694" s="15">
        <v>25302133</v>
      </c>
      <c r="B694" s="15">
        <v>139.84</v>
      </c>
      <c r="C694" s="15">
        <v>197941</v>
      </c>
      <c r="D694" s="15">
        <v>96891</v>
      </c>
      <c r="E694" s="15" t="s">
        <v>404</v>
      </c>
      <c r="F694" s="15">
        <v>2011</v>
      </c>
      <c r="G694" s="15">
        <v>20110418</v>
      </c>
      <c r="H694" s="15">
        <v>55649</v>
      </c>
      <c r="I694" s="15">
        <v>5.56</v>
      </c>
      <c r="J694" s="6" t="s">
        <v>31</v>
      </c>
      <c r="K694" s="15">
        <v>22</v>
      </c>
      <c r="L694" s="15" t="s">
        <v>213</v>
      </c>
      <c r="M694" s="15" t="s">
        <v>5</v>
      </c>
      <c r="N694" s="11" t="s">
        <v>1384</v>
      </c>
      <c r="O694" s="11" t="s">
        <v>28</v>
      </c>
      <c r="P694" s="11" t="s">
        <v>29</v>
      </c>
      <c r="Q694" s="15">
        <v>0</v>
      </c>
      <c r="R694" s="11" t="s">
        <v>1386</v>
      </c>
      <c r="S694" s="10">
        <v>121.70710446527001</v>
      </c>
      <c r="T694" s="15">
        <v>80</v>
      </c>
      <c r="U694" s="15">
        <v>0</v>
      </c>
      <c r="V694" s="15">
        <v>0</v>
      </c>
      <c r="W694" s="15">
        <v>0</v>
      </c>
      <c r="X694" s="15">
        <f>IF(O694='Udvaskning nøgletal'!$D$65,1,IF(O694='Udvaskning nøgletal'!$D$66,2,IF(O694='Udvaskning nøgletal'!$D$67,3,IF(O694='Udvaskning nøgletal'!$D$68,2,""))))</f>
        <v>1</v>
      </c>
      <c r="Y694" s="15">
        <f>LOOKUP(K694,'Udvaskning nøgletal'!$C$12:$C$60,'Udvaskning nøgletal'!$H$12:$H$60)</f>
        <v>5</v>
      </c>
      <c r="Z694" s="10">
        <f>IF(X694=1,LOOKUP(K694,'Udvaskning nøgletal'!$C$12:$C$60,'Udvaskning nøgletal'!$E$12:$E$60)+Markniveau!Y694*Markniveau!S694/100,IF(X694=2,LOOKUP(K694,'Udvaskning nøgletal'!$C$12:$C$60,'Udvaskning nøgletal'!$F$12:$F$60)+Markniveau!Y694*Markniveau!S694/100,IF(X694=3,LOOKUP(K694,'Udvaskning nøgletal'!$C$12:$C$60,'Udvaskning nøgletal'!G704:G752)+Markniveau!Y694*Markniveau!S694/100,"")))</f>
        <v>70.745355223263502</v>
      </c>
      <c r="AA694" s="10">
        <f t="shared" si="106"/>
        <v>393.34417504134507</v>
      </c>
      <c r="AB694" s="10" t="str">
        <f t="shared" si="105"/>
        <v/>
      </c>
      <c r="AC694" s="10" t="str">
        <f t="shared" si="107"/>
        <v/>
      </c>
      <c r="AD694" s="10">
        <f>IF(AND(Q694&gt;0,Q694&lt;30,K694&lt;8),Markniveau!Z694*'Udvaskning nøgletal'!$I$12/100,IF(AND(Q694&gt;0,Q694&lt;30,K694=216),Markniveau!Z694*'Udvaskning nøgletal'!$I$34/100,Markniveau!Z694))</f>
        <v>70.745355223263502</v>
      </c>
      <c r="AE694" s="10">
        <f t="shared" si="113"/>
        <v>393.34417504134507</v>
      </c>
      <c r="AF694" s="10" t="str">
        <f t="shared" si="108"/>
        <v/>
      </c>
      <c r="AG694" s="10" t="str">
        <f t="shared" si="114"/>
        <v/>
      </c>
      <c r="AH694" s="10" t="str">
        <f>IF(AND(Q694&gt;0,Q694&lt;30,K694=216),'Udvaskning nøgletal'!$C$42,IF(AND(Q694&gt;0,Q694&lt;30,K694&gt;7,K694&lt;17),'Udvaskning nøgletal'!$C$61,IF(AND(Q694&gt;0,Q694&lt;30,K694&lt;7),'Udvaskning nøgletal'!$C$62,"")))</f>
        <v/>
      </c>
      <c r="AI694" s="10">
        <f t="shared" si="110"/>
        <v>22</v>
      </c>
      <c r="AJ694" s="10">
        <f>IF($X694=1,LOOKUP(AI694,'Udvaskning nøgletal'!$C$12:$C$62,'Udvaskning nøgletal'!$E$12:$E$62)+Markniveau!$Y694*Markniveau!$S694/100,IF($X694=2,LOOKUP(AI694,'Udvaskning nøgletal'!$C$12:$C$62,'Udvaskning nøgletal'!$F$12:$F$62)+Markniveau!$Y694*Markniveau!$S694/100,IF($X694=3,LOOKUP(AI694,'Udvaskning nøgletal'!$C$12:$C$62,'Udvaskning nøgletal'!Q704:Q754)+Markniveau!$Y694*Markniveau!$S694/100,"")))</f>
        <v>70.745355223263502</v>
      </c>
      <c r="AK694" s="10">
        <f t="shared" si="109"/>
        <v>393.34417504134507</v>
      </c>
      <c r="AL694" s="10" t="str">
        <f t="shared" si="111"/>
        <v/>
      </c>
      <c r="AM694" s="10" t="str">
        <f t="shared" si="112"/>
        <v/>
      </c>
    </row>
    <row r="695" spans="1:39" x14ac:dyDescent="0.25">
      <c r="A695" s="15">
        <v>25302133</v>
      </c>
      <c r="B695" s="15">
        <v>139.84</v>
      </c>
      <c r="C695" s="15">
        <v>199017</v>
      </c>
      <c r="D695" s="15">
        <v>96891</v>
      </c>
      <c r="E695" s="15" t="s">
        <v>366</v>
      </c>
      <c r="F695" s="15">
        <v>2011</v>
      </c>
      <c r="G695" s="15">
        <v>20110418</v>
      </c>
      <c r="H695" s="15">
        <v>311643</v>
      </c>
      <c r="I695" s="15">
        <v>31.16</v>
      </c>
      <c r="J695" s="6" t="s">
        <v>97</v>
      </c>
      <c r="K695" s="15">
        <v>11</v>
      </c>
      <c r="L695" s="15" t="s">
        <v>102</v>
      </c>
      <c r="M695" s="15" t="s">
        <v>5</v>
      </c>
      <c r="N695" s="11" t="s">
        <v>1384</v>
      </c>
      <c r="O695" s="11" t="s">
        <v>28</v>
      </c>
      <c r="P695" s="11" t="s">
        <v>29</v>
      </c>
      <c r="Q695" s="15">
        <v>95</v>
      </c>
      <c r="R695" s="11" t="s">
        <v>3</v>
      </c>
      <c r="S695" s="10">
        <v>121.70710446527001</v>
      </c>
      <c r="T695" s="15">
        <v>80</v>
      </c>
      <c r="U695" s="15">
        <v>0</v>
      </c>
      <c r="V695" s="15">
        <v>0</v>
      </c>
      <c r="W695" s="15">
        <v>0</v>
      </c>
      <c r="X695" s="15">
        <f>IF(O695='Udvaskning nøgletal'!$D$65,1,IF(O695='Udvaskning nøgletal'!$D$66,2,IF(O695='Udvaskning nøgletal'!$D$67,3,IF(O695='Udvaskning nøgletal'!$D$68,2,""))))</f>
        <v>1</v>
      </c>
      <c r="Y695" s="15">
        <f>LOOKUP(K695,'Udvaskning nøgletal'!$C$12:$C$60,'Udvaskning nøgletal'!$H$12:$H$60)</f>
        <v>5</v>
      </c>
      <c r="Z695" s="10">
        <f>IF(X695=1,LOOKUP(K695,'Udvaskning nøgletal'!$C$12:$C$60,'Udvaskning nøgletal'!$E$12:$E$60)+Markniveau!Y695*Markniveau!S695/100,IF(X695=2,LOOKUP(K695,'Udvaskning nøgletal'!$C$12:$C$60,'Udvaskning nøgletal'!$F$12:$F$60)+Markniveau!Y695*Markniveau!S695/100,IF(X695=3,LOOKUP(K695,'Udvaskning nøgletal'!$C$12:$C$60,'Udvaskning nøgletal'!G705:G753)+Markniveau!Y695*Markniveau!S695/100,"")))</f>
        <v>70.745355223263502</v>
      </c>
      <c r="AA695" s="10">
        <f t="shared" si="106"/>
        <v>2204.4252687568905</v>
      </c>
      <c r="AB695" s="10">
        <f t="shared" si="105"/>
        <v>3.5372677611631751</v>
      </c>
      <c r="AC695" s="10">
        <f t="shared" si="107"/>
        <v>110.22126343784454</v>
      </c>
      <c r="AD695" s="10">
        <f>IF(AND(Q695&gt;0,Q695&lt;30,K695&lt;8),Markniveau!Z695*'Udvaskning nøgletal'!$I$12/100,IF(AND(Q695&gt;0,Q695&lt;30,K695=216),Markniveau!Z695*'Udvaskning nøgletal'!$I$34/100,Markniveau!Z695))</f>
        <v>70.745355223263502</v>
      </c>
      <c r="AE695" s="10">
        <f t="shared" si="113"/>
        <v>2204.4252687568905</v>
      </c>
      <c r="AF695" s="10">
        <f t="shared" si="108"/>
        <v>3.5372677611631751</v>
      </c>
      <c r="AG695" s="10">
        <f t="shared" si="114"/>
        <v>110.22126343784454</v>
      </c>
      <c r="AH695" s="10" t="str">
        <f>IF(AND(Q695&gt;0,Q695&lt;30,K695=216),'Udvaskning nøgletal'!$C$42,IF(AND(Q695&gt;0,Q695&lt;30,K695&gt;7,K695&lt;17),'Udvaskning nøgletal'!$C$61,IF(AND(Q695&gt;0,Q695&lt;30,K695&lt;7),'Udvaskning nøgletal'!$C$62,"")))</f>
        <v/>
      </c>
      <c r="AI695" s="10">
        <f t="shared" si="110"/>
        <v>11</v>
      </c>
      <c r="AJ695" s="10">
        <f>IF($X695=1,LOOKUP(AI695,'Udvaskning nøgletal'!$C$12:$C$62,'Udvaskning nøgletal'!$E$12:$E$62)+Markniveau!$Y695*Markniveau!$S695/100,IF($X695=2,LOOKUP(AI695,'Udvaskning nøgletal'!$C$12:$C$62,'Udvaskning nøgletal'!$F$12:$F$62)+Markniveau!$Y695*Markniveau!$S695/100,IF($X695=3,LOOKUP(AI695,'Udvaskning nøgletal'!$C$12:$C$62,'Udvaskning nøgletal'!Q705:Q755)+Markniveau!$Y695*Markniveau!$S695/100,"")))</f>
        <v>70.745355223263502</v>
      </c>
      <c r="AK695" s="10">
        <f t="shared" si="109"/>
        <v>2204.4252687568905</v>
      </c>
      <c r="AL695" s="10">
        <f t="shared" si="111"/>
        <v>3.5372677611631751</v>
      </c>
      <c r="AM695" s="10">
        <f t="shared" si="112"/>
        <v>110.22126343784454</v>
      </c>
    </row>
    <row r="696" spans="1:39" x14ac:dyDescent="0.25">
      <c r="A696" s="15">
        <v>25302133</v>
      </c>
      <c r="B696" s="15">
        <v>139.84</v>
      </c>
      <c r="C696" s="15">
        <v>199528</v>
      </c>
      <c r="D696" s="15">
        <v>96891</v>
      </c>
      <c r="E696" s="15" t="s">
        <v>105</v>
      </c>
      <c r="F696" s="15">
        <v>2011</v>
      </c>
      <c r="G696" s="15">
        <v>20110418</v>
      </c>
      <c r="H696" s="15">
        <v>232878</v>
      </c>
      <c r="I696" s="15">
        <v>23.29</v>
      </c>
      <c r="J696" s="6" t="s">
        <v>87</v>
      </c>
      <c r="K696" s="15">
        <v>1</v>
      </c>
      <c r="L696" s="15" t="s">
        <v>32</v>
      </c>
      <c r="M696" s="15" t="s">
        <v>5</v>
      </c>
      <c r="N696" s="11" t="s">
        <v>1384</v>
      </c>
      <c r="O696" s="11" t="s">
        <v>28</v>
      </c>
      <c r="P696" s="11" t="s">
        <v>29</v>
      </c>
      <c r="Q696" s="15">
        <v>95</v>
      </c>
      <c r="R696" s="11" t="s">
        <v>3</v>
      </c>
      <c r="S696" s="10">
        <v>121.70710446527001</v>
      </c>
      <c r="T696" s="15">
        <v>80</v>
      </c>
      <c r="U696" s="15">
        <v>0</v>
      </c>
      <c r="V696" s="15">
        <v>0</v>
      </c>
      <c r="W696" s="15">
        <v>0</v>
      </c>
      <c r="X696" s="15">
        <f>IF(O696='Udvaskning nøgletal'!$D$65,1,IF(O696='Udvaskning nøgletal'!$D$66,2,IF(O696='Udvaskning nøgletal'!$D$67,3,IF(O696='Udvaskning nøgletal'!$D$68,2,""))))</f>
        <v>1</v>
      </c>
      <c r="Y696" s="15">
        <f>LOOKUP(K696,'Udvaskning nøgletal'!$C$12:$C$60,'Udvaskning nøgletal'!$H$12:$H$60)</f>
        <v>5</v>
      </c>
      <c r="Z696" s="10">
        <f>IF(X696=1,LOOKUP(K696,'Udvaskning nøgletal'!$C$12:$C$60,'Udvaskning nøgletal'!$E$12:$E$60)+Markniveau!Y696*Markniveau!S696/100,IF(X696=2,LOOKUP(K696,'Udvaskning nøgletal'!$C$12:$C$60,'Udvaskning nøgletal'!$F$12:$F$60)+Markniveau!Y696*Markniveau!S696/100,IF(X696=3,LOOKUP(K696,'Udvaskning nøgletal'!$C$12:$C$60,'Udvaskning nøgletal'!G706:G754)+Markniveau!Y696*Markniveau!S696/100,"")))</f>
        <v>70.745355223263502</v>
      </c>
      <c r="AA696" s="10">
        <f t="shared" si="106"/>
        <v>1647.6593231498068</v>
      </c>
      <c r="AB696" s="10">
        <f t="shared" si="105"/>
        <v>3.5372677611631751</v>
      </c>
      <c r="AC696" s="10">
        <f t="shared" si="107"/>
        <v>82.382966157490344</v>
      </c>
      <c r="AD696" s="10">
        <f>IF(AND(Q696&gt;0,Q696&lt;30,K696&lt;8),Markniveau!Z696*'Udvaskning nøgletal'!$I$12/100,IF(AND(Q696&gt;0,Q696&lt;30,K696=216),Markniveau!Z696*'Udvaskning nøgletal'!$I$34/100,Markniveau!Z696))</f>
        <v>70.745355223263502</v>
      </c>
      <c r="AE696" s="10">
        <f t="shared" si="113"/>
        <v>1647.6593231498068</v>
      </c>
      <c r="AF696" s="10">
        <f t="shared" si="108"/>
        <v>3.5372677611631751</v>
      </c>
      <c r="AG696" s="10">
        <f t="shared" si="114"/>
        <v>82.382966157490344</v>
      </c>
      <c r="AH696" s="10" t="str">
        <f>IF(AND(Q696&gt;0,Q696&lt;30,K696=216),'Udvaskning nøgletal'!$C$42,IF(AND(Q696&gt;0,Q696&lt;30,K696&gt;7,K696&lt;17),'Udvaskning nøgletal'!$C$61,IF(AND(Q696&gt;0,Q696&lt;30,K696&lt;7),'Udvaskning nøgletal'!$C$62,"")))</f>
        <v/>
      </c>
      <c r="AI696" s="10">
        <f t="shared" si="110"/>
        <v>1</v>
      </c>
      <c r="AJ696" s="10">
        <f>IF($X696=1,LOOKUP(AI696,'Udvaskning nøgletal'!$C$12:$C$62,'Udvaskning nøgletal'!$E$12:$E$62)+Markniveau!$Y696*Markniveau!$S696/100,IF($X696=2,LOOKUP(AI696,'Udvaskning nøgletal'!$C$12:$C$62,'Udvaskning nøgletal'!$F$12:$F$62)+Markniveau!$Y696*Markniveau!$S696/100,IF($X696=3,LOOKUP(AI696,'Udvaskning nøgletal'!$C$12:$C$62,'Udvaskning nøgletal'!Q706:Q756)+Markniveau!$Y696*Markniveau!$S696/100,"")))</f>
        <v>70.745355223263502</v>
      </c>
      <c r="AK696" s="10">
        <f t="shared" si="109"/>
        <v>1647.6593231498068</v>
      </c>
      <c r="AL696" s="10">
        <f t="shared" si="111"/>
        <v>3.5372677611631751</v>
      </c>
      <c r="AM696" s="10">
        <f t="shared" si="112"/>
        <v>82.382966157490344</v>
      </c>
    </row>
    <row r="697" spans="1:39" x14ac:dyDescent="0.25">
      <c r="A697" s="15">
        <v>25302133</v>
      </c>
      <c r="B697" s="15">
        <v>139.84</v>
      </c>
      <c r="C697" s="15">
        <v>199529</v>
      </c>
      <c r="D697" s="15">
        <v>96891</v>
      </c>
      <c r="E697" s="15" t="s">
        <v>557</v>
      </c>
      <c r="F697" s="15">
        <v>2011</v>
      </c>
      <c r="G697" s="15">
        <v>20110418</v>
      </c>
      <c r="H697" s="15">
        <v>303777</v>
      </c>
      <c r="I697" s="15">
        <v>30.38</v>
      </c>
      <c r="J697" s="6" t="s">
        <v>558</v>
      </c>
      <c r="K697" s="15">
        <v>10</v>
      </c>
      <c r="L697" s="15" t="s">
        <v>107</v>
      </c>
      <c r="M697" s="15" t="s">
        <v>5</v>
      </c>
      <c r="N697" s="11" t="s">
        <v>1384</v>
      </c>
      <c r="O697" s="11" t="s">
        <v>28</v>
      </c>
      <c r="P697" s="11" t="s">
        <v>33</v>
      </c>
      <c r="Q697" s="15">
        <v>0</v>
      </c>
      <c r="R697" s="11" t="s">
        <v>1386</v>
      </c>
      <c r="S697" s="10">
        <v>121.70710446527001</v>
      </c>
      <c r="T697" s="15">
        <v>80</v>
      </c>
      <c r="U697" s="15">
        <v>0</v>
      </c>
      <c r="V697" s="15">
        <v>0</v>
      </c>
      <c r="W697" s="15">
        <v>0</v>
      </c>
      <c r="X697" s="15">
        <f>IF(O697='Udvaskning nøgletal'!$D$65,1,IF(O697='Udvaskning nøgletal'!$D$66,2,IF(O697='Udvaskning nøgletal'!$D$67,3,IF(O697='Udvaskning nøgletal'!$D$68,2,""))))</f>
        <v>1</v>
      </c>
      <c r="Y697" s="15">
        <f>LOOKUP(K697,'Udvaskning nøgletal'!$C$12:$C$60,'Udvaskning nøgletal'!$H$12:$H$60)</f>
        <v>5</v>
      </c>
      <c r="Z697" s="10">
        <f>IF(X697=1,LOOKUP(K697,'Udvaskning nøgletal'!$C$12:$C$60,'Udvaskning nøgletal'!$E$12:$E$60)+Markniveau!Y697*Markniveau!S697/100,IF(X697=2,LOOKUP(K697,'Udvaskning nøgletal'!$C$12:$C$60,'Udvaskning nøgletal'!$F$12:$F$60)+Markniveau!Y697*Markniveau!S697/100,IF(X697=3,LOOKUP(K697,'Udvaskning nøgletal'!$C$12:$C$60,'Udvaskning nøgletal'!G707:G755)+Markniveau!Y697*Markniveau!S697/100,"")))</f>
        <v>70.745355223263502</v>
      </c>
      <c r="AA697" s="10">
        <f t="shared" si="106"/>
        <v>2149.243891682745</v>
      </c>
      <c r="AB697" s="10" t="str">
        <f t="shared" si="105"/>
        <v/>
      </c>
      <c r="AC697" s="10" t="str">
        <f t="shared" si="107"/>
        <v/>
      </c>
      <c r="AD697" s="10">
        <f>IF(AND(Q697&gt;0,Q697&lt;30,K697&lt;8),Markniveau!Z697*'Udvaskning nøgletal'!$I$12/100,IF(AND(Q697&gt;0,Q697&lt;30,K697=216),Markniveau!Z697*'Udvaskning nøgletal'!$I$34/100,Markniveau!Z697))</f>
        <v>70.745355223263502</v>
      </c>
      <c r="AE697" s="10">
        <f t="shared" si="113"/>
        <v>2149.243891682745</v>
      </c>
      <c r="AF697" s="10" t="str">
        <f t="shared" si="108"/>
        <v/>
      </c>
      <c r="AG697" s="10" t="str">
        <f t="shared" si="114"/>
        <v/>
      </c>
      <c r="AH697" s="10" t="str">
        <f>IF(AND(Q697&gt;0,Q697&lt;30,K697=216),'Udvaskning nøgletal'!$C$42,IF(AND(Q697&gt;0,Q697&lt;30,K697&gt;7,K697&lt;17),'Udvaskning nøgletal'!$C$61,IF(AND(Q697&gt;0,Q697&lt;30,K697&lt;7),'Udvaskning nøgletal'!$C$62,"")))</f>
        <v/>
      </c>
      <c r="AI697" s="10">
        <f t="shared" si="110"/>
        <v>10</v>
      </c>
      <c r="AJ697" s="10">
        <f>IF($X697=1,LOOKUP(AI697,'Udvaskning nøgletal'!$C$12:$C$62,'Udvaskning nøgletal'!$E$12:$E$62)+Markniveau!$Y697*Markniveau!$S697/100,IF($X697=2,LOOKUP(AI697,'Udvaskning nøgletal'!$C$12:$C$62,'Udvaskning nøgletal'!$F$12:$F$62)+Markniveau!$Y697*Markniveau!$S697/100,IF($X697=3,LOOKUP(AI697,'Udvaskning nøgletal'!$C$12:$C$62,'Udvaskning nøgletal'!Q707:Q757)+Markniveau!$Y697*Markniveau!$S697/100,"")))</f>
        <v>70.745355223263502</v>
      </c>
      <c r="AK697" s="10">
        <f t="shared" si="109"/>
        <v>2149.243891682745</v>
      </c>
      <c r="AL697" s="10" t="str">
        <f t="shared" si="111"/>
        <v/>
      </c>
      <c r="AM697" s="10" t="str">
        <f t="shared" si="112"/>
        <v/>
      </c>
    </row>
    <row r="698" spans="1:39" x14ac:dyDescent="0.25">
      <c r="A698" s="15">
        <v>25302133</v>
      </c>
      <c r="B698" s="15">
        <v>139.84</v>
      </c>
      <c r="C698" s="15">
        <v>127600</v>
      </c>
      <c r="D698" s="15">
        <v>96891</v>
      </c>
      <c r="E698" s="15" t="s">
        <v>539</v>
      </c>
      <c r="F698" s="15">
        <v>2011</v>
      </c>
      <c r="G698" s="15">
        <v>20110419</v>
      </c>
      <c r="H698" s="15">
        <v>151241</v>
      </c>
      <c r="I698" s="15">
        <v>15.12</v>
      </c>
      <c r="J698" s="6" t="s">
        <v>69</v>
      </c>
      <c r="K698" s="15">
        <v>1</v>
      </c>
      <c r="L698" s="15" t="s">
        <v>32</v>
      </c>
      <c r="M698" s="15" t="s">
        <v>5</v>
      </c>
      <c r="N698" s="11" t="s">
        <v>1391</v>
      </c>
      <c r="O698" s="11" t="s">
        <v>46</v>
      </c>
      <c r="P698" s="11" t="s">
        <v>29</v>
      </c>
      <c r="Q698" s="15">
        <v>95</v>
      </c>
      <c r="R698" s="11" t="s">
        <v>3</v>
      </c>
      <c r="S698" s="10">
        <v>121.70710446527001</v>
      </c>
      <c r="T698" s="15">
        <v>80</v>
      </c>
      <c r="U698" s="15">
        <v>0</v>
      </c>
      <c r="V698" s="15">
        <v>0</v>
      </c>
      <c r="W698" s="15">
        <v>0</v>
      </c>
      <c r="X698" s="15">
        <f>IF(O698='Udvaskning nøgletal'!$D$65,1,IF(O698='Udvaskning nøgletal'!$D$66,2,IF(O698='Udvaskning nøgletal'!$D$67,3,IF(O698='Udvaskning nøgletal'!$D$68,2,""))))</f>
        <v>2</v>
      </c>
      <c r="Y698" s="15">
        <f>LOOKUP(K698,'Udvaskning nøgletal'!$C$12:$C$60,'Udvaskning nøgletal'!$H$12:$H$60)</f>
        <v>5</v>
      </c>
      <c r="Z698" s="10">
        <f>IF(X698=1,LOOKUP(K698,'Udvaskning nøgletal'!$C$12:$C$60,'Udvaskning nøgletal'!$E$12:$E$60)+Markniveau!Y698*Markniveau!S698/100,IF(X698=2,LOOKUP(K698,'Udvaskning nøgletal'!$C$12:$C$60,'Udvaskning nøgletal'!$F$12:$F$60)+Markniveau!Y698*Markniveau!S698/100,IF(X698=3,LOOKUP(K698,'Udvaskning nøgletal'!$C$12:$C$60,'Udvaskning nøgletal'!G708:G756)+Markniveau!Y698*Markniveau!S698/100,"")))</f>
        <v>56.965355223263501</v>
      </c>
      <c r="AA698" s="10">
        <f t="shared" si="106"/>
        <v>861.31617097574406</v>
      </c>
      <c r="AB698" s="10">
        <f t="shared" si="105"/>
        <v>2.848267761163175</v>
      </c>
      <c r="AC698" s="10">
        <f t="shared" si="107"/>
        <v>43.065808548787203</v>
      </c>
      <c r="AD698" s="10">
        <f>IF(AND(Q698&gt;0,Q698&lt;30,K698&lt;8),Markniveau!Z698*'Udvaskning nøgletal'!$I$12/100,IF(AND(Q698&gt;0,Q698&lt;30,K698=216),Markniveau!Z698*'Udvaskning nøgletal'!$I$34/100,Markniveau!Z698))</f>
        <v>56.965355223263501</v>
      </c>
      <c r="AE698" s="10">
        <f t="shared" si="113"/>
        <v>861.31617097574406</v>
      </c>
      <c r="AF698" s="10">
        <f t="shared" si="108"/>
        <v>2.848267761163175</v>
      </c>
      <c r="AG698" s="10">
        <f t="shared" si="114"/>
        <v>43.065808548787203</v>
      </c>
      <c r="AH698" s="10" t="str">
        <f>IF(AND(Q698&gt;0,Q698&lt;30,K698=216),'Udvaskning nøgletal'!$C$42,IF(AND(Q698&gt;0,Q698&lt;30,K698&gt;7,K698&lt;17),'Udvaskning nøgletal'!$C$61,IF(AND(Q698&gt;0,Q698&lt;30,K698&lt;7),'Udvaskning nøgletal'!$C$62,"")))</f>
        <v/>
      </c>
      <c r="AI698" s="10">
        <f t="shared" si="110"/>
        <v>1</v>
      </c>
      <c r="AJ698" s="10">
        <f>IF($X698=1,LOOKUP(AI698,'Udvaskning nøgletal'!$C$12:$C$62,'Udvaskning nøgletal'!$E$12:$E$62)+Markniveau!$Y698*Markniveau!$S698/100,IF($X698=2,LOOKUP(AI698,'Udvaskning nøgletal'!$C$12:$C$62,'Udvaskning nøgletal'!$F$12:$F$62)+Markniveau!$Y698*Markniveau!$S698/100,IF($X698=3,LOOKUP(AI698,'Udvaskning nøgletal'!$C$12:$C$62,'Udvaskning nøgletal'!Q708:Q758)+Markniveau!$Y698*Markniveau!$S698/100,"")))</f>
        <v>56.965355223263501</v>
      </c>
      <c r="AK698" s="10">
        <f t="shared" si="109"/>
        <v>861.31617097574406</v>
      </c>
      <c r="AL698" s="10">
        <f t="shared" si="111"/>
        <v>2.848267761163175</v>
      </c>
      <c r="AM698" s="10">
        <f t="shared" si="112"/>
        <v>43.065808548787203</v>
      </c>
    </row>
    <row r="699" spans="1:39" x14ac:dyDescent="0.25">
      <c r="A699" s="15">
        <v>25302133</v>
      </c>
      <c r="B699" s="15">
        <v>139.84</v>
      </c>
      <c r="C699" s="15">
        <v>192769</v>
      </c>
      <c r="D699" s="15">
        <v>96891</v>
      </c>
      <c r="E699" s="15" t="s">
        <v>559</v>
      </c>
      <c r="F699" s="15">
        <v>2011</v>
      </c>
      <c r="G699" s="15">
        <v>20110418</v>
      </c>
      <c r="H699" s="15">
        <v>16291</v>
      </c>
      <c r="I699" s="15">
        <v>1.63</v>
      </c>
      <c r="J699" s="6" t="s">
        <v>86</v>
      </c>
      <c r="K699" s="15">
        <v>1</v>
      </c>
      <c r="L699" s="15" t="s">
        <v>32</v>
      </c>
      <c r="M699" s="15" t="s">
        <v>5</v>
      </c>
      <c r="N699" s="11" t="s">
        <v>1384</v>
      </c>
      <c r="O699" s="11" t="s">
        <v>28</v>
      </c>
      <c r="P699" s="11" t="s">
        <v>29</v>
      </c>
      <c r="Q699" s="15">
        <v>95</v>
      </c>
      <c r="R699" s="11" t="s">
        <v>3</v>
      </c>
      <c r="S699" s="10">
        <v>121.70710446527001</v>
      </c>
      <c r="T699" s="15">
        <v>80</v>
      </c>
      <c r="U699" s="15">
        <v>0</v>
      </c>
      <c r="V699" s="15">
        <v>0</v>
      </c>
      <c r="W699" s="15">
        <v>0</v>
      </c>
      <c r="X699" s="15">
        <f>IF(O699='Udvaskning nøgletal'!$D$65,1,IF(O699='Udvaskning nøgletal'!$D$66,2,IF(O699='Udvaskning nøgletal'!$D$67,3,IF(O699='Udvaskning nøgletal'!$D$68,2,""))))</f>
        <v>1</v>
      </c>
      <c r="Y699" s="15">
        <f>LOOKUP(K699,'Udvaskning nøgletal'!$C$12:$C$60,'Udvaskning nøgletal'!$H$12:$H$60)</f>
        <v>5</v>
      </c>
      <c r="Z699" s="10">
        <f>IF(X699=1,LOOKUP(K699,'Udvaskning nøgletal'!$C$12:$C$60,'Udvaskning nøgletal'!$E$12:$E$60)+Markniveau!Y699*Markniveau!S699/100,IF(X699=2,LOOKUP(K699,'Udvaskning nøgletal'!$C$12:$C$60,'Udvaskning nøgletal'!$F$12:$F$60)+Markniveau!Y699*Markniveau!S699/100,IF(X699=3,LOOKUP(K699,'Udvaskning nøgletal'!$C$12:$C$60,'Udvaskning nøgletal'!G709:G757)+Markniveau!Y699*Markniveau!S699/100,"")))</f>
        <v>70.745355223263502</v>
      </c>
      <c r="AA699" s="10">
        <f t="shared" si="106"/>
        <v>115.3149290139195</v>
      </c>
      <c r="AB699" s="10">
        <f t="shared" si="105"/>
        <v>3.5372677611631751</v>
      </c>
      <c r="AC699" s="10">
        <f t="shared" si="107"/>
        <v>5.7657464506959748</v>
      </c>
      <c r="AD699" s="10">
        <f>IF(AND(Q699&gt;0,Q699&lt;30,K699&lt;8),Markniveau!Z699*'Udvaskning nøgletal'!$I$12/100,IF(AND(Q699&gt;0,Q699&lt;30,K699=216),Markniveau!Z699*'Udvaskning nøgletal'!$I$34/100,Markniveau!Z699))</f>
        <v>70.745355223263502</v>
      </c>
      <c r="AE699" s="10">
        <f t="shared" si="113"/>
        <v>115.3149290139195</v>
      </c>
      <c r="AF699" s="10">
        <f t="shared" si="108"/>
        <v>3.5372677611631751</v>
      </c>
      <c r="AG699" s="10">
        <f t="shared" si="114"/>
        <v>5.7657464506959748</v>
      </c>
      <c r="AH699" s="10" t="str">
        <f>IF(AND(Q699&gt;0,Q699&lt;30,K699=216),'Udvaskning nøgletal'!$C$42,IF(AND(Q699&gt;0,Q699&lt;30,K699&gt;7,K699&lt;17),'Udvaskning nøgletal'!$C$61,IF(AND(Q699&gt;0,Q699&lt;30,K699&lt;7),'Udvaskning nøgletal'!$C$62,"")))</f>
        <v/>
      </c>
      <c r="AI699" s="10">
        <f t="shared" si="110"/>
        <v>1</v>
      </c>
      <c r="AJ699" s="10">
        <f>IF($X699=1,LOOKUP(AI699,'Udvaskning nøgletal'!$C$12:$C$62,'Udvaskning nøgletal'!$E$12:$E$62)+Markniveau!$Y699*Markniveau!$S699/100,IF($X699=2,LOOKUP(AI699,'Udvaskning nøgletal'!$C$12:$C$62,'Udvaskning nøgletal'!$F$12:$F$62)+Markniveau!$Y699*Markniveau!$S699/100,IF($X699=3,LOOKUP(AI699,'Udvaskning nøgletal'!$C$12:$C$62,'Udvaskning nøgletal'!Q709:Q759)+Markniveau!$Y699*Markniveau!$S699/100,"")))</f>
        <v>70.745355223263502</v>
      </c>
      <c r="AK699" s="10">
        <f t="shared" si="109"/>
        <v>115.3149290139195</v>
      </c>
      <c r="AL699" s="10">
        <f t="shared" si="111"/>
        <v>3.5372677611631751</v>
      </c>
      <c r="AM699" s="10">
        <f t="shared" si="112"/>
        <v>5.7657464506959748</v>
      </c>
    </row>
    <row r="700" spans="1:39" x14ac:dyDescent="0.25">
      <c r="A700" s="15">
        <v>25930827</v>
      </c>
      <c r="B700" s="15">
        <v>44.24</v>
      </c>
      <c r="C700" s="15">
        <v>26237</v>
      </c>
      <c r="D700" s="15">
        <v>101602</v>
      </c>
      <c r="E700" s="15" t="s">
        <v>560</v>
      </c>
      <c r="F700" s="15">
        <v>2011</v>
      </c>
      <c r="G700" s="15">
        <v>20110406</v>
      </c>
      <c r="H700" s="15">
        <v>98982</v>
      </c>
      <c r="I700" s="15">
        <v>9.9</v>
      </c>
      <c r="J700" s="6" t="s">
        <v>561</v>
      </c>
      <c r="K700" s="15">
        <v>216</v>
      </c>
      <c r="L700" s="15" t="s">
        <v>116</v>
      </c>
      <c r="M700" s="15" t="s">
        <v>5</v>
      </c>
      <c r="N700" s="11" t="s">
        <v>1391</v>
      </c>
      <c r="O700" s="11" t="s">
        <v>46</v>
      </c>
      <c r="P700" s="11" t="s">
        <v>33</v>
      </c>
      <c r="Q700" s="15">
        <v>0</v>
      </c>
      <c r="R700" s="11" t="s">
        <v>1386</v>
      </c>
      <c r="S700" s="10">
        <v>160.9126408162</v>
      </c>
      <c r="T700" s="15">
        <v>80</v>
      </c>
      <c r="U700" s="15">
        <v>0</v>
      </c>
      <c r="V700" s="15">
        <v>0</v>
      </c>
      <c r="W700" s="15">
        <v>0</v>
      </c>
      <c r="X700" s="15">
        <f>IF(O700='Udvaskning nøgletal'!$D$65,1,IF(O700='Udvaskning nøgletal'!$D$66,2,IF(O700='Udvaskning nøgletal'!$D$67,3,IF(O700='Udvaskning nøgletal'!$D$68,2,""))))</f>
        <v>2</v>
      </c>
      <c r="Y700" s="15">
        <f>LOOKUP(K700,'Udvaskning nøgletal'!$C$12:$C$60,'Udvaskning nøgletal'!$H$12:$H$60)</f>
        <v>0</v>
      </c>
      <c r="Z700" s="10">
        <f>IF(X700=1,LOOKUP(K700,'Udvaskning nøgletal'!$C$12:$C$60,'Udvaskning nøgletal'!$E$12:$E$60)+Markniveau!Y700*Markniveau!S700/100,IF(X700=2,LOOKUP(K700,'Udvaskning nøgletal'!$C$12:$C$60,'Udvaskning nøgletal'!$F$12:$F$60)+Markniveau!Y700*Markniveau!S700/100,IF(X700=3,LOOKUP(K700,'Udvaskning nøgletal'!$C$12:$C$60,'Udvaskning nøgletal'!G710:G758)+Markniveau!Y700*Markniveau!S700/100,"")))</f>
        <v>101.66744640811392</v>
      </c>
      <c r="AA700" s="10">
        <f t="shared" si="106"/>
        <v>1006.5077194403278</v>
      </c>
      <c r="AB700" s="10" t="str">
        <f t="shared" si="105"/>
        <v/>
      </c>
      <c r="AC700" s="10" t="str">
        <f t="shared" si="107"/>
        <v/>
      </c>
      <c r="AD700" s="10">
        <f>IF(AND(Q700&gt;0,Q700&lt;30,K700&lt;8),Markniveau!Z700*'Udvaskning nøgletal'!$I$12/100,IF(AND(Q700&gt;0,Q700&lt;30,K700=216),Markniveau!Z700*'Udvaskning nøgletal'!$I$34/100,Markniveau!Z700))</f>
        <v>101.66744640811392</v>
      </c>
      <c r="AE700" s="10">
        <f t="shared" si="113"/>
        <v>1006.5077194403278</v>
      </c>
      <c r="AF700" s="10" t="str">
        <f t="shared" si="108"/>
        <v/>
      </c>
      <c r="AG700" s="10" t="str">
        <f t="shared" si="114"/>
        <v/>
      </c>
      <c r="AH700" s="10" t="str">
        <f>IF(AND(Q700&gt;0,Q700&lt;30,K700=216),'Udvaskning nøgletal'!$C$42,IF(AND(Q700&gt;0,Q700&lt;30,K700&gt;7,K700&lt;17),'Udvaskning nøgletal'!$C$61,IF(AND(Q700&gt;0,Q700&lt;30,K700&lt;7),'Udvaskning nøgletal'!$C$62,"")))</f>
        <v/>
      </c>
      <c r="AI700" s="10">
        <f t="shared" si="110"/>
        <v>216</v>
      </c>
      <c r="AJ700" s="10">
        <f>IF($X700=1,LOOKUP(AI700,'Udvaskning nøgletal'!$C$12:$C$62,'Udvaskning nøgletal'!$E$12:$E$62)+Markniveau!$Y700*Markniveau!$S700/100,IF($X700=2,LOOKUP(AI700,'Udvaskning nøgletal'!$C$12:$C$62,'Udvaskning nøgletal'!$F$12:$F$62)+Markniveau!$Y700*Markniveau!$S700/100,IF($X700=3,LOOKUP(AI700,'Udvaskning nøgletal'!$C$12:$C$62,'Udvaskning nøgletal'!Q710:Q760)+Markniveau!$Y700*Markniveau!$S700/100,"")))</f>
        <v>101.66744640811392</v>
      </c>
      <c r="AK700" s="10">
        <f t="shared" si="109"/>
        <v>1006.5077194403278</v>
      </c>
      <c r="AL700" s="10" t="str">
        <f t="shared" si="111"/>
        <v/>
      </c>
      <c r="AM700" s="10" t="str">
        <f t="shared" si="112"/>
        <v/>
      </c>
    </row>
    <row r="701" spans="1:39" x14ac:dyDescent="0.25">
      <c r="A701" s="15">
        <v>25930827</v>
      </c>
      <c r="B701" s="15">
        <v>44.24</v>
      </c>
      <c r="C701" s="15">
        <v>26239</v>
      </c>
      <c r="D701" s="15">
        <v>101602</v>
      </c>
      <c r="E701" s="15" t="s">
        <v>562</v>
      </c>
      <c r="F701" s="15">
        <v>2011</v>
      </c>
      <c r="G701" s="15">
        <v>20110406</v>
      </c>
      <c r="H701" s="15">
        <v>143591</v>
      </c>
      <c r="I701" s="15">
        <v>14.36</v>
      </c>
      <c r="J701" s="6" t="s">
        <v>563</v>
      </c>
      <c r="K701" s="15">
        <v>11</v>
      </c>
      <c r="L701" s="15" t="s">
        <v>102</v>
      </c>
      <c r="M701" s="15" t="s">
        <v>5</v>
      </c>
      <c r="N701" s="11" t="s">
        <v>1391</v>
      </c>
      <c r="O701" s="11" t="s">
        <v>46</v>
      </c>
      <c r="P701" s="11" t="s">
        <v>33</v>
      </c>
      <c r="Q701" s="15">
        <v>0</v>
      </c>
      <c r="R701" s="11" t="s">
        <v>1386</v>
      </c>
      <c r="S701" s="10">
        <v>160.9126408162</v>
      </c>
      <c r="T701" s="15">
        <v>80</v>
      </c>
      <c r="U701" s="15">
        <v>0</v>
      </c>
      <c r="V701" s="15">
        <v>0</v>
      </c>
      <c r="W701" s="15">
        <v>0</v>
      </c>
      <c r="X701" s="15">
        <f>IF(O701='Udvaskning nøgletal'!$D$65,1,IF(O701='Udvaskning nøgletal'!$D$66,2,IF(O701='Udvaskning nøgletal'!$D$67,3,IF(O701='Udvaskning nøgletal'!$D$68,2,""))))</f>
        <v>2</v>
      </c>
      <c r="Y701" s="15">
        <f>LOOKUP(K701,'Udvaskning nøgletal'!$C$12:$C$60,'Udvaskning nøgletal'!$H$12:$H$60)</f>
        <v>5</v>
      </c>
      <c r="Z701" s="10">
        <f>IF(X701=1,LOOKUP(K701,'Udvaskning nøgletal'!$C$12:$C$60,'Udvaskning nøgletal'!$E$12:$E$60)+Markniveau!Y701*Markniveau!S701/100,IF(X701=2,LOOKUP(K701,'Udvaskning nøgletal'!$C$12:$C$60,'Udvaskning nøgletal'!$F$12:$F$60)+Markniveau!Y701*Markniveau!S701/100,IF(X701=3,LOOKUP(K701,'Udvaskning nøgletal'!$C$12:$C$60,'Udvaskning nøgletal'!G711:G759)+Markniveau!Y701*Markniveau!S701/100,"")))</f>
        <v>58.925632040810001</v>
      </c>
      <c r="AA701" s="10">
        <f t="shared" si="106"/>
        <v>846.17207610603157</v>
      </c>
      <c r="AB701" s="10" t="str">
        <f t="shared" si="105"/>
        <v/>
      </c>
      <c r="AC701" s="10" t="str">
        <f t="shared" si="107"/>
        <v/>
      </c>
      <c r="AD701" s="10">
        <f>IF(AND(Q701&gt;0,Q701&lt;30,K701&lt;8),Markniveau!Z701*'Udvaskning nøgletal'!$I$12/100,IF(AND(Q701&gt;0,Q701&lt;30,K701=216),Markniveau!Z701*'Udvaskning nøgletal'!$I$34/100,Markniveau!Z701))</f>
        <v>58.925632040810001</v>
      </c>
      <c r="AE701" s="10">
        <f t="shared" si="113"/>
        <v>846.17207610603157</v>
      </c>
      <c r="AF701" s="10" t="str">
        <f t="shared" si="108"/>
        <v/>
      </c>
      <c r="AG701" s="10" t="str">
        <f t="shared" si="114"/>
        <v/>
      </c>
      <c r="AH701" s="10" t="str">
        <f>IF(AND(Q701&gt;0,Q701&lt;30,K701=216),'Udvaskning nøgletal'!$C$42,IF(AND(Q701&gt;0,Q701&lt;30,K701&gt;7,K701&lt;17),'Udvaskning nøgletal'!$C$61,IF(AND(Q701&gt;0,Q701&lt;30,K701&lt;7),'Udvaskning nøgletal'!$C$62,"")))</f>
        <v/>
      </c>
      <c r="AI701" s="10">
        <f t="shared" si="110"/>
        <v>11</v>
      </c>
      <c r="AJ701" s="10">
        <f>IF($X701=1,LOOKUP(AI701,'Udvaskning nøgletal'!$C$12:$C$62,'Udvaskning nøgletal'!$E$12:$E$62)+Markniveau!$Y701*Markniveau!$S701/100,IF($X701=2,LOOKUP(AI701,'Udvaskning nøgletal'!$C$12:$C$62,'Udvaskning nøgletal'!$F$12:$F$62)+Markniveau!$Y701*Markniveau!$S701/100,IF($X701=3,LOOKUP(AI701,'Udvaskning nøgletal'!$C$12:$C$62,'Udvaskning nøgletal'!Q711:Q761)+Markniveau!$Y701*Markniveau!$S701/100,"")))</f>
        <v>58.925632040810001</v>
      </c>
      <c r="AK701" s="10">
        <f t="shared" si="109"/>
        <v>846.17207610603157</v>
      </c>
      <c r="AL701" s="10" t="str">
        <f t="shared" si="111"/>
        <v/>
      </c>
      <c r="AM701" s="10" t="str">
        <f t="shared" si="112"/>
        <v/>
      </c>
    </row>
    <row r="702" spans="1:39" x14ac:dyDescent="0.25">
      <c r="A702" s="15">
        <v>25930827</v>
      </c>
      <c r="B702" s="15">
        <v>44.24</v>
      </c>
      <c r="C702" s="15">
        <v>27234</v>
      </c>
      <c r="D702" s="15">
        <v>101602</v>
      </c>
      <c r="E702" s="15" t="s">
        <v>564</v>
      </c>
      <c r="F702" s="15">
        <v>2011</v>
      </c>
      <c r="G702" s="15">
        <v>20110406</v>
      </c>
      <c r="H702" s="15">
        <v>203370</v>
      </c>
      <c r="I702" s="15">
        <v>20.34</v>
      </c>
      <c r="J702" s="6" t="s">
        <v>565</v>
      </c>
      <c r="K702" s="15">
        <v>11</v>
      </c>
      <c r="L702" s="15" t="s">
        <v>102</v>
      </c>
      <c r="M702" s="15" t="s">
        <v>5</v>
      </c>
      <c r="N702" s="11" t="s">
        <v>1384</v>
      </c>
      <c r="O702" s="11" t="s">
        <v>28</v>
      </c>
      <c r="P702" s="11" t="s">
        <v>33</v>
      </c>
      <c r="Q702" s="15">
        <v>1</v>
      </c>
      <c r="R702" s="11" t="s">
        <v>11</v>
      </c>
      <c r="S702" s="10">
        <v>160.9126408162</v>
      </c>
      <c r="T702" s="15">
        <v>80</v>
      </c>
      <c r="U702" s="15">
        <v>0</v>
      </c>
      <c r="V702" s="15">
        <v>0</v>
      </c>
      <c r="W702" s="15">
        <v>0</v>
      </c>
      <c r="X702" s="15">
        <f>IF(O702='Udvaskning nøgletal'!$D$65,1,IF(O702='Udvaskning nøgletal'!$D$66,2,IF(O702='Udvaskning nøgletal'!$D$67,3,IF(O702='Udvaskning nøgletal'!$D$68,2,""))))</f>
        <v>1</v>
      </c>
      <c r="Y702" s="15">
        <f>LOOKUP(K702,'Udvaskning nøgletal'!$C$12:$C$60,'Udvaskning nøgletal'!$H$12:$H$60)</f>
        <v>5</v>
      </c>
      <c r="Z702" s="10">
        <f>IF(X702=1,LOOKUP(K702,'Udvaskning nøgletal'!$C$12:$C$60,'Udvaskning nøgletal'!$E$12:$E$60)+Markniveau!Y702*Markniveau!S702/100,IF(X702=2,LOOKUP(K702,'Udvaskning nøgletal'!$C$12:$C$60,'Udvaskning nøgletal'!$F$12:$F$60)+Markniveau!Y702*Markniveau!S702/100,IF(X702=3,LOOKUP(K702,'Udvaskning nøgletal'!$C$12:$C$60,'Udvaskning nøgletal'!G712:G760)+Markniveau!Y702*Markniveau!S702/100,"")))</f>
        <v>72.705632040810002</v>
      </c>
      <c r="AA702" s="10">
        <f t="shared" si="106"/>
        <v>1478.8325557100754</v>
      </c>
      <c r="AB702" s="10">
        <f t="shared" si="105"/>
        <v>71.978575720401906</v>
      </c>
      <c r="AC702" s="10">
        <f t="shared" si="107"/>
        <v>1464.0442301529747</v>
      </c>
      <c r="AD702" s="10">
        <f>IF(AND(Q702&gt;0,Q702&lt;30,K702&lt;8),Markniveau!Z702*'Udvaskning nøgletal'!$I$12/100,IF(AND(Q702&gt;0,Q702&lt;30,K702=216),Markniveau!Z702*'Udvaskning nøgletal'!$I$34/100,Markniveau!Z702))</f>
        <v>72.705632040810002</v>
      </c>
      <c r="AE702" s="10">
        <f t="shared" si="113"/>
        <v>1478.8325557100754</v>
      </c>
      <c r="AF702" s="10">
        <f t="shared" si="108"/>
        <v>71.978575720401906</v>
      </c>
      <c r="AG702" s="10">
        <f t="shared" si="114"/>
        <v>1464.0442301529747</v>
      </c>
      <c r="AH702" s="10">
        <f>IF(AND(Q702&gt;0,Q702&lt;30,K702=216),'Udvaskning nøgletal'!$C$42,IF(AND(Q702&gt;0,Q702&lt;30,K702&gt;7,K702&lt;17),'Udvaskning nøgletal'!$C$61,IF(AND(Q702&gt;0,Q702&lt;30,K702&lt;7),'Udvaskning nøgletal'!$C$62,"")))</f>
        <v>1001</v>
      </c>
      <c r="AI702" s="10">
        <f t="shared" si="110"/>
        <v>1001</v>
      </c>
      <c r="AJ702" s="10">
        <f>IF($X702=1,LOOKUP(AI702,'Udvaskning nøgletal'!$C$12:$C$62,'Udvaskning nøgletal'!$E$12:$E$62)+Markniveau!$Y702*Markniveau!$S702/100,IF($X702=2,LOOKUP(AI702,'Udvaskning nøgletal'!$C$12:$C$62,'Udvaskning nøgletal'!$F$12:$F$62)+Markniveau!$Y702*Markniveau!$S702/100,IF($X702=3,LOOKUP(AI702,'Udvaskning nøgletal'!$C$12:$C$62,'Udvaskning nøgletal'!Q712:Q762)+Markniveau!$Y702*Markniveau!$S702/100,"")))</f>
        <v>38.545632040809998</v>
      </c>
      <c r="AK702" s="10">
        <f t="shared" si="109"/>
        <v>784.01815571007535</v>
      </c>
      <c r="AL702" s="10">
        <f t="shared" si="111"/>
        <v>38.160175720401895</v>
      </c>
      <c r="AM702" s="10">
        <f t="shared" si="112"/>
        <v>776.17797415297457</v>
      </c>
    </row>
    <row r="703" spans="1:39" x14ac:dyDescent="0.25">
      <c r="A703" s="15">
        <v>25930827</v>
      </c>
      <c r="B703" s="15">
        <v>44.24</v>
      </c>
      <c r="C703" s="15">
        <v>27755</v>
      </c>
      <c r="D703" s="15">
        <v>101602</v>
      </c>
      <c r="E703" s="15" t="s">
        <v>566</v>
      </c>
      <c r="F703" s="15">
        <v>2011</v>
      </c>
      <c r="G703" s="15">
        <v>20110406</v>
      </c>
      <c r="H703" s="15">
        <v>126692</v>
      </c>
      <c r="I703" s="15">
        <v>12.67</v>
      </c>
      <c r="J703" s="6" t="s">
        <v>567</v>
      </c>
      <c r="K703" s="15">
        <v>216</v>
      </c>
      <c r="L703" s="15" t="s">
        <v>116</v>
      </c>
      <c r="M703" s="15" t="s">
        <v>5</v>
      </c>
      <c r="N703" s="11" t="s">
        <v>1384</v>
      </c>
      <c r="O703" s="11" t="s">
        <v>28</v>
      </c>
      <c r="P703" s="11" t="s">
        <v>33</v>
      </c>
      <c r="Q703" s="15">
        <v>1</v>
      </c>
      <c r="R703" s="11" t="s">
        <v>11</v>
      </c>
      <c r="S703" s="10">
        <v>160.9126408162</v>
      </c>
      <c r="T703" s="15">
        <v>80</v>
      </c>
      <c r="U703" s="15">
        <v>0</v>
      </c>
      <c r="V703" s="15">
        <v>0</v>
      </c>
      <c r="W703" s="15">
        <v>0</v>
      </c>
      <c r="X703" s="15">
        <f>IF(O703='Udvaskning nøgletal'!$D$65,1,IF(O703='Udvaskning nøgletal'!$D$66,2,IF(O703='Udvaskning nøgletal'!$D$67,3,IF(O703='Udvaskning nøgletal'!$D$68,2,""))))</f>
        <v>1</v>
      </c>
      <c r="Y703" s="15">
        <f>LOOKUP(K703,'Udvaskning nøgletal'!$C$12:$C$60,'Udvaskning nøgletal'!$H$12:$H$60)</f>
        <v>0</v>
      </c>
      <c r="Z703" s="10">
        <f>IF(X703=1,LOOKUP(K703,'Udvaskning nøgletal'!$C$12:$C$60,'Udvaskning nøgletal'!$E$12:$E$60)+Markniveau!Y703*Markniveau!S703/100,IF(X703=2,LOOKUP(K703,'Udvaskning nøgletal'!$C$12:$C$60,'Udvaskning nøgletal'!$F$12:$F$60)+Markniveau!Y703*Markniveau!S703/100,IF(X703=3,LOOKUP(K703,'Udvaskning nøgletal'!$C$12:$C$60,'Udvaskning nøgletal'!G713:G761)+Markniveau!Y703*Markniveau!S703/100,"")))</f>
        <v>125.85383557148924</v>
      </c>
      <c r="AA703" s="10">
        <f t="shared" si="106"/>
        <v>1594.5680966907687</v>
      </c>
      <c r="AB703" s="10">
        <f t="shared" si="105"/>
        <v>124.59529721577435</v>
      </c>
      <c r="AC703" s="10">
        <f t="shared" si="107"/>
        <v>1578.622415723861</v>
      </c>
      <c r="AD703" s="10">
        <f>IF(AND(Q703&gt;0,Q703&lt;30,K703&lt;8),Markniveau!Z703*'Udvaskning nøgletal'!$I$12/100,IF(AND(Q703&gt;0,Q703&lt;30,K703=216),Markniveau!Z703*'Udvaskning nøgletal'!$I$34/100,Markniveau!Z703))</f>
        <v>88.097684900042481</v>
      </c>
      <c r="AE703" s="10">
        <f t="shared" si="113"/>
        <v>1116.1976676835382</v>
      </c>
      <c r="AF703" s="10">
        <f t="shared" si="108"/>
        <v>87.216708051042062</v>
      </c>
      <c r="AG703" s="10">
        <f t="shared" si="114"/>
        <v>1105.035691006703</v>
      </c>
      <c r="AH703" s="10">
        <f>IF(AND(Q703&gt;0,Q703&lt;30,K703=216),'Udvaskning nøgletal'!$C$42,IF(AND(Q703&gt;0,Q703&lt;30,K703&gt;7,K703&lt;17),'Udvaskning nøgletal'!$C$61,IF(AND(Q703&gt;0,Q703&lt;30,K703&lt;7),'Udvaskning nøgletal'!$C$62,"")))</f>
        <v>260</v>
      </c>
      <c r="AI703" s="10">
        <f t="shared" si="110"/>
        <v>260</v>
      </c>
      <c r="AJ703" s="10">
        <f>IF($X703=1,LOOKUP(AI703,'Udvaskning nøgletal'!$C$12:$C$62,'Udvaskning nøgletal'!$E$12:$E$62)+Markniveau!$Y703*Markniveau!$S703/100,IF($X703=2,LOOKUP(AI703,'Udvaskning nøgletal'!$C$12:$C$62,'Udvaskning nøgletal'!$F$12:$F$62)+Markniveau!$Y703*Markniveau!$S703/100,IF($X703=3,LOOKUP(AI703,'Udvaskning nøgletal'!$C$12:$C$62,'Udvaskning nøgletal'!Q713:Q763)+Markniveau!$Y703*Markniveau!$S703/100,"")))</f>
        <v>33.723295792149436</v>
      </c>
      <c r="AK703" s="10">
        <f t="shared" si="109"/>
        <v>427.27415768653333</v>
      </c>
      <c r="AL703" s="10">
        <f t="shared" si="111"/>
        <v>33.386062834227943</v>
      </c>
      <c r="AM703" s="10">
        <f t="shared" si="112"/>
        <v>423.00141610966801</v>
      </c>
    </row>
    <row r="704" spans="1:39" x14ac:dyDescent="0.25">
      <c r="A704" s="15">
        <v>25930827</v>
      </c>
      <c r="B704" s="15">
        <v>44.24</v>
      </c>
      <c r="C704" s="15">
        <v>49192</v>
      </c>
      <c r="D704" s="15">
        <v>101602</v>
      </c>
      <c r="E704" s="15" t="s">
        <v>568</v>
      </c>
      <c r="F704" s="15">
        <v>2011</v>
      </c>
      <c r="G704" s="15">
        <v>20110406</v>
      </c>
      <c r="H704" s="15">
        <v>105862</v>
      </c>
      <c r="I704" s="15">
        <v>10.59</v>
      </c>
      <c r="J704" s="6" t="s">
        <v>569</v>
      </c>
      <c r="K704" s="15">
        <v>11</v>
      </c>
      <c r="L704" s="15" t="s">
        <v>102</v>
      </c>
      <c r="M704" s="15" t="s">
        <v>5</v>
      </c>
      <c r="N704" s="11" t="s">
        <v>1406</v>
      </c>
      <c r="O704" s="11" t="s">
        <v>46</v>
      </c>
      <c r="P704" s="11" t="s">
        <v>33</v>
      </c>
      <c r="Q704" s="15">
        <v>0</v>
      </c>
      <c r="R704" s="11" t="s">
        <v>1386</v>
      </c>
      <c r="S704" s="10">
        <v>160.9126408162</v>
      </c>
      <c r="T704" s="15">
        <v>80</v>
      </c>
      <c r="U704" s="15">
        <v>0</v>
      </c>
      <c r="V704" s="15">
        <v>0</v>
      </c>
      <c r="W704" s="15">
        <v>0</v>
      </c>
      <c r="X704" s="15">
        <f>IF(O704='Udvaskning nøgletal'!$D$65,1,IF(O704='Udvaskning nøgletal'!$D$66,2,IF(O704='Udvaskning nøgletal'!$D$67,3,IF(O704='Udvaskning nøgletal'!$D$68,2,""))))</f>
        <v>2</v>
      </c>
      <c r="Y704" s="15">
        <f>LOOKUP(K704,'Udvaskning nøgletal'!$C$12:$C$60,'Udvaskning nøgletal'!$H$12:$H$60)</f>
        <v>5</v>
      </c>
      <c r="Z704" s="10">
        <f>IF(X704=1,LOOKUP(K704,'Udvaskning nøgletal'!$C$12:$C$60,'Udvaskning nøgletal'!$E$12:$E$60)+Markniveau!Y704*Markniveau!S704/100,IF(X704=2,LOOKUP(K704,'Udvaskning nøgletal'!$C$12:$C$60,'Udvaskning nøgletal'!$F$12:$F$60)+Markniveau!Y704*Markniveau!S704/100,IF(X704=3,LOOKUP(K704,'Udvaskning nøgletal'!$C$12:$C$60,'Udvaskning nøgletal'!G714:G762)+Markniveau!Y704*Markniveau!S704/100,"")))</f>
        <v>58.925632040810001</v>
      </c>
      <c r="AA704" s="10">
        <f t="shared" si="106"/>
        <v>624.02244331217787</v>
      </c>
      <c r="AB704" s="10" t="str">
        <f t="shared" si="105"/>
        <v/>
      </c>
      <c r="AC704" s="10" t="str">
        <f t="shared" si="107"/>
        <v/>
      </c>
      <c r="AD704" s="10">
        <f>IF(AND(Q704&gt;0,Q704&lt;30,K704&lt;8),Markniveau!Z704*'Udvaskning nøgletal'!$I$12/100,IF(AND(Q704&gt;0,Q704&lt;30,K704=216),Markniveau!Z704*'Udvaskning nøgletal'!$I$34/100,Markniveau!Z704))</f>
        <v>58.925632040810001</v>
      </c>
      <c r="AE704" s="10">
        <f t="shared" si="113"/>
        <v>624.02244331217787</v>
      </c>
      <c r="AF704" s="10" t="str">
        <f t="shared" si="108"/>
        <v/>
      </c>
      <c r="AG704" s="10" t="str">
        <f t="shared" si="114"/>
        <v/>
      </c>
      <c r="AH704" s="10" t="str">
        <f>IF(AND(Q704&gt;0,Q704&lt;30,K704=216),'Udvaskning nøgletal'!$C$42,IF(AND(Q704&gt;0,Q704&lt;30,K704&gt;7,K704&lt;17),'Udvaskning nøgletal'!$C$61,IF(AND(Q704&gt;0,Q704&lt;30,K704&lt;7),'Udvaskning nøgletal'!$C$62,"")))</f>
        <v/>
      </c>
      <c r="AI704" s="10">
        <f t="shared" si="110"/>
        <v>11</v>
      </c>
      <c r="AJ704" s="10">
        <f>IF($X704=1,LOOKUP(AI704,'Udvaskning nøgletal'!$C$12:$C$62,'Udvaskning nøgletal'!$E$12:$E$62)+Markniveau!$Y704*Markniveau!$S704/100,IF($X704=2,LOOKUP(AI704,'Udvaskning nøgletal'!$C$12:$C$62,'Udvaskning nøgletal'!$F$12:$F$62)+Markniveau!$Y704*Markniveau!$S704/100,IF($X704=3,LOOKUP(AI704,'Udvaskning nøgletal'!$C$12:$C$62,'Udvaskning nøgletal'!Q714:Q764)+Markniveau!$Y704*Markniveau!$S704/100,"")))</f>
        <v>58.925632040810001</v>
      </c>
      <c r="AK704" s="10">
        <f t="shared" si="109"/>
        <v>624.02244331217787</v>
      </c>
      <c r="AL704" s="10" t="str">
        <f t="shared" si="111"/>
        <v/>
      </c>
      <c r="AM704" s="10" t="str">
        <f t="shared" si="112"/>
        <v/>
      </c>
    </row>
    <row r="705" spans="1:39" x14ac:dyDescent="0.25">
      <c r="A705" s="15">
        <v>25930827</v>
      </c>
      <c r="B705" s="15">
        <v>44.24</v>
      </c>
      <c r="C705" s="15">
        <v>49714</v>
      </c>
      <c r="D705" s="15">
        <v>101602</v>
      </c>
      <c r="E705" s="15" t="s">
        <v>570</v>
      </c>
      <c r="F705" s="15">
        <v>2011</v>
      </c>
      <c r="G705" s="15">
        <v>20110406</v>
      </c>
      <c r="H705" s="15">
        <v>58311</v>
      </c>
      <c r="I705" s="15">
        <v>5.83</v>
      </c>
      <c r="J705" s="6" t="s">
        <v>571</v>
      </c>
      <c r="K705" s="15">
        <v>216</v>
      </c>
      <c r="L705" s="15" t="s">
        <v>116</v>
      </c>
      <c r="M705" s="15" t="s">
        <v>5</v>
      </c>
      <c r="N705" s="11" t="s">
        <v>1384</v>
      </c>
      <c r="O705" s="11" t="s">
        <v>28</v>
      </c>
      <c r="P705" s="11" t="s">
        <v>33</v>
      </c>
      <c r="Q705" s="15">
        <v>0</v>
      </c>
      <c r="R705" s="11" t="s">
        <v>1386</v>
      </c>
      <c r="S705" s="10">
        <v>160.9126408162</v>
      </c>
      <c r="T705" s="15">
        <v>80</v>
      </c>
      <c r="U705" s="15">
        <v>0</v>
      </c>
      <c r="V705" s="15">
        <v>0</v>
      </c>
      <c r="W705" s="15">
        <v>0</v>
      </c>
      <c r="X705" s="15">
        <f>IF(O705='Udvaskning nøgletal'!$D$65,1,IF(O705='Udvaskning nøgletal'!$D$66,2,IF(O705='Udvaskning nøgletal'!$D$67,3,IF(O705='Udvaskning nøgletal'!$D$68,2,""))))</f>
        <v>1</v>
      </c>
      <c r="Y705" s="15">
        <f>LOOKUP(K705,'Udvaskning nøgletal'!$C$12:$C$60,'Udvaskning nøgletal'!$H$12:$H$60)</f>
        <v>0</v>
      </c>
      <c r="Z705" s="10">
        <f>IF(X705=1,LOOKUP(K705,'Udvaskning nøgletal'!$C$12:$C$60,'Udvaskning nøgletal'!$E$12:$E$60)+Markniveau!Y705*Markniveau!S705/100,IF(X705=2,LOOKUP(K705,'Udvaskning nøgletal'!$C$12:$C$60,'Udvaskning nøgletal'!$F$12:$F$60)+Markniveau!Y705*Markniveau!S705/100,IF(X705=3,LOOKUP(K705,'Udvaskning nøgletal'!$C$12:$C$60,'Udvaskning nøgletal'!G715:G763)+Markniveau!Y705*Markniveau!S705/100,"")))</f>
        <v>125.85383557148924</v>
      </c>
      <c r="AA705" s="10">
        <f t="shared" si="106"/>
        <v>733.7278613817823</v>
      </c>
      <c r="AB705" s="10" t="str">
        <f t="shared" si="105"/>
        <v/>
      </c>
      <c r="AC705" s="10" t="str">
        <f t="shared" si="107"/>
        <v/>
      </c>
      <c r="AD705" s="10">
        <f>IF(AND(Q705&gt;0,Q705&lt;30,K705&lt;8),Markniveau!Z705*'Udvaskning nøgletal'!$I$12/100,IF(AND(Q705&gt;0,Q705&lt;30,K705=216),Markniveau!Z705*'Udvaskning nøgletal'!$I$34/100,Markniveau!Z705))</f>
        <v>125.85383557148924</v>
      </c>
      <c r="AE705" s="10">
        <f t="shared" si="113"/>
        <v>733.7278613817823</v>
      </c>
      <c r="AF705" s="10" t="str">
        <f t="shared" si="108"/>
        <v/>
      </c>
      <c r="AG705" s="10" t="str">
        <f t="shared" si="114"/>
        <v/>
      </c>
      <c r="AH705" s="10" t="str">
        <f>IF(AND(Q705&gt;0,Q705&lt;30,K705=216),'Udvaskning nøgletal'!$C$42,IF(AND(Q705&gt;0,Q705&lt;30,K705&gt;7,K705&lt;17),'Udvaskning nøgletal'!$C$61,IF(AND(Q705&gt;0,Q705&lt;30,K705&lt;7),'Udvaskning nøgletal'!$C$62,"")))</f>
        <v/>
      </c>
      <c r="AI705" s="10">
        <f t="shared" si="110"/>
        <v>216</v>
      </c>
      <c r="AJ705" s="10">
        <f>IF($X705=1,LOOKUP(AI705,'Udvaskning nøgletal'!$C$12:$C$62,'Udvaskning nøgletal'!$E$12:$E$62)+Markniveau!$Y705*Markniveau!$S705/100,IF($X705=2,LOOKUP(AI705,'Udvaskning nøgletal'!$C$12:$C$62,'Udvaskning nøgletal'!$F$12:$F$62)+Markniveau!$Y705*Markniveau!$S705/100,IF($X705=3,LOOKUP(AI705,'Udvaskning nøgletal'!$C$12:$C$62,'Udvaskning nøgletal'!Q715:Q765)+Markniveau!$Y705*Markniveau!$S705/100,"")))</f>
        <v>125.85383557148924</v>
      </c>
      <c r="AK705" s="10">
        <f t="shared" si="109"/>
        <v>733.7278613817823</v>
      </c>
      <c r="AL705" s="10" t="str">
        <f t="shared" si="111"/>
        <v/>
      </c>
      <c r="AM705" s="10" t="str">
        <f t="shared" si="112"/>
        <v/>
      </c>
    </row>
    <row r="706" spans="1:39" x14ac:dyDescent="0.25">
      <c r="A706" s="15">
        <v>25930827</v>
      </c>
      <c r="B706" s="15">
        <v>44.24</v>
      </c>
      <c r="C706" s="15">
        <v>60976</v>
      </c>
      <c r="D706" s="15">
        <v>101602</v>
      </c>
      <c r="E706" s="15" t="s">
        <v>185</v>
      </c>
      <c r="F706" s="15">
        <v>2011</v>
      </c>
      <c r="G706" s="15">
        <v>20110406</v>
      </c>
      <c r="H706" s="15">
        <v>3987</v>
      </c>
      <c r="I706" s="15">
        <v>0.4</v>
      </c>
      <c r="J706" s="6" t="s">
        <v>572</v>
      </c>
      <c r="K706" s="15">
        <v>252</v>
      </c>
      <c r="L706" s="15" t="s">
        <v>41</v>
      </c>
      <c r="M706" s="15" t="s">
        <v>4</v>
      </c>
      <c r="N706" s="11" t="s">
        <v>1384</v>
      </c>
      <c r="O706" s="11" t="s">
        <v>28</v>
      </c>
      <c r="P706" s="11" t="s">
        <v>29</v>
      </c>
      <c r="Q706" s="15">
        <v>1</v>
      </c>
      <c r="R706" s="11" t="s">
        <v>11</v>
      </c>
      <c r="S706" s="10">
        <v>160.9126408162</v>
      </c>
      <c r="T706" s="15">
        <v>80</v>
      </c>
      <c r="U706" s="15">
        <v>0</v>
      </c>
      <c r="V706" s="15">
        <v>0</v>
      </c>
      <c r="W706" s="15">
        <v>0</v>
      </c>
      <c r="X706" s="15">
        <f>IF(O706='Udvaskning nøgletal'!$D$65,1,IF(O706='Udvaskning nøgletal'!$D$66,2,IF(O706='Udvaskning nøgletal'!$D$67,3,IF(O706='Udvaskning nøgletal'!$D$68,2,""))))</f>
        <v>1</v>
      </c>
      <c r="Y706" s="15">
        <f>LOOKUP(K706,'Udvaskning nøgletal'!$C$12:$C$60,'Udvaskning nøgletal'!$H$12:$H$60)</f>
        <v>0</v>
      </c>
      <c r="Z706" s="10">
        <f>IF(X706=1,LOOKUP(K706,'Udvaskning nøgletal'!$C$12:$C$60,'Udvaskning nøgletal'!$E$12:$E$60)+Markniveau!Y706*Markniveau!S706/100,IF(X706=2,LOOKUP(K706,'Udvaskning nøgletal'!$C$12:$C$60,'Udvaskning nøgletal'!$F$12:$F$60)+Markniveau!Y706*Markniveau!S706/100,IF(X706=3,LOOKUP(K706,'Udvaskning nøgletal'!$C$12:$C$60,'Udvaskning nøgletal'!G716:G764)+Markniveau!Y706*Markniveau!S706/100,"")))</f>
        <v>21.2</v>
      </c>
      <c r="AA706" s="10">
        <f t="shared" si="106"/>
        <v>8.48</v>
      </c>
      <c r="AB706" s="10">
        <f t="shared" ref="AB706:AB769" si="115">IF(Q706&gt;0,(100-Q706)*Z706/100,"")</f>
        <v>20.987999999999996</v>
      </c>
      <c r="AC706" s="10">
        <f t="shared" si="107"/>
        <v>8.3951999999999991</v>
      </c>
      <c r="AD706" s="10">
        <f>IF(AND(Q706&gt;0,Q706&lt;30,K706&lt;8),Markniveau!Z706*'Udvaskning nøgletal'!$I$12/100,IF(AND(Q706&gt;0,Q706&lt;30,K706=216),Markniveau!Z706*'Udvaskning nøgletal'!$I$34/100,Markniveau!Z706))</f>
        <v>21.2</v>
      </c>
      <c r="AE706" s="10">
        <f t="shared" si="113"/>
        <v>8.48</v>
      </c>
      <c r="AF706" s="10">
        <f t="shared" si="108"/>
        <v>20.987999999999996</v>
      </c>
      <c r="AG706" s="10">
        <f t="shared" si="114"/>
        <v>8.3951999999999991</v>
      </c>
      <c r="AH706" s="10" t="str">
        <f>IF(AND(Q706&gt;0,Q706&lt;30,K706=216),'Udvaskning nøgletal'!$C$42,IF(AND(Q706&gt;0,Q706&lt;30,K706&gt;7,K706&lt;17),'Udvaskning nøgletal'!$C$61,IF(AND(Q706&gt;0,Q706&lt;30,K706&lt;7),'Udvaskning nøgletal'!$C$62,"")))</f>
        <v/>
      </c>
      <c r="AI706" s="10">
        <f t="shared" si="110"/>
        <v>252</v>
      </c>
      <c r="AJ706" s="10">
        <f>IF($X706=1,LOOKUP(AI706,'Udvaskning nøgletal'!$C$12:$C$62,'Udvaskning nøgletal'!$E$12:$E$62)+Markniveau!$Y706*Markniveau!$S706/100,IF($X706=2,LOOKUP(AI706,'Udvaskning nøgletal'!$C$12:$C$62,'Udvaskning nøgletal'!$F$12:$F$62)+Markniveau!$Y706*Markniveau!$S706/100,IF($X706=3,LOOKUP(AI706,'Udvaskning nøgletal'!$C$12:$C$62,'Udvaskning nøgletal'!Q716:Q766)+Markniveau!$Y706*Markniveau!$S706/100,"")))</f>
        <v>21.2</v>
      </c>
      <c r="AK706" s="10">
        <f t="shared" si="109"/>
        <v>8.48</v>
      </c>
      <c r="AL706" s="10">
        <f t="shared" si="111"/>
        <v>20.987999999999996</v>
      </c>
      <c r="AM706" s="10">
        <f t="shared" si="112"/>
        <v>8.3951999999999991</v>
      </c>
    </row>
    <row r="707" spans="1:39" x14ac:dyDescent="0.25">
      <c r="A707" s="15">
        <v>25930827</v>
      </c>
      <c r="B707" s="15">
        <v>44.24</v>
      </c>
      <c r="C707" s="15">
        <v>71126</v>
      </c>
      <c r="D707" s="15">
        <v>101602</v>
      </c>
      <c r="E707" s="15" t="s">
        <v>573</v>
      </c>
      <c r="F707" s="15">
        <v>2011</v>
      </c>
      <c r="G707" s="15">
        <v>20110406</v>
      </c>
      <c r="H707" s="15">
        <v>93444</v>
      </c>
      <c r="I707" s="15">
        <v>9.34</v>
      </c>
      <c r="J707" s="6" t="s">
        <v>574</v>
      </c>
      <c r="K707" s="15">
        <v>216</v>
      </c>
      <c r="L707" s="15" t="s">
        <v>116</v>
      </c>
      <c r="M707" s="15" t="s">
        <v>5</v>
      </c>
      <c r="N707" s="11" t="s">
        <v>1406</v>
      </c>
      <c r="O707" s="11" t="s">
        <v>46</v>
      </c>
      <c r="P707" s="11" t="s">
        <v>33</v>
      </c>
      <c r="Q707" s="15">
        <v>0</v>
      </c>
      <c r="R707" s="11" t="s">
        <v>1386</v>
      </c>
      <c r="S707" s="10">
        <v>160.9126408162</v>
      </c>
      <c r="T707" s="15">
        <v>80</v>
      </c>
      <c r="U707" s="15">
        <v>0</v>
      </c>
      <c r="V707" s="15">
        <v>0</v>
      </c>
      <c r="W707" s="15">
        <v>0</v>
      </c>
      <c r="X707" s="15">
        <f>IF(O707='Udvaskning nøgletal'!$D$65,1,IF(O707='Udvaskning nøgletal'!$D$66,2,IF(O707='Udvaskning nøgletal'!$D$67,3,IF(O707='Udvaskning nøgletal'!$D$68,2,""))))</f>
        <v>2</v>
      </c>
      <c r="Y707" s="15">
        <f>LOOKUP(K707,'Udvaskning nøgletal'!$C$12:$C$60,'Udvaskning nøgletal'!$H$12:$H$60)</f>
        <v>0</v>
      </c>
      <c r="Z707" s="10">
        <f>IF(X707=1,LOOKUP(K707,'Udvaskning nøgletal'!$C$12:$C$60,'Udvaskning nøgletal'!$E$12:$E$60)+Markniveau!Y707*Markniveau!S707/100,IF(X707=2,LOOKUP(K707,'Udvaskning nøgletal'!$C$12:$C$60,'Udvaskning nøgletal'!$F$12:$F$60)+Markniveau!Y707*Markniveau!S707/100,IF(X707=3,LOOKUP(K707,'Udvaskning nøgletal'!$C$12:$C$60,'Udvaskning nøgletal'!G717:G765)+Markniveau!Y707*Markniveau!S707/100,"")))</f>
        <v>101.66744640811392</v>
      </c>
      <c r="AA707" s="10">
        <f t="shared" ref="AA707:AA770" si="116">Z707*I707</f>
        <v>949.57394945178396</v>
      </c>
      <c r="AB707" s="10" t="str">
        <f t="shared" si="115"/>
        <v/>
      </c>
      <c r="AC707" s="10" t="str">
        <f t="shared" ref="AC707:AC770" si="117">IF(Q707&gt;0,AB707*I707,"")</f>
        <v/>
      </c>
      <c r="AD707" s="10">
        <f>IF(AND(Q707&gt;0,Q707&lt;30,K707&lt;8),Markniveau!Z707*'Udvaskning nøgletal'!$I$12/100,IF(AND(Q707&gt;0,Q707&lt;30,K707=216),Markniveau!Z707*'Udvaskning nøgletal'!$I$34/100,Markniveau!Z707))</f>
        <v>101.66744640811392</v>
      </c>
      <c r="AE707" s="10">
        <f t="shared" si="113"/>
        <v>949.57394945178396</v>
      </c>
      <c r="AF707" s="10" t="str">
        <f t="shared" ref="AF707:AF770" si="118">IF($Q707&gt;0,(100-$Q707)*$AD707/100,"")</f>
        <v/>
      </c>
      <c r="AG707" s="10" t="str">
        <f t="shared" si="114"/>
        <v/>
      </c>
      <c r="AH707" s="10" t="str">
        <f>IF(AND(Q707&gt;0,Q707&lt;30,K707=216),'Udvaskning nøgletal'!$C$42,IF(AND(Q707&gt;0,Q707&lt;30,K707&gt;7,K707&lt;17),'Udvaskning nøgletal'!$C$61,IF(AND(Q707&gt;0,Q707&lt;30,K707&lt;7),'Udvaskning nøgletal'!$C$62,"")))</f>
        <v/>
      </c>
      <c r="AI707" s="10">
        <f t="shared" si="110"/>
        <v>216</v>
      </c>
      <c r="AJ707" s="10">
        <f>IF($X707=1,LOOKUP(AI707,'Udvaskning nøgletal'!$C$12:$C$62,'Udvaskning nøgletal'!$E$12:$E$62)+Markniveau!$Y707*Markniveau!$S707/100,IF($X707=2,LOOKUP(AI707,'Udvaskning nøgletal'!$C$12:$C$62,'Udvaskning nøgletal'!$F$12:$F$62)+Markniveau!$Y707*Markniveau!$S707/100,IF($X707=3,LOOKUP(AI707,'Udvaskning nøgletal'!$C$12:$C$62,'Udvaskning nøgletal'!Q717:Q767)+Markniveau!$Y707*Markniveau!$S707/100,"")))</f>
        <v>101.66744640811392</v>
      </c>
      <c r="AK707" s="10">
        <f t="shared" ref="AK707:AK770" si="119">AJ707*$I707</f>
        <v>949.57394945178396</v>
      </c>
      <c r="AL707" s="10" t="str">
        <f t="shared" si="111"/>
        <v/>
      </c>
      <c r="AM707" s="10" t="str">
        <f t="shared" si="112"/>
        <v/>
      </c>
    </row>
    <row r="708" spans="1:39" x14ac:dyDescent="0.25">
      <c r="A708" s="15">
        <v>25930827</v>
      </c>
      <c r="B708" s="15">
        <v>44.24</v>
      </c>
      <c r="C708" s="15">
        <v>84559</v>
      </c>
      <c r="D708" s="15">
        <v>101602</v>
      </c>
      <c r="E708" s="15" t="s">
        <v>575</v>
      </c>
      <c r="F708" s="15">
        <v>2011</v>
      </c>
      <c r="G708" s="15">
        <v>20110406</v>
      </c>
      <c r="H708" s="15">
        <v>292362</v>
      </c>
      <c r="I708" s="15">
        <v>29.24</v>
      </c>
      <c r="J708" s="6" t="s">
        <v>61</v>
      </c>
      <c r="K708" s="15">
        <v>230</v>
      </c>
      <c r="L708" s="15" t="s">
        <v>120</v>
      </c>
      <c r="M708" s="15" t="s">
        <v>5</v>
      </c>
      <c r="N708" s="11" t="s">
        <v>1384</v>
      </c>
      <c r="O708" s="11" t="s">
        <v>28</v>
      </c>
      <c r="P708" s="11" t="s">
        <v>33</v>
      </c>
      <c r="Q708" s="15">
        <v>1</v>
      </c>
      <c r="R708" s="11" t="s">
        <v>11</v>
      </c>
      <c r="S708" s="10">
        <v>160.9126408162</v>
      </c>
      <c r="T708" s="15">
        <v>80</v>
      </c>
      <c r="U708" s="15">
        <v>0</v>
      </c>
      <c r="V708" s="15">
        <v>0</v>
      </c>
      <c r="W708" s="15">
        <v>0</v>
      </c>
      <c r="X708" s="15">
        <f>IF(O708='Udvaskning nøgletal'!$D$65,1,IF(O708='Udvaskning nøgletal'!$D$66,2,IF(O708='Udvaskning nøgletal'!$D$67,3,IF(O708='Udvaskning nøgletal'!$D$68,2,""))))</f>
        <v>1</v>
      </c>
      <c r="Y708" s="15">
        <f>LOOKUP(K708,'Udvaskning nøgletal'!$C$12:$C$60,'Udvaskning nøgletal'!$H$12:$H$60)</f>
        <v>0</v>
      </c>
      <c r="Z708" s="10">
        <f>IF(X708=1,LOOKUP(K708,'Udvaskning nøgletal'!$C$12:$C$60,'Udvaskning nøgletal'!$E$12:$E$60)+Markniveau!Y708*Markniveau!S708/100,IF(X708=2,LOOKUP(K708,'Udvaskning nøgletal'!$C$12:$C$60,'Udvaskning nøgletal'!$F$12:$F$60)+Markniveau!Y708*Markniveau!S708/100,IF(X708=3,LOOKUP(K708,'Udvaskning nøgletal'!$C$12:$C$60,'Udvaskning nøgletal'!G718:G766)+Markniveau!Y708*Markniveau!S708/100,"")))</f>
        <v>38.620385460262987</v>
      </c>
      <c r="AA708" s="10">
        <f t="shared" si="116"/>
        <v>1129.2600708580896</v>
      </c>
      <c r="AB708" s="10">
        <f t="shared" si="115"/>
        <v>38.234181605660353</v>
      </c>
      <c r="AC708" s="10">
        <f t="shared" si="117"/>
        <v>1117.9674701495087</v>
      </c>
      <c r="AD708" s="10">
        <f>IF(AND(Q708&gt;0,Q708&lt;30,K708&lt;8),Markniveau!Z708*'Udvaskning nøgletal'!$I$12/100,IF(AND(Q708&gt;0,Q708&lt;30,K708=216),Markniveau!Z708*'Udvaskning nøgletal'!$I$34/100,Markniveau!Z708))</f>
        <v>38.620385460262987</v>
      </c>
      <c r="AE708" s="10">
        <f t="shared" si="113"/>
        <v>1129.2600708580896</v>
      </c>
      <c r="AF708" s="10">
        <f t="shared" si="118"/>
        <v>38.234181605660353</v>
      </c>
      <c r="AG708" s="10">
        <f t="shared" si="114"/>
        <v>1117.9674701495087</v>
      </c>
      <c r="AH708" s="10" t="str">
        <f>IF(AND(Q708&gt;0,Q708&lt;30,K708=216),'Udvaskning nøgletal'!$C$42,IF(AND(Q708&gt;0,Q708&lt;30,K708&gt;7,K708&lt;17),'Udvaskning nøgletal'!$C$61,IF(AND(Q708&gt;0,Q708&lt;30,K708&lt;7),'Udvaskning nøgletal'!$C$62,"")))</f>
        <v/>
      </c>
      <c r="AI708" s="10">
        <f t="shared" si="110"/>
        <v>230</v>
      </c>
      <c r="AJ708" s="10">
        <f>IF($X708=1,LOOKUP(AI708,'Udvaskning nøgletal'!$C$12:$C$62,'Udvaskning nøgletal'!$E$12:$E$62)+Markniveau!$Y708*Markniveau!$S708/100,IF($X708=2,LOOKUP(AI708,'Udvaskning nøgletal'!$C$12:$C$62,'Udvaskning nøgletal'!$F$12:$F$62)+Markniveau!$Y708*Markniveau!$S708/100,IF($X708=3,LOOKUP(AI708,'Udvaskning nøgletal'!$C$12:$C$62,'Udvaskning nøgletal'!Q718:Q768)+Markniveau!$Y708*Markniveau!$S708/100,"")))</f>
        <v>38.620385460262987</v>
      </c>
      <c r="AK708" s="10">
        <f t="shared" si="119"/>
        <v>1129.2600708580896</v>
      </c>
      <c r="AL708" s="10">
        <f t="shared" si="111"/>
        <v>38.234181605660353</v>
      </c>
      <c r="AM708" s="10">
        <f t="shared" si="112"/>
        <v>1117.9674701495087</v>
      </c>
    </row>
    <row r="709" spans="1:39" x14ac:dyDescent="0.25">
      <c r="A709" s="15">
        <v>25930827</v>
      </c>
      <c r="B709" s="15">
        <v>44.24</v>
      </c>
      <c r="C709" s="15">
        <v>86637</v>
      </c>
      <c r="D709" s="15">
        <v>101602</v>
      </c>
      <c r="E709" s="15" t="s">
        <v>576</v>
      </c>
      <c r="F709" s="15">
        <v>2011</v>
      </c>
      <c r="G709" s="15">
        <v>20110406</v>
      </c>
      <c r="H709" s="15">
        <v>4955</v>
      </c>
      <c r="I709" s="15">
        <v>0.5</v>
      </c>
      <c r="J709" s="6" t="s">
        <v>577</v>
      </c>
      <c r="K709" s="15">
        <v>310</v>
      </c>
      <c r="L709" s="15" t="s">
        <v>484</v>
      </c>
      <c r="M709" s="15" t="s">
        <v>81</v>
      </c>
      <c r="N709" s="11" t="s">
        <v>1391</v>
      </c>
      <c r="O709" s="11" t="s">
        <v>46</v>
      </c>
      <c r="P709" s="11" t="s">
        <v>33</v>
      </c>
      <c r="Q709" s="15">
        <v>0</v>
      </c>
      <c r="R709" s="11" t="s">
        <v>1386</v>
      </c>
      <c r="S709" s="10">
        <v>160.9126408162</v>
      </c>
      <c r="T709" s="15">
        <v>80</v>
      </c>
      <c r="U709" s="15">
        <v>0</v>
      </c>
      <c r="V709" s="15">
        <v>0</v>
      </c>
      <c r="W709" s="15">
        <v>0</v>
      </c>
      <c r="X709" s="15">
        <f>IF(O709='Udvaskning nøgletal'!$D$65,1,IF(O709='Udvaskning nøgletal'!$D$66,2,IF(O709='Udvaskning nøgletal'!$D$67,3,IF(O709='Udvaskning nøgletal'!$D$68,2,""))))</f>
        <v>2</v>
      </c>
      <c r="Y709" s="15">
        <f>LOOKUP(K709,'Udvaskning nøgletal'!$C$12:$C$60,'Udvaskning nøgletal'!$H$12:$H$60)</f>
        <v>0</v>
      </c>
      <c r="Z709" s="10">
        <f>IF(X709=1,LOOKUP(K709,'Udvaskning nøgletal'!$C$12:$C$60,'Udvaskning nøgletal'!$E$12:$E$60)+Markniveau!Y709*Markniveau!S709/100,IF(X709=2,LOOKUP(K709,'Udvaskning nøgletal'!$C$12:$C$60,'Udvaskning nøgletal'!$F$12:$F$60)+Markniveau!Y709*Markniveau!S709/100,IF(X709=3,LOOKUP(K709,'Udvaskning nøgletal'!$C$12:$C$60,'Udvaskning nøgletal'!G719:G767)+Markniveau!Y709*Markniveau!S709/100,"")))</f>
        <v>10</v>
      </c>
      <c r="AA709" s="10">
        <f t="shared" si="116"/>
        <v>5</v>
      </c>
      <c r="AB709" s="10" t="str">
        <f t="shared" si="115"/>
        <v/>
      </c>
      <c r="AC709" s="10" t="str">
        <f t="shared" si="117"/>
        <v/>
      </c>
      <c r="AD709" s="10">
        <f>IF(AND(Q709&gt;0,Q709&lt;30,K709&lt;8),Markniveau!Z709*'Udvaskning nøgletal'!$I$12/100,IF(AND(Q709&gt;0,Q709&lt;30,K709=216),Markniveau!Z709*'Udvaskning nøgletal'!$I$34/100,Markniveau!Z709))</f>
        <v>10</v>
      </c>
      <c r="AE709" s="10">
        <f t="shared" si="113"/>
        <v>5</v>
      </c>
      <c r="AF709" s="10" t="str">
        <f t="shared" si="118"/>
        <v/>
      </c>
      <c r="AG709" s="10" t="str">
        <f t="shared" si="114"/>
        <v/>
      </c>
      <c r="AH709" s="10" t="str">
        <f>IF(AND(Q709&gt;0,Q709&lt;30,K709=216),'Udvaskning nøgletal'!$C$42,IF(AND(Q709&gt;0,Q709&lt;30,K709&gt;7,K709&lt;17),'Udvaskning nøgletal'!$C$61,IF(AND(Q709&gt;0,Q709&lt;30,K709&lt;7),'Udvaskning nøgletal'!$C$62,"")))</f>
        <v/>
      </c>
      <c r="AI709" s="10">
        <f t="shared" si="110"/>
        <v>310</v>
      </c>
      <c r="AJ709" s="10">
        <f>IF($X709=1,LOOKUP(AI709,'Udvaskning nøgletal'!$C$12:$C$62,'Udvaskning nøgletal'!$E$12:$E$62)+Markniveau!$Y709*Markniveau!$S709/100,IF($X709=2,LOOKUP(AI709,'Udvaskning nøgletal'!$C$12:$C$62,'Udvaskning nøgletal'!$F$12:$F$62)+Markniveau!$Y709*Markniveau!$S709/100,IF($X709=3,LOOKUP(AI709,'Udvaskning nøgletal'!$C$12:$C$62,'Udvaskning nøgletal'!Q719:Q769)+Markniveau!$Y709*Markniveau!$S709/100,"")))</f>
        <v>10</v>
      </c>
      <c r="AK709" s="10">
        <f t="shared" si="119"/>
        <v>5</v>
      </c>
      <c r="AL709" s="10" t="str">
        <f t="shared" si="111"/>
        <v/>
      </c>
      <c r="AM709" s="10" t="str">
        <f t="shared" si="112"/>
        <v/>
      </c>
    </row>
    <row r="710" spans="1:39" x14ac:dyDescent="0.25">
      <c r="A710" s="15">
        <v>25930827</v>
      </c>
      <c r="B710" s="15">
        <v>44.24</v>
      </c>
      <c r="C710" s="15">
        <v>87108</v>
      </c>
      <c r="D710" s="15">
        <v>101602</v>
      </c>
      <c r="E710" s="15" t="s">
        <v>578</v>
      </c>
      <c r="F710" s="15">
        <v>2011</v>
      </c>
      <c r="G710" s="15">
        <v>20110406</v>
      </c>
      <c r="H710" s="15">
        <v>11004</v>
      </c>
      <c r="I710" s="15">
        <v>1.1000000000000001</v>
      </c>
      <c r="J710" s="6" t="s">
        <v>579</v>
      </c>
      <c r="K710" s="15">
        <v>252</v>
      </c>
      <c r="L710" s="15" t="s">
        <v>41</v>
      </c>
      <c r="M710" s="15" t="s">
        <v>4</v>
      </c>
      <c r="N710" s="11" t="s">
        <v>1384</v>
      </c>
      <c r="O710" s="11" t="s">
        <v>28</v>
      </c>
      <c r="P710" s="11" t="s">
        <v>33</v>
      </c>
      <c r="Q710" s="15">
        <v>0</v>
      </c>
      <c r="R710" s="11" t="s">
        <v>1386</v>
      </c>
      <c r="S710" s="10">
        <v>160.9126408162</v>
      </c>
      <c r="T710" s="15">
        <v>80</v>
      </c>
      <c r="U710" s="15">
        <v>0</v>
      </c>
      <c r="V710" s="15">
        <v>0</v>
      </c>
      <c r="W710" s="15">
        <v>0</v>
      </c>
      <c r="X710" s="15">
        <f>IF(O710='Udvaskning nøgletal'!$D$65,1,IF(O710='Udvaskning nøgletal'!$D$66,2,IF(O710='Udvaskning nøgletal'!$D$67,3,IF(O710='Udvaskning nøgletal'!$D$68,2,""))))</f>
        <v>1</v>
      </c>
      <c r="Y710" s="15">
        <f>LOOKUP(K710,'Udvaskning nøgletal'!$C$12:$C$60,'Udvaskning nøgletal'!$H$12:$H$60)</f>
        <v>0</v>
      </c>
      <c r="Z710" s="10">
        <f>IF(X710=1,LOOKUP(K710,'Udvaskning nøgletal'!$C$12:$C$60,'Udvaskning nøgletal'!$E$12:$E$60)+Markniveau!Y710*Markniveau!S710/100,IF(X710=2,LOOKUP(K710,'Udvaskning nøgletal'!$C$12:$C$60,'Udvaskning nøgletal'!$F$12:$F$60)+Markniveau!Y710*Markniveau!S710/100,IF(X710=3,LOOKUP(K710,'Udvaskning nøgletal'!$C$12:$C$60,'Udvaskning nøgletal'!G720:G768)+Markniveau!Y710*Markniveau!S710/100,"")))</f>
        <v>21.2</v>
      </c>
      <c r="AA710" s="10">
        <f t="shared" si="116"/>
        <v>23.32</v>
      </c>
      <c r="AB710" s="10" t="str">
        <f t="shared" si="115"/>
        <v/>
      </c>
      <c r="AC710" s="10" t="str">
        <f t="shared" si="117"/>
        <v/>
      </c>
      <c r="AD710" s="10">
        <f>IF(AND(Q710&gt;0,Q710&lt;30,K710&lt;8),Markniveau!Z710*'Udvaskning nøgletal'!$I$12/100,IF(AND(Q710&gt;0,Q710&lt;30,K710=216),Markniveau!Z710*'Udvaskning nøgletal'!$I$34/100,Markniveau!Z710))</f>
        <v>21.2</v>
      </c>
      <c r="AE710" s="10">
        <f t="shared" si="113"/>
        <v>23.32</v>
      </c>
      <c r="AF710" s="10" t="str">
        <f t="shared" si="118"/>
        <v/>
      </c>
      <c r="AG710" s="10" t="str">
        <f t="shared" si="114"/>
        <v/>
      </c>
      <c r="AH710" s="10" t="str">
        <f>IF(AND(Q710&gt;0,Q710&lt;30,K710=216),'Udvaskning nøgletal'!$C$42,IF(AND(Q710&gt;0,Q710&lt;30,K710&gt;7,K710&lt;17),'Udvaskning nøgletal'!$C$61,IF(AND(Q710&gt;0,Q710&lt;30,K710&lt;7),'Udvaskning nøgletal'!$C$62,"")))</f>
        <v/>
      </c>
      <c r="AI710" s="10">
        <f t="shared" si="110"/>
        <v>252</v>
      </c>
      <c r="AJ710" s="10">
        <f>IF($X710=1,LOOKUP(AI710,'Udvaskning nøgletal'!$C$12:$C$62,'Udvaskning nøgletal'!$E$12:$E$62)+Markniveau!$Y710*Markniveau!$S710/100,IF($X710=2,LOOKUP(AI710,'Udvaskning nøgletal'!$C$12:$C$62,'Udvaskning nøgletal'!$F$12:$F$62)+Markniveau!$Y710*Markniveau!$S710/100,IF($X710=3,LOOKUP(AI710,'Udvaskning nøgletal'!$C$12:$C$62,'Udvaskning nøgletal'!Q720:Q770)+Markniveau!$Y710*Markniveau!$S710/100,"")))</f>
        <v>21.2</v>
      </c>
      <c r="AK710" s="10">
        <f t="shared" si="119"/>
        <v>23.32</v>
      </c>
      <c r="AL710" s="10" t="str">
        <f t="shared" si="111"/>
        <v/>
      </c>
      <c r="AM710" s="10" t="str">
        <f t="shared" si="112"/>
        <v/>
      </c>
    </row>
    <row r="711" spans="1:39" x14ac:dyDescent="0.25">
      <c r="A711" s="15">
        <v>25930827</v>
      </c>
      <c r="B711" s="15">
        <v>44.24</v>
      </c>
      <c r="C711" s="15">
        <v>87109</v>
      </c>
      <c r="D711" s="15">
        <v>101602</v>
      </c>
      <c r="E711" s="15" t="s">
        <v>578</v>
      </c>
      <c r="F711" s="15">
        <v>2011</v>
      </c>
      <c r="G711" s="15">
        <v>20110406</v>
      </c>
      <c r="H711" s="15">
        <v>195151</v>
      </c>
      <c r="I711" s="15">
        <v>19.52</v>
      </c>
      <c r="J711" s="6" t="s">
        <v>580</v>
      </c>
      <c r="K711" s="15">
        <v>11</v>
      </c>
      <c r="L711" s="15" t="s">
        <v>102</v>
      </c>
      <c r="M711" s="15" t="s">
        <v>5</v>
      </c>
      <c r="N711" s="11" t="s">
        <v>1391</v>
      </c>
      <c r="O711" s="11" t="s">
        <v>46</v>
      </c>
      <c r="P711" s="11" t="s">
        <v>33</v>
      </c>
      <c r="Q711" s="15">
        <v>0</v>
      </c>
      <c r="R711" s="11" t="s">
        <v>1386</v>
      </c>
      <c r="S711" s="10">
        <v>160.9126408162</v>
      </c>
      <c r="T711" s="15">
        <v>80</v>
      </c>
      <c r="U711" s="15">
        <v>0</v>
      </c>
      <c r="V711" s="15">
        <v>0</v>
      </c>
      <c r="W711" s="15">
        <v>0</v>
      </c>
      <c r="X711" s="15">
        <f>IF(O711='Udvaskning nøgletal'!$D$65,1,IF(O711='Udvaskning nøgletal'!$D$66,2,IF(O711='Udvaskning nøgletal'!$D$67,3,IF(O711='Udvaskning nøgletal'!$D$68,2,""))))</f>
        <v>2</v>
      </c>
      <c r="Y711" s="15">
        <f>LOOKUP(K711,'Udvaskning nøgletal'!$C$12:$C$60,'Udvaskning nøgletal'!$H$12:$H$60)</f>
        <v>5</v>
      </c>
      <c r="Z711" s="10">
        <f>IF(X711=1,LOOKUP(K711,'Udvaskning nøgletal'!$C$12:$C$60,'Udvaskning nøgletal'!$E$12:$E$60)+Markniveau!Y711*Markniveau!S711/100,IF(X711=2,LOOKUP(K711,'Udvaskning nøgletal'!$C$12:$C$60,'Udvaskning nøgletal'!$F$12:$F$60)+Markniveau!Y711*Markniveau!S711/100,IF(X711=3,LOOKUP(K711,'Udvaskning nøgletal'!$C$12:$C$60,'Udvaskning nøgletal'!G721:G769)+Markniveau!Y711*Markniveau!S711/100,"")))</f>
        <v>58.925632040810001</v>
      </c>
      <c r="AA711" s="10">
        <f t="shared" si="116"/>
        <v>1150.2283374366111</v>
      </c>
      <c r="AB711" s="10" t="str">
        <f t="shared" si="115"/>
        <v/>
      </c>
      <c r="AC711" s="10" t="str">
        <f t="shared" si="117"/>
        <v/>
      </c>
      <c r="AD711" s="10">
        <f>IF(AND(Q711&gt;0,Q711&lt;30,K711&lt;8),Markniveau!Z711*'Udvaskning nøgletal'!$I$12/100,IF(AND(Q711&gt;0,Q711&lt;30,K711=216),Markniveau!Z711*'Udvaskning nøgletal'!$I$34/100,Markniveau!Z711))</f>
        <v>58.925632040810001</v>
      </c>
      <c r="AE711" s="10">
        <f t="shared" si="113"/>
        <v>1150.2283374366111</v>
      </c>
      <c r="AF711" s="10" t="str">
        <f t="shared" si="118"/>
        <v/>
      </c>
      <c r="AG711" s="10" t="str">
        <f t="shared" si="114"/>
        <v/>
      </c>
      <c r="AH711" s="10" t="str">
        <f>IF(AND(Q711&gt;0,Q711&lt;30,K711=216),'Udvaskning nøgletal'!$C$42,IF(AND(Q711&gt;0,Q711&lt;30,K711&gt;7,K711&lt;17),'Udvaskning nøgletal'!$C$61,IF(AND(Q711&gt;0,Q711&lt;30,K711&lt;7),'Udvaskning nøgletal'!$C$62,"")))</f>
        <v/>
      </c>
      <c r="AI711" s="10">
        <f t="shared" si="110"/>
        <v>11</v>
      </c>
      <c r="AJ711" s="10">
        <f>IF($X711=1,LOOKUP(AI711,'Udvaskning nøgletal'!$C$12:$C$62,'Udvaskning nøgletal'!$E$12:$E$62)+Markniveau!$Y711*Markniveau!$S711/100,IF($X711=2,LOOKUP(AI711,'Udvaskning nøgletal'!$C$12:$C$62,'Udvaskning nøgletal'!$F$12:$F$62)+Markniveau!$Y711*Markniveau!$S711/100,IF($X711=3,LOOKUP(AI711,'Udvaskning nøgletal'!$C$12:$C$62,'Udvaskning nøgletal'!Q721:Q771)+Markniveau!$Y711*Markniveau!$S711/100,"")))</f>
        <v>58.925632040810001</v>
      </c>
      <c r="AK711" s="10">
        <f t="shared" si="119"/>
        <v>1150.2283374366111</v>
      </c>
      <c r="AL711" s="10" t="str">
        <f t="shared" si="111"/>
        <v/>
      </c>
      <c r="AM711" s="10" t="str">
        <f t="shared" si="112"/>
        <v/>
      </c>
    </row>
    <row r="712" spans="1:39" x14ac:dyDescent="0.25">
      <c r="A712" s="15">
        <v>25930827</v>
      </c>
      <c r="B712" s="15">
        <v>44.24</v>
      </c>
      <c r="C712" s="15">
        <v>87595</v>
      </c>
      <c r="D712" s="15">
        <v>101602</v>
      </c>
      <c r="E712" s="15" t="s">
        <v>581</v>
      </c>
      <c r="F712" s="15">
        <v>2011</v>
      </c>
      <c r="G712" s="15">
        <v>20110406</v>
      </c>
      <c r="H712" s="15">
        <v>217080</v>
      </c>
      <c r="I712" s="15">
        <v>21.71</v>
      </c>
      <c r="J712" s="6" t="s">
        <v>582</v>
      </c>
      <c r="K712" s="15">
        <v>216</v>
      </c>
      <c r="L712" s="15" t="s">
        <v>116</v>
      </c>
      <c r="M712" s="15" t="s">
        <v>5</v>
      </c>
      <c r="N712" s="11" t="s">
        <v>1384</v>
      </c>
      <c r="O712" s="11" t="s">
        <v>28</v>
      </c>
      <c r="P712" s="11" t="s">
        <v>33</v>
      </c>
      <c r="Q712" s="15">
        <v>0</v>
      </c>
      <c r="R712" s="11" t="s">
        <v>1386</v>
      </c>
      <c r="S712" s="10">
        <v>160.9126408162</v>
      </c>
      <c r="T712" s="15">
        <v>80</v>
      </c>
      <c r="U712" s="15">
        <v>0</v>
      </c>
      <c r="V712" s="15">
        <v>0</v>
      </c>
      <c r="W712" s="15">
        <v>0</v>
      </c>
      <c r="X712" s="15">
        <f>IF(O712='Udvaskning nøgletal'!$D$65,1,IF(O712='Udvaskning nøgletal'!$D$66,2,IF(O712='Udvaskning nøgletal'!$D$67,3,IF(O712='Udvaskning nøgletal'!$D$68,2,""))))</f>
        <v>1</v>
      </c>
      <c r="Y712" s="15">
        <f>LOOKUP(K712,'Udvaskning nøgletal'!$C$12:$C$60,'Udvaskning nøgletal'!$H$12:$H$60)</f>
        <v>0</v>
      </c>
      <c r="Z712" s="10">
        <f>IF(X712=1,LOOKUP(K712,'Udvaskning nøgletal'!$C$12:$C$60,'Udvaskning nøgletal'!$E$12:$E$60)+Markniveau!Y712*Markniveau!S712/100,IF(X712=2,LOOKUP(K712,'Udvaskning nøgletal'!$C$12:$C$60,'Udvaskning nøgletal'!$F$12:$F$60)+Markniveau!Y712*Markniveau!S712/100,IF(X712=3,LOOKUP(K712,'Udvaskning nøgletal'!$C$12:$C$60,'Udvaskning nøgletal'!G722:G770)+Markniveau!Y712*Markniveau!S712/100,"")))</f>
        <v>125.85383557148924</v>
      </c>
      <c r="AA712" s="10">
        <f t="shared" si="116"/>
        <v>2732.2867702570315</v>
      </c>
      <c r="AB712" s="10" t="str">
        <f t="shared" si="115"/>
        <v/>
      </c>
      <c r="AC712" s="10" t="str">
        <f t="shared" si="117"/>
        <v/>
      </c>
      <c r="AD712" s="10">
        <f>IF(AND(Q712&gt;0,Q712&lt;30,K712&lt;8),Markniveau!Z712*'Udvaskning nøgletal'!$I$12/100,IF(AND(Q712&gt;0,Q712&lt;30,K712=216),Markniveau!Z712*'Udvaskning nøgletal'!$I$34/100,Markniveau!Z712))</f>
        <v>125.85383557148924</v>
      </c>
      <c r="AE712" s="10">
        <f t="shared" si="113"/>
        <v>2732.2867702570315</v>
      </c>
      <c r="AF712" s="10" t="str">
        <f t="shared" si="118"/>
        <v/>
      </c>
      <c r="AG712" s="10" t="str">
        <f t="shared" si="114"/>
        <v/>
      </c>
      <c r="AH712" s="10" t="str">
        <f>IF(AND(Q712&gt;0,Q712&lt;30,K712=216),'Udvaskning nøgletal'!$C$42,IF(AND(Q712&gt;0,Q712&lt;30,K712&gt;7,K712&lt;17),'Udvaskning nøgletal'!$C$61,IF(AND(Q712&gt;0,Q712&lt;30,K712&lt;7),'Udvaskning nøgletal'!$C$62,"")))</f>
        <v/>
      </c>
      <c r="AI712" s="10">
        <f t="shared" ref="AI712:AI775" si="120">IF(SUM(AH712)&gt;0,AH712,K712)</f>
        <v>216</v>
      </c>
      <c r="AJ712" s="10">
        <f>IF($X712=1,LOOKUP(AI712,'Udvaskning nøgletal'!$C$12:$C$62,'Udvaskning nøgletal'!$E$12:$E$62)+Markniveau!$Y712*Markniveau!$S712/100,IF($X712=2,LOOKUP(AI712,'Udvaskning nøgletal'!$C$12:$C$62,'Udvaskning nøgletal'!$F$12:$F$62)+Markniveau!$Y712*Markniveau!$S712/100,IF($X712=3,LOOKUP(AI712,'Udvaskning nøgletal'!$C$12:$C$62,'Udvaskning nøgletal'!Q722:Q772)+Markniveau!$Y712*Markniveau!$S712/100,"")))</f>
        <v>125.85383557148924</v>
      </c>
      <c r="AK712" s="10">
        <f t="shared" si="119"/>
        <v>2732.2867702570315</v>
      </c>
      <c r="AL712" s="10" t="str">
        <f t="shared" si="111"/>
        <v/>
      </c>
      <c r="AM712" s="10" t="str">
        <f t="shared" si="112"/>
        <v/>
      </c>
    </row>
    <row r="713" spans="1:39" x14ac:dyDescent="0.25">
      <c r="A713" s="15">
        <v>25930827</v>
      </c>
      <c r="B713" s="15">
        <v>44.24</v>
      </c>
      <c r="C713" s="15">
        <v>87596</v>
      </c>
      <c r="D713" s="15">
        <v>101602</v>
      </c>
      <c r="E713" s="15" t="s">
        <v>583</v>
      </c>
      <c r="F713" s="15">
        <v>2011</v>
      </c>
      <c r="G713" s="15">
        <v>20110406</v>
      </c>
      <c r="H713" s="15">
        <v>32748</v>
      </c>
      <c r="I713" s="15">
        <v>3.27</v>
      </c>
      <c r="J713" s="6" t="s">
        <v>584</v>
      </c>
      <c r="K713" s="15">
        <v>1</v>
      </c>
      <c r="L713" s="15" t="s">
        <v>32</v>
      </c>
      <c r="M713" s="15" t="s">
        <v>5</v>
      </c>
      <c r="N713" s="11" t="s">
        <v>1406</v>
      </c>
      <c r="O713" s="11" t="s">
        <v>46</v>
      </c>
      <c r="P713" s="11" t="s">
        <v>33</v>
      </c>
      <c r="Q713" s="15">
        <v>0</v>
      </c>
      <c r="R713" s="11" t="s">
        <v>1386</v>
      </c>
      <c r="S713" s="10">
        <v>160.9126408162</v>
      </c>
      <c r="T713" s="15">
        <v>80</v>
      </c>
      <c r="U713" s="15">
        <v>0</v>
      </c>
      <c r="V713" s="15">
        <v>0</v>
      </c>
      <c r="W713" s="15">
        <v>0</v>
      </c>
      <c r="X713" s="15">
        <f>IF(O713='Udvaskning nøgletal'!$D$65,1,IF(O713='Udvaskning nøgletal'!$D$66,2,IF(O713='Udvaskning nøgletal'!$D$67,3,IF(O713='Udvaskning nøgletal'!$D$68,2,""))))</f>
        <v>2</v>
      </c>
      <c r="Y713" s="15">
        <f>LOOKUP(K713,'Udvaskning nøgletal'!$C$12:$C$60,'Udvaskning nøgletal'!$H$12:$H$60)</f>
        <v>5</v>
      </c>
      <c r="Z713" s="10">
        <f>IF(X713=1,LOOKUP(K713,'Udvaskning nøgletal'!$C$12:$C$60,'Udvaskning nøgletal'!$E$12:$E$60)+Markniveau!Y713*Markniveau!S713/100,IF(X713=2,LOOKUP(K713,'Udvaskning nøgletal'!$C$12:$C$60,'Udvaskning nøgletal'!$F$12:$F$60)+Markniveau!Y713*Markniveau!S713/100,IF(X713=3,LOOKUP(K713,'Udvaskning nøgletal'!$C$12:$C$60,'Udvaskning nøgletal'!G723:G771)+Markniveau!Y713*Markniveau!S713/100,"")))</f>
        <v>58.925632040810001</v>
      </c>
      <c r="AA713" s="10">
        <f t="shared" si="116"/>
        <v>192.6868167734487</v>
      </c>
      <c r="AB713" s="10" t="str">
        <f t="shared" si="115"/>
        <v/>
      </c>
      <c r="AC713" s="10" t="str">
        <f t="shared" si="117"/>
        <v/>
      </c>
      <c r="AD713" s="10">
        <f>IF(AND(Q713&gt;0,Q713&lt;30,K713&lt;8),Markniveau!Z713*'Udvaskning nøgletal'!$I$12/100,IF(AND(Q713&gt;0,Q713&lt;30,K713=216),Markniveau!Z713*'Udvaskning nøgletal'!$I$34/100,Markniveau!Z713))</f>
        <v>58.925632040810001</v>
      </c>
      <c r="AE713" s="10">
        <f t="shared" si="113"/>
        <v>192.6868167734487</v>
      </c>
      <c r="AF713" s="10" t="str">
        <f t="shared" si="118"/>
        <v/>
      </c>
      <c r="AG713" s="10" t="str">
        <f t="shared" si="114"/>
        <v/>
      </c>
      <c r="AH713" s="10" t="str">
        <f>IF(AND(Q713&gt;0,Q713&lt;30,K713=216),'Udvaskning nøgletal'!$C$42,IF(AND(Q713&gt;0,Q713&lt;30,K713&gt;7,K713&lt;17),'Udvaskning nøgletal'!$C$61,IF(AND(Q713&gt;0,Q713&lt;30,K713&lt;7),'Udvaskning nøgletal'!$C$62,"")))</f>
        <v/>
      </c>
      <c r="AI713" s="10">
        <f t="shared" si="120"/>
        <v>1</v>
      </c>
      <c r="AJ713" s="10">
        <f>IF($X713=1,LOOKUP(AI713,'Udvaskning nøgletal'!$C$12:$C$62,'Udvaskning nøgletal'!$E$12:$E$62)+Markniveau!$Y713*Markniveau!$S713/100,IF($X713=2,LOOKUP(AI713,'Udvaskning nøgletal'!$C$12:$C$62,'Udvaskning nøgletal'!$F$12:$F$62)+Markniveau!$Y713*Markniveau!$S713/100,IF($X713=3,LOOKUP(AI713,'Udvaskning nøgletal'!$C$12:$C$62,'Udvaskning nøgletal'!Q723:Q773)+Markniveau!$Y713*Markniveau!$S713/100,"")))</f>
        <v>58.925632040810001</v>
      </c>
      <c r="AK713" s="10">
        <f t="shared" si="119"/>
        <v>192.6868167734487</v>
      </c>
      <c r="AL713" s="10" t="str">
        <f t="shared" si="111"/>
        <v/>
      </c>
      <c r="AM713" s="10" t="str">
        <f t="shared" si="112"/>
        <v/>
      </c>
    </row>
    <row r="714" spans="1:39" x14ac:dyDescent="0.25">
      <c r="A714" s="15">
        <v>25930827</v>
      </c>
      <c r="B714" s="15">
        <v>44.24</v>
      </c>
      <c r="C714" s="15">
        <v>87597</v>
      </c>
      <c r="D714" s="15">
        <v>101602</v>
      </c>
      <c r="E714" s="15" t="s">
        <v>585</v>
      </c>
      <c r="F714" s="15">
        <v>2011</v>
      </c>
      <c r="G714" s="15">
        <v>20110406</v>
      </c>
      <c r="H714" s="15">
        <v>41479</v>
      </c>
      <c r="I714" s="15">
        <v>4.1500000000000004</v>
      </c>
      <c r="J714" s="6" t="s">
        <v>586</v>
      </c>
      <c r="K714" s="15">
        <v>216</v>
      </c>
      <c r="L714" s="15" t="s">
        <v>116</v>
      </c>
      <c r="M714" s="15" t="s">
        <v>5</v>
      </c>
      <c r="N714" s="11" t="s">
        <v>1384</v>
      </c>
      <c r="O714" s="11" t="s">
        <v>28</v>
      </c>
      <c r="P714" s="11" t="s">
        <v>33</v>
      </c>
      <c r="Q714" s="15">
        <v>0</v>
      </c>
      <c r="R714" s="11" t="s">
        <v>1386</v>
      </c>
      <c r="S714" s="10">
        <v>160.9126408162</v>
      </c>
      <c r="T714" s="15">
        <v>80</v>
      </c>
      <c r="U714" s="15">
        <v>0</v>
      </c>
      <c r="V714" s="15">
        <v>0</v>
      </c>
      <c r="W714" s="15">
        <v>0</v>
      </c>
      <c r="X714" s="15">
        <f>IF(O714='Udvaskning nøgletal'!$D$65,1,IF(O714='Udvaskning nøgletal'!$D$66,2,IF(O714='Udvaskning nøgletal'!$D$67,3,IF(O714='Udvaskning nøgletal'!$D$68,2,""))))</f>
        <v>1</v>
      </c>
      <c r="Y714" s="15">
        <f>LOOKUP(K714,'Udvaskning nøgletal'!$C$12:$C$60,'Udvaskning nøgletal'!$H$12:$H$60)</f>
        <v>0</v>
      </c>
      <c r="Z714" s="10">
        <f>IF(X714=1,LOOKUP(K714,'Udvaskning nøgletal'!$C$12:$C$60,'Udvaskning nøgletal'!$E$12:$E$60)+Markniveau!Y714*Markniveau!S714/100,IF(X714=2,LOOKUP(K714,'Udvaskning nøgletal'!$C$12:$C$60,'Udvaskning nøgletal'!$F$12:$F$60)+Markniveau!Y714*Markniveau!S714/100,IF(X714=3,LOOKUP(K714,'Udvaskning nøgletal'!$C$12:$C$60,'Udvaskning nøgletal'!G724:G772)+Markniveau!Y714*Markniveau!S714/100,"")))</f>
        <v>125.85383557148924</v>
      </c>
      <c r="AA714" s="10">
        <f t="shared" si="116"/>
        <v>522.29341762168042</v>
      </c>
      <c r="AB714" s="10" t="str">
        <f t="shared" si="115"/>
        <v/>
      </c>
      <c r="AC714" s="10" t="str">
        <f t="shared" si="117"/>
        <v/>
      </c>
      <c r="AD714" s="10">
        <f>IF(AND(Q714&gt;0,Q714&lt;30,K714&lt;8),Markniveau!Z714*'Udvaskning nøgletal'!$I$12/100,IF(AND(Q714&gt;0,Q714&lt;30,K714=216),Markniveau!Z714*'Udvaskning nøgletal'!$I$34/100,Markniveau!Z714))</f>
        <v>125.85383557148924</v>
      </c>
      <c r="AE714" s="10">
        <f t="shared" si="113"/>
        <v>522.29341762168042</v>
      </c>
      <c r="AF714" s="10" t="str">
        <f t="shared" si="118"/>
        <v/>
      </c>
      <c r="AG714" s="10" t="str">
        <f t="shared" si="114"/>
        <v/>
      </c>
      <c r="AH714" s="10" t="str">
        <f>IF(AND(Q714&gt;0,Q714&lt;30,K714=216),'Udvaskning nøgletal'!$C$42,IF(AND(Q714&gt;0,Q714&lt;30,K714&gt;7,K714&lt;17),'Udvaskning nøgletal'!$C$61,IF(AND(Q714&gt;0,Q714&lt;30,K714&lt;7),'Udvaskning nøgletal'!$C$62,"")))</f>
        <v/>
      </c>
      <c r="AI714" s="10">
        <f t="shared" si="120"/>
        <v>216</v>
      </c>
      <c r="AJ714" s="10">
        <f>IF($X714=1,LOOKUP(AI714,'Udvaskning nøgletal'!$C$12:$C$62,'Udvaskning nøgletal'!$E$12:$E$62)+Markniveau!$Y714*Markniveau!$S714/100,IF($X714=2,LOOKUP(AI714,'Udvaskning nøgletal'!$C$12:$C$62,'Udvaskning nøgletal'!$F$12:$F$62)+Markniveau!$Y714*Markniveau!$S714/100,IF($X714=3,LOOKUP(AI714,'Udvaskning nøgletal'!$C$12:$C$62,'Udvaskning nøgletal'!Q724:Q774)+Markniveau!$Y714*Markniveau!$S714/100,"")))</f>
        <v>125.85383557148924</v>
      </c>
      <c r="AK714" s="10">
        <f t="shared" si="119"/>
        <v>522.29341762168042</v>
      </c>
      <c r="AL714" s="10" t="str">
        <f t="shared" si="111"/>
        <v/>
      </c>
      <c r="AM714" s="10" t="str">
        <f t="shared" si="112"/>
        <v/>
      </c>
    </row>
    <row r="715" spans="1:39" x14ac:dyDescent="0.25">
      <c r="A715" s="15">
        <v>25930827</v>
      </c>
      <c r="B715" s="15">
        <v>44.24</v>
      </c>
      <c r="C715" s="15">
        <v>88075</v>
      </c>
      <c r="D715" s="15">
        <v>101602</v>
      </c>
      <c r="E715" s="15" t="s">
        <v>566</v>
      </c>
      <c r="F715" s="15">
        <v>2011</v>
      </c>
      <c r="G715" s="15">
        <v>20110406</v>
      </c>
      <c r="H715" s="15">
        <v>13617</v>
      </c>
      <c r="I715" s="15">
        <v>1.36</v>
      </c>
      <c r="J715" s="6" t="s">
        <v>587</v>
      </c>
      <c r="K715" s="15">
        <v>902</v>
      </c>
      <c r="L715" s="15" t="s">
        <v>160</v>
      </c>
      <c r="M715" s="15" t="s">
        <v>81</v>
      </c>
      <c r="N715" s="11" t="s">
        <v>1384</v>
      </c>
      <c r="O715" s="11" t="s">
        <v>28</v>
      </c>
      <c r="P715" s="11" t="s">
        <v>33</v>
      </c>
      <c r="Q715" s="15">
        <v>1</v>
      </c>
      <c r="R715" s="11" t="s">
        <v>11</v>
      </c>
      <c r="S715" s="10">
        <v>160.9126408162</v>
      </c>
      <c r="T715" s="15">
        <v>80</v>
      </c>
      <c r="U715" s="15">
        <v>0</v>
      </c>
      <c r="V715" s="15">
        <v>0</v>
      </c>
      <c r="W715" s="15">
        <v>0</v>
      </c>
      <c r="X715" s="15">
        <f>IF(O715='Udvaskning nøgletal'!$D$65,1,IF(O715='Udvaskning nøgletal'!$D$66,2,IF(O715='Udvaskning nøgletal'!$D$67,3,IF(O715='Udvaskning nøgletal'!$D$68,2,""))))</f>
        <v>1</v>
      </c>
      <c r="Y715" s="15">
        <f>LOOKUP(K715,'Udvaskning nøgletal'!$C$12:$C$60,'Udvaskning nøgletal'!$H$12:$H$60)</f>
        <v>0</v>
      </c>
      <c r="Z715" s="10">
        <f>IF(X715=1,LOOKUP(K715,'Udvaskning nøgletal'!$C$12:$C$60,'Udvaskning nøgletal'!$E$12:$E$60)+Markniveau!Y715*Markniveau!S715/100,IF(X715=2,LOOKUP(K715,'Udvaskning nøgletal'!$C$12:$C$60,'Udvaskning nøgletal'!$F$12:$F$60)+Markniveau!Y715*Markniveau!S715/100,IF(X715=3,LOOKUP(K715,'Udvaskning nøgletal'!$C$12:$C$60,'Udvaskning nøgletal'!G725:G773)+Markniveau!Y715*Markniveau!S715/100,"")))</f>
        <v>10</v>
      </c>
      <c r="AA715" s="10">
        <f t="shared" si="116"/>
        <v>13.600000000000001</v>
      </c>
      <c r="AB715" s="10">
        <f t="shared" si="115"/>
        <v>9.9</v>
      </c>
      <c r="AC715" s="10">
        <f t="shared" si="117"/>
        <v>13.464000000000002</v>
      </c>
      <c r="AD715" s="10">
        <f>IF(AND(Q715&gt;0,Q715&lt;30,K715&lt;8),Markniveau!Z715*'Udvaskning nøgletal'!$I$12/100,IF(AND(Q715&gt;0,Q715&lt;30,K715=216),Markniveau!Z715*'Udvaskning nøgletal'!$I$34/100,Markniveau!Z715))</f>
        <v>10</v>
      </c>
      <c r="AE715" s="10">
        <f t="shared" si="113"/>
        <v>13.600000000000001</v>
      </c>
      <c r="AF715" s="10">
        <f t="shared" si="118"/>
        <v>9.9</v>
      </c>
      <c r="AG715" s="10">
        <f t="shared" si="114"/>
        <v>13.464000000000002</v>
      </c>
      <c r="AH715" s="10" t="str">
        <f>IF(AND(Q715&gt;0,Q715&lt;30,K715=216),'Udvaskning nøgletal'!$C$42,IF(AND(Q715&gt;0,Q715&lt;30,K715&gt;7,K715&lt;17),'Udvaskning nøgletal'!$C$61,IF(AND(Q715&gt;0,Q715&lt;30,K715&lt;7),'Udvaskning nøgletal'!$C$62,"")))</f>
        <v/>
      </c>
      <c r="AI715" s="10">
        <f t="shared" si="120"/>
        <v>902</v>
      </c>
      <c r="AJ715" s="10">
        <f>IF($X715=1,LOOKUP(AI715,'Udvaskning nøgletal'!$C$12:$C$62,'Udvaskning nøgletal'!$E$12:$E$62)+Markniveau!$Y715*Markniveau!$S715/100,IF($X715=2,LOOKUP(AI715,'Udvaskning nøgletal'!$C$12:$C$62,'Udvaskning nøgletal'!$F$12:$F$62)+Markniveau!$Y715*Markniveau!$S715/100,IF($X715=3,LOOKUP(AI715,'Udvaskning nøgletal'!$C$12:$C$62,'Udvaskning nøgletal'!Q725:Q775)+Markniveau!$Y715*Markniveau!$S715/100,"")))</f>
        <v>10</v>
      </c>
      <c r="AK715" s="10">
        <f t="shared" si="119"/>
        <v>13.600000000000001</v>
      </c>
      <c r="AL715" s="10">
        <f t="shared" ref="AL715:AL778" si="121">IF($Q715&gt;0,(100-$Q715)*AJ715/100,"")</f>
        <v>9.9</v>
      </c>
      <c r="AM715" s="10">
        <f t="shared" ref="AM715:AM778" si="122">IF($Q715&gt;0,(100-$Q715)*AJ715/100*I715,"")</f>
        <v>13.464000000000002</v>
      </c>
    </row>
    <row r="716" spans="1:39" x14ac:dyDescent="0.25">
      <c r="A716" s="15">
        <v>25930827</v>
      </c>
      <c r="B716" s="15">
        <v>44.24</v>
      </c>
      <c r="C716" s="15">
        <v>88076</v>
      </c>
      <c r="D716" s="15">
        <v>101602</v>
      </c>
      <c r="E716" s="15" t="s">
        <v>588</v>
      </c>
      <c r="F716" s="15">
        <v>2011</v>
      </c>
      <c r="G716" s="15">
        <v>20110406</v>
      </c>
      <c r="H716" s="15">
        <v>38240</v>
      </c>
      <c r="I716" s="15">
        <v>3.82</v>
      </c>
      <c r="J716" s="6" t="s">
        <v>589</v>
      </c>
      <c r="K716" s="15">
        <v>263</v>
      </c>
      <c r="L716" s="15" t="s">
        <v>39</v>
      </c>
      <c r="M716" s="15" t="s">
        <v>5</v>
      </c>
      <c r="N716" s="11" t="s">
        <v>1384</v>
      </c>
      <c r="O716" s="11" t="s">
        <v>28</v>
      </c>
      <c r="P716" s="11" t="s">
        <v>33</v>
      </c>
      <c r="Q716" s="15">
        <v>0</v>
      </c>
      <c r="R716" s="11" t="s">
        <v>1386</v>
      </c>
      <c r="S716" s="10">
        <v>160.9126408162</v>
      </c>
      <c r="T716" s="15">
        <v>80</v>
      </c>
      <c r="U716" s="15">
        <v>0</v>
      </c>
      <c r="V716" s="15">
        <v>0</v>
      </c>
      <c r="W716" s="15">
        <v>0</v>
      </c>
      <c r="X716" s="15">
        <f>IF(O716='Udvaskning nøgletal'!$D$65,1,IF(O716='Udvaskning nøgletal'!$D$66,2,IF(O716='Udvaskning nøgletal'!$D$67,3,IF(O716='Udvaskning nøgletal'!$D$68,2,""))))</f>
        <v>1</v>
      </c>
      <c r="Y716" s="15">
        <f>LOOKUP(K716,'Udvaskning nøgletal'!$C$12:$C$60,'Udvaskning nøgletal'!$H$12:$H$60)</f>
        <v>0</v>
      </c>
      <c r="Z716" s="10">
        <f>IF(X716=1,LOOKUP(K716,'Udvaskning nøgletal'!$C$12:$C$60,'Udvaskning nøgletal'!$E$12:$E$60)+Markniveau!Y716*Markniveau!S716/100,IF(X716=2,LOOKUP(K716,'Udvaskning nøgletal'!$C$12:$C$60,'Udvaskning nøgletal'!$F$12:$F$60)+Markniveau!Y716*Markniveau!S716/100,IF(X716=3,LOOKUP(K716,'Udvaskning nøgletal'!$C$12:$C$60,'Udvaskning nøgletal'!G726:G774)+Markniveau!Y716*Markniveau!S716/100,"")))</f>
        <v>33.723295792149436</v>
      </c>
      <c r="AA716" s="10">
        <f t="shared" si="116"/>
        <v>128.82298992601085</v>
      </c>
      <c r="AB716" s="10" t="str">
        <f t="shared" si="115"/>
        <v/>
      </c>
      <c r="AC716" s="10" t="str">
        <f t="shared" si="117"/>
        <v/>
      </c>
      <c r="AD716" s="10">
        <f>IF(AND(Q716&gt;0,Q716&lt;30,K716&lt;8),Markniveau!Z716*'Udvaskning nøgletal'!$I$12/100,IF(AND(Q716&gt;0,Q716&lt;30,K716=216),Markniveau!Z716*'Udvaskning nøgletal'!$I$34/100,Markniveau!Z716))</f>
        <v>33.723295792149436</v>
      </c>
      <c r="AE716" s="10">
        <f t="shared" si="113"/>
        <v>128.82298992601085</v>
      </c>
      <c r="AF716" s="10" t="str">
        <f t="shared" si="118"/>
        <v/>
      </c>
      <c r="AG716" s="10" t="str">
        <f t="shared" si="114"/>
        <v/>
      </c>
      <c r="AH716" s="10" t="str">
        <f>IF(AND(Q716&gt;0,Q716&lt;30,K716=216),'Udvaskning nøgletal'!$C$42,IF(AND(Q716&gt;0,Q716&lt;30,K716&gt;7,K716&lt;17),'Udvaskning nøgletal'!$C$61,IF(AND(Q716&gt;0,Q716&lt;30,K716&lt;7),'Udvaskning nøgletal'!$C$62,"")))</f>
        <v/>
      </c>
      <c r="AI716" s="10">
        <f t="shared" si="120"/>
        <v>263</v>
      </c>
      <c r="AJ716" s="10">
        <f>IF($X716=1,LOOKUP(AI716,'Udvaskning nøgletal'!$C$12:$C$62,'Udvaskning nøgletal'!$E$12:$E$62)+Markniveau!$Y716*Markniveau!$S716/100,IF($X716=2,LOOKUP(AI716,'Udvaskning nøgletal'!$C$12:$C$62,'Udvaskning nøgletal'!$F$12:$F$62)+Markniveau!$Y716*Markniveau!$S716/100,IF($X716=3,LOOKUP(AI716,'Udvaskning nøgletal'!$C$12:$C$62,'Udvaskning nøgletal'!Q726:Q776)+Markniveau!$Y716*Markniveau!$S716/100,"")))</f>
        <v>33.723295792149436</v>
      </c>
      <c r="AK716" s="10">
        <f t="shared" si="119"/>
        <v>128.82298992601085</v>
      </c>
      <c r="AL716" s="10" t="str">
        <f t="shared" si="121"/>
        <v/>
      </c>
      <c r="AM716" s="10" t="str">
        <f t="shared" si="122"/>
        <v/>
      </c>
    </row>
    <row r="717" spans="1:39" x14ac:dyDescent="0.25">
      <c r="A717" s="15">
        <v>25930827</v>
      </c>
      <c r="B717" s="15">
        <v>44.24</v>
      </c>
      <c r="C717" s="15">
        <v>88077</v>
      </c>
      <c r="D717" s="15">
        <v>101602</v>
      </c>
      <c r="E717" s="15" t="s">
        <v>590</v>
      </c>
      <c r="F717" s="15">
        <v>2011</v>
      </c>
      <c r="G717" s="15">
        <v>20110406</v>
      </c>
      <c r="H717" s="15">
        <v>106003</v>
      </c>
      <c r="I717" s="15">
        <v>10.6</v>
      </c>
      <c r="J717" s="6" t="s">
        <v>591</v>
      </c>
      <c r="K717" s="15">
        <v>216</v>
      </c>
      <c r="L717" s="15" t="s">
        <v>116</v>
      </c>
      <c r="M717" s="15" t="s">
        <v>5</v>
      </c>
      <c r="N717" s="11" t="s">
        <v>1406</v>
      </c>
      <c r="O717" s="11" t="s">
        <v>46</v>
      </c>
      <c r="P717" s="11" t="s">
        <v>33</v>
      </c>
      <c r="Q717" s="15">
        <v>0</v>
      </c>
      <c r="R717" s="11" t="s">
        <v>1386</v>
      </c>
      <c r="S717" s="10">
        <v>160.9126408162</v>
      </c>
      <c r="T717" s="15">
        <v>80</v>
      </c>
      <c r="U717" s="15">
        <v>0</v>
      </c>
      <c r="V717" s="15">
        <v>0</v>
      </c>
      <c r="W717" s="15">
        <v>0</v>
      </c>
      <c r="X717" s="15">
        <f>IF(O717='Udvaskning nøgletal'!$D$65,1,IF(O717='Udvaskning nøgletal'!$D$66,2,IF(O717='Udvaskning nøgletal'!$D$67,3,IF(O717='Udvaskning nøgletal'!$D$68,2,""))))</f>
        <v>2</v>
      </c>
      <c r="Y717" s="15">
        <f>LOOKUP(K717,'Udvaskning nøgletal'!$C$12:$C$60,'Udvaskning nøgletal'!$H$12:$H$60)</f>
        <v>0</v>
      </c>
      <c r="Z717" s="10">
        <f>IF(X717=1,LOOKUP(K717,'Udvaskning nøgletal'!$C$12:$C$60,'Udvaskning nøgletal'!$E$12:$E$60)+Markniveau!Y717*Markniveau!S717/100,IF(X717=2,LOOKUP(K717,'Udvaskning nøgletal'!$C$12:$C$60,'Udvaskning nøgletal'!$F$12:$F$60)+Markniveau!Y717*Markniveau!S717/100,IF(X717=3,LOOKUP(K717,'Udvaskning nøgletal'!$C$12:$C$60,'Udvaskning nøgletal'!G727:G775)+Markniveau!Y717*Markniveau!S717/100,"")))</f>
        <v>101.66744640811392</v>
      </c>
      <c r="AA717" s="10">
        <f t="shared" si="116"/>
        <v>1077.6749319260075</v>
      </c>
      <c r="AB717" s="10" t="str">
        <f t="shared" si="115"/>
        <v/>
      </c>
      <c r="AC717" s="10" t="str">
        <f t="shared" si="117"/>
        <v/>
      </c>
      <c r="AD717" s="10">
        <f>IF(AND(Q717&gt;0,Q717&lt;30,K717&lt;8),Markniveau!Z717*'Udvaskning nøgletal'!$I$12/100,IF(AND(Q717&gt;0,Q717&lt;30,K717=216),Markniveau!Z717*'Udvaskning nøgletal'!$I$34/100,Markniveau!Z717))</f>
        <v>101.66744640811392</v>
      </c>
      <c r="AE717" s="10">
        <f t="shared" si="113"/>
        <v>1077.6749319260075</v>
      </c>
      <c r="AF717" s="10" t="str">
        <f t="shared" si="118"/>
        <v/>
      </c>
      <c r="AG717" s="10" t="str">
        <f t="shared" si="114"/>
        <v/>
      </c>
      <c r="AH717" s="10" t="str">
        <f>IF(AND(Q717&gt;0,Q717&lt;30,K717=216),'Udvaskning nøgletal'!$C$42,IF(AND(Q717&gt;0,Q717&lt;30,K717&gt;7,K717&lt;17),'Udvaskning nøgletal'!$C$61,IF(AND(Q717&gt;0,Q717&lt;30,K717&lt;7),'Udvaskning nøgletal'!$C$62,"")))</f>
        <v/>
      </c>
      <c r="AI717" s="10">
        <f t="shared" si="120"/>
        <v>216</v>
      </c>
      <c r="AJ717" s="10">
        <f>IF($X717=1,LOOKUP(AI717,'Udvaskning nøgletal'!$C$12:$C$62,'Udvaskning nøgletal'!$E$12:$E$62)+Markniveau!$Y717*Markniveau!$S717/100,IF($X717=2,LOOKUP(AI717,'Udvaskning nøgletal'!$C$12:$C$62,'Udvaskning nøgletal'!$F$12:$F$62)+Markniveau!$Y717*Markniveau!$S717/100,IF($X717=3,LOOKUP(AI717,'Udvaskning nøgletal'!$C$12:$C$62,'Udvaskning nøgletal'!Q727:Q777)+Markniveau!$Y717*Markniveau!$S717/100,"")))</f>
        <v>101.66744640811392</v>
      </c>
      <c r="AK717" s="10">
        <f t="shared" si="119"/>
        <v>1077.6749319260075</v>
      </c>
      <c r="AL717" s="10" t="str">
        <f t="shared" si="121"/>
        <v/>
      </c>
      <c r="AM717" s="10" t="str">
        <f t="shared" si="122"/>
        <v/>
      </c>
    </row>
    <row r="718" spans="1:39" x14ac:dyDescent="0.25">
      <c r="A718" s="15">
        <v>25930827</v>
      </c>
      <c r="B718" s="15">
        <v>44.24</v>
      </c>
      <c r="C718" s="15">
        <v>88078</v>
      </c>
      <c r="D718" s="15">
        <v>101602</v>
      </c>
      <c r="E718" s="15" t="s">
        <v>590</v>
      </c>
      <c r="F718" s="15">
        <v>2011</v>
      </c>
      <c r="G718" s="15">
        <v>20110406</v>
      </c>
      <c r="H718" s="15">
        <v>90363</v>
      </c>
      <c r="I718" s="15">
        <v>9.0399999999999991</v>
      </c>
      <c r="J718" s="6" t="s">
        <v>592</v>
      </c>
      <c r="K718" s="15">
        <v>11</v>
      </c>
      <c r="L718" s="15" t="s">
        <v>102</v>
      </c>
      <c r="M718" s="15" t="s">
        <v>5</v>
      </c>
      <c r="N718" s="11" t="s">
        <v>1406</v>
      </c>
      <c r="O718" s="11" t="s">
        <v>46</v>
      </c>
      <c r="P718" s="11" t="s">
        <v>33</v>
      </c>
      <c r="Q718" s="15">
        <v>0</v>
      </c>
      <c r="R718" s="11" t="s">
        <v>1386</v>
      </c>
      <c r="S718" s="10">
        <v>160.9126408162</v>
      </c>
      <c r="T718" s="15">
        <v>80</v>
      </c>
      <c r="U718" s="15">
        <v>0</v>
      </c>
      <c r="V718" s="15">
        <v>0</v>
      </c>
      <c r="W718" s="15">
        <v>0</v>
      </c>
      <c r="X718" s="15">
        <f>IF(O718='Udvaskning nøgletal'!$D$65,1,IF(O718='Udvaskning nøgletal'!$D$66,2,IF(O718='Udvaskning nøgletal'!$D$67,3,IF(O718='Udvaskning nøgletal'!$D$68,2,""))))</f>
        <v>2</v>
      </c>
      <c r="Y718" s="15">
        <f>LOOKUP(K718,'Udvaskning nøgletal'!$C$12:$C$60,'Udvaskning nøgletal'!$H$12:$H$60)</f>
        <v>5</v>
      </c>
      <c r="Z718" s="10">
        <f>IF(X718=1,LOOKUP(K718,'Udvaskning nøgletal'!$C$12:$C$60,'Udvaskning nøgletal'!$E$12:$E$60)+Markniveau!Y718*Markniveau!S718/100,IF(X718=2,LOOKUP(K718,'Udvaskning nøgletal'!$C$12:$C$60,'Udvaskning nøgletal'!$F$12:$F$60)+Markniveau!Y718*Markniveau!S718/100,IF(X718=3,LOOKUP(K718,'Udvaskning nøgletal'!$C$12:$C$60,'Udvaskning nøgletal'!G728:G776)+Markniveau!Y718*Markniveau!S718/100,"")))</f>
        <v>58.925632040810001</v>
      </c>
      <c r="AA718" s="10">
        <f t="shared" si="116"/>
        <v>532.68771364892234</v>
      </c>
      <c r="AB718" s="10" t="str">
        <f t="shared" si="115"/>
        <v/>
      </c>
      <c r="AC718" s="10" t="str">
        <f t="shared" si="117"/>
        <v/>
      </c>
      <c r="AD718" s="10">
        <f>IF(AND(Q718&gt;0,Q718&lt;30,K718&lt;8),Markniveau!Z718*'Udvaskning nøgletal'!$I$12/100,IF(AND(Q718&gt;0,Q718&lt;30,K718=216),Markniveau!Z718*'Udvaskning nøgletal'!$I$34/100,Markniveau!Z718))</f>
        <v>58.925632040810001</v>
      </c>
      <c r="AE718" s="10">
        <f t="shared" si="113"/>
        <v>532.68771364892234</v>
      </c>
      <c r="AF718" s="10" t="str">
        <f t="shared" si="118"/>
        <v/>
      </c>
      <c r="AG718" s="10" t="str">
        <f t="shared" si="114"/>
        <v/>
      </c>
      <c r="AH718" s="10" t="str">
        <f>IF(AND(Q718&gt;0,Q718&lt;30,K718=216),'Udvaskning nøgletal'!$C$42,IF(AND(Q718&gt;0,Q718&lt;30,K718&gt;7,K718&lt;17),'Udvaskning nøgletal'!$C$61,IF(AND(Q718&gt;0,Q718&lt;30,K718&lt;7),'Udvaskning nøgletal'!$C$62,"")))</f>
        <v/>
      </c>
      <c r="AI718" s="10">
        <f t="shared" si="120"/>
        <v>11</v>
      </c>
      <c r="AJ718" s="10">
        <f>IF($X718=1,LOOKUP(AI718,'Udvaskning nøgletal'!$C$12:$C$62,'Udvaskning nøgletal'!$E$12:$E$62)+Markniveau!$Y718*Markniveau!$S718/100,IF($X718=2,LOOKUP(AI718,'Udvaskning nøgletal'!$C$12:$C$62,'Udvaskning nøgletal'!$F$12:$F$62)+Markniveau!$Y718*Markniveau!$S718/100,IF($X718=3,LOOKUP(AI718,'Udvaskning nøgletal'!$C$12:$C$62,'Udvaskning nøgletal'!Q728:Q778)+Markniveau!$Y718*Markniveau!$S718/100,"")))</f>
        <v>58.925632040810001</v>
      </c>
      <c r="AK718" s="10">
        <f t="shared" si="119"/>
        <v>532.68771364892234</v>
      </c>
      <c r="AL718" s="10" t="str">
        <f t="shared" si="121"/>
        <v/>
      </c>
      <c r="AM718" s="10" t="str">
        <f t="shared" si="122"/>
        <v/>
      </c>
    </row>
    <row r="719" spans="1:39" x14ac:dyDescent="0.25">
      <c r="A719" s="15">
        <v>25930827</v>
      </c>
      <c r="B719" s="15">
        <v>44.24</v>
      </c>
      <c r="C719" s="15">
        <v>88557</v>
      </c>
      <c r="D719" s="15">
        <v>101602</v>
      </c>
      <c r="E719" s="15" t="s">
        <v>593</v>
      </c>
      <c r="F719" s="15">
        <v>2011</v>
      </c>
      <c r="G719" s="15">
        <v>20110406</v>
      </c>
      <c r="H719" s="15">
        <v>175573</v>
      </c>
      <c r="I719" s="15">
        <v>17.559999999999999</v>
      </c>
      <c r="J719" s="6" t="s">
        <v>97</v>
      </c>
      <c r="K719" s="15">
        <v>216</v>
      </c>
      <c r="L719" s="15" t="s">
        <v>116</v>
      </c>
      <c r="M719" s="15" t="s">
        <v>5</v>
      </c>
      <c r="N719" s="11" t="s">
        <v>1406</v>
      </c>
      <c r="O719" s="11" t="s">
        <v>46</v>
      </c>
      <c r="P719" s="11" t="s">
        <v>33</v>
      </c>
      <c r="Q719" s="15">
        <v>1</v>
      </c>
      <c r="R719" s="11" t="s">
        <v>11</v>
      </c>
      <c r="S719" s="10">
        <v>160.9126408162</v>
      </c>
      <c r="T719" s="15">
        <v>80</v>
      </c>
      <c r="U719" s="15">
        <v>0</v>
      </c>
      <c r="V719" s="15">
        <v>0</v>
      </c>
      <c r="W719" s="15">
        <v>0</v>
      </c>
      <c r="X719" s="15">
        <f>IF(O719='Udvaskning nøgletal'!$D$65,1,IF(O719='Udvaskning nøgletal'!$D$66,2,IF(O719='Udvaskning nøgletal'!$D$67,3,IF(O719='Udvaskning nøgletal'!$D$68,2,""))))</f>
        <v>2</v>
      </c>
      <c r="Y719" s="15">
        <f>LOOKUP(K719,'Udvaskning nøgletal'!$C$12:$C$60,'Udvaskning nøgletal'!$H$12:$H$60)</f>
        <v>0</v>
      </c>
      <c r="Z719" s="10">
        <f>IF(X719=1,LOOKUP(K719,'Udvaskning nøgletal'!$C$12:$C$60,'Udvaskning nøgletal'!$E$12:$E$60)+Markniveau!Y719*Markniveau!S719/100,IF(X719=2,LOOKUP(K719,'Udvaskning nøgletal'!$C$12:$C$60,'Udvaskning nøgletal'!$F$12:$F$60)+Markniveau!Y719*Markniveau!S719/100,IF(X719=3,LOOKUP(K719,'Udvaskning nøgletal'!$C$12:$C$60,'Udvaskning nøgletal'!G729:G777)+Markniveau!Y719*Markniveau!S719/100,"")))</f>
        <v>101.66744640811392</v>
      </c>
      <c r="AA719" s="10">
        <f t="shared" si="116"/>
        <v>1785.2803589264802</v>
      </c>
      <c r="AB719" s="10">
        <f t="shared" si="115"/>
        <v>100.65077194403278</v>
      </c>
      <c r="AC719" s="10">
        <f t="shared" si="117"/>
        <v>1767.4275553372156</v>
      </c>
      <c r="AD719" s="10">
        <f>IF(AND(Q719&gt;0,Q719&lt;30,K719&lt;8),Markniveau!Z719*'Udvaskning nøgletal'!$I$12/100,IF(AND(Q719&gt;0,Q719&lt;30,K719=216),Markniveau!Z719*'Udvaskning nøgletal'!$I$34/100,Markniveau!Z719))</f>
        <v>71.167212485679741</v>
      </c>
      <c r="AE719" s="10">
        <f t="shared" si="113"/>
        <v>1249.6962512485361</v>
      </c>
      <c r="AF719" s="10">
        <f t="shared" si="118"/>
        <v>70.455540360822937</v>
      </c>
      <c r="AG719" s="10">
        <f t="shared" si="114"/>
        <v>1237.1992887360507</v>
      </c>
      <c r="AH719" s="10">
        <f>IF(AND(Q719&gt;0,Q719&lt;30,K719=216),'Udvaskning nøgletal'!$C$42,IF(AND(Q719&gt;0,Q719&lt;30,K719&gt;7,K719&lt;17),'Udvaskning nøgletal'!$C$61,IF(AND(Q719&gt;0,Q719&lt;30,K719&lt;7),'Udvaskning nøgletal'!$C$62,"")))</f>
        <v>260</v>
      </c>
      <c r="AI719" s="10">
        <f t="shared" si="120"/>
        <v>260</v>
      </c>
      <c r="AJ719" s="10">
        <f>IF($X719=1,LOOKUP(AI719,'Udvaskning nøgletal'!$C$12:$C$62,'Udvaskning nøgletal'!$E$12:$E$62)+Markniveau!$Y719*Markniveau!$S719/100,IF($X719=2,LOOKUP(AI719,'Udvaskning nøgletal'!$C$12:$C$62,'Udvaskning nøgletal'!$F$12:$F$62)+Markniveau!$Y719*Markniveau!$S719/100,IF($X719=3,LOOKUP(AI719,'Udvaskning nøgletal'!$C$12:$C$62,'Udvaskning nøgletal'!Q729:Q779)+Markniveau!$Y719*Markniveau!$S719/100,"")))</f>
        <v>27.331185321443094</v>
      </c>
      <c r="AK719" s="10">
        <f t="shared" si="119"/>
        <v>479.93561424454072</v>
      </c>
      <c r="AL719" s="10">
        <f t="shared" si="121"/>
        <v>27.057873468228664</v>
      </c>
      <c r="AM719" s="10">
        <f t="shared" si="122"/>
        <v>475.13625810209533</v>
      </c>
    </row>
    <row r="720" spans="1:39" x14ac:dyDescent="0.25">
      <c r="A720" s="15">
        <v>25930827</v>
      </c>
      <c r="B720" s="15">
        <v>44.24</v>
      </c>
      <c r="C720" s="15">
        <v>88558</v>
      </c>
      <c r="D720" s="15">
        <v>101602</v>
      </c>
      <c r="E720" s="15" t="s">
        <v>594</v>
      </c>
      <c r="F720" s="15">
        <v>2011</v>
      </c>
      <c r="G720" s="15">
        <v>20110406</v>
      </c>
      <c r="H720" s="15">
        <v>8921</v>
      </c>
      <c r="I720" s="15">
        <v>0.89</v>
      </c>
      <c r="J720" s="6" t="s">
        <v>1400</v>
      </c>
      <c r="K720" s="15">
        <v>254</v>
      </c>
      <c r="L720" s="15" t="s">
        <v>27</v>
      </c>
      <c r="M720" s="15" t="s">
        <v>4</v>
      </c>
      <c r="N720" s="11" t="s">
        <v>1406</v>
      </c>
      <c r="O720" s="11" t="s">
        <v>46</v>
      </c>
      <c r="P720" s="11" t="s">
        <v>33</v>
      </c>
      <c r="Q720" s="15">
        <v>0</v>
      </c>
      <c r="R720" s="11" t="s">
        <v>1386</v>
      </c>
      <c r="S720" s="10">
        <v>160.9126408162</v>
      </c>
      <c r="T720" s="15">
        <v>80</v>
      </c>
      <c r="U720" s="15">
        <v>0</v>
      </c>
      <c r="V720" s="15">
        <v>0</v>
      </c>
      <c r="W720" s="15">
        <v>0</v>
      </c>
      <c r="X720" s="15">
        <f>IF(O720='Udvaskning nøgletal'!$D$65,1,IF(O720='Udvaskning nøgletal'!$D$66,2,IF(O720='Udvaskning nøgletal'!$D$67,3,IF(O720='Udvaskning nøgletal'!$D$68,2,""))))</f>
        <v>2</v>
      </c>
      <c r="Y720" s="15">
        <f>LOOKUP(K720,'Udvaskning nøgletal'!$C$12:$C$60,'Udvaskning nøgletal'!$H$12:$H$60)</f>
        <v>0</v>
      </c>
      <c r="Z720" s="10">
        <f>IF(X720=1,LOOKUP(K720,'Udvaskning nøgletal'!$C$12:$C$60,'Udvaskning nøgletal'!$E$12:$E$60)+Markniveau!Y720*Markniveau!S720/100,IF(X720=2,LOOKUP(K720,'Udvaskning nøgletal'!$C$12:$C$60,'Udvaskning nøgletal'!$F$12:$F$60)+Markniveau!Y720*Markniveau!S720/100,IF(X720=3,LOOKUP(K720,'Udvaskning nøgletal'!$C$12:$C$60,'Udvaskning nøgletal'!G730:G778)+Markniveau!Y720*Markniveau!S720/100,"")))</f>
        <v>21.2</v>
      </c>
      <c r="AA720" s="10">
        <f t="shared" si="116"/>
        <v>18.867999999999999</v>
      </c>
      <c r="AB720" s="10" t="str">
        <f t="shared" si="115"/>
        <v/>
      </c>
      <c r="AC720" s="10" t="str">
        <f t="shared" si="117"/>
        <v/>
      </c>
      <c r="AD720" s="10">
        <f>IF(AND(Q720&gt;0,Q720&lt;30,K720&lt;8),Markniveau!Z720*'Udvaskning nøgletal'!$I$12/100,IF(AND(Q720&gt;0,Q720&lt;30,K720=216),Markniveau!Z720*'Udvaskning nøgletal'!$I$34/100,Markniveau!Z720))</f>
        <v>21.2</v>
      </c>
      <c r="AE720" s="10">
        <f t="shared" si="113"/>
        <v>18.867999999999999</v>
      </c>
      <c r="AF720" s="10" t="str">
        <f t="shared" si="118"/>
        <v/>
      </c>
      <c r="AG720" s="10" t="str">
        <f t="shared" si="114"/>
        <v/>
      </c>
      <c r="AH720" s="10" t="str">
        <f>IF(AND(Q720&gt;0,Q720&lt;30,K720=216),'Udvaskning nøgletal'!$C$42,IF(AND(Q720&gt;0,Q720&lt;30,K720&gt;7,K720&lt;17),'Udvaskning nøgletal'!$C$61,IF(AND(Q720&gt;0,Q720&lt;30,K720&lt;7),'Udvaskning nøgletal'!$C$62,"")))</f>
        <v/>
      </c>
      <c r="AI720" s="10">
        <f t="shared" si="120"/>
        <v>254</v>
      </c>
      <c r="AJ720" s="10">
        <f>IF($X720=1,LOOKUP(AI720,'Udvaskning nøgletal'!$C$12:$C$62,'Udvaskning nøgletal'!$E$12:$E$62)+Markniveau!$Y720*Markniveau!$S720/100,IF($X720=2,LOOKUP(AI720,'Udvaskning nøgletal'!$C$12:$C$62,'Udvaskning nøgletal'!$F$12:$F$62)+Markniveau!$Y720*Markniveau!$S720/100,IF($X720=3,LOOKUP(AI720,'Udvaskning nøgletal'!$C$12:$C$62,'Udvaskning nøgletal'!Q730:Q780)+Markniveau!$Y720*Markniveau!$S720/100,"")))</f>
        <v>21.2</v>
      </c>
      <c r="AK720" s="10">
        <f t="shared" si="119"/>
        <v>18.867999999999999</v>
      </c>
      <c r="AL720" s="10" t="str">
        <f t="shared" si="121"/>
        <v/>
      </c>
      <c r="AM720" s="10" t="str">
        <f t="shared" si="122"/>
        <v/>
      </c>
    </row>
    <row r="721" spans="1:39" x14ac:dyDescent="0.25">
      <c r="A721" s="15">
        <v>25930827</v>
      </c>
      <c r="B721" s="15">
        <v>44.24</v>
      </c>
      <c r="C721" s="15">
        <v>88559</v>
      </c>
      <c r="D721" s="15">
        <v>101602</v>
      </c>
      <c r="E721" s="15" t="s">
        <v>595</v>
      </c>
      <c r="F721" s="15">
        <v>2011</v>
      </c>
      <c r="G721" s="15">
        <v>20110406</v>
      </c>
      <c r="H721" s="15">
        <v>7768</v>
      </c>
      <c r="I721" s="15">
        <v>0.78</v>
      </c>
      <c r="J721" s="6" t="s">
        <v>69</v>
      </c>
      <c r="K721" s="15">
        <v>216</v>
      </c>
      <c r="L721" s="15" t="s">
        <v>116</v>
      </c>
      <c r="M721" s="15" t="s">
        <v>5</v>
      </c>
      <c r="N721" s="11" t="s">
        <v>1384</v>
      </c>
      <c r="O721" s="11" t="s">
        <v>28</v>
      </c>
      <c r="P721" s="11" t="s">
        <v>33</v>
      </c>
      <c r="Q721" s="15">
        <v>0</v>
      </c>
      <c r="R721" s="11" t="s">
        <v>1386</v>
      </c>
      <c r="S721" s="10">
        <v>160.9126408162</v>
      </c>
      <c r="T721" s="15">
        <v>80</v>
      </c>
      <c r="U721" s="15">
        <v>0</v>
      </c>
      <c r="V721" s="15">
        <v>0</v>
      </c>
      <c r="W721" s="15">
        <v>0</v>
      </c>
      <c r="X721" s="15">
        <f>IF(O721='Udvaskning nøgletal'!$D$65,1,IF(O721='Udvaskning nøgletal'!$D$66,2,IF(O721='Udvaskning nøgletal'!$D$67,3,IF(O721='Udvaskning nøgletal'!$D$68,2,""))))</f>
        <v>1</v>
      </c>
      <c r="Y721" s="15">
        <f>LOOKUP(K721,'Udvaskning nøgletal'!$C$12:$C$60,'Udvaskning nøgletal'!$H$12:$H$60)</f>
        <v>0</v>
      </c>
      <c r="Z721" s="10">
        <f>IF(X721=1,LOOKUP(K721,'Udvaskning nøgletal'!$C$12:$C$60,'Udvaskning nøgletal'!$E$12:$E$60)+Markniveau!Y721*Markniveau!S721/100,IF(X721=2,LOOKUP(K721,'Udvaskning nøgletal'!$C$12:$C$60,'Udvaskning nøgletal'!$F$12:$F$60)+Markniveau!Y721*Markniveau!S721/100,IF(X721=3,LOOKUP(K721,'Udvaskning nøgletal'!$C$12:$C$60,'Udvaskning nøgletal'!G731:G779)+Markniveau!Y721*Markniveau!S721/100,"")))</f>
        <v>125.85383557148924</v>
      </c>
      <c r="AA721" s="10">
        <f t="shared" si="116"/>
        <v>98.165991745761616</v>
      </c>
      <c r="AB721" s="10" t="str">
        <f t="shared" si="115"/>
        <v/>
      </c>
      <c r="AC721" s="10" t="str">
        <f t="shared" si="117"/>
        <v/>
      </c>
      <c r="AD721" s="10">
        <f>IF(AND(Q721&gt;0,Q721&lt;30,K721&lt;8),Markniveau!Z721*'Udvaskning nøgletal'!$I$12/100,IF(AND(Q721&gt;0,Q721&lt;30,K721=216),Markniveau!Z721*'Udvaskning nøgletal'!$I$34/100,Markniveau!Z721))</f>
        <v>125.85383557148924</v>
      </c>
      <c r="AE721" s="10">
        <f t="shared" ref="AE721:AE784" si="123">AD721*I721</f>
        <v>98.165991745761616</v>
      </c>
      <c r="AF721" s="10" t="str">
        <f t="shared" si="118"/>
        <v/>
      </c>
      <c r="AG721" s="10" t="str">
        <f t="shared" ref="AG721:AG784" si="124">IF($Q721&gt;0,(100-$Q721)*$AD721/100*I721,"")</f>
        <v/>
      </c>
      <c r="AH721" s="10" t="str">
        <f>IF(AND(Q721&gt;0,Q721&lt;30,K721=216),'Udvaskning nøgletal'!$C$42,IF(AND(Q721&gt;0,Q721&lt;30,K721&gt;7,K721&lt;17),'Udvaskning nøgletal'!$C$61,IF(AND(Q721&gt;0,Q721&lt;30,K721&lt;7),'Udvaskning nøgletal'!$C$62,"")))</f>
        <v/>
      </c>
      <c r="AI721" s="10">
        <f t="shared" si="120"/>
        <v>216</v>
      </c>
      <c r="AJ721" s="10">
        <f>IF($X721=1,LOOKUP(AI721,'Udvaskning nøgletal'!$C$12:$C$62,'Udvaskning nøgletal'!$E$12:$E$62)+Markniveau!$Y721*Markniveau!$S721/100,IF($X721=2,LOOKUP(AI721,'Udvaskning nøgletal'!$C$12:$C$62,'Udvaskning nøgletal'!$F$12:$F$62)+Markniveau!$Y721*Markniveau!$S721/100,IF($X721=3,LOOKUP(AI721,'Udvaskning nøgletal'!$C$12:$C$62,'Udvaskning nøgletal'!Q731:Q781)+Markniveau!$Y721*Markniveau!$S721/100,"")))</f>
        <v>125.85383557148924</v>
      </c>
      <c r="AK721" s="10">
        <f t="shared" si="119"/>
        <v>98.165991745761616</v>
      </c>
      <c r="AL721" s="10" t="str">
        <f t="shared" si="121"/>
        <v/>
      </c>
      <c r="AM721" s="10" t="str">
        <f t="shared" si="122"/>
        <v/>
      </c>
    </row>
    <row r="722" spans="1:39" x14ac:dyDescent="0.25">
      <c r="A722" s="15">
        <v>25930827</v>
      </c>
      <c r="B722" s="15">
        <v>44.24</v>
      </c>
      <c r="C722" s="15">
        <v>88560</v>
      </c>
      <c r="D722" s="15">
        <v>101602</v>
      </c>
      <c r="E722" s="15" t="s">
        <v>596</v>
      </c>
      <c r="F722" s="15">
        <v>2011</v>
      </c>
      <c r="G722" s="15">
        <v>20110406</v>
      </c>
      <c r="H722" s="15">
        <v>14120</v>
      </c>
      <c r="I722" s="15">
        <v>1.41</v>
      </c>
      <c r="J722" s="6" t="s">
        <v>38</v>
      </c>
      <c r="K722" s="15">
        <v>216</v>
      </c>
      <c r="L722" s="15" t="s">
        <v>116</v>
      </c>
      <c r="M722" s="15" t="s">
        <v>5</v>
      </c>
      <c r="N722" s="11" t="s">
        <v>1384</v>
      </c>
      <c r="O722" s="11" t="s">
        <v>28</v>
      </c>
      <c r="P722" s="11" t="s">
        <v>33</v>
      </c>
      <c r="Q722" s="15">
        <v>0</v>
      </c>
      <c r="R722" s="11" t="s">
        <v>1386</v>
      </c>
      <c r="S722" s="10">
        <v>160.9126408162</v>
      </c>
      <c r="T722" s="15">
        <v>80</v>
      </c>
      <c r="U722" s="15">
        <v>0</v>
      </c>
      <c r="V722" s="15">
        <v>0</v>
      </c>
      <c r="W722" s="15">
        <v>0</v>
      </c>
      <c r="X722" s="15">
        <f>IF(O722='Udvaskning nøgletal'!$D$65,1,IF(O722='Udvaskning nøgletal'!$D$66,2,IF(O722='Udvaskning nøgletal'!$D$67,3,IF(O722='Udvaskning nøgletal'!$D$68,2,""))))</f>
        <v>1</v>
      </c>
      <c r="Y722" s="15">
        <f>LOOKUP(K722,'Udvaskning nøgletal'!$C$12:$C$60,'Udvaskning nøgletal'!$H$12:$H$60)</f>
        <v>0</v>
      </c>
      <c r="Z722" s="10">
        <f>IF(X722=1,LOOKUP(K722,'Udvaskning nøgletal'!$C$12:$C$60,'Udvaskning nøgletal'!$E$12:$E$60)+Markniveau!Y722*Markniveau!S722/100,IF(X722=2,LOOKUP(K722,'Udvaskning nøgletal'!$C$12:$C$60,'Udvaskning nøgletal'!$F$12:$F$60)+Markniveau!Y722*Markniveau!S722/100,IF(X722=3,LOOKUP(K722,'Udvaskning nøgletal'!$C$12:$C$60,'Udvaskning nøgletal'!G732:G780)+Markniveau!Y722*Markniveau!S722/100,"")))</f>
        <v>125.85383557148924</v>
      </c>
      <c r="AA722" s="10">
        <f t="shared" si="116"/>
        <v>177.45390815579981</v>
      </c>
      <c r="AB722" s="10" t="str">
        <f t="shared" si="115"/>
        <v/>
      </c>
      <c r="AC722" s="10" t="str">
        <f t="shared" si="117"/>
        <v/>
      </c>
      <c r="AD722" s="10">
        <f>IF(AND(Q722&gt;0,Q722&lt;30,K722&lt;8),Markniveau!Z722*'Udvaskning nøgletal'!$I$12/100,IF(AND(Q722&gt;0,Q722&lt;30,K722=216),Markniveau!Z722*'Udvaskning nøgletal'!$I$34/100,Markniveau!Z722))</f>
        <v>125.85383557148924</v>
      </c>
      <c r="AE722" s="10">
        <f t="shared" si="123"/>
        <v>177.45390815579981</v>
      </c>
      <c r="AF722" s="10" t="str">
        <f t="shared" si="118"/>
        <v/>
      </c>
      <c r="AG722" s="10" t="str">
        <f t="shared" si="124"/>
        <v/>
      </c>
      <c r="AH722" s="10" t="str">
        <f>IF(AND(Q722&gt;0,Q722&lt;30,K722=216),'Udvaskning nøgletal'!$C$42,IF(AND(Q722&gt;0,Q722&lt;30,K722&gt;7,K722&lt;17),'Udvaskning nøgletal'!$C$61,IF(AND(Q722&gt;0,Q722&lt;30,K722&lt;7),'Udvaskning nøgletal'!$C$62,"")))</f>
        <v/>
      </c>
      <c r="AI722" s="10">
        <f t="shared" si="120"/>
        <v>216</v>
      </c>
      <c r="AJ722" s="10">
        <f>IF($X722=1,LOOKUP(AI722,'Udvaskning nøgletal'!$C$12:$C$62,'Udvaskning nøgletal'!$E$12:$E$62)+Markniveau!$Y722*Markniveau!$S722/100,IF($X722=2,LOOKUP(AI722,'Udvaskning nøgletal'!$C$12:$C$62,'Udvaskning nøgletal'!$F$12:$F$62)+Markniveau!$Y722*Markniveau!$S722/100,IF($X722=3,LOOKUP(AI722,'Udvaskning nøgletal'!$C$12:$C$62,'Udvaskning nøgletal'!Q732:Q782)+Markniveau!$Y722*Markniveau!$S722/100,"")))</f>
        <v>125.85383557148924</v>
      </c>
      <c r="AK722" s="10">
        <f t="shared" si="119"/>
        <v>177.45390815579981</v>
      </c>
      <c r="AL722" s="10" t="str">
        <f t="shared" si="121"/>
        <v/>
      </c>
      <c r="AM722" s="10" t="str">
        <f t="shared" si="122"/>
        <v/>
      </c>
    </row>
    <row r="723" spans="1:39" x14ac:dyDescent="0.25">
      <c r="A723" s="15">
        <v>25930827</v>
      </c>
      <c r="B723" s="15">
        <v>44.24</v>
      </c>
      <c r="C723" s="15">
        <v>88561</v>
      </c>
      <c r="D723" s="15">
        <v>101602</v>
      </c>
      <c r="E723" s="15" t="s">
        <v>597</v>
      </c>
      <c r="F723" s="15">
        <v>2011</v>
      </c>
      <c r="G723" s="15">
        <v>20110406</v>
      </c>
      <c r="H723" s="15">
        <v>131490</v>
      </c>
      <c r="I723" s="15">
        <v>13.15</v>
      </c>
      <c r="J723" s="6" t="s">
        <v>66</v>
      </c>
      <c r="K723" s="15">
        <v>1</v>
      </c>
      <c r="L723" s="15" t="s">
        <v>32</v>
      </c>
      <c r="M723" s="15" t="s">
        <v>5</v>
      </c>
      <c r="N723" s="11" t="s">
        <v>1384</v>
      </c>
      <c r="O723" s="11" t="s">
        <v>28</v>
      </c>
      <c r="P723" s="11" t="s">
        <v>29</v>
      </c>
      <c r="Q723" s="15">
        <v>1</v>
      </c>
      <c r="R723" s="11" t="s">
        <v>11</v>
      </c>
      <c r="S723" s="10">
        <v>160.9126408162</v>
      </c>
      <c r="T723" s="15">
        <v>80</v>
      </c>
      <c r="U723" s="15">
        <v>0</v>
      </c>
      <c r="V723" s="15">
        <v>0</v>
      </c>
      <c r="W723" s="15">
        <v>0</v>
      </c>
      <c r="X723" s="15">
        <f>IF(O723='Udvaskning nøgletal'!$D$65,1,IF(O723='Udvaskning nøgletal'!$D$66,2,IF(O723='Udvaskning nøgletal'!$D$67,3,IF(O723='Udvaskning nøgletal'!$D$68,2,""))))</f>
        <v>1</v>
      </c>
      <c r="Y723" s="15">
        <f>LOOKUP(K723,'Udvaskning nøgletal'!$C$12:$C$60,'Udvaskning nøgletal'!$H$12:$H$60)</f>
        <v>5</v>
      </c>
      <c r="Z723" s="10">
        <f>IF(X723=1,LOOKUP(K723,'Udvaskning nøgletal'!$C$12:$C$60,'Udvaskning nøgletal'!$E$12:$E$60)+Markniveau!Y723*Markniveau!S723/100,IF(X723=2,LOOKUP(K723,'Udvaskning nøgletal'!$C$12:$C$60,'Udvaskning nøgletal'!$F$12:$F$60)+Markniveau!Y723*Markniveau!S723/100,IF(X723=3,LOOKUP(K723,'Udvaskning nøgletal'!$C$12:$C$60,'Udvaskning nøgletal'!G733:G781)+Markniveau!Y723*Markniveau!S723/100,"")))</f>
        <v>72.705632040810002</v>
      </c>
      <c r="AA723" s="10">
        <f t="shared" si="116"/>
        <v>956.07906133665153</v>
      </c>
      <c r="AB723" s="10">
        <f t="shared" si="115"/>
        <v>71.978575720401906</v>
      </c>
      <c r="AC723" s="10">
        <f t="shared" si="117"/>
        <v>946.51827072328513</v>
      </c>
      <c r="AD723" s="10">
        <f>IF(AND(Q723&gt;0,Q723&lt;30,K723&lt;8),Markniveau!Z723*'Udvaskning nøgletal'!$I$12/100,IF(AND(Q723&gt;0,Q723&lt;30,K723=216),Markniveau!Z723*'Udvaskning nøgletal'!$I$34/100,Markniveau!Z723))</f>
        <v>36.352816020405001</v>
      </c>
      <c r="AE723" s="10">
        <f t="shared" si="123"/>
        <v>478.03953066832577</v>
      </c>
      <c r="AF723" s="10">
        <f t="shared" si="118"/>
        <v>35.989287860200953</v>
      </c>
      <c r="AG723" s="10">
        <f t="shared" si="124"/>
        <v>473.25913536164256</v>
      </c>
      <c r="AH723" s="10">
        <f>IF(AND(Q723&gt;0,Q723&lt;30,K723=216),'Udvaskning nøgletal'!$C$42,IF(AND(Q723&gt;0,Q723&lt;30,K723&gt;7,K723&lt;17),'Udvaskning nøgletal'!$C$61,IF(AND(Q723&gt;0,Q723&lt;30,K723&lt;7),'Udvaskning nøgletal'!$C$62,"")))</f>
        <v>1002</v>
      </c>
      <c r="AI723" s="10">
        <f t="shared" si="120"/>
        <v>1002</v>
      </c>
      <c r="AJ723" s="10">
        <f>IF($X723=1,LOOKUP(AI723,'Udvaskning nøgletal'!$C$12:$C$62,'Udvaskning nøgletal'!$E$12:$E$62)+Markniveau!$Y723*Markniveau!$S723/100,IF($X723=2,LOOKUP(AI723,'Udvaskning nøgletal'!$C$12:$C$62,'Udvaskning nøgletal'!$F$12:$F$62)+Markniveau!$Y723*Markniveau!$S723/100,IF($X723=3,LOOKUP(AI723,'Udvaskning nøgletal'!$C$12:$C$62,'Udvaskning nøgletal'!Q733:Q783)+Markniveau!$Y723*Markniveau!$S723/100,"")))</f>
        <v>38.545632040809998</v>
      </c>
      <c r="AK723" s="10">
        <f t="shared" si="119"/>
        <v>506.87506133665147</v>
      </c>
      <c r="AL723" s="10">
        <f t="shared" si="121"/>
        <v>38.160175720401895</v>
      </c>
      <c r="AM723" s="10">
        <f t="shared" si="122"/>
        <v>501.80631072328492</v>
      </c>
    </row>
    <row r="724" spans="1:39" x14ac:dyDescent="0.25">
      <c r="A724" s="15">
        <v>25930827</v>
      </c>
      <c r="B724" s="15">
        <v>44.24</v>
      </c>
      <c r="C724" s="15">
        <v>88562</v>
      </c>
      <c r="D724" s="15">
        <v>101602</v>
      </c>
      <c r="E724" s="15" t="s">
        <v>598</v>
      </c>
      <c r="F724" s="15">
        <v>2011</v>
      </c>
      <c r="G724" s="15">
        <v>20110406</v>
      </c>
      <c r="H724" s="15">
        <v>136409</v>
      </c>
      <c r="I724" s="15">
        <v>13.64</v>
      </c>
      <c r="J724" s="6" t="s">
        <v>133</v>
      </c>
      <c r="K724" s="15">
        <v>1</v>
      </c>
      <c r="L724" s="15" t="s">
        <v>32</v>
      </c>
      <c r="M724" s="15" t="s">
        <v>5</v>
      </c>
      <c r="N724" s="11" t="s">
        <v>1384</v>
      </c>
      <c r="O724" s="11" t="s">
        <v>28</v>
      </c>
      <c r="P724" s="11" t="s">
        <v>29</v>
      </c>
      <c r="Q724" s="15">
        <v>1</v>
      </c>
      <c r="R724" s="11" t="s">
        <v>11</v>
      </c>
      <c r="S724" s="10">
        <v>160.9126408162</v>
      </c>
      <c r="T724" s="15">
        <v>80</v>
      </c>
      <c r="U724" s="15">
        <v>0</v>
      </c>
      <c r="V724" s="15">
        <v>0</v>
      </c>
      <c r="W724" s="15">
        <v>0</v>
      </c>
      <c r="X724" s="15">
        <f>IF(O724='Udvaskning nøgletal'!$D$65,1,IF(O724='Udvaskning nøgletal'!$D$66,2,IF(O724='Udvaskning nøgletal'!$D$67,3,IF(O724='Udvaskning nøgletal'!$D$68,2,""))))</f>
        <v>1</v>
      </c>
      <c r="Y724" s="15">
        <f>LOOKUP(K724,'Udvaskning nøgletal'!$C$12:$C$60,'Udvaskning nøgletal'!$H$12:$H$60)</f>
        <v>5</v>
      </c>
      <c r="Z724" s="10">
        <f>IF(X724=1,LOOKUP(K724,'Udvaskning nøgletal'!$C$12:$C$60,'Udvaskning nøgletal'!$E$12:$E$60)+Markniveau!Y724*Markniveau!S724/100,IF(X724=2,LOOKUP(K724,'Udvaskning nøgletal'!$C$12:$C$60,'Udvaskning nøgletal'!$F$12:$F$60)+Markniveau!Y724*Markniveau!S724/100,IF(X724=3,LOOKUP(K724,'Udvaskning nøgletal'!$C$12:$C$60,'Udvaskning nøgletal'!G734:G782)+Markniveau!Y724*Markniveau!S724/100,"")))</f>
        <v>72.705632040810002</v>
      </c>
      <c r="AA724" s="10">
        <f t="shared" si="116"/>
        <v>991.70482103664847</v>
      </c>
      <c r="AB724" s="10">
        <f t="shared" si="115"/>
        <v>71.978575720401906</v>
      </c>
      <c r="AC724" s="10">
        <f t="shared" si="117"/>
        <v>981.78777282628209</v>
      </c>
      <c r="AD724" s="10">
        <f>IF(AND(Q724&gt;0,Q724&lt;30,K724&lt;8),Markniveau!Z724*'Udvaskning nøgletal'!$I$12/100,IF(AND(Q724&gt;0,Q724&lt;30,K724=216),Markniveau!Z724*'Udvaskning nøgletal'!$I$34/100,Markniveau!Z724))</f>
        <v>36.352816020405001</v>
      </c>
      <c r="AE724" s="10">
        <f t="shared" si="123"/>
        <v>495.85241051832423</v>
      </c>
      <c r="AF724" s="10">
        <f t="shared" si="118"/>
        <v>35.989287860200953</v>
      </c>
      <c r="AG724" s="10">
        <f t="shared" si="124"/>
        <v>490.89388641314105</v>
      </c>
      <c r="AH724" s="10">
        <f>IF(AND(Q724&gt;0,Q724&lt;30,K724=216),'Udvaskning nøgletal'!$C$42,IF(AND(Q724&gt;0,Q724&lt;30,K724&gt;7,K724&lt;17),'Udvaskning nøgletal'!$C$61,IF(AND(Q724&gt;0,Q724&lt;30,K724&lt;7),'Udvaskning nøgletal'!$C$62,"")))</f>
        <v>1002</v>
      </c>
      <c r="AI724" s="10">
        <f t="shared" si="120"/>
        <v>1002</v>
      </c>
      <c r="AJ724" s="10">
        <f>IF($X724=1,LOOKUP(AI724,'Udvaskning nøgletal'!$C$12:$C$62,'Udvaskning nøgletal'!$E$12:$E$62)+Markniveau!$Y724*Markniveau!$S724/100,IF($X724=2,LOOKUP(AI724,'Udvaskning nøgletal'!$C$12:$C$62,'Udvaskning nøgletal'!$F$12:$F$62)+Markniveau!$Y724*Markniveau!$S724/100,IF($X724=3,LOOKUP(AI724,'Udvaskning nøgletal'!$C$12:$C$62,'Udvaskning nøgletal'!Q734:Q784)+Markniveau!$Y724*Markniveau!$S724/100,"")))</f>
        <v>38.545632040809998</v>
      </c>
      <c r="AK724" s="10">
        <f t="shared" si="119"/>
        <v>525.76242103664845</v>
      </c>
      <c r="AL724" s="10">
        <f t="shared" si="121"/>
        <v>38.160175720401895</v>
      </c>
      <c r="AM724" s="10">
        <f t="shared" si="122"/>
        <v>520.5047968262819</v>
      </c>
    </row>
    <row r="725" spans="1:39" x14ac:dyDescent="0.25">
      <c r="A725" s="15">
        <v>25930827</v>
      </c>
      <c r="B725" s="15">
        <v>44.24</v>
      </c>
      <c r="C725" s="15">
        <v>88567</v>
      </c>
      <c r="D725" s="15">
        <v>101602</v>
      </c>
      <c r="E725" s="15" t="s">
        <v>581</v>
      </c>
      <c r="F725" s="15">
        <v>2011</v>
      </c>
      <c r="G725" s="15">
        <v>20110406</v>
      </c>
      <c r="H725" s="15">
        <v>216709</v>
      </c>
      <c r="I725" s="15">
        <v>21.67</v>
      </c>
      <c r="J725" s="6" t="s">
        <v>599</v>
      </c>
      <c r="K725" s="15">
        <v>1</v>
      </c>
      <c r="L725" s="15" t="s">
        <v>32</v>
      </c>
      <c r="M725" s="15" t="s">
        <v>5</v>
      </c>
      <c r="N725" s="11" t="s">
        <v>1384</v>
      </c>
      <c r="O725" s="11" t="s">
        <v>28</v>
      </c>
      <c r="P725" s="11" t="s">
        <v>33</v>
      </c>
      <c r="Q725" s="15">
        <v>0</v>
      </c>
      <c r="R725" s="11" t="s">
        <v>1386</v>
      </c>
      <c r="S725" s="10">
        <v>160.9126408162</v>
      </c>
      <c r="T725" s="15">
        <v>80</v>
      </c>
      <c r="U725" s="15">
        <v>0</v>
      </c>
      <c r="V725" s="15">
        <v>0</v>
      </c>
      <c r="W725" s="15">
        <v>0</v>
      </c>
      <c r="X725" s="15">
        <f>IF(O725='Udvaskning nøgletal'!$D$65,1,IF(O725='Udvaskning nøgletal'!$D$66,2,IF(O725='Udvaskning nøgletal'!$D$67,3,IF(O725='Udvaskning nøgletal'!$D$68,2,""))))</f>
        <v>1</v>
      </c>
      <c r="Y725" s="15">
        <f>LOOKUP(K725,'Udvaskning nøgletal'!$C$12:$C$60,'Udvaskning nøgletal'!$H$12:$H$60)</f>
        <v>5</v>
      </c>
      <c r="Z725" s="10">
        <f>IF(X725=1,LOOKUP(K725,'Udvaskning nøgletal'!$C$12:$C$60,'Udvaskning nøgletal'!$E$12:$E$60)+Markniveau!Y725*Markniveau!S725/100,IF(X725=2,LOOKUP(K725,'Udvaskning nøgletal'!$C$12:$C$60,'Udvaskning nøgletal'!$F$12:$F$60)+Markniveau!Y725*Markniveau!S725/100,IF(X725=3,LOOKUP(K725,'Udvaskning nøgletal'!$C$12:$C$60,'Udvaskning nøgletal'!G735:G783)+Markniveau!Y725*Markniveau!S725/100,"")))</f>
        <v>72.705632040810002</v>
      </c>
      <c r="AA725" s="10">
        <f t="shared" si="116"/>
        <v>1575.5310463243529</v>
      </c>
      <c r="AB725" s="10" t="str">
        <f t="shared" si="115"/>
        <v/>
      </c>
      <c r="AC725" s="10" t="str">
        <f t="shared" si="117"/>
        <v/>
      </c>
      <c r="AD725" s="10">
        <f>IF(AND(Q725&gt;0,Q725&lt;30,K725&lt;8),Markniveau!Z725*'Udvaskning nøgletal'!$I$12/100,IF(AND(Q725&gt;0,Q725&lt;30,K725=216),Markniveau!Z725*'Udvaskning nøgletal'!$I$34/100,Markniveau!Z725))</f>
        <v>72.705632040810002</v>
      </c>
      <c r="AE725" s="10">
        <f t="shared" si="123"/>
        <v>1575.5310463243529</v>
      </c>
      <c r="AF725" s="10" t="str">
        <f t="shared" si="118"/>
        <v/>
      </c>
      <c r="AG725" s="10" t="str">
        <f t="shared" si="124"/>
        <v/>
      </c>
      <c r="AH725" s="10" t="str">
        <f>IF(AND(Q725&gt;0,Q725&lt;30,K725=216),'Udvaskning nøgletal'!$C$42,IF(AND(Q725&gt;0,Q725&lt;30,K725&gt;7,K725&lt;17),'Udvaskning nøgletal'!$C$61,IF(AND(Q725&gt;0,Q725&lt;30,K725&lt;7),'Udvaskning nøgletal'!$C$62,"")))</f>
        <v/>
      </c>
      <c r="AI725" s="10">
        <f t="shared" si="120"/>
        <v>1</v>
      </c>
      <c r="AJ725" s="10">
        <f>IF($X725=1,LOOKUP(AI725,'Udvaskning nøgletal'!$C$12:$C$62,'Udvaskning nøgletal'!$E$12:$E$62)+Markniveau!$Y725*Markniveau!$S725/100,IF($X725=2,LOOKUP(AI725,'Udvaskning nøgletal'!$C$12:$C$62,'Udvaskning nøgletal'!$F$12:$F$62)+Markniveau!$Y725*Markniveau!$S725/100,IF($X725=3,LOOKUP(AI725,'Udvaskning nøgletal'!$C$12:$C$62,'Udvaskning nøgletal'!Q735:Q785)+Markniveau!$Y725*Markniveau!$S725/100,"")))</f>
        <v>72.705632040810002</v>
      </c>
      <c r="AK725" s="10">
        <f t="shared" si="119"/>
        <v>1575.5310463243529</v>
      </c>
      <c r="AL725" s="10" t="str">
        <f t="shared" si="121"/>
        <v/>
      </c>
      <c r="AM725" s="10" t="str">
        <f t="shared" si="122"/>
        <v/>
      </c>
    </row>
    <row r="726" spans="1:39" x14ac:dyDescent="0.25">
      <c r="A726" s="15">
        <v>25930827</v>
      </c>
      <c r="B726" s="15">
        <v>44.24</v>
      </c>
      <c r="C726" s="15">
        <v>89041</v>
      </c>
      <c r="D726" s="15">
        <v>101602</v>
      </c>
      <c r="E726" s="15" t="s">
        <v>600</v>
      </c>
      <c r="F726" s="15">
        <v>2011</v>
      </c>
      <c r="G726" s="15">
        <v>20110406</v>
      </c>
      <c r="H726" s="15">
        <v>150683</v>
      </c>
      <c r="I726" s="15">
        <v>15.07</v>
      </c>
      <c r="J726" s="6" t="s">
        <v>134</v>
      </c>
      <c r="K726" s="15">
        <v>1</v>
      </c>
      <c r="L726" s="15" t="s">
        <v>32</v>
      </c>
      <c r="M726" s="15" t="s">
        <v>5</v>
      </c>
      <c r="N726" s="11" t="s">
        <v>1384</v>
      </c>
      <c r="O726" s="11" t="s">
        <v>28</v>
      </c>
      <c r="P726" s="11" t="s">
        <v>29</v>
      </c>
      <c r="Q726" s="15">
        <v>25</v>
      </c>
      <c r="R726" s="11" t="s">
        <v>7</v>
      </c>
      <c r="S726" s="10">
        <v>160.9126408162</v>
      </c>
      <c r="T726" s="15">
        <v>80</v>
      </c>
      <c r="U726" s="15">
        <v>0</v>
      </c>
      <c r="V726" s="15">
        <v>0</v>
      </c>
      <c r="W726" s="15">
        <v>0</v>
      </c>
      <c r="X726" s="15">
        <f>IF(O726='Udvaskning nøgletal'!$D$65,1,IF(O726='Udvaskning nøgletal'!$D$66,2,IF(O726='Udvaskning nøgletal'!$D$67,3,IF(O726='Udvaskning nøgletal'!$D$68,2,""))))</f>
        <v>1</v>
      </c>
      <c r="Y726" s="15">
        <f>LOOKUP(K726,'Udvaskning nøgletal'!$C$12:$C$60,'Udvaskning nøgletal'!$H$12:$H$60)</f>
        <v>5</v>
      </c>
      <c r="Z726" s="10">
        <f>IF(X726=1,LOOKUP(K726,'Udvaskning nøgletal'!$C$12:$C$60,'Udvaskning nøgletal'!$E$12:$E$60)+Markniveau!Y726*Markniveau!S726/100,IF(X726=2,LOOKUP(K726,'Udvaskning nøgletal'!$C$12:$C$60,'Udvaskning nøgletal'!$F$12:$F$60)+Markniveau!Y726*Markniveau!S726/100,IF(X726=3,LOOKUP(K726,'Udvaskning nøgletal'!$C$12:$C$60,'Udvaskning nøgletal'!G736:G784)+Markniveau!Y726*Markniveau!S726/100,"")))</f>
        <v>72.705632040810002</v>
      </c>
      <c r="AA726" s="10">
        <f t="shared" si="116"/>
        <v>1095.6738748550067</v>
      </c>
      <c r="AB726" s="10">
        <f t="shared" si="115"/>
        <v>54.529224030607502</v>
      </c>
      <c r="AC726" s="10">
        <f t="shared" si="117"/>
        <v>821.75540614125509</v>
      </c>
      <c r="AD726" s="10">
        <f>IF(AND(Q726&gt;0,Q726&lt;30,K726&lt;8),Markniveau!Z726*'Udvaskning nøgletal'!$I$12/100,IF(AND(Q726&gt;0,Q726&lt;30,K726=216),Markniveau!Z726*'Udvaskning nøgletal'!$I$34/100,Markniveau!Z726))</f>
        <v>36.352816020405001</v>
      </c>
      <c r="AE726" s="10">
        <f t="shared" si="123"/>
        <v>547.83693742750336</v>
      </c>
      <c r="AF726" s="10">
        <f t="shared" si="118"/>
        <v>27.264612015303751</v>
      </c>
      <c r="AG726" s="10">
        <f t="shared" si="124"/>
        <v>410.87770307062755</v>
      </c>
      <c r="AH726" s="10">
        <f>IF(AND(Q726&gt;0,Q726&lt;30,K726=216),'Udvaskning nøgletal'!$C$42,IF(AND(Q726&gt;0,Q726&lt;30,K726&gt;7,K726&lt;17),'Udvaskning nøgletal'!$C$61,IF(AND(Q726&gt;0,Q726&lt;30,K726&lt;7),'Udvaskning nøgletal'!$C$62,"")))</f>
        <v>1002</v>
      </c>
      <c r="AI726" s="10">
        <f t="shared" si="120"/>
        <v>1002</v>
      </c>
      <c r="AJ726" s="10">
        <f>IF($X726=1,LOOKUP(AI726,'Udvaskning nøgletal'!$C$12:$C$62,'Udvaskning nøgletal'!$E$12:$E$62)+Markniveau!$Y726*Markniveau!$S726/100,IF($X726=2,LOOKUP(AI726,'Udvaskning nøgletal'!$C$12:$C$62,'Udvaskning nøgletal'!$F$12:$F$62)+Markniveau!$Y726*Markniveau!$S726/100,IF($X726=3,LOOKUP(AI726,'Udvaskning nøgletal'!$C$12:$C$62,'Udvaskning nøgletal'!Q736:Q786)+Markniveau!$Y726*Markniveau!$S726/100,"")))</f>
        <v>38.545632040809998</v>
      </c>
      <c r="AK726" s="10">
        <f t="shared" si="119"/>
        <v>580.88267485500671</v>
      </c>
      <c r="AL726" s="10">
        <f t="shared" si="121"/>
        <v>28.909224030607497</v>
      </c>
      <c r="AM726" s="10">
        <f t="shared" si="122"/>
        <v>435.66200614125501</v>
      </c>
    </row>
    <row r="727" spans="1:39" x14ac:dyDescent="0.25">
      <c r="A727" s="15">
        <v>25930827</v>
      </c>
      <c r="B727" s="15">
        <v>44.24</v>
      </c>
      <c r="C727" s="15">
        <v>89043</v>
      </c>
      <c r="D727" s="15">
        <v>101602</v>
      </c>
      <c r="E727" s="15" t="s">
        <v>562</v>
      </c>
      <c r="F727" s="15">
        <v>2011</v>
      </c>
      <c r="G727" s="15">
        <v>20110406</v>
      </c>
      <c r="H727" s="15">
        <v>245954</v>
      </c>
      <c r="I727" s="15">
        <v>24.6</v>
      </c>
      <c r="J727" s="6" t="s">
        <v>601</v>
      </c>
      <c r="K727" s="15">
        <v>1</v>
      </c>
      <c r="L727" s="15" t="s">
        <v>32</v>
      </c>
      <c r="M727" s="15" t="s">
        <v>5</v>
      </c>
      <c r="N727" s="11" t="s">
        <v>1384</v>
      </c>
      <c r="O727" s="11" t="s">
        <v>28</v>
      </c>
      <c r="P727" s="11" t="s">
        <v>33</v>
      </c>
      <c r="Q727" s="15">
        <v>0</v>
      </c>
      <c r="R727" s="11" t="s">
        <v>1386</v>
      </c>
      <c r="S727" s="10">
        <v>160.9126408162</v>
      </c>
      <c r="T727" s="15">
        <v>80</v>
      </c>
      <c r="U727" s="15">
        <v>0</v>
      </c>
      <c r="V727" s="15">
        <v>0</v>
      </c>
      <c r="W727" s="15">
        <v>0</v>
      </c>
      <c r="X727" s="15">
        <f>IF(O727='Udvaskning nøgletal'!$D$65,1,IF(O727='Udvaskning nøgletal'!$D$66,2,IF(O727='Udvaskning nøgletal'!$D$67,3,IF(O727='Udvaskning nøgletal'!$D$68,2,""))))</f>
        <v>1</v>
      </c>
      <c r="Y727" s="15">
        <f>LOOKUP(K727,'Udvaskning nøgletal'!$C$12:$C$60,'Udvaskning nøgletal'!$H$12:$H$60)</f>
        <v>5</v>
      </c>
      <c r="Z727" s="10">
        <f>IF(X727=1,LOOKUP(K727,'Udvaskning nøgletal'!$C$12:$C$60,'Udvaskning nøgletal'!$E$12:$E$60)+Markniveau!Y727*Markniveau!S727/100,IF(X727=2,LOOKUP(K727,'Udvaskning nøgletal'!$C$12:$C$60,'Udvaskning nøgletal'!$F$12:$F$60)+Markniveau!Y727*Markniveau!S727/100,IF(X727=3,LOOKUP(K727,'Udvaskning nøgletal'!$C$12:$C$60,'Udvaskning nøgletal'!G737:G785)+Markniveau!Y727*Markniveau!S727/100,"")))</f>
        <v>72.705632040810002</v>
      </c>
      <c r="AA727" s="10">
        <f t="shared" si="116"/>
        <v>1788.5585482039262</v>
      </c>
      <c r="AB727" s="10" t="str">
        <f t="shared" si="115"/>
        <v/>
      </c>
      <c r="AC727" s="10" t="str">
        <f t="shared" si="117"/>
        <v/>
      </c>
      <c r="AD727" s="10">
        <f>IF(AND(Q727&gt;0,Q727&lt;30,K727&lt;8),Markniveau!Z727*'Udvaskning nøgletal'!$I$12/100,IF(AND(Q727&gt;0,Q727&lt;30,K727=216),Markniveau!Z727*'Udvaskning nøgletal'!$I$34/100,Markniveau!Z727))</f>
        <v>72.705632040810002</v>
      </c>
      <c r="AE727" s="10">
        <f t="shared" si="123"/>
        <v>1788.5585482039262</v>
      </c>
      <c r="AF727" s="10" t="str">
        <f t="shared" si="118"/>
        <v/>
      </c>
      <c r="AG727" s="10" t="str">
        <f t="shared" si="124"/>
        <v/>
      </c>
      <c r="AH727" s="10" t="str">
        <f>IF(AND(Q727&gt;0,Q727&lt;30,K727=216),'Udvaskning nøgletal'!$C$42,IF(AND(Q727&gt;0,Q727&lt;30,K727&gt;7,K727&lt;17),'Udvaskning nøgletal'!$C$61,IF(AND(Q727&gt;0,Q727&lt;30,K727&lt;7),'Udvaskning nøgletal'!$C$62,"")))</f>
        <v/>
      </c>
      <c r="AI727" s="10">
        <f t="shared" si="120"/>
        <v>1</v>
      </c>
      <c r="AJ727" s="10">
        <f>IF($X727=1,LOOKUP(AI727,'Udvaskning nøgletal'!$C$12:$C$62,'Udvaskning nøgletal'!$E$12:$E$62)+Markniveau!$Y727*Markniveau!$S727/100,IF($X727=2,LOOKUP(AI727,'Udvaskning nøgletal'!$C$12:$C$62,'Udvaskning nøgletal'!$F$12:$F$62)+Markniveau!$Y727*Markniveau!$S727/100,IF($X727=3,LOOKUP(AI727,'Udvaskning nøgletal'!$C$12:$C$62,'Udvaskning nøgletal'!Q737:Q787)+Markniveau!$Y727*Markniveau!$S727/100,"")))</f>
        <v>72.705632040810002</v>
      </c>
      <c r="AK727" s="10">
        <f t="shared" si="119"/>
        <v>1788.5585482039262</v>
      </c>
      <c r="AL727" s="10" t="str">
        <f t="shared" si="121"/>
        <v/>
      </c>
      <c r="AM727" s="10" t="str">
        <f t="shared" si="122"/>
        <v/>
      </c>
    </row>
    <row r="728" spans="1:39" x14ac:dyDescent="0.25">
      <c r="A728" s="15">
        <v>25930827</v>
      </c>
      <c r="B728" s="15">
        <v>44.24</v>
      </c>
      <c r="C728" s="15">
        <v>89294</v>
      </c>
      <c r="D728" s="15">
        <v>101602</v>
      </c>
      <c r="E728" s="15" t="s">
        <v>593</v>
      </c>
      <c r="F728" s="15">
        <v>2011</v>
      </c>
      <c r="G728" s="15">
        <v>20110406</v>
      </c>
      <c r="H728" s="15">
        <v>19728</v>
      </c>
      <c r="I728" s="15">
        <v>1.97</v>
      </c>
      <c r="J728" s="6" t="s">
        <v>36</v>
      </c>
      <c r="K728" s="15">
        <v>254</v>
      </c>
      <c r="L728" s="15" t="s">
        <v>27</v>
      </c>
      <c r="M728" s="15" t="s">
        <v>4</v>
      </c>
      <c r="N728" s="11" t="s">
        <v>1406</v>
      </c>
      <c r="O728" s="11" t="s">
        <v>46</v>
      </c>
      <c r="P728" s="11" t="s">
        <v>33</v>
      </c>
      <c r="Q728" s="15">
        <v>0</v>
      </c>
      <c r="R728" s="11" t="s">
        <v>1386</v>
      </c>
      <c r="S728" s="10">
        <v>160.9126408162</v>
      </c>
      <c r="T728" s="15">
        <v>80</v>
      </c>
      <c r="U728" s="15">
        <v>0</v>
      </c>
      <c r="V728" s="15">
        <v>0</v>
      </c>
      <c r="W728" s="15">
        <v>0</v>
      </c>
      <c r="X728" s="15">
        <f>IF(O728='Udvaskning nøgletal'!$D$65,1,IF(O728='Udvaskning nøgletal'!$D$66,2,IF(O728='Udvaskning nøgletal'!$D$67,3,IF(O728='Udvaskning nøgletal'!$D$68,2,""))))</f>
        <v>2</v>
      </c>
      <c r="Y728" s="15">
        <f>LOOKUP(K728,'Udvaskning nøgletal'!$C$12:$C$60,'Udvaskning nøgletal'!$H$12:$H$60)</f>
        <v>0</v>
      </c>
      <c r="Z728" s="10">
        <f>IF(X728=1,LOOKUP(K728,'Udvaskning nøgletal'!$C$12:$C$60,'Udvaskning nøgletal'!$E$12:$E$60)+Markniveau!Y728*Markniveau!S728/100,IF(X728=2,LOOKUP(K728,'Udvaskning nøgletal'!$C$12:$C$60,'Udvaskning nøgletal'!$F$12:$F$60)+Markniveau!Y728*Markniveau!S728/100,IF(X728=3,LOOKUP(K728,'Udvaskning nøgletal'!$C$12:$C$60,'Udvaskning nøgletal'!G738:G786)+Markniveau!Y728*Markniveau!S728/100,"")))</f>
        <v>21.2</v>
      </c>
      <c r="AA728" s="10">
        <f t="shared" si="116"/>
        <v>41.763999999999996</v>
      </c>
      <c r="AB728" s="10" t="str">
        <f t="shared" si="115"/>
        <v/>
      </c>
      <c r="AC728" s="10" t="str">
        <f t="shared" si="117"/>
        <v/>
      </c>
      <c r="AD728" s="10">
        <f>IF(AND(Q728&gt;0,Q728&lt;30,K728&lt;8),Markniveau!Z728*'Udvaskning nøgletal'!$I$12/100,IF(AND(Q728&gt;0,Q728&lt;30,K728=216),Markniveau!Z728*'Udvaskning nøgletal'!$I$34/100,Markniveau!Z728))</f>
        <v>21.2</v>
      </c>
      <c r="AE728" s="10">
        <f t="shared" si="123"/>
        <v>41.763999999999996</v>
      </c>
      <c r="AF728" s="10" t="str">
        <f t="shared" si="118"/>
        <v/>
      </c>
      <c r="AG728" s="10" t="str">
        <f t="shared" si="124"/>
        <v/>
      </c>
      <c r="AH728" s="10" t="str">
        <f>IF(AND(Q728&gt;0,Q728&lt;30,K728=216),'Udvaskning nøgletal'!$C$42,IF(AND(Q728&gt;0,Q728&lt;30,K728&gt;7,K728&lt;17),'Udvaskning nøgletal'!$C$61,IF(AND(Q728&gt;0,Q728&lt;30,K728&lt;7),'Udvaskning nøgletal'!$C$62,"")))</f>
        <v/>
      </c>
      <c r="AI728" s="10">
        <f t="shared" si="120"/>
        <v>254</v>
      </c>
      <c r="AJ728" s="10">
        <f>IF($X728=1,LOOKUP(AI728,'Udvaskning nøgletal'!$C$12:$C$62,'Udvaskning nøgletal'!$E$12:$E$62)+Markniveau!$Y728*Markniveau!$S728/100,IF($X728=2,LOOKUP(AI728,'Udvaskning nøgletal'!$C$12:$C$62,'Udvaskning nøgletal'!$F$12:$F$62)+Markniveau!$Y728*Markniveau!$S728/100,IF($X728=3,LOOKUP(AI728,'Udvaskning nøgletal'!$C$12:$C$62,'Udvaskning nøgletal'!Q738:Q788)+Markniveau!$Y728*Markniveau!$S728/100,"")))</f>
        <v>21.2</v>
      </c>
      <c r="AK728" s="10">
        <f t="shared" si="119"/>
        <v>41.763999999999996</v>
      </c>
      <c r="AL728" s="10" t="str">
        <f t="shared" si="121"/>
        <v/>
      </c>
      <c r="AM728" s="10" t="str">
        <f t="shared" si="122"/>
        <v/>
      </c>
    </row>
    <row r="729" spans="1:39" x14ac:dyDescent="0.25">
      <c r="A729" s="15">
        <v>25930827</v>
      </c>
      <c r="B729" s="15">
        <v>44.24</v>
      </c>
      <c r="C729" s="15">
        <v>89560</v>
      </c>
      <c r="D729" s="15">
        <v>101602</v>
      </c>
      <c r="E729" s="15" t="s">
        <v>602</v>
      </c>
      <c r="F729" s="15">
        <v>2011</v>
      </c>
      <c r="G729" s="15">
        <v>20110406</v>
      </c>
      <c r="H729" s="15">
        <v>24880</v>
      </c>
      <c r="I729" s="15">
        <v>2.4900000000000002</v>
      </c>
      <c r="J729" s="6" t="s">
        <v>34</v>
      </c>
      <c r="K729" s="15">
        <v>230</v>
      </c>
      <c r="L729" s="15" t="s">
        <v>120</v>
      </c>
      <c r="M729" s="15" t="s">
        <v>5</v>
      </c>
      <c r="N729" s="11" t="s">
        <v>1384</v>
      </c>
      <c r="O729" s="11" t="s">
        <v>28</v>
      </c>
      <c r="P729" s="11" t="s">
        <v>33</v>
      </c>
      <c r="Q729" s="15">
        <v>1</v>
      </c>
      <c r="R729" s="11" t="s">
        <v>11</v>
      </c>
      <c r="S729" s="10">
        <v>160.9126408162</v>
      </c>
      <c r="T729" s="15">
        <v>80</v>
      </c>
      <c r="U729" s="15">
        <v>0</v>
      </c>
      <c r="V729" s="15">
        <v>0</v>
      </c>
      <c r="W729" s="15">
        <v>0</v>
      </c>
      <c r="X729" s="15">
        <f>IF(O729='Udvaskning nøgletal'!$D$65,1,IF(O729='Udvaskning nøgletal'!$D$66,2,IF(O729='Udvaskning nøgletal'!$D$67,3,IF(O729='Udvaskning nøgletal'!$D$68,2,""))))</f>
        <v>1</v>
      </c>
      <c r="Y729" s="15">
        <f>LOOKUP(K729,'Udvaskning nøgletal'!$C$12:$C$60,'Udvaskning nøgletal'!$H$12:$H$60)</f>
        <v>0</v>
      </c>
      <c r="Z729" s="10">
        <f>IF(X729=1,LOOKUP(K729,'Udvaskning nøgletal'!$C$12:$C$60,'Udvaskning nøgletal'!$E$12:$E$60)+Markniveau!Y729*Markniveau!S729/100,IF(X729=2,LOOKUP(K729,'Udvaskning nøgletal'!$C$12:$C$60,'Udvaskning nøgletal'!$F$12:$F$60)+Markniveau!Y729*Markniveau!S729/100,IF(X729=3,LOOKUP(K729,'Udvaskning nøgletal'!$C$12:$C$60,'Udvaskning nøgletal'!G739:G787)+Markniveau!Y729*Markniveau!S729/100,"")))</f>
        <v>38.620385460262987</v>
      </c>
      <c r="AA729" s="10">
        <f t="shared" si="116"/>
        <v>96.164759796054852</v>
      </c>
      <c r="AB729" s="10">
        <f t="shared" si="115"/>
        <v>38.234181605660353</v>
      </c>
      <c r="AC729" s="10">
        <f t="shared" si="117"/>
        <v>95.203112198094288</v>
      </c>
      <c r="AD729" s="10">
        <f>IF(AND(Q729&gt;0,Q729&lt;30,K729&lt;8),Markniveau!Z729*'Udvaskning nøgletal'!$I$12/100,IF(AND(Q729&gt;0,Q729&lt;30,K729=216),Markniveau!Z729*'Udvaskning nøgletal'!$I$34/100,Markniveau!Z729))</f>
        <v>38.620385460262987</v>
      </c>
      <c r="AE729" s="10">
        <f t="shared" si="123"/>
        <v>96.164759796054852</v>
      </c>
      <c r="AF729" s="10">
        <f t="shared" si="118"/>
        <v>38.234181605660353</v>
      </c>
      <c r="AG729" s="10">
        <f t="shared" si="124"/>
        <v>95.203112198094288</v>
      </c>
      <c r="AH729" s="10" t="str">
        <f>IF(AND(Q729&gt;0,Q729&lt;30,K729=216),'Udvaskning nøgletal'!$C$42,IF(AND(Q729&gt;0,Q729&lt;30,K729&gt;7,K729&lt;17),'Udvaskning nøgletal'!$C$61,IF(AND(Q729&gt;0,Q729&lt;30,K729&lt;7),'Udvaskning nøgletal'!$C$62,"")))</f>
        <v/>
      </c>
      <c r="AI729" s="10">
        <f t="shared" si="120"/>
        <v>230</v>
      </c>
      <c r="AJ729" s="10">
        <f>IF($X729=1,LOOKUP(AI729,'Udvaskning nøgletal'!$C$12:$C$62,'Udvaskning nøgletal'!$E$12:$E$62)+Markniveau!$Y729*Markniveau!$S729/100,IF($X729=2,LOOKUP(AI729,'Udvaskning nøgletal'!$C$12:$C$62,'Udvaskning nøgletal'!$F$12:$F$62)+Markniveau!$Y729*Markniveau!$S729/100,IF($X729=3,LOOKUP(AI729,'Udvaskning nøgletal'!$C$12:$C$62,'Udvaskning nøgletal'!Q739:Q789)+Markniveau!$Y729*Markniveau!$S729/100,"")))</f>
        <v>38.620385460262987</v>
      </c>
      <c r="AK729" s="10">
        <f t="shared" si="119"/>
        <v>96.164759796054852</v>
      </c>
      <c r="AL729" s="10">
        <f t="shared" si="121"/>
        <v>38.234181605660353</v>
      </c>
      <c r="AM729" s="10">
        <f t="shared" si="122"/>
        <v>95.203112198094288</v>
      </c>
    </row>
    <row r="730" spans="1:39" x14ac:dyDescent="0.25">
      <c r="A730" s="15">
        <v>25930827</v>
      </c>
      <c r="B730" s="15">
        <v>44.24</v>
      </c>
      <c r="C730" s="15">
        <v>89562</v>
      </c>
      <c r="D730" s="15">
        <v>101602</v>
      </c>
      <c r="E730" s="15" t="s">
        <v>603</v>
      </c>
      <c r="F730" s="15">
        <v>2011</v>
      </c>
      <c r="G730" s="15">
        <v>20110406</v>
      </c>
      <c r="H730" s="15">
        <v>25132</v>
      </c>
      <c r="I730" s="15">
        <v>2.5099999999999998</v>
      </c>
      <c r="J730" s="6" t="s">
        <v>35</v>
      </c>
      <c r="K730" s="15">
        <v>263</v>
      </c>
      <c r="L730" s="15" t="s">
        <v>39</v>
      </c>
      <c r="M730" s="15" t="s">
        <v>5</v>
      </c>
      <c r="N730" s="11" t="s">
        <v>1384</v>
      </c>
      <c r="O730" s="11" t="s">
        <v>28</v>
      </c>
      <c r="P730" s="11" t="s">
        <v>33</v>
      </c>
      <c r="Q730" s="15">
        <v>1</v>
      </c>
      <c r="R730" s="11" t="s">
        <v>11</v>
      </c>
      <c r="S730" s="10">
        <v>160.9126408162</v>
      </c>
      <c r="T730" s="15">
        <v>80</v>
      </c>
      <c r="U730" s="15">
        <v>0</v>
      </c>
      <c r="V730" s="15">
        <v>0</v>
      </c>
      <c r="W730" s="15">
        <v>0</v>
      </c>
      <c r="X730" s="15">
        <f>IF(O730='Udvaskning nøgletal'!$D$65,1,IF(O730='Udvaskning nøgletal'!$D$66,2,IF(O730='Udvaskning nøgletal'!$D$67,3,IF(O730='Udvaskning nøgletal'!$D$68,2,""))))</f>
        <v>1</v>
      </c>
      <c r="Y730" s="15">
        <f>LOOKUP(K730,'Udvaskning nøgletal'!$C$12:$C$60,'Udvaskning nøgletal'!$H$12:$H$60)</f>
        <v>0</v>
      </c>
      <c r="Z730" s="10">
        <f>IF(X730=1,LOOKUP(K730,'Udvaskning nøgletal'!$C$12:$C$60,'Udvaskning nøgletal'!$E$12:$E$60)+Markniveau!Y730*Markniveau!S730/100,IF(X730=2,LOOKUP(K730,'Udvaskning nøgletal'!$C$12:$C$60,'Udvaskning nøgletal'!$F$12:$F$60)+Markniveau!Y730*Markniveau!S730/100,IF(X730=3,LOOKUP(K730,'Udvaskning nøgletal'!$C$12:$C$60,'Udvaskning nøgletal'!G740:G788)+Markniveau!Y730*Markniveau!S730/100,"")))</f>
        <v>33.723295792149436</v>
      </c>
      <c r="AA730" s="10">
        <f t="shared" si="116"/>
        <v>84.645472438295073</v>
      </c>
      <c r="AB730" s="10">
        <f t="shared" si="115"/>
        <v>33.386062834227943</v>
      </c>
      <c r="AC730" s="10">
        <f t="shared" si="117"/>
        <v>83.799017713912136</v>
      </c>
      <c r="AD730" s="10">
        <f>IF(AND(Q730&gt;0,Q730&lt;30,K730&lt;8),Markniveau!Z730*'Udvaskning nøgletal'!$I$12/100,IF(AND(Q730&gt;0,Q730&lt;30,K730=216),Markniveau!Z730*'Udvaskning nøgletal'!$I$34/100,Markniveau!Z730))</f>
        <v>33.723295792149436</v>
      </c>
      <c r="AE730" s="10">
        <f t="shared" si="123"/>
        <v>84.645472438295073</v>
      </c>
      <c r="AF730" s="10">
        <f t="shared" si="118"/>
        <v>33.386062834227943</v>
      </c>
      <c r="AG730" s="10">
        <f t="shared" si="124"/>
        <v>83.799017713912136</v>
      </c>
      <c r="AH730" s="10" t="str">
        <f>IF(AND(Q730&gt;0,Q730&lt;30,K730=216),'Udvaskning nøgletal'!$C$42,IF(AND(Q730&gt;0,Q730&lt;30,K730&gt;7,K730&lt;17),'Udvaskning nøgletal'!$C$61,IF(AND(Q730&gt;0,Q730&lt;30,K730&lt;7),'Udvaskning nøgletal'!$C$62,"")))</f>
        <v/>
      </c>
      <c r="AI730" s="10">
        <f t="shared" si="120"/>
        <v>263</v>
      </c>
      <c r="AJ730" s="10">
        <f>IF($X730=1,LOOKUP(AI730,'Udvaskning nøgletal'!$C$12:$C$62,'Udvaskning nøgletal'!$E$12:$E$62)+Markniveau!$Y730*Markniveau!$S730/100,IF($X730=2,LOOKUP(AI730,'Udvaskning nøgletal'!$C$12:$C$62,'Udvaskning nøgletal'!$F$12:$F$62)+Markniveau!$Y730*Markniveau!$S730/100,IF($X730=3,LOOKUP(AI730,'Udvaskning nøgletal'!$C$12:$C$62,'Udvaskning nøgletal'!Q740:Q790)+Markniveau!$Y730*Markniveau!$S730/100,"")))</f>
        <v>33.723295792149436</v>
      </c>
      <c r="AK730" s="10">
        <f t="shared" si="119"/>
        <v>84.645472438295073</v>
      </c>
      <c r="AL730" s="10">
        <f t="shared" si="121"/>
        <v>33.386062834227943</v>
      </c>
      <c r="AM730" s="10">
        <f t="shared" si="122"/>
        <v>83.799017713912136</v>
      </c>
    </row>
    <row r="731" spans="1:39" x14ac:dyDescent="0.25">
      <c r="A731" s="15">
        <v>25930827</v>
      </c>
      <c r="B731" s="15">
        <v>44.24</v>
      </c>
      <c r="C731" s="15">
        <v>89564</v>
      </c>
      <c r="D731" s="15">
        <v>101602</v>
      </c>
      <c r="E731" s="15" t="s">
        <v>604</v>
      </c>
      <c r="F731" s="15">
        <v>2011</v>
      </c>
      <c r="G731" s="15">
        <v>20110406</v>
      </c>
      <c r="H731" s="15">
        <v>100349</v>
      </c>
      <c r="I731" s="15">
        <v>10.029999999999999</v>
      </c>
      <c r="J731" s="6" t="s">
        <v>605</v>
      </c>
      <c r="K731" s="15">
        <v>216</v>
      </c>
      <c r="L731" s="15" t="s">
        <v>116</v>
      </c>
      <c r="M731" s="15" t="s">
        <v>5</v>
      </c>
      <c r="N731" s="11" t="s">
        <v>1391</v>
      </c>
      <c r="O731" s="11" t="s">
        <v>46</v>
      </c>
      <c r="P731" s="11" t="s">
        <v>33</v>
      </c>
      <c r="Q731" s="15">
        <v>0</v>
      </c>
      <c r="R731" s="11" t="s">
        <v>1386</v>
      </c>
      <c r="S731" s="10">
        <v>160.9126408162</v>
      </c>
      <c r="T731" s="15">
        <v>80</v>
      </c>
      <c r="U731" s="15">
        <v>0</v>
      </c>
      <c r="V731" s="15">
        <v>0</v>
      </c>
      <c r="W731" s="15">
        <v>0</v>
      </c>
      <c r="X731" s="15">
        <f>IF(O731='Udvaskning nøgletal'!$D$65,1,IF(O731='Udvaskning nøgletal'!$D$66,2,IF(O731='Udvaskning nøgletal'!$D$67,3,IF(O731='Udvaskning nøgletal'!$D$68,2,""))))</f>
        <v>2</v>
      </c>
      <c r="Y731" s="15">
        <f>LOOKUP(K731,'Udvaskning nøgletal'!$C$12:$C$60,'Udvaskning nøgletal'!$H$12:$H$60)</f>
        <v>0</v>
      </c>
      <c r="Z731" s="10">
        <f>IF(X731=1,LOOKUP(K731,'Udvaskning nøgletal'!$C$12:$C$60,'Udvaskning nøgletal'!$E$12:$E$60)+Markniveau!Y731*Markniveau!S731/100,IF(X731=2,LOOKUP(K731,'Udvaskning nøgletal'!$C$12:$C$60,'Udvaskning nøgletal'!$F$12:$F$60)+Markniveau!Y731*Markniveau!S731/100,IF(X731=3,LOOKUP(K731,'Udvaskning nøgletal'!$C$12:$C$60,'Udvaskning nøgletal'!G741:G789)+Markniveau!Y731*Markniveau!S731/100,"")))</f>
        <v>101.66744640811392</v>
      </c>
      <c r="AA731" s="10">
        <f t="shared" si="116"/>
        <v>1019.7244874733825</v>
      </c>
      <c r="AB731" s="10" t="str">
        <f t="shared" si="115"/>
        <v/>
      </c>
      <c r="AC731" s="10" t="str">
        <f t="shared" si="117"/>
        <v/>
      </c>
      <c r="AD731" s="10">
        <f>IF(AND(Q731&gt;0,Q731&lt;30,K731&lt;8),Markniveau!Z731*'Udvaskning nøgletal'!$I$12/100,IF(AND(Q731&gt;0,Q731&lt;30,K731=216),Markniveau!Z731*'Udvaskning nøgletal'!$I$34/100,Markniveau!Z731))</f>
        <v>101.66744640811392</v>
      </c>
      <c r="AE731" s="10">
        <f t="shared" si="123"/>
        <v>1019.7244874733825</v>
      </c>
      <c r="AF731" s="10" t="str">
        <f t="shared" si="118"/>
        <v/>
      </c>
      <c r="AG731" s="10" t="str">
        <f t="shared" si="124"/>
        <v/>
      </c>
      <c r="AH731" s="10" t="str">
        <f>IF(AND(Q731&gt;0,Q731&lt;30,K731=216),'Udvaskning nøgletal'!$C$42,IF(AND(Q731&gt;0,Q731&lt;30,K731&gt;7,K731&lt;17),'Udvaskning nøgletal'!$C$61,IF(AND(Q731&gt;0,Q731&lt;30,K731&lt;7),'Udvaskning nøgletal'!$C$62,"")))</f>
        <v/>
      </c>
      <c r="AI731" s="10">
        <f t="shared" si="120"/>
        <v>216</v>
      </c>
      <c r="AJ731" s="10">
        <f>IF($X731=1,LOOKUP(AI731,'Udvaskning nøgletal'!$C$12:$C$62,'Udvaskning nøgletal'!$E$12:$E$62)+Markniveau!$Y731*Markniveau!$S731/100,IF($X731=2,LOOKUP(AI731,'Udvaskning nøgletal'!$C$12:$C$62,'Udvaskning nøgletal'!$F$12:$F$62)+Markniveau!$Y731*Markniveau!$S731/100,IF($X731=3,LOOKUP(AI731,'Udvaskning nøgletal'!$C$12:$C$62,'Udvaskning nøgletal'!Q741:Q791)+Markniveau!$Y731*Markniveau!$S731/100,"")))</f>
        <v>101.66744640811392</v>
      </c>
      <c r="AK731" s="10">
        <f t="shared" si="119"/>
        <v>1019.7244874733825</v>
      </c>
      <c r="AL731" s="10" t="str">
        <f t="shared" si="121"/>
        <v/>
      </c>
      <c r="AM731" s="10" t="str">
        <f t="shared" si="122"/>
        <v/>
      </c>
    </row>
    <row r="732" spans="1:39" x14ac:dyDescent="0.25">
      <c r="A732" s="15">
        <v>25930827</v>
      </c>
      <c r="B732" s="15">
        <v>44.24</v>
      </c>
      <c r="C732" s="15">
        <v>89566</v>
      </c>
      <c r="D732" s="15">
        <v>101602</v>
      </c>
      <c r="E732" s="15" t="s">
        <v>576</v>
      </c>
      <c r="F732" s="15">
        <v>2011</v>
      </c>
      <c r="G732" s="15">
        <v>20110406</v>
      </c>
      <c r="H732" s="15">
        <v>172641</v>
      </c>
      <c r="I732" s="15">
        <v>17.260000000000002</v>
      </c>
      <c r="J732" s="6" t="s">
        <v>606</v>
      </c>
      <c r="K732" s="15">
        <v>11</v>
      </c>
      <c r="L732" s="15" t="s">
        <v>102</v>
      </c>
      <c r="M732" s="15" t="s">
        <v>5</v>
      </c>
      <c r="N732" s="11" t="s">
        <v>1391</v>
      </c>
      <c r="O732" s="11" t="s">
        <v>46</v>
      </c>
      <c r="P732" s="11" t="s">
        <v>33</v>
      </c>
      <c r="Q732" s="15">
        <v>0</v>
      </c>
      <c r="R732" s="11" t="s">
        <v>1386</v>
      </c>
      <c r="S732" s="10">
        <v>160.9126408162</v>
      </c>
      <c r="T732" s="15">
        <v>80</v>
      </c>
      <c r="U732" s="15">
        <v>0</v>
      </c>
      <c r="V732" s="15">
        <v>0</v>
      </c>
      <c r="W732" s="15">
        <v>0</v>
      </c>
      <c r="X732" s="15">
        <f>IF(O732='Udvaskning nøgletal'!$D$65,1,IF(O732='Udvaskning nøgletal'!$D$66,2,IF(O732='Udvaskning nøgletal'!$D$67,3,IF(O732='Udvaskning nøgletal'!$D$68,2,""))))</f>
        <v>2</v>
      </c>
      <c r="Y732" s="15">
        <f>LOOKUP(K732,'Udvaskning nøgletal'!$C$12:$C$60,'Udvaskning nøgletal'!$H$12:$H$60)</f>
        <v>5</v>
      </c>
      <c r="Z732" s="10">
        <f>IF(X732=1,LOOKUP(K732,'Udvaskning nøgletal'!$C$12:$C$60,'Udvaskning nøgletal'!$E$12:$E$60)+Markniveau!Y732*Markniveau!S732/100,IF(X732=2,LOOKUP(K732,'Udvaskning nøgletal'!$C$12:$C$60,'Udvaskning nøgletal'!$F$12:$F$60)+Markniveau!Y732*Markniveau!S732/100,IF(X732=3,LOOKUP(K732,'Udvaskning nøgletal'!$C$12:$C$60,'Udvaskning nøgletal'!G742:G790)+Markniveau!Y732*Markniveau!S732/100,"")))</f>
        <v>58.925632040810001</v>
      </c>
      <c r="AA732" s="10">
        <f t="shared" si="116"/>
        <v>1017.0564090243807</v>
      </c>
      <c r="AB732" s="10" t="str">
        <f t="shared" si="115"/>
        <v/>
      </c>
      <c r="AC732" s="10" t="str">
        <f t="shared" si="117"/>
        <v/>
      </c>
      <c r="AD732" s="10">
        <f>IF(AND(Q732&gt;0,Q732&lt;30,K732&lt;8),Markniveau!Z732*'Udvaskning nøgletal'!$I$12/100,IF(AND(Q732&gt;0,Q732&lt;30,K732=216),Markniveau!Z732*'Udvaskning nøgletal'!$I$34/100,Markniveau!Z732))</f>
        <v>58.925632040810001</v>
      </c>
      <c r="AE732" s="10">
        <f t="shared" si="123"/>
        <v>1017.0564090243807</v>
      </c>
      <c r="AF732" s="10" t="str">
        <f t="shared" si="118"/>
        <v/>
      </c>
      <c r="AG732" s="10" t="str">
        <f t="shared" si="124"/>
        <v/>
      </c>
      <c r="AH732" s="10" t="str">
        <f>IF(AND(Q732&gt;0,Q732&lt;30,K732=216),'Udvaskning nøgletal'!$C$42,IF(AND(Q732&gt;0,Q732&lt;30,K732&gt;7,K732&lt;17),'Udvaskning nøgletal'!$C$61,IF(AND(Q732&gt;0,Q732&lt;30,K732&lt;7),'Udvaskning nøgletal'!$C$62,"")))</f>
        <v/>
      </c>
      <c r="AI732" s="10">
        <f t="shared" si="120"/>
        <v>11</v>
      </c>
      <c r="AJ732" s="10">
        <f>IF($X732=1,LOOKUP(AI732,'Udvaskning nøgletal'!$C$12:$C$62,'Udvaskning nøgletal'!$E$12:$E$62)+Markniveau!$Y732*Markniveau!$S732/100,IF($X732=2,LOOKUP(AI732,'Udvaskning nøgletal'!$C$12:$C$62,'Udvaskning nøgletal'!$F$12:$F$62)+Markniveau!$Y732*Markniveau!$S732/100,IF($X732=3,LOOKUP(AI732,'Udvaskning nøgletal'!$C$12:$C$62,'Udvaskning nøgletal'!Q742:Q792)+Markniveau!$Y732*Markniveau!$S732/100,"")))</f>
        <v>58.925632040810001</v>
      </c>
      <c r="AK732" s="10">
        <f t="shared" si="119"/>
        <v>1017.0564090243807</v>
      </c>
      <c r="AL732" s="10" t="str">
        <f t="shared" si="121"/>
        <v/>
      </c>
      <c r="AM732" s="10" t="str">
        <f t="shared" si="122"/>
        <v/>
      </c>
    </row>
    <row r="733" spans="1:39" x14ac:dyDescent="0.25">
      <c r="A733" s="15">
        <v>25930827</v>
      </c>
      <c r="B733" s="15">
        <v>44.24</v>
      </c>
      <c r="C733" s="15">
        <v>91873</v>
      </c>
      <c r="D733" s="15">
        <v>101602</v>
      </c>
      <c r="E733" s="15" t="s">
        <v>607</v>
      </c>
      <c r="F733" s="15">
        <v>2011</v>
      </c>
      <c r="G733" s="15">
        <v>20110406</v>
      </c>
      <c r="H733" s="15">
        <v>7640</v>
      </c>
      <c r="I733" s="15">
        <v>0.76</v>
      </c>
      <c r="J733" s="6" t="s">
        <v>608</v>
      </c>
      <c r="K733" s="15">
        <v>252</v>
      </c>
      <c r="L733" s="15" t="s">
        <v>41</v>
      </c>
      <c r="M733" s="15" t="s">
        <v>4</v>
      </c>
      <c r="N733" s="11" t="s">
        <v>1384</v>
      </c>
      <c r="O733" s="11" t="s">
        <v>28</v>
      </c>
      <c r="P733" s="11" t="s">
        <v>29</v>
      </c>
      <c r="Q733" s="15">
        <v>1</v>
      </c>
      <c r="R733" s="11" t="s">
        <v>11</v>
      </c>
      <c r="S733" s="10">
        <v>160.9126408162</v>
      </c>
      <c r="T733" s="15">
        <v>80</v>
      </c>
      <c r="U733" s="15">
        <v>0</v>
      </c>
      <c r="V733" s="15">
        <v>0</v>
      </c>
      <c r="W733" s="15">
        <v>0</v>
      </c>
      <c r="X733" s="15">
        <f>IF(O733='Udvaskning nøgletal'!$D$65,1,IF(O733='Udvaskning nøgletal'!$D$66,2,IF(O733='Udvaskning nøgletal'!$D$67,3,IF(O733='Udvaskning nøgletal'!$D$68,2,""))))</f>
        <v>1</v>
      </c>
      <c r="Y733" s="15">
        <f>LOOKUP(K733,'Udvaskning nøgletal'!$C$12:$C$60,'Udvaskning nøgletal'!$H$12:$H$60)</f>
        <v>0</v>
      </c>
      <c r="Z733" s="10">
        <f>IF(X733=1,LOOKUP(K733,'Udvaskning nøgletal'!$C$12:$C$60,'Udvaskning nøgletal'!$E$12:$E$60)+Markniveau!Y733*Markniveau!S733/100,IF(X733=2,LOOKUP(K733,'Udvaskning nøgletal'!$C$12:$C$60,'Udvaskning nøgletal'!$F$12:$F$60)+Markniveau!Y733*Markniveau!S733/100,IF(X733=3,LOOKUP(K733,'Udvaskning nøgletal'!$C$12:$C$60,'Udvaskning nøgletal'!G743:G791)+Markniveau!Y733*Markniveau!S733/100,"")))</f>
        <v>21.2</v>
      </c>
      <c r="AA733" s="10">
        <f t="shared" si="116"/>
        <v>16.111999999999998</v>
      </c>
      <c r="AB733" s="10">
        <f t="shared" si="115"/>
        <v>20.987999999999996</v>
      </c>
      <c r="AC733" s="10">
        <f t="shared" si="117"/>
        <v>15.950879999999998</v>
      </c>
      <c r="AD733" s="10">
        <f>IF(AND(Q733&gt;0,Q733&lt;30,K733&lt;8),Markniveau!Z733*'Udvaskning nøgletal'!$I$12/100,IF(AND(Q733&gt;0,Q733&lt;30,K733=216),Markniveau!Z733*'Udvaskning nøgletal'!$I$34/100,Markniveau!Z733))</f>
        <v>21.2</v>
      </c>
      <c r="AE733" s="10">
        <f t="shared" si="123"/>
        <v>16.111999999999998</v>
      </c>
      <c r="AF733" s="10">
        <f t="shared" si="118"/>
        <v>20.987999999999996</v>
      </c>
      <c r="AG733" s="10">
        <f t="shared" si="124"/>
        <v>15.950879999999998</v>
      </c>
      <c r="AH733" s="10" t="str">
        <f>IF(AND(Q733&gt;0,Q733&lt;30,K733=216),'Udvaskning nøgletal'!$C$42,IF(AND(Q733&gt;0,Q733&lt;30,K733&gt;7,K733&lt;17),'Udvaskning nøgletal'!$C$61,IF(AND(Q733&gt;0,Q733&lt;30,K733&lt;7),'Udvaskning nøgletal'!$C$62,"")))</f>
        <v/>
      </c>
      <c r="AI733" s="10">
        <f t="shared" si="120"/>
        <v>252</v>
      </c>
      <c r="AJ733" s="10">
        <f>IF($X733=1,LOOKUP(AI733,'Udvaskning nøgletal'!$C$12:$C$62,'Udvaskning nøgletal'!$E$12:$E$62)+Markniveau!$Y733*Markniveau!$S733/100,IF($X733=2,LOOKUP(AI733,'Udvaskning nøgletal'!$C$12:$C$62,'Udvaskning nøgletal'!$F$12:$F$62)+Markniveau!$Y733*Markniveau!$S733/100,IF($X733=3,LOOKUP(AI733,'Udvaskning nøgletal'!$C$12:$C$62,'Udvaskning nøgletal'!Q743:Q793)+Markniveau!$Y733*Markniveau!$S733/100,"")))</f>
        <v>21.2</v>
      </c>
      <c r="AK733" s="10">
        <f t="shared" si="119"/>
        <v>16.111999999999998</v>
      </c>
      <c r="AL733" s="10">
        <f t="shared" si="121"/>
        <v>20.987999999999996</v>
      </c>
      <c r="AM733" s="10">
        <f t="shared" si="122"/>
        <v>15.950879999999998</v>
      </c>
    </row>
    <row r="734" spans="1:39" x14ac:dyDescent="0.25">
      <c r="A734" s="15">
        <v>25930827</v>
      </c>
      <c r="B734" s="15">
        <v>44.24</v>
      </c>
      <c r="C734" s="15">
        <v>181485</v>
      </c>
      <c r="D734" s="15">
        <v>101602</v>
      </c>
      <c r="E734" s="15" t="s">
        <v>609</v>
      </c>
      <c r="F734" s="15">
        <v>2011</v>
      </c>
      <c r="G734" s="15">
        <v>20110418</v>
      </c>
      <c r="H734" s="15">
        <v>12214</v>
      </c>
      <c r="I734" s="15">
        <v>1.22</v>
      </c>
      <c r="J734" s="6" t="s">
        <v>610</v>
      </c>
      <c r="K734" s="15">
        <v>252</v>
      </c>
      <c r="L734" s="15" t="s">
        <v>41</v>
      </c>
      <c r="M734" s="15" t="s">
        <v>4</v>
      </c>
      <c r="N734" s="11" t="s">
        <v>1384</v>
      </c>
      <c r="O734" s="11" t="s">
        <v>28</v>
      </c>
      <c r="P734" s="11" t="s">
        <v>29</v>
      </c>
      <c r="Q734" s="15">
        <v>1</v>
      </c>
      <c r="R734" s="11" t="s">
        <v>11</v>
      </c>
      <c r="S734" s="10">
        <v>160.9126408162</v>
      </c>
      <c r="T734" s="15">
        <v>80</v>
      </c>
      <c r="U734" s="15">
        <v>0</v>
      </c>
      <c r="V734" s="15">
        <v>0</v>
      </c>
      <c r="W734" s="15">
        <v>0</v>
      </c>
      <c r="X734" s="15">
        <f>IF(O734='Udvaskning nøgletal'!$D$65,1,IF(O734='Udvaskning nøgletal'!$D$66,2,IF(O734='Udvaskning nøgletal'!$D$67,3,IF(O734='Udvaskning nøgletal'!$D$68,2,""))))</f>
        <v>1</v>
      </c>
      <c r="Y734" s="15">
        <f>LOOKUP(K734,'Udvaskning nøgletal'!$C$12:$C$60,'Udvaskning nøgletal'!$H$12:$H$60)</f>
        <v>0</v>
      </c>
      <c r="Z734" s="10">
        <f>IF(X734=1,LOOKUP(K734,'Udvaskning nøgletal'!$C$12:$C$60,'Udvaskning nøgletal'!$E$12:$E$60)+Markniveau!Y734*Markniveau!S734/100,IF(X734=2,LOOKUP(K734,'Udvaskning nøgletal'!$C$12:$C$60,'Udvaskning nøgletal'!$F$12:$F$60)+Markniveau!Y734*Markniveau!S734/100,IF(X734=3,LOOKUP(K734,'Udvaskning nøgletal'!$C$12:$C$60,'Udvaskning nøgletal'!G744:G792)+Markniveau!Y734*Markniveau!S734/100,"")))</f>
        <v>21.2</v>
      </c>
      <c r="AA734" s="10">
        <f t="shared" si="116"/>
        <v>25.863999999999997</v>
      </c>
      <c r="AB734" s="10">
        <f t="shared" si="115"/>
        <v>20.987999999999996</v>
      </c>
      <c r="AC734" s="10">
        <f t="shared" si="117"/>
        <v>25.605359999999994</v>
      </c>
      <c r="AD734" s="10">
        <f>IF(AND(Q734&gt;0,Q734&lt;30,K734&lt;8),Markniveau!Z734*'Udvaskning nøgletal'!$I$12/100,IF(AND(Q734&gt;0,Q734&lt;30,K734=216),Markniveau!Z734*'Udvaskning nøgletal'!$I$34/100,Markniveau!Z734))</f>
        <v>21.2</v>
      </c>
      <c r="AE734" s="10">
        <f t="shared" si="123"/>
        <v>25.863999999999997</v>
      </c>
      <c r="AF734" s="10">
        <f t="shared" si="118"/>
        <v>20.987999999999996</v>
      </c>
      <c r="AG734" s="10">
        <f t="shared" si="124"/>
        <v>25.605359999999994</v>
      </c>
      <c r="AH734" s="10" t="str">
        <f>IF(AND(Q734&gt;0,Q734&lt;30,K734=216),'Udvaskning nøgletal'!$C$42,IF(AND(Q734&gt;0,Q734&lt;30,K734&gt;7,K734&lt;17),'Udvaskning nøgletal'!$C$61,IF(AND(Q734&gt;0,Q734&lt;30,K734&lt;7),'Udvaskning nøgletal'!$C$62,"")))</f>
        <v/>
      </c>
      <c r="AI734" s="10">
        <f t="shared" si="120"/>
        <v>252</v>
      </c>
      <c r="AJ734" s="10">
        <f>IF($X734=1,LOOKUP(AI734,'Udvaskning nøgletal'!$C$12:$C$62,'Udvaskning nøgletal'!$E$12:$E$62)+Markniveau!$Y734*Markniveau!$S734/100,IF($X734=2,LOOKUP(AI734,'Udvaskning nøgletal'!$C$12:$C$62,'Udvaskning nøgletal'!$F$12:$F$62)+Markniveau!$Y734*Markniveau!$S734/100,IF($X734=3,LOOKUP(AI734,'Udvaskning nøgletal'!$C$12:$C$62,'Udvaskning nøgletal'!Q744:Q794)+Markniveau!$Y734*Markniveau!$S734/100,"")))</f>
        <v>21.2</v>
      </c>
      <c r="AK734" s="10">
        <f t="shared" si="119"/>
        <v>25.863999999999997</v>
      </c>
      <c r="AL734" s="10">
        <f t="shared" si="121"/>
        <v>20.987999999999996</v>
      </c>
      <c r="AM734" s="10">
        <f t="shared" si="122"/>
        <v>25.605359999999994</v>
      </c>
    </row>
    <row r="735" spans="1:39" x14ac:dyDescent="0.25">
      <c r="A735" s="15">
        <v>25930827</v>
      </c>
      <c r="B735" s="15">
        <v>44.24</v>
      </c>
      <c r="C735" s="15">
        <v>320546</v>
      </c>
      <c r="D735" s="15">
        <v>101602</v>
      </c>
      <c r="E735" s="15" t="s">
        <v>593</v>
      </c>
      <c r="F735" s="15">
        <v>2011</v>
      </c>
      <c r="G735" s="15">
        <v>20110406</v>
      </c>
      <c r="H735" s="15">
        <v>8056</v>
      </c>
      <c r="I735" s="15">
        <v>0.81</v>
      </c>
      <c r="J735" s="6" t="s">
        <v>1399</v>
      </c>
      <c r="K735" s="15">
        <v>254</v>
      </c>
      <c r="L735" s="15" t="s">
        <v>27</v>
      </c>
      <c r="M735" s="15" t="s">
        <v>4</v>
      </c>
      <c r="N735" s="11" t="s">
        <v>1406</v>
      </c>
      <c r="O735" s="11" t="s">
        <v>46</v>
      </c>
      <c r="P735" s="11" t="s">
        <v>33</v>
      </c>
      <c r="Q735" s="15">
        <v>0</v>
      </c>
      <c r="R735" s="11" t="s">
        <v>1386</v>
      </c>
      <c r="S735" s="10">
        <v>160.9126408162</v>
      </c>
      <c r="T735" s="15">
        <v>80</v>
      </c>
      <c r="U735" s="15">
        <v>0</v>
      </c>
      <c r="V735" s="15">
        <v>0</v>
      </c>
      <c r="W735" s="15">
        <v>0</v>
      </c>
      <c r="X735" s="15">
        <f>IF(O735='Udvaskning nøgletal'!$D$65,1,IF(O735='Udvaskning nøgletal'!$D$66,2,IF(O735='Udvaskning nøgletal'!$D$67,3,IF(O735='Udvaskning nøgletal'!$D$68,2,""))))</f>
        <v>2</v>
      </c>
      <c r="Y735" s="15">
        <f>LOOKUP(K735,'Udvaskning nøgletal'!$C$12:$C$60,'Udvaskning nøgletal'!$H$12:$H$60)</f>
        <v>0</v>
      </c>
      <c r="Z735" s="10">
        <f>IF(X735=1,LOOKUP(K735,'Udvaskning nøgletal'!$C$12:$C$60,'Udvaskning nøgletal'!$E$12:$E$60)+Markniveau!Y735*Markniveau!S735/100,IF(X735=2,LOOKUP(K735,'Udvaskning nøgletal'!$C$12:$C$60,'Udvaskning nøgletal'!$F$12:$F$60)+Markniveau!Y735*Markniveau!S735/100,IF(X735=3,LOOKUP(K735,'Udvaskning nøgletal'!$C$12:$C$60,'Udvaskning nøgletal'!G745:G793)+Markniveau!Y735*Markniveau!S735/100,"")))</f>
        <v>21.2</v>
      </c>
      <c r="AA735" s="10">
        <f t="shared" si="116"/>
        <v>17.172000000000001</v>
      </c>
      <c r="AB735" s="10" t="str">
        <f t="shared" si="115"/>
        <v/>
      </c>
      <c r="AC735" s="10" t="str">
        <f t="shared" si="117"/>
        <v/>
      </c>
      <c r="AD735" s="10">
        <f>IF(AND(Q735&gt;0,Q735&lt;30,K735&lt;8),Markniveau!Z735*'Udvaskning nøgletal'!$I$12/100,IF(AND(Q735&gt;0,Q735&lt;30,K735=216),Markniveau!Z735*'Udvaskning nøgletal'!$I$34/100,Markniveau!Z735))</f>
        <v>21.2</v>
      </c>
      <c r="AE735" s="10">
        <f t="shared" si="123"/>
        <v>17.172000000000001</v>
      </c>
      <c r="AF735" s="10" t="str">
        <f t="shared" si="118"/>
        <v/>
      </c>
      <c r="AG735" s="10" t="str">
        <f t="shared" si="124"/>
        <v/>
      </c>
      <c r="AH735" s="10" t="str">
        <f>IF(AND(Q735&gt;0,Q735&lt;30,K735=216),'Udvaskning nøgletal'!$C$42,IF(AND(Q735&gt;0,Q735&lt;30,K735&gt;7,K735&lt;17),'Udvaskning nøgletal'!$C$61,IF(AND(Q735&gt;0,Q735&lt;30,K735&lt;7),'Udvaskning nøgletal'!$C$62,"")))</f>
        <v/>
      </c>
      <c r="AI735" s="10">
        <f t="shared" si="120"/>
        <v>254</v>
      </c>
      <c r="AJ735" s="10">
        <f>IF($X735=1,LOOKUP(AI735,'Udvaskning nøgletal'!$C$12:$C$62,'Udvaskning nøgletal'!$E$12:$E$62)+Markniveau!$Y735*Markniveau!$S735/100,IF($X735=2,LOOKUP(AI735,'Udvaskning nøgletal'!$C$12:$C$62,'Udvaskning nøgletal'!$F$12:$F$62)+Markniveau!$Y735*Markniveau!$S735/100,IF($X735=3,LOOKUP(AI735,'Udvaskning nøgletal'!$C$12:$C$62,'Udvaskning nøgletal'!Q745:Q795)+Markniveau!$Y735*Markniveau!$S735/100,"")))</f>
        <v>21.2</v>
      </c>
      <c r="AK735" s="10">
        <f t="shared" si="119"/>
        <v>17.172000000000001</v>
      </c>
      <c r="AL735" s="10" t="str">
        <f t="shared" si="121"/>
        <v/>
      </c>
      <c r="AM735" s="10" t="str">
        <f t="shared" si="122"/>
        <v/>
      </c>
    </row>
    <row r="736" spans="1:39" x14ac:dyDescent="0.25">
      <c r="A736" s="15">
        <v>25930827</v>
      </c>
      <c r="B736" s="15">
        <v>44.24</v>
      </c>
      <c r="C736" s="15">
        <v>4678</v>
      </c>
      <c r="D736" s="15">
        <v>101602</v>
      </c>
      <c r="E736" s="15" t="s">
        <v>611</v>
      </c>
      <c r="F736" s="15">
        <v>2011</v>
      </c>
      <c r="G736" s="15">
        <v>20110406</v>
      </c>
      <c r="H736" s="15">
        <v>15200</v>
      </c>
      <c r="I736" s="15">
        <v>1.52</v>
      </c>
      <c r="J736" s="6" t="s">
        <v>612</v>
      </c>
      <c r="K736" s="15">
        <v>252</v>
      </c>
      <c r="L736" s="15" t="s">
        <v>41</v>
      </c>
      <c r="M736" s="15" t="s">
        <v>4</v>
      </c>
      <c r="N736" s="11" t="s">
        <v>1384</v>
      </c>
      <c r="O736" s="11" t="s">
        <v>28</v>
      </c>
      <c r="P736" s="11" t="s">
        <v>33</v>
      </c>
      <c r="Q736" s="15">
        <v>0</v>
      </c>
      <c r="R736" s="11" t="s">
        <v>1386</v>
      </c>
      <c r="S736" s="10">
        <v>160.9126408162</v>
      </c>
      <c r="T736" s="15">
        <v>80</v>
      </c>
      <c r="U736" s="15">
        <v>0</v>
      </c>
      <c r="V736" s="15">
        <v>0</v>
      </c>
      <c r="W736" s="15">
        <v>0</v>
      </c>
      <c r="X736" s="15">
        <f>IF(O736='Udvaskning nøgletal'!$D$65,1,IF(O736='Udvaskning nøgletal'!$D$66,2,IF(O736='Udvaskning nøgletal'!$D$67,3,IF(O736='Udvaskning nøgletal'!$D$68,2,""))))</f>
        <v>1</v>
      </c>
      <c r="Y736" s="15">
        <f>LOOKUP(K736,'Udvaskning nøgletal'!$C$12:$C$60,'Udvaskning nøgletal'!$H$12:$H$60)</f>
        <v>0</v>
      </c>
      <c r="Z736" s="10">
        <f>IF(X736=1,LOOKUP(K736,'Udvaskning nøgletal'!$C$12:$C$60,'Udvaskning nøgletal'!$E$12:$E$60)+Markniveau!Y736*Markniveau!S736/100,IF(X736=2,LOOKUP(K736,'Udvaskning nøgletal'!$C$12:$C$60,'Udvaskning nøgletal'!$F$12:$F$60)+Markniveau!Y736*Markniveau!S736/100,IF(X736=3,LOOKUP(K736,'Udvaskning nøgletal'!$C$12:$C$60,'Udvaskning nøgletal'!G746:G794)+Markniveau!Y736*Markniveau!S736/100,"")))</f>
        <v>21.2</v>
      </c>
      <c r="AA736" s="10">
        <f t="shared" si="116"/>
        <v>32.223999999999997</v>
      </c>
      <c r="AB736" s="10" t="str">
        <f t="shared" si="115"/>
        <v/>
      </c>
      <c r="AC736" s="10" t="str">
        <f t="shared" si="117"/>
        <v/>
      </c>
      <c r="AD736" s="10">
        <f>IF(AND(Q736&gt;0,Q736&lt;30,K736&lt;8),Markniveau!Z736*'Udvaskning nøgletal'!$I$12/100,IF(AND(Q736&gt;0,Q736&lt;30,K736=216),Markniveau!Z736*'Udvaskning nøgletal'!$I$34/100,Markniveau!Z736))</f>
        <v>21.2</v>
      </c>
      <c r="AE736" s="10">
        <f t="shared" si="123"/>
        <v>32.223999999999997</v>
      </c>
      <c r="AF736" s="10" t="str">
        <f t="shared" si="118"/>
        <v/>
      </c>
      <c r="AG736" s="10" t="str">
        <f t="shared" si="124"/>
        <v/>
      </c>
      <c r="AH736" s="10" t="str">
        <f>IF(AND(Q736&gt;0,Q736&lt;30,K736=216),'Udvaskning nøgletal'!$C$42,IF(AND(Q736&gt;0,Q736&lt;30,K736&gt;7,K736&lt;17),'Udvaskning nøgletal'!$C$61,IF(AND(Q736&gt;0,Q736&lt;30,K736&lt;7),'Udvaskning nøgletal'!$C$62,"")))</f>
        <v/>
      </c>
      <c r="AI736" s="10">
        <f t="shared" si="120"/>
        <v>252</v>
      </c>
      <c r="AJ736" s="10">
        <f>IF($X736=1,LOOKUP(AI736,'Udvaskning nøgletal'!$C$12:$C$62,'Udvaskning nøgletal'!$E$12:$E$62)+Markniveau!$Y736*Markniveau!$S736/100,IF($X736=2,LOOKUP(AI736,'Udvaskning nøgletal'!$C$12:$C$62,'Udvaskning nøgletal'!$F$12:$F$62)+Markniveau!$Y736*Markniveau!$S736/100,IF($X736=3,LOOKUP(AI736,'Udvaskning nøgletal'!$C$12:$C$62,'Udvaskning nøgletal'!Q746:Q796)+Markniveau!$Y736*Markniveau!$S736/100,"")))</f>
        <v>21.2</v>
      </c>
      <c r="AK736" s="10">
        <f t="shared" si="119"/>
        <v>32.223999999999997</v>
      </c>
      <c r="AL736" s="10" t="str">
        <f t="shared" si="121"/>
        <v/>
      </c>
      <c r="AM736" s="10" t="str">
        <f t="shared" si="122"/>
        <v/>
      </c>
    </row>
    <row r="737" spans="1:39" x14ac:dyDescent="0.25">
      <c r="A737" s="15">
        <v>25930827</v>
      </c>
      <c r="B737" s="15">
        <v>44.24</v>
      </c>
      <c r="C737" s="15">
        <v>13684</v>
      </c>
      <c r="D737" s="15">
        <v>101602</v>
      </c>
      <c r="E737" s="15" t="s">
        <v>613</v>
      </c>
      <c r="F737" s="15">
        <v>2011</v>
      </c>
      <c r="G737" s="15">
        <v>20110406</v>
      </c>
      <c r="H737" s="15">
        <v>47802</v>
      </c>
      <c r="I737" s="15">
        <v>4.78</v>
      </c>
      <c r="J737" s="6" t="s">
        <v>614</v>
      </c>
      <c r="K737" s="15">
        <v>260</v>
      </c>
      <c r="L737" s="15" t="s">
        <v>45</v>
      </c>
      <c r="M737" s="15" t="s">
        <v>5</v>
      </c>
      <c r="N737" s="11" t="s">
        <v>1406</v>
      </c>
      <c r="O737" s="11" t="s">
        <v>46</v>
      </c>
      <c r="P737" s="11" t="s">
        <v>33</v>
      </c>
      <c r="Q737" s="15">
        <v>0</v>
      </c>
      <c r="R737" s="11" t="s">
        <v>1386</v>
      </c>
      <c r="S737" s="10">
        <v>160.9126408162</v>
      </c>
      <c r="T737" s="15">
        <v>80</v>
      </c>
      <c r="U737" s="15">
        <v>0</v>
      </c>
      <c r="V737" s="15">
        <v>0</v>
      </c>
      <c r="W737" s="15">
        <v>0</v>
      </c>
      <c r="X737" s="15">
        <f>IF(O737='Udvaskning nøgletal'!$D$65,1,IF(O737='Udvaskning nøgletal'!$D$66,2,IF(O737='Udvaskning nøgletal'!$D$67,3,IF(O737='Udvaskning nøgletal'!$D$68,2,""))))</f>
        <v>2</v>
      </c>
      <c r="Y737" s="15">
        <f>LOOKUP(K737,'Udvaskning nøgletal'!$C$12:$C$60,'Udvaskning nøgletal'!$H$12:$H$60)</f>
        <v>0</v>
      </c>
      <c r="Z737" s="10">
        <f>IF(X737=1,LOOKUP(K737,'Udvaskning nøgletal'!$C$12:$C$60,'Udvaskning nøgletal'!$E$12:$E$60)+Markniveau!Y737*Markniveau!S737/100,IF(X737=2,LOOKUP(K737,'Udvaskning nøgletal'!$C$12:$C$60,'Udvaskning nøgletal'!$F$12:$F$60)+Markniveau!Y737*Markniveau!S737/100,IF(X737=3,LOOKUP(K737,'Udvaskning nøgletal'!$C$12:$C$60,'Udvaskning nøgletal'!G747:G795)+Markniveau!Y737*Markniveau!S737/100,"")))</f>
        <v>27.331185321443094</v>
      </c>
      <c r="AA737" s="10">
        <f t="shared" si="116"/>
        <v>130.64306583649798</v>
      </c>
      <c r="AB737" s="10" t="str">
        <f t="shared" si="115"/>
        <v/>
      </c>
      <c r="AC737" s="10" t="str">
        <f t="shared" si="117"/>
        <v/>
      </c>
      <c r="AD737" s="10">
        <f>IF(AND(Q737&gt;0,Q737&lt;30,K737&lt;8),Markniveau!Z737*'Udvaskning nøgletal'!$I$12/100,IF(AND(Q737&gt;0,Q737&lt;30,K737=216),Markniveau!Z737*'Udvaskning nøgletal'!$I$34/100,Markniveau!Z737))</f>
        <v>27.331185321443094</v>
      </c>
      <c r="AE737" s="10">
        <f t="shared" si="123"/>
        <v>130.64306583649798</v>
      </c>
      <c r="AF737" s="10" t="str">
        <f t="shared" si="118"/>
        <v/>
      </c>
      <c r="AG737" s="10" t="str">
        <f t="shared" si="124"/>
        <v/>
      </c>
      <c r="AH737" s="10" t="str">
        <f>IF(AND(Q737&gt;0,Q737&lt;30,K737=216),'Udvaskning nøgletal'!$C$42,IF(AND(Q737&gt;0,Q737&lt;30,K737&gt;7,K737&lt;17),'Udvaskning nøgletal'!$C$61,IF(AND(Q737&gt;0,Q737&lt;30,K737&lt;7),'Udvaskning nøgletal'!$C$62,"")))</f>
        <v/>
      </c>
      <c r="AI737" s="10">
        <f t="shared" si="120"/>
        <v>260</v>
      </c>
      <c r="AJ737" s="10">
        <f>IF($X737=1,LOOKUP(AI737,'Udvaskning nøgletal'!$C$12:$C$62,'Udvaskning nøgletal'!$E$12:$E$62)+Markniveau!$Y737*Markniveau!$S737/100,IF($X737=2,LOOKUP(AI737,'Udvaskning nøgletal'!$C$12:$C$62,'Udvaskning nøgletal'!$F$12:$F$62)+Markniveau!$Y737*Markniveau!$S737/100,IF($X737=3,LOOKUP(AI737,'Udvaskning nøgletal'!$C$12:$C$62,'Udvaskning nøgletal'!Q747:Q797)+Markniveau!$Y737*Markniveau!$S737/100,"")))</f>
        <v>27.331185321443094</v>
      </c>
      <c r="AK737" s="10">
        <f t="shared" si="119"/>
        <v>130.64306583649798</v>
      </c>
      <c r="AL737" s="10" t="str">
        <f t="shared" si="121"/>
        <v/>
      </c>
      <c r="AM737" s="10" t="str">
        <f t="shared" si="122"/>
        <v/>
      </c>
    </row>
    <row r="738" spans="1:39" x14ac:dyDescent="0.25">
      <c r="A738" s="15">
        <v>26019788</v>
      </c>
      <c r="B738" s="15">
        <v>52</v>
      </c>
      <c r="C738" s="15">
        <v>89853</v>
      </c>
      <c r="D738" s="15">
        <v>92962</v>
      </c>
      <c r="E738" s="15" t="s">
        <v>615</v>
      </c>
      <c r="F738" s="15">
        <v>2011</v>
      </c>
      <c r="G738" s="15">
        <v>20110408</v>
      </c>
      <c r="H738" s="15">
        <v>52207</v>
      </c>
      <c r="I738" s="15">
        <v>5.22</v>
      </c>
      <c r="J738" s="6" t="s">
        <v>36</v>
      </c>
      <c r="K738" s="15">
        <v>260</v>
      </c>
      <c r="L738" s="15" t="s">
        <v>45</v>
      </c>
      <c r="M738" s="15" t="s">
        <v>5</v>
      </c>
      <c r="N738" s="11" t="s">
        <v>1384</v>
      </c>
      <c r="O738" s="11" t="s">
        <v>28</v>
      </c>
      <c r="P738" s="11" t="s">
        <v>29</v>
      </c>
      <c r="Q738" s="15">
        <v>95</v>
      </c>
      <c r="R738" s="11" t="s">
        <v>3</v>
      </c>
      <c r="S738" s="10">
        <v>168.4925499492</v>
      </c>
      <c r="T738" s="15">
        <v>80</v>
      </c>
      <c r="U738" s="15">
        <v>0</v>
      </c>
      <c r="V738" s="15">
        <v>1</v>
      </c>
      <c r="W738" s="15">
        <v>0</v>
      </c>
      <c r="X738" s="15">
        <f>IF(O738='Udvaskning nøgletal'!$D$65,1,IF(O738='Udvaskning nøgletal'!$D$66,2,IF(O738='Udvaskning nøgletal'!$D$67,3,IF(O738='Udvaskning nøgletal'!$D$68,2,""))))</f>
        <v>1</v>
      </c>
      <c r="Y738" s="15">
        <f>LOOKUP(K738,'Udvaskning nøgletal'!$C$12:$C$60,'Udvaskning nøgletal'!$H$12:$H$60)</f>
        <v>0</v>
      </c>
      <c r="Z738" s="10">
        <f>IF(X738=1,LOOKUP(K738,'Udvaskning nøgletal'!$C$12:$C$60,'Udvaskning nøgletal'!$E$12:$E$60)+Markniveau!Y738*Markniveau!S738/100,IF(X738=2,LOOKUP(K738,'Udvaskning nøgletal'!$C$12:$C$60,'Udvaskning nøgletal'!$F$12:$F$60)+Markniveau!Y738*Markniveau!S738/100,IF(X738=3,LOOKUP(K738,'Udvaskning nøgletal'!$C$12:$C$60,'Udvaskning nøgletal'!G748:G796)+Markniveau!Y738*Markniveau!S738/100,"")))</f>
        <v>33.723295792149436</v>
      </c>
      <c r="AA738" s="10">
        <f t="shared" si="116"/>
        <v>176.03560403502004</v>
      </c>
      <c r="AB738" s="10">
        <f t="shared" si="115"/>
        <v>1.6861647896074716</v>
      </c>
      <c r="AC738" s="10">
        <f t="shared" si="117"/>
        <v>8.8017802017510007</v>
      </c>
      <c r="AD738" s="10">
        <f>IF(AND(Q738&gt;0,Q738&lt;30,K738&lt;8),Markniveau!Z738*'Udvaskning nøgletal'!$I$12/100,IF(AND(Q738&gt;0,Q738&lt;30,K738=216),Markniveau!Z738*'Udvaskning nøgletal'!$I$34/100,Markniveau!Z738))</f>
        <v>33.723295792149436</v>
      </c>
      <c r="AE738" s="10">
        <f t="shared" si="123"/>
        <v>176.03560403502004</v>
      </c>
      <c r="AF738" s="10">
        <f t="shared" si="118"/>
        <v>1.6861647896074716</v>
      </c>
      <c r="AG738" s="10">
        <f t="shared" si="124"/>
        <v>8.8017802017510007</v>
      </c>
      <c r="AH738" s="10" t="str">
        <f>IF(AND(Q738&gt;0,Q738&lt;30,K738=216),'Udvaskning nøgletal'!$C$42,IF(AND(Q738&gt;0,Q738&lt;30,K738&gt;7,K738&lt;17),'Udvaskning nøgletal'!$C$61,IF(AND(Q738&gt;0,Q738&lt;30,K738&lt;7),'Udvaskning nøgletal'!$C$62,"")))</f>
        <v/>
      </c>
      <c r="AI738" s="10">
        <f t="shared" si="120"/>
        <v>260</v>
      </c>
      <c r="AJ738" s="10">
        <f>IF($X738=1,LOOKUP(AI738,'Udvaskning nøgletal'!$C$12:$C$62,'Udvaskning nøgletal'!$E$12:$E$62)+Markniveau!$Y738*Markniveau!$S738/100,IF($X738=2,LOOKUP(AI738,'Udvaskning nøgletal'!$C$12:$C$62,'Udvaskning nøgletal'!$F$12:$F$62)+Markniveau!$Y738*Markniveau!$S738/100,IF($X738=3,LOOKUP(AI738,'Udvaskning nøgletal'!$C$12:$C$62,'Udvaskning nøgletal'!Q748:Q798)+Markniveau!$Y738*Markniveau!$S738/100,"")))</f>
        <v>33.723295792149436</v>
      </c>
      <c r="AK738" s="10">
        <f t="shared" si="119"/>
        <v>176.03560403502004</v>
      </c>
      <c r="AL738" s="10">
        <f t="shared" si="121"/>
        <v>1.6861647896074716</v>
      </c>
      <c r="AM738" s="10">
        <f t="shared" si="122"/>
        <v>8.8017802017510007</v>
      </c>
    </row>
    <row r="739" spans="1:39" x14ac:dyDescent="0.25">
      <c r="A739" s="15">
        <v>26019788</v>
      </c>
      <c r="B739" s="15">
        <v>52</v>
      </c>
      <c r="C739" s="15">
        <v>89854</v>
      </c>
      <c r="D739" s="15">
        <v>92962</v>
      </c>
      <c r="E739" s="15" t="s">
        <v>615</v>
      </c>
      <c r="F739" s="15">
        <v>2011</v>
      </c>
      <c r="G739" s="15">
        <v>20110408</v>
      </c>
      <c r="H739" s="15">
        <v>14856</v>
      </c>
      <c r="I739" s="15">
        <v>1.49</v>
      </c>
      <c r="J739" s="6" t="s">
        <v>69</v>
      </c>
      <c r="K739" s="15">
        <v>260</v>
      </c>
      <c r="L739" s="15" t="s">
        <v>45</v>
      </c>
      <c r="M739" s="15" t="s">
        <v>5</v>
      </c>
      <c r="N739" s="11" t="s">
        <v>1384</v>
      </c>
      <c r="O739" s="11" t="s">
        <v>28</v>
      </c>
      <c r="P739" s="11" t="s">
        <v>29</v>
      </c>
      <c r="Q739" s="15">
        <v>95</v>
      </c>
      <c r="R739" s="11" t="s">
        <v>3</v>
      </c>
      <c r="S739" s="10">
        <v>168.4925499492</v>
      </c>
      <c r="T739" s="15">
        <v>80</v>
      </c>
      <c r="U739" s="15">
        <v>0</v>
      </c>
      <c r="V739" s="15">
        <v>1</v>
      </c>
      <c r="W739" s="15">
        <v>0</v>
      </c>
      <c r="X739" s="15">
        <f>IF(O739='Udvaskning nøgletal'!$D$65,1,IF(O739='Udvaskning nøgletal'!$D$66,2,IF(O739='Udvaskning nøgletal'!$D$67,3,IF(O739='Udvaskning nøgletal'!$D$68,2,""))))</f>
        <v>1</v>
      </c>
      <c r="Y739" s="15">
        <f>LOOKUP(K739,'Udvaskning nøgletal'!$C$12:$C$60,'Udvaskning nøgletal'!$H$12:$H$60)</f>
        <v>0</v>
      </c>
      <c r="Z739" s="10">
        <f>IF(X739=1,LOOKUP(K739,'Udvaskning nøgletal'!$C$12:$C$60,'Udvaskning nøgletal'!$E$12:$E$60)+Markniveau!Y739*Markniveau!S739/100,IF(X739=2,LOOKUP(K739,'Udvaskning nøgletal'!$C$12:$C$60,'Udvaskning nøgletal'!$F$12:$F$60)+Markniveau!Y739*Markniveau!S739/100,IF(X739=3,LOOKUP(K739,'Udvaskning nøgletal'!$C$12:$C$60,'Udvaskning nøgletal'!G749:G797)+Markniveau!Y739*Markniveau!S739/100,"")))</f>
        <v>33.723295792149436</v>
      </c>
      <c r="AA739" s="10">
        <f t="shared" si="116"/>
        <v>50.247710730302657</v>
      </c>
      <c r="AB739" s="10">
        <f t="shared" si="115"/>
        <v>1.6861647896074716</v>
      </c>
      <c r="AC739" s="10">
        <f t="shared" si="117"/>
        <v>2.5123855365151329</v>
      </c>
      <c r="AD739" s="10">
        <f>IF(AND(Q739&gt;0,Q739&lt;30,K739&lt;8),Markniveau!Z739*'Udvaskning nøgletal'!$I$12/100,IF(AND(Q739&gt;0,Q739&lt;30,K739=216),Markniveau!Z739*'Udvaskning nøgletal'!$I$34/100,Markniveau!Z739))</f>
        <v>33.723295792149436</v>
      </c>
      <c r="AE739" s="10">
        <f t="shared" si="123"/>
        <v>50.247710730302657</v>
      </c>
      <c r="AF739" s="10">
        <f t="shared" si="118"/>
        <v>1.6861647896074716</v>
      </c>
      <c r="AG739" s="10">
        <f t="shared" si="124"/>
        <v>2.5123855365151329</v>
      </c>
      <c r="AH739" s="10" t="str">
        <f>IF(AND(Q739&gt;0,Q739&lt;30,K739=216),'Udvaskning nøgletal'!$C$42,IF(AND(Q739&gt;0,Q739&lt;30,K739&gt;7,K739&lt;17),'Udvaskning nøgletal'!$C$61,IF(AND(Q739&gt;0,Q739&lt;30,K739&lt;7),'Udvaskning nøgletal'!$C$62,"")))</f>
        <v/>
      </c>
      <c r="AI739" s="10">
        <f t="shared" si="120"/>
        <v>260</v>
      </c>
      <c r="AJ739" s="10">
        <f>IF($X739=1,LOOKUP(AI739,'Udvaskning nøgletal'!$C$12:$C$62,'Udvaskning nøgletal'!$E$12:$E$62)+Markniveau!$Y739*Markniveau!$S739/100,IF($X739=2,LOOKUP(AI739,'Udvaskning nøgletal'!$C$12:$C$62,'Udvaskning nøgletal'!$F$12:$F$62)+Markniveau!$Y739*Markniveau!$S739/100,IF($X739=3,LOOKUP(AI739,'Udvaskning nøgletal'!$C$12:$C$62,'Udvaskning nøgletal'!Q749:Q799)+Markniveau!$Y739*Markniveau!$S739/100,"")))</f>
        <v>33.723295792149436</v>
      </c>
      <c r="AK739" s="10">
        <f t="shared" si="119"/>
        <v>50.247710730302657</v>
      </c>
      <c r="AL739" s="10">
        <f t="shared" si="121"/>
        <v>1.6861647896074716</v>
      </c>
      <c r="AM739" s="10">
        <f t="shared" si="122"/>
        <v>2.5123855365151329</v>
      </c>
    </row>
    <row r="740" spans="1:39" x14ac:dyDescent="0.25">
      <c r="A740" s="15">
        <v>26019788</v>
      </c>
      <c r="B740" s="15">
        <v>52</v>
      </c>
      <c r="C740" s="15">
        <v>89855</v>
      </c>
      <c r="D740" s="15">
        <v>92962</v>
      </c>
      <c r="E740" s="15" t="s">
        <v>615</v>
      </c>
      <c r="F740" s="15">
        <v>2011</v>
      </c>
      <c r="G740" s="15">
        <v>20110408</v>
      </c>
      <c r="H740" s="15">
        <v>29954</v>
      </c>
      <c r="I740" s="15">
        <v>3</v>
      </c>
      <c r="J740" s="6" t="s">
        <v>38</v>
      </c>
      <c r="K740" s="15">
        <v>260</v>
      </c>
      <c r="L740" s="15" t="s">
        <v>45</v>
      </c>
      <c r="M740" s="15" t="s">
        <v>5</v>
      </c>
      <c r="N740" s="11" t="s">
        <v>1384</v>
      </c>
      <c r="O740" s="11" t="s">
        <v>28</v>
      </c>
      <c r="P740" s="11" t="s">
        <v>29</v>
      </c>
      <c r="Q740" s="15">
        <v>95</v>
      </c>
      <c r="R740" s="11" t="s">
        <v>3</v>
      </c>
      <c r="S740" s="10">
        <v>168.4925499492</v>
      </c>
      <c r="T740" s="15">
        <v>80</v>
      </c>
      <c r="U740" s="15">
        <v>0</v>
      </c>
      <c r="V740" s="15">
        <v>1</v>
      </c>
      <c r="W740" s="15">
        <v>0</v>
      </c>
      <c r="X740" s="15">
        <f>IF(O740='Udvaskning nøgletal'!$D$65,1,IF(O740='Udvaskning nøgletal'!$D$66,2,IF(O740='Udvaskning nøgletal'!$D$67,3,IF(O740='Udvaskning nøgletal'!$D$68,2,""))))</f>
        <v>1</v>
      </c>
      <c r="Y740" s="15">
        <f>LOOKUP(K740,'Udvaskning nøgletal'!$C$12:$C$60,'Udvaskning nøgletal'!$H$12:$H$60)</f>
        <v>0</v>
      </c>
      <c r="Z740" s="10">
        <f>IF(X740=1,LOOKUP(K740,'Udvaskning nøgletal'!$C$12:$C$60,'Udvaskning nøgletal'!$E$12:$E$60)+Markniveau!Y740*Markniveau!S740/100,IF(X740=2,LOOKUP(K740,'Udvaskning nøgletal'!$C$12:$C$60,'Udvaskning nøgletal'!$F$12:$F$60)+Markniveau!Y740*Markniveau!S740/100,IF(X740=3,LOOKUP(K740,'Udvaskning nøgletal'!$C$12:$C$60,'Udvaskning nøgletal'!G750:G798)+Markniveau!Y740*Markniveau!S740/100,"")))</f>
        <v>33.723295792149436</v>
      </c>
      <c r="AA740" s="10">
        <f t="shared" si="116"/>
        <v>101.16988737644832</v>
      </c>
      <c r="AB740" s="10">
        <f t="shared" si="115"/>
        <v>1.6861647896074716</v>
      </c>
      <c r="AC740" s="10">
        <f t="shared" si="117"/>
        <v>5.0584943688224149</v>
      </c>
      <c r="AD740" s="10">
        <f>IF(AND(Q740&gt;0,Q740&lt;30,K740&lt;8),Markniveau!Z740*'Udvaskning nøgletal'!$I$12/100,IF(AND(Q740&gt;0,Q740&lt;30,K740=216),Markniveau!Z740*'Udvaskning nøgletal'!$I$34/100,Markniveau!Z740))</f>
        <v>33.723295792149436</v>
      </c>
      <c r="AE740" s="10">
        <f t="shared" si="123"/>
        <v>101.16988737644832</v>
      </c>
      <c r="AF740" s="10">
        <f t="shared" si="118"/>
        <v>1.6861647896074716</v>
      </c>
      <c r="AG740" s="10">
        <f t="shared" si="124"/>
        <v>5.0584943688224149</v>
      </c>
      <c r="AH740" s="10" t="str">
        <f>IF(AND(Q740&gt;0,Q740&lt;30,K740=216),'Udvaskning nøgletal'!$C$42,IF(AND(Q740&gt;0,Q740&lt;30,K740&gt;7,K740&lt;17),'Udvaskning nøgletal'!$C$61,IF(AND(Q740&gt;0,Q740&lt;30,K740&lt;7),'Udvaskning nøgletal'!$C$62,"")))</f>
        <v/>
      </c>
      <c r="AI740" s="10">
        <f t="shared" si="120"/>
        <v>260</v>
      </c>
      <c r="AJ740" s="10">
        <f>IF($X740=1,LOOKUP(AI740,'Udvaskning nøgletal'!$C$12:$C$62,'Udvaskning nøgletal'!$E$12:$E$62)+Markniveau!$Y740*Markniveau!$S740/100,IF($X740=2,LOOKUP(AI740,'Udvaskning nøgletal'!$C$12:$C$62,'Udvaskning nøgletal'!$F$12:$F$62)+Markniveau!$Y740*Markniveau!$S740/100,IF($X740=3,LOOKUP(AI740,'Udvaskning nøgletal'!$C$12:$C$62,'Udvaskning nøgletal'!Q750:Q800)+Markniveau!$Y740*Markniveau!$S740/100,"")))</f>
        <v>33.723295792149436</v>
      </c>
      <c r="AK740" s="10">
        <f t="shared" si="119"/>
        <v>101.16988737644832</v>
      </c>
      <c r="AL740" s="10">
        <f t="shared" si="121"/>
        <v>1.6861647896074716</v>
      </c>
      <c r="AM740" s="10">
        <f t="shared" si="122"/>
        <v>5.0584943688224149</v>
      </c>
    </row>
    <row r="741" spans="1:39" x14ac:dyDescent="0.25">
      <c r="A741" s="15">
        <v>26019788</v>
      </c>
      <c r="B741" s="15">
        <v>52</v>
      </c>
      <c r="C741" s="15">
        <v>89856</v>
      </c>
      <c r="D741" s="15">
        <v>92962</v>
      </c>
      <c r="E741" s="15" t="s">
        <v>615</v>
      </c>
      <c r="F741" s="15">
        <v>2011</v>
      </c>
      <c r="G741" s="15">
        <v>20110408</v>
      </c>
      <c r="H741" s="15">
        <v>6418</v>
      </c>
      <c r="I741" s="15">
        <v>0.64</v>
      </c>
      <c r="J741" s="6" t="s">
        <v>1394</v>
      </c>
      <c r="K741" s="15">
        <v>230</v>
      </c>
      <c r="L741" s="15" t="s">
        <v>120</v>
      </c>
      <c r="M741" s="15" t="s">
        <v>5</v>
      </c>
      <c r="N741" s="11" t="s">
        <v>1384</v>
      </c>
      <c r="O741" s="11" t="s">
        <v>28</v>
      </c>
      <c r="P741" s="11" t="s">
        <v>29</v>
      </c>
      <c r="Q741" s="15">
        <v>95</v>
      </c>
      <c r="R741" s="11" t="s">
        <v>3</v>
      </c>
      <c r="S741" s="10">
        <v>168.4925499492</v>
      </c>
      <c r="T741" s="15">
        <v>80</v>
      </c>
      <c r="U741" s="15">
        <v>0</v>
      </c>
      <c r="V741" s="15">
        <v>1</v>
      </c>
      <c r="W741" s="15">
        <v>0</v>
      </c>
      <c r="X741" s="15">
        <f>IF(O741='Udvaskning nøgletal'!$D$65,1,IF(O741='Udvaskning nøgletal'!$D$66,2,IF(O741='Udvaskning nøgletal'!$D$67,3,IF(O741='Udvaskning nøgletal'!$D$68,2,""))))</f>
        <v>1</v>
      </c>
      <c r="Y741" s="15">
        <f>LOOKUP(K741,'Udvaskning nøgletal'!$C$12:$C$60,'Udvaskning nøgletal'!$H$12:$H$60)</f>
        <v>0</v>
      </c>
      <c r="Z741" s="10">
        <f>IF(X741=1,LOOKUP(K741,'Udvaskning nøgletal'!$C$12:$C$60,'Udvaskning nøgletal'!$E$12:$E$60)+Markniveau!Y741*Markniveau!S741/100,IF(X741=2,LOOKUP(K741,'Udvaskning nøgletal'!$C$12:$C$60,'Udvaskning nøgletal'!$F$12:$F$60)+Markniveau!Y741*Markniveau!S741/100,IF(X741=3,LOOKUP(K741,'Udvaskning nøgletal'!$C$12:$C$60,'Udvaskning nøgletal'!G751:G799)+Markniveau!Y741*Markniveau!S741/100,"")))</f>
        <v>38.620385460262987</v>
      </c>
      <c r="AA741" s="10">
        <f t="shared" si="116"/>
        <v>24.717046694568314</v>
      </c>
      <c r="AB741" s="10">
        <f t="shared" si="115"/>
        <v>1.9310192730131492</v>
      </c>
      <c r="AC741" s="10">
        <f t="shared" si="117"/>
        <v>1.2358523347284156</v>
      </c>
      <c r="AD741" s="10">
        <f>IF(AND(Q741&gt;0,Q741&lt;30,K741&lt;8),Markniveau!Z741*'Udvaskning nøgletal'!$I$12/100,IF(AND(Q741&gt;0,Q741&lt;30,K741=216),Markniveau!Z741*'Udvaskning nøgletal'!$I$34/100,Markniveau!Z741))</f>
        <v>38.620385460262987</v>
      </c>
      <c r="AE741" s="10">
        <f t="shared" si="123"/>
        <v>24.717046694568314</v>
      </c>
      <c r="AF741" s="10">
        <f t="shared" si="118"/>
        <v>1.9310192730131492</v>
      </c>
      <c r="AG741" s="10">
        <f t="shared" si="124"/>
        <v>1.2358523347284156</v>
      </c>
      <c r="AH741" s="10" t="str">
        <f>IF(AND(Q741&gt;0,Q741&lt;30,K741=216),'Udvaskning nøgletal'!$C$42,IF(AND(Q741&gt;0,Q741&lt;30,K741&gt;7,K741&lt;17),'Udvaskning nøgletal'!$C$61,IF(AND(Q741&gt;0,Q741&lt;30,K741&lt;7),'Udvaskning nøgletal'!$C$62,"")))</f>
        <v/>
      </c>
      <c r="AI741" s="10">
        <f t="shared" si="120"/>
        <v>230</v>
      </c>
      <c r="AJ741" s="10">
        <f>IF($X741=1,LOOKUP(AI741,'Udvaskning nøgletal'!$C$12:$C$62,'Udvaskning nøgletal'!$E$12:$E$62)+Markniveau!$Y741*Markniveau!$S741/100,IF($X741=2,LOOKUP(AI741,'Udvaskning nøgletal'!$C$12:$C$62,'Udvaskning nøgletal'!$F$12:$F$62)+Markniveau!$Y741*Markniveau!$S741/100,IF($X741=3,LOOKUP(AI741,'Udvaskning nøgletal'!$C$12:$C$62,'Udvaskning nøgletal'!Q751:Q801)+Markniveau!$Y741*Markniveau!$S741/100,"")))</f>
        <v>38.620385460262987</v>
      </c>
      <c r="AK741" s="10">
        <f t="shared" si="119"/>
        <v>24.717046694568314</v>
      </c>
      <c r="AL741" s="10">
        <f t="shared" si="121"/>
        <v>1.9310192730131492</v>
      </c>
      <c r="AM741" s="10">
        <f t="shared" si="122"/>
        <v>1.2358523347284156</v>
      </c>
    </row>
    <row r="742" spans="1:39" x14ac:dyDescent="0.25">
      <c r="A742" s="15">
        <v>26019788</v>
      </c>
      <c r="B742" s="15">
        <v>52</v>
      </c>
      <c r="C742" s="15">
        <v>89857</v>
      </c>
      <c r="D742" s="15">
        <v>92962</v>
      </c>
      <c r="E742" s="15" t="s">
        <v>615</v>
      </c>
      <c r="F742" s="15">
        <v>2011</v>
      </c>
      <c r="G742" s="15">
        <v>20110408</v>
      </c>
      <c r="H742" s="15">
        <v>17984</v>
      </c>
      <c r="I742" s="15">
        <v>1.8</v>
      </c>
      <c r="J742" s="6" t="s">
        <v>91</v>
      </c>
      <c r="K742" s="15">
        <v>252</v>
      </c>
      <c r="L742" s="15" t="s">
        <v>41</v>
      </c>
      <c r="M742" s="15" t="s">
        <v>4</v>
      </c>
      <c r="N742" s="11" t="s">
        <v>1384</v>
      </c>
      <c r="O742" s="11" t="s">
        <v>28</v>
      </c>
      <c r="P742" s="11" t="s">
        <v>29</v>
      </c>
      <c r="Q742" s="15">
        <v>95</v>
      </c>
      <c r="R742" s="11" t="s">
        <v>3</v>
      </c>
      <c r="S742" s="10">
        <v>168.4925499492</v>
      </c>
      <c r="T742" s="15">
        <v>80</v>
      </c>
      <c r="U742" s="15">
        <v>0</v>
      </c>
      <c r="V742" s="15">
        <v>1</v>
      </c>
      <c r="W742" s="15">
        <v>0</v>
      </c>
      <c r="X742" s="15">
        <f>IF(O742='Udvaskning nøgletal'!$D$65,1,IF(O742='Udvaskning nøgletal'!$D$66,2,IF(O742='Udvaskning nøgletal'!$D$67,3,IF(O742='Udvaskning nøgletal'!$D$68,2,""))))</f>
        <v>1</v>
      </c>
      <c r="Y742" s="15">
        <f>LOOKUP(K742,'Udvaskning nøgletal'!$C$12:$C$60,'Udvaskning nøgletal'!$H$12:$H$60)</f>
        <v>0</v>
      </c>
      <c r="Z742" s="10">
        <f>IF(X742=1,LOOKUP(K742,'Udvaskning nøgletal'!$C$12:$C$60,'Udvaskning nøgletal'!$E$12:$E$60)+Markniveau!Y742*Markniveau!S742/100,IF(X742=2,LOOKUP(K742,'Udvaskning nøgletal'!$C$12:$C$60,'Udvaskning nøgletal'!$F$12:$F$60)+Markniveau!Y742*Markniveau!S742/100,IF(X742=3,LOOKUP(K742,'Udvaskning nøgletal'!$C$12:$C$60,'Udvaskning nøgletal'!G752:G800)+Markniveau!Y742*Markniveau!S742/100,"")))</f>
        <v>21.2</v>
      </c>
      <c r="AA742" s="10">
        <f t="shared" si="116"/>
        <v>38.159999999999997</v>
      </c>
      <c r="AB742" s="10">
        <f t="shared" si="115"/>
        <v>1.06</v>
      </c>
      <c r="AC742" s="10">
        <f t="shared" si="117"/>
        <v>1.9080000000000001</v>
      </c>
      <c r="AD742" s="10">
        <f>IF(AND(Q742&gt;0,Q742&lt;30,K742&lt;8),Markniveau!Z742*'Udvaskning nøgletal'!$I$12/100,IF(AND(Q742&gt;0,Q742&lt;30,K742=216),Markniveau!Z742*'Udvaskning nøgletal'!$I$34/100,Markniveau!Z742))</f>
        <v>21.2</v>
      </c>
      <c r="AE742" s="10">
        <f t="shared" si="123"/>
        <v>38.159999999999997</v>
      </c>
      <c r="AF742" s="10">
        <f t="shared" si="118"/>
        <v>1.06</v>
      </c>
      <c r="AG742" s="10">
        <f t="shared" si="124"/>
        <v>1.9080000000000001</v>
      </c>
      <c r="AH742" s="10" t="str">
        <f>IF(AND(Q742&gt;0,Q742&lt;30,K742=216),'Udvaskning nøgletal'!$C$42,IF(AND(Q742&gt;0,Q742&lt;30,K742&gt;7,K742&lt;17),'Udvaskning nøgletal'!$C$61,IF(AND(Q742&gt;0,Q742&lt;30,K742&lt;7),'Udvaskning nøgletal'!$C$62,"")))</f>
        <v/>
      </c>
      <c r="AI742" s="10">
        <f t="shared" si="120"/>
        <v>252</v>
      </c>
      <c r="AJ742" s="10">
        <f>IF($X742=1,LOOKUP(AI742,'Udvaskning nøgletal'!$C$12:$C$62,'Udvaskning nøgletal'!$E$12:$E$62)+Markniveau!$Y742*Markniveau!$S742/100,IF($X742=2,LOOKUP(AI742,'Udvaskning nøgletal'!$C$12:$C$62,'Udvaskning nøgletal'!$F$12:$F$62)+Markniveau!$Y742*Markniveau!$S742/100,IF($X742=3,LOOKUP(AI742,'Udvaskning nøgletal'!$C$12:$C$62,'Udvaskning nøgletal'!Q752:Q802)+Markniveau!$Y742*Markniveau!$S742/100,"")))</f>
        <v>21.2</v>
      </c>
      <c r="AK742" s="10">
        <f t="shared" si="119"/>
        <v>38.159999999999997</v>
      </c>
      <c r="AL742" s="10">
        <f t="shared" si="121"/>
        <v>1.06</v>
      </c>
      <c r="AM742" s="10">
        <f t="shared" si="122"/>
        <v>1.9080000000000001</v>
      </c>
    </row>
    <row r="743" spans="1:39" x14ac:dyDescent="0.25">
      <c r="A743" s="15">
        <v>26019788</v>
      </c>
      <c r="B743" s="15">
        <v>52</v>
      </c>
      <c r="C743" s="15">
        <v>89858</v>
      </c>
      <c r="D743" s="15">
        <v>92962</v>
      </c>
      <c r="E743" s="15" t="s">
        <v>616</v>
      </c>
      <c r="F743" s="15">
        <v>2011</v>
      </c>
      <c r="G743" s="15">
        <v>20110408</v>
      </c>
      <c r="H743" s="15">
        <v>27687</v>
      </c>
      <c r="I743" s="15">
        <v>2.77</v>
      </c>
      <c r="J743" s="6" t="s">
        <v>53</v>
      </c>
      <c r="K743" s="15">
        <v>260</v>
      </c>
      <c r="L743" s="15" t="s">
        <v>45</v>
      </c>
      <c r="M743" s="15" t="s">
        <v>5</v>
      </c>
      <c r="N743" s="11" t="s">
        <v>1384</v>
      </c>
      <c r="O743" s="11" t="s">
        <v>28</v>
      </c>
      <c r="P743" s="11" t="s">
        <v>29</v>
      </c>
      <c r="Q743" s="15">
        <v>1</v>
      </c>
      <c r="R743" s="11" t="s">
        <v>11</v>
      </c>
      <c r="S743" s="10">
        <v>168.4925499492</v>
      </c>
      <c r="T743" s="15">
        <v>80</v>
      </c>
      <c r="U743" s="15">
        <v>0</v>
      </c>
      <c r="V743" s="15">
        <v>1</v>
      </c>
      <c r="W743" s="15">
        <v>0</v>
      </c>
      <c r="X743" s="15">
        <f>IF(O743='Udvaskning nøgletal'!$D$65,1,IF(O743='Udvaskning nøgletal'!$D$66,2,IF(O743='Udvaskning nøgletal'!$D$67,3,IF(O743='Udvaskning nøgletal'!$D$68,2,""))))</f>
        <v>1</v>
      </c>
      <c r="Y743" s="15">
        <f>LOOKUP(K743,'Udvaskning nøgletal'!$C$12:$C$60,'Udvaskning nøgletal'!$H$12:$H$60)</f>
        <v>0</v>
      </c>
      <c r="Z743" s="10">
        <f>IF(X743=1,LOOKUP(K743,'Udvaskning nøgletal'!$C$12:$C$60,'Udvaskning nøgletal'!$E$12:$E$60)+Markniveau!Y743*Markniveau!S743/100,IF(X743=2,LOOKUP(K743,'Udvaskning nøgletal'!$C$12:$C$60,'Udvaskning nøgletal'!$F$12:$F$60)+Markniveau!Y743*Markniveau!S743/100,IF(X743=3,LOOKUP(K743,'Udvaskning nøgletal'!$C$12:$C$60,'Udvaskning nøgletal'!G753:G801)+Markniveau!Y743*Markniveau!S743/100,"")))</f>
        <v>33.723295792149436</v>
      </c>
      <c r="AA743" s="10">
        <f t="shared" si="116"/>
        <v>93.413529344253945</v>
      </c>
      <c r="AB743" s="10">
        <f t="shared" si="115"/>
        <v>33.386062834227943</v>
      </c>
      <c r="AC743" s="10">
        <f t="shared" si="117"/>
        <v>92.479394050811408</v>
      </c>
      <c r="AD743" s="10">
        <f>IF(AND(Q743&gt;0,Q743&lt;30,K743&lt;8),Markniveau!Z743*'Udvaskning nøgletal'!$I$12/100,IF(AND(Q743&gt;0,Q743&lt;30,K743=216),Markniveau!Z743*'Udvaskning nøgletal'!$I$34/100,Markniveau!Z743))</f>
        <v>33.723295792149436</v>
      </c>
      <c r="AE743" s="10">
        <f t="shared" si="123"/>
        <v>93.413529344253945</v>
      </c>
      <c r="AF743" s="10">
        <f t="shared" si="118"/>
        <v>33.386062834227943</v>
      </c>
      <c r="AG743" s="10">
        <f t="shared" si="124"/>
        <v>92.479394050811408</v>
      </c>
      <c r="AH743" s="10" t="str">
        <f>IF(AND(Q743&gt;0,Q743&lt;30,K743=216),'Udvaskning nøgletal'!$C$42,IF(AND(Q743&gt;0,Q743&lt;30,K743&gt;7,K743&lt;17),'Udvaskning nøgletal'!$C$61,IF(AND(Q743&gt;0,Q743&lt;30,K743&lt;7),'Udvaskning nøgletal'!$C$62,"")))</f>
        <v/>
      </c>
      <c r="AI743" s="10">
        <f t="shared" si="120"/>
        <v>260</v>
      </c>
      <c r="AJ743" s="10">
        <f>IF($X743=1,LOOKUP(AI743,'Udvaskning nøgletal'!$C$12:$C$62,'Udvaskning nøgletal'!$E$12:$E$62)+Markniveau!$Y743*Markniveau!$S743/100,IF($X743=2,LOOKUP(AI743,'Udvaskning nøgletal'!$C$12:$C$62,'Udvaskning nøgletal'!$F$12:$F$62)+Markniveau!$Y743*Markniveau!$S743/100,IF($X743=3,LOOKUP(AI743,'Udvaskning nøgletal'!$C$12:$C$62,'Udvaskning nøgletal'!Q753:Q803)+Markniveau!$Y743*Markniveau!$S743/100,"")))</f>
        <v>33.723295792149436</v>
      </c>
      <c r="AK743" s="10">
        <f t="shared" si="119"/>
        <v>93.413529344253945</v>
      </c>
      <c r="AL743" s="10">
        <f t="shared" si="121"/>
        <v>33.386062834227943</v>
      </c>
      <c r="AM743" s="10">
        <f t="shared" si="122"/>
        <v>92.479394050811408</v>
      </c>
    </row>
    <row r="744" spans="1:39" x14ac:dyDescent="0.25">
      <c r="A744" s="15">
        <v>26019788</v>
      </c>
      <c r="B744" s="15">
        <v>52</v>
      </c>
      <c r="C744" s="15">
        <v>89859</v>
      </c>
      <c r="D744" s="15">
        <v>92962</v>
      </c>
      <c r="E744" s="15" t="s">
        <v>616</v>
      </c>
      <c r="F744" s="15">
        <v>2011</v>
      </c>
      <c r="G744" s="15">
        <v>20110408</v>
      </c>
      <c r="H744" s="15">
        <v>20170</v>
      </c>
      <c r="I744" s="15">
        <v>2.02</v>
      </c>
      <c r="J744" s="6" t="s">
        <v>87</v>
      </c>
      <c r="K744" s="15">
        <v>260</v>
      </c>
      <c r="L744" s="15" t="s">
        <v>45</v>
      </c>
      <c r="M744" s="15" t="s">
        <v>5</v>
      </c>
      <c r="N744" s="11" t="s">
        <v>1384</v>
      </c>
      <c r="O744" s="11" t="s">
        <v>28</v>
      </c>
      <c r="P744" s="11" t="s">
        <v>29</v>
      </c>
      <c r="Q744" s="15">
        <v>1</v>
      </c>
      <c r="R744" s="11" t="s">
        <v>11</v>
      </c>
      <c r="S744" s="10">
        <v>168.4925499492</v>
      </c>
      <c r="T744" s="15">
        <v>80</v>
      </c>
      <c r="U744" s="15">
        <v>0</v>
      </c>
      <c r="V744" s="15">
        <v>1</v>
      </c>
      <c r="W744" s="15">
        <v>0</v>
      </c>
      <c r="X744" s="15">
        <f>IF(O744='Udvaskning nøgletal'!$D$65,1,IF(O744='Udvaskning nøgletal'!$D$66,2,IF(O744='Udvaskning nøgletal'!$D$67,3,IF(O744='Udvaskning nøgletal'!$D$68,2,""))))</f>
        <v>1</v>
      </c>
      <c r="Y744" s="15">
        <f>LOOKUP(K744,'Udvaskning nøgletal'!$C$12:$C$60,'Udvaskning nøgletal'!$H$12:$H$60)</f>
        <v>0</v>
      </c>
      <c r="Z744" s="10">
        <f>IF(X744=1,LOOKUP(K744,'Udvaskning nøgletal'!$C$12:$C$60,'Udvaskning nøgletal'!$E$12:$E$60)+Markniveau!Y744*Markniveau!S744/100,IF(X744=2,LOOKUP(K744,'Udvaskning nøgletal'!$C$12:$C$60,'Udvaskning nøgletal'!$F$12:$F$60)+Markniveau!Y744*Markniveau!S744/100,IF(X744=3,LOOKUP(K744,'Udvaskning nøgletal'!$C$12:$C$60,'Udvaskning nøgletal'!G754:G802)+Markniveau!Y744*Markniveau!S744/100,"")))</f>
        <v>33.723295792149436</v>
      </c>
      <c r="AA744" s="10">
        <f t="shared" si="116"/>
        <v>68.121057500141859</v>
      </c>
      <c r="AB744" s="10">
        <f t="shared" si="115"/>
        <v>33.386062834227943</v>
      </c>
      <c r="AC744" s="10">
        <f t="shared" si="117"/>
        <v>67.439846925140444</v>
      </c>
      <c r="AD744" s="10">
        <f>IF(AND(Q744&gt;0,Q744&lt;30,K744&lt;8),Markniveau!Z744*'Udvaskning nøgletal'!$I$12/100,IF(AND(Q744&gt;0,Q744&lt;30,K744=216),Markniveau!Z744*'Udvaskning nøgletal'!$I$34/100,Markniveau!Z744))</f>
        <v>33.723295792149436</v>
      </c>
      <c r="AE744" s="10">
        <f t="shared" si="123"/>
        <v>68.121057500141859</v>
      </c>
      <c r="AF744" s="10">
        <f t="shared" si="118"/>
        <v>33.386062834227943</v>
      </c>
      <c r="AG744" s="10">
        <f t="shared" si="124"/>
        <v>67.439846925140444</v>
      </c>
      <c r="AH744" s="10" t="str">
        <f>IF(AND(Q744&gt;0,Q744&lt;30,K744=216),'Udvaskning nøgletal'!$C$42,IF(AND(Q744&gt;0,Q744&lt;30,K744&gt;7,K744&lt;17),'Udvaskning nøgletal'!$C$61,IF(AND(Q744&gt;0,Q744&lt;30,K744&lt;7),'Udvaskning nøgletal'!$C$62,"")))</f>
        <v/>
      </c>
      <c r="AI744" s="10">
        <f t="shared" si="120"/>
        <v>260</v>
      </c>
      <c r="AJ744" s="10">
        <f>IF($X744=1,LOOKUP(AI744,'Udvaskning nøgletal'!$C$12:$C$62,'Udvaskning nøgletal'!$E$12:$E$62)+Markniveau!$Y744*Markniveau!$S744/100,IF($X744=2,LOOKUP(AI744,'Udvaskning nøgletal'!$C$12:$C$62,'Udvaskning nøgletal'!$F$12:$F$62)+Markniveau!$Y744*Markniveau!$S744/100,IF($X744=3,LOOKUP(AI744,'Udvaskning nøgletal'!$C$12:$C$62,'Udvaskning nøgletal'!Q754:Q804)+Markniveau!$Y744*Markniveau!$S744/100,"")))</f>
        <v>33.723295792149436</v>
      </c>
      <c r="AK744" s="10">
        <f t="shared" si="119"/>
        <v>68.121057500141859</v>
      </c>
      <c r="AL744" s="10">
        <f t="shared" si="121"/>
        <v>33.386062834227943</v>
      </c>
      <c r="AM744" s="10">
        <f t="shared" si="122"/>
        <v>67.439846925140444</v>
      </c>
    </row>
    <row r="745" spans="1:39" x14ac:dyDescent="0.25">
      <c r="A745" s="15">
        <v>26019788</v>
      </c>
      <c r="B745" s="15">
        <v>52</v>
      </c>
      <c r="C745" s="15">
        <v>89860</v>
      </c>
      <c r="D745" s="15">
        <v>92962</v>
      </c>
      <c r="E745" s="15" t="s">
        <v>616</v>
      </c>
      <c r="F745" s="15">
        <v>2011</v>
      </c>
      <c r="G745" s="15">
        <v>20110408</v>
      </c>
      <c r="H745" s="15">
        <v>19848</v>
      </c>
      <c r="I745" s="15">
        <v>1.98</v>
      </c>
      <c r="J745" s="6" t="s">
        <v>86</v>
      </c>
      <c r="K745" s="15">
        <v>260</v>
      </c>
      <c r="L745" s="15" t="s">
        <v>45</v>
      </c>
      <c r="M745" s="15" t="s">
        <v>5</v>
      </c>
      <c r="N745" s="11" t="s">
        <v>1384</v>
      </c>
      <c r="O745" s="11" t="s">
        <v>28</v>
      </c>
      <c r="P745" s="11" t="s">
        <v>29</v>
      </c>
      <c r="Q745" s="15">
        <v>1</v>
      </c>
      <c r="R745" s="11" t="s">
        <v>11</v>
      </c>
      <c r="S745" s="10">
        <v>168.4925499492</v>
      </c>
      <c r="T745" s="15">
        <v>80</v>
      </c>
      <c r="U745" s="15">
        <v>0</v>
      </c>
      <c r="V745" s="15">
        <v>1</v>
      </c>
      <c r="W745" s="15">
        <v>0</v>
      </c>
      <c r="X745" s="15">
        <f>IF(O745='Udvaskning nøgletal'!$D$65,1,IF(O745='Udvaskning nøgletal'!$D$66,2,IF(O745='Udvaskning nøgletal'!$D$67,3,IF(O745='Udvaskning nøgletal'!$D$68,2,""))))</f>
        <v>1</v>
      </c>
      <c r="Y745" s="15">
        <f>LOOKUP(K745,'Udvaskning nøgletal'!$C$12:$C$60,'Udvaskning nøgletal'!$H$12:$H$60)</f>
        <v>0</v>
      </c>
      <c r="Z745" s="10">
        <f>IF(X745=1,LOOKUP(K745,'Udvaskning nøgletal'!$C$12:$C$60,'Udvaskning nøgletal'!$E$12:$E$60)+Markniveau!Y745*Markniveau!S745/100,IF(X745=2,LOOKUP(K745,'Udvaskning nøgletal'!$C$12:$C$60,'Udvaskning nøgletal'!$F$12:$F$60)+Markniveau!Y745*Markniveau!S745/100,IF(X745=3,LOOKUP(K745,'Udvaskning nøgletal'!$C$12:$C$60,'Udvaskning nøgletal'!G755:G803)+Markniveau!Y745*Markniveau!S745/100,"")))</f>
        <v>33.723295792149436</v>
      </c>
      <c r="AA745" s="10">
        <f t="shared" si="116"/>
        <v>66.772125668455885</v>
      </c>
      <c r="AB745" s="10">
        <f t="shared" si="115"/>
        <v>33.386062834227943</v>
      </c>
      <c r="AC745" s="10">
        <f t="shared" si="117"/>
        <v>66.104404411771327</v>
      </c>
      <c r="AD745" s="10">
        <f>IF(AND(Q745&gt;0,Q745&lt;30,K745&lt;8),Markniveau!Z745*'Udvaskning nøgletal'!$I$12/100,IF(AND(Q745&gt;0,Q745&lt;30,K745=216),Markniveau!Z745*'Udvaskning nøgletal'!$I$34/100,Markniveau!Z745))</f>
        <v>33.723295792149436</v>
      </c>
      <c r="AE745" s="10">
        <f t="shared" si="123"/>
        <v>66.772125668455885</v>
      </c>
      <c r="AF745" s="10">
        <f t="shared" si="118"/>
        <v>33.386062834227943</v>
      </c>
      <c r="AG745" s="10">
        <f t="shared" si="124"/>
        <v>66.104404411771327</v>
      </c>
      <c r="AH745" s="10" t="str">
        <f>IF(AND(Q745&gt;0,Q745&lt;30,K745=216),'Udvaskning nøgletal'!$C$42,IF(AND(Q745&gt;0,Q745&lt;30,K745&gt;7,K745&lt;17),'Udvaskning nøgletal'!$C$61,IF(AND(Q745&gt;0,Q745&lt;30,K745&lt;7),'Udvaskning nøgletal'!$C$62,"")))</f>
        <v/>
      </c>
      <c r="AI745" s="10">
        <f t="shared" si="120"/>
        <v>260</v>
      </c>
      <c r="AJ745" s="10">
        <f>IF($X745=1,LOOKUP(AI745,'Udvaskning nøgletal'!$C$12:$C$62,'Udvaskning nøgletal'!$E$12:$E$62)+Markniveau!$Y745*Markniveau!$S745/100,IF($X745=2,LOOKUP(AI745,'Udvaskning nøgletal'!$C$12:$C$62,'Udvaskning nøgletal'!$F$12:$F$62)+Markniveau!$Y745*Markniveau!$S745/100,IF($X745=3,LOOKUP(AI745,'Udvaskning nøgletal'!$C$12:$C$62,'Udvaskning nøgletal'!Q755:Q805)+Markniveau!$Y745*Markniveau!$S745/100,"")))</f>
        <v>33.723295792149436</v>
      </c>
      <c r="AK745" s="10">
        <f t="shared" si="119"/>
        <v>66.772125668455885</v>
      </c>
      <c r="AL745" s="10">
        <f t="shared" si="121"/>
        <v>33.386062834227943</v>
      </c>
      <c r="AM745" s="10">
        <f t="shared" si="122"/>
        <v>66.104404411771327</v>
      </c>
    </row>
    <row r="746" spans="1:39" x14ac:dyDescent="0.25">
      <c r="A746" s="15">
        <v>26019788</v>
      </c>
      <c r="B746" s="15">
        <v>52</v>
      </c>
      <c r="C746" s="15">
        <v>89861</v>
      </c>
      <c r="D746" s="15">
        <v>92962</v>
      </c>
      <c r="E746" s="15" t="s">
        <v>616</v>
      </c>
      <c r="F746" s="15">
        <v>2011</v>
      </c>
      <c r="G746" s="15">
        <v>20110408</v>
      </c>
      <c r="H746" s="15">
        <v>23017</v>
      </c>
      <c r="I746" s="15">
        <v>2.2999999999999998</v>
      </c>
      <c r="J746" s="6" t="s">
        <v>1437</v>
      </c>
      <c r="K746" s="15">
        <v>216</v>
      </c>
      <c r="L746" s="15" t="s">
        <v>116</v>
      </c>
      <c r="M746" s="15" t="s">
        <v>5</v>
      </c>
      <c r="N746" s="11" t="s">
        <v>1384</v>
      </c>
      <c r="O746" s="11" t="s">
        <v>28</v>
      </c>
      <c r="P746" s="11" t="s">
        <v>29</v>
      </c>
      <c r="Q746" s="15">
        <v>95</v>
      </c>
      <c r="R746" s="11" t="s">
        <v>3</v>
      </c>
      <c r="S746" s="10">
        <v>168.4925499492</v>
      </c>
      <c r="T746" s="15">
        <v>80</v>
      </c>
      <c r="U746" s="15">
        <v>0</v>
      </c>
      <c r="V746" s="15">
        <v>1</v>
      </c>
      <c r="W746" s="15">
        <v>0</v>
      </c>
      <c r="X746" s="15">
        <f>IF(O746='Udvaskning nøgletal'!$D$65,1,IF(O746='Udvaskning nøgletal'!$D$66,2,IF(O746='Udvaskning nøgletal'!$D$67,3,IF(O746='Udvaskning nøgletal'!$D$68,2,""))))</f>
        <v>1</v>
      </c>
      <c r="Y746" s="15">
        <f>LOOKUP(K746,'Udvaskning nøgletal'!$C$12:$C$60,'Udvaskning nøgletal'!$H$12:$H$60)</f>
        <v>0</v>
      </c>
      <c r="Z746" s="10">
        <f>IF(X746=1,LOOKUP(K746,'Udvaskning nøgletal'!$C$12:$C$60,'Udvaskning nøgletal'!$E$12:$E$60)+Markniveau!Y746*Markniveau!S746/100,IF(X746=2,LOOKUP(K746,'Udvaskning nøgletal'!$C$12:$C$60,'Udvaskning nøgletal'!$F$12:$F$60)+Markniveau!Y746*Markniveau!S746/100,IF(X746=3,LOOKUP(K746,'Udvaskning nøgletal'!$C$12:$C$60,'Udvaskning nøgletal'!G756:G804)+Markniveau!Y746*Markniveau!S746/100,"")))</f>
        <v>125.85383557148924</v>
      </c>
      <c r="AA746" s="10">
        <f t="shared" si="116"/>
        <v>289.46382181442522</v>
      </c>
      <c r="AB746" s="10">
        <f t="shared" si="115"/>
        <v>6.2926917785744623</v>
      </c>
      <c r="AC746" s="10">
        <f t="shared" si="117"/>
        <v>14.473191090721262</v>
      </c>
      <c r="AD746" s="10">
        <f>IF(AND(Q746&gt;0,Q746&lt;30,K746&lt;8),Markniveau!Z746*'Udvaskning nøgletal'!$I$12/100,IF(AND(Q746&gt;0,Q746&lt;30,K746=216),Markniveau!Z746*'Udvaskning nøgletal'!$I$34/100,Markniveau!Z746))</f>
        <v>125.85383557148924</v>
      </c>
      <c r="AE746" s="10">
        <f t="shared" si="123"/>
        <v>289.46382181442522</v>
      </c>
      <c r="AF746" s="10">
        <f t="shared" si="118"/>
        <v>6.2926917785744623</v>
      </c>
      <c r="AG746" s="10">
        <f t="shared" si="124"/>
        <v>14.473191090721262</v>
      </c>
      <c r="AH746" s="10" t="str">
        <f>IF(AND(Q746&gt;0,Q746&lt;30,K746=216),'Udvaskning nøgletal'!$C$42,IF(AND(Q746&gt;0,Q746&lt;30,K746&gt;7,K746&lt;17),'Udvaskning nøgletal'!$C$61,IF(AND(Q746&gt;0,Q746&lt;30,K746&lt;7),'Udvaskning nøgletal'!$C$62,"")))</f>
        <v/>
      </c>
      <c r="AI746" s="10">
        <f t="shared" si="120"/>
        <v>216</v>
      </c>
      <c r="AJ746" s="10">
        <f>IF($X746=1,LOOKUP(AI746,'Udvaskning nøgletal'!$C$12:$C$62,'Udvaskning nøgletal'!$E$12:$E$62)+Markniveau!$Y746*Markniveau!$S746/100,IF($X746=2,LOOKUP(AI746,'Udvaskning nøgletal'!$C$12:$C$62,'Udvaskning nøgletal'!$F$12:$F$62)+Markniveau!$Y746*Markniveau!$S746/100,IF($X746=3,LOOKUP(AI746,'Udvaskning nøgletal'!$C$12:$C$62,'Udvaskning nøgletal'!Q756:Q806)+Markniveau!$Y746*Markniveau!$S746/100,"")))</f>
        <v>125.85383557148924</v>
      </c>
      <c r="AK746" s="10">
        <f t="shared" si="119"/>
        <v>289.46382181442522</v>
      </c>
      <c r="AL746" s="10">
        <f t="shared" si="121"/>
        <v>6.2926917785744623</v>
      </c>
      <c r="AM746" s="10">
        <f t="shared" si="122"/>
        <v>14.473191090721262</v>
      </c>
    </row>
    <row r="747" spans="1:39" x14ac:dyDescent="0.25">
      <c r="A747" s="15">
        <v>26019788</v>
      </c>
      <c r="B747" s="15">
        <v>52</v>
      </c>
      <c r="C747" s="15">
        <v>89862</v>
      </c>
      <c r="D747" s="15">
        <v>92962</v>
      </c>
      <c r="E747" s="15" t="s">
        <v>617</v>
      </c>
      <c r="F747" s="15">
        <v>2011</v>
      </c>
      <c r="G747" s="15">
        <v>20110408</v>
      </c>
      <c r="H747" s="15">
        <v>30914</v>
      </c>
      <c r="I747" s="15">
        <v>3.09</v>
      </c>
      <c r="J747" s="6" t="s">
        <v>164</v>
      </c>
      <c r="K747" s="15">
        <v>1</v>
      </c>
      <c r="L747" s="15" t="s">
        <v>32</v>
      </c>
      <c r="M747" s="15" t="s">
        <v>5</v>
      </c>
      <c r="N747" s="11" t="s">
        <v>1384</v>
      </c>
      <c r="O747" s="11" t="s">
        <v>28</v>
      </c>
      <c r="P747" s="11" t="s">
        <v>33</v>
      </c>
      <c r="Q747" s="15">
        <v>95</v>
      </c>
      <c r="R747" s="11" t="s">
        <v>3</v>
      </c>
      <c r="S747" s="10">
        <v>168.4925499492</v>
      </c>
      <c r="T747" s="15">
        <v>80</v>
      </c>
      <c r="U747" s="15">
        <v>0</v>
      </c>
      <c r="V747" s="15">
        <v>1</v>
      </c>
      <c r="W747" s="15">
        <v>0</v>
      </c>
      <c r="X747" s="15">
        <f>IF(O747='Udvaskning nøgletal'!$D$65,1,IF(O747='Udvaskning nøgletal'!$D$66,2,IF(O747='Udvaskning nøgletal'!$D$67,3,IF(O747='Udvaskning nøgletal'!$D$68,2,""))))</f>
        <v>1</v>
      </c>
      <c r="Y747" s="15">
        <f>LOOKUP(K747,'Udvaskning nøgletal'!$C$12:$C$60,'Udvaskning nøgletal'!$H$12:$H$60)</f>
        <v>5</v>
      </c>
      <c r="Z747" s="10">
        <f>IF(X747=1,LOOKUP(K747,'Udvaskning nøgletal'!$C$12:$C$60,'Udvaskning nøgletal'!$E$12:$E$60)+Markniveau!Y747*Markniveau!S747/100,IF(X747=2,LOOKUP(K747,'Udvaskning nøgletal'!$C$12:$C$60,'Udvaskning nøgletal'!$F$12:$F$60)+Markniveau!Y747*Markniveau!S747/100,IF(X747=3,LOOKUP(K747,'Udvaskning nøgletal'!$C$12:$C$60,'Udvaskning nøgletal'!G757:G805)+Markniveau!Y747*Markniveau!S747/100,"")))</f>
        <v>73.084627497459991</v>
      </c>
      <c r="AA747" s="10">
        <f t="shared" si="116"/>
        <v>225.83149896715136</v>
      </c>
      <c r="AB747" s="10">
        <f t="shared" si="115"/>
        <v>3.654231374873</v>
      </c>
      <c r="AC747" s="10">
        <f t="shared" si="117"/>
        <v>11.291574948357569</v>
      </c>
      <c r="AD747" s="10">
        <f>IF(AND(Q747&gt;0,Q747&lt;30,K747&lt;8),Markniveau!Z747*'Udvaskning nøgletal'!$I$12/100,IF(AND(Q747&gt;0,Q747&lt;30,K747=216),Markniveau!Z747*'Udvaskning nøgletal'!$I$34/100,Markniveau!Z747))</f>
        <v>73.084627497459991</v>
      </c>
      <c r="AE747" s="10">
        <f t="shared" si="123"/>
        <v>225.83149896715136</v>
      </c>
      <c r="AF747" s="10">
        <f t="shared" si="118"/>
        <v>3.654231374873</v>
      </c>
      <c r="AG747" s="10">
        <f t="shared" si="124"/>
        <v>11.291574948357569</v>
      </c>
      <c r="AH747" s="10" t="str">
        <f>IF(AND(Q747&gt;0,Q747&lt;30,K747=216),'Udvaskning nøgletal'!$C$42,IF(AND(Q747&gt;0,Q747&lt;30,K747&gt;7,K747&lt;17),'Udvaskning nøgletal'!$C$61,IF(AND(Q747&gt;0,Q747&lt;30,K747&lt;7),'Udvaskning nøgletal'!$C$62,"")))</f>
        <v/>
      </c>
      <c r="AI747" s="10">
        <f t="shared" si="120"/>
        <v>1</v>
      </c>
      <c r="AJ747" s="10">
        <f>IF($X747=1,LOOKUP(AI747,'Udvaskning nøgletal'!$C$12:$C$62,'Udvaskning nøgletal'!$E$12:$E$62)+Markniveau!$Y747*Markniveau!$S747/100,IF($X747=2,LOOKUP(AI747,'Udvaskning nøgletal'!$C$12:$C$62,'Udvaskning nøgletal'!$F$12:$F$62)+Markniveau!$Y747*Markniveau!$S747/100,IF($X747=3,LOOKUP(AI747,'Udvaskning nøgletal'!$C$12:$C$62,'Udvaskning nøgletal'!Q757:Q807)+Markniveau!$Y747*Markniveau!$S747/100,"")))</f>
        <v>73.084627497459991</v>
      </c>
      <c r="AK747" s="10">
        <f t="shared" si="119"/>
        <v>225.83149896715136</v>
      </c>
      <c r="AL747" s="10">
        <f t="shared" si="121"/>
        <v>3.654231374873</v>
      </c>
      <c r="AM747" s="10">
        <f t="shared" si="122"/>
        <v>11.291574948357569</v>
      </c>
    </row>
    <row r="748" spans="1:39" x14ac:dyDescent="0.25">
      <c r="A748" s="15">
        <v>26019788</v>
      </c>
      <c r="B748" s="15">
        <v>52</v>
      </c>
      <c r="C748" s="15">
        <v>90359</v>
      </c>
      <c r="D748" s="15">
        <v>92962</v>
      </c>
      <c r="E748" s="15" t="s">
        <v>617</v>
      </c>
      <c r="F748" s="15">
        <v>2011</v>
      </c>
      <c r="G748" s="15">
        <v>20110408</v>
      </c>
      <c r="H748" s="15">
        <v>40279</v>
      </c>
      <c r="I748" s="15">
        <v>4.03</v>
      </c>
      <c r="J748" s="6" t="s">
        <v>137</v>
      </c>
      <c r="K748" s="15">
        <v>216</v>
      </c>
      <c r="L748" s="15" t="s">
        <v>116</v>
      </c>
      <c r="M748" s="15" t="s">
        <v>5</v>
      </c>
      <c r="N748" s="11" t="s">
        <v>1384</v>
      </c>
      <c r="O748" s="11" t="s">
        <v>28</v>
      </c>
      <c r="P748" s="11" t="s">
        <v>33</v>
      </c>
      <c r="Q748" s="15">
        <v>95</v>
      </c>
      <c r="R748" s="11" t="s">
        <v>3</v>
      </c>
      <c r="S748" s="10">
        <v>168.4925499492</v>
      </c>
      <c r="T748" s="15">
        <v>80</v>
      </c>
      <c r="U748" s="15">
        <v>0</v>
      </c>
      <c r="V748" s="15">
        <v>1</v>
      </c>
      <c r="W748" s="15">
        <v>0</v>
      </c>
      <c r="X748" s="15">
        <f>IF(O748='Udvaskning nøgletal'!$D$65,1,IF(O748='Udvaskning nøgletal'!$D$66,2,IF(O748='Udvaskning nøgletal'!$D$67,3,IF(O748='Udvaskning nøgletal'!$D$68,2,""))))</f>
        <v>1</v>
      </c>
      <c r="Y748" s="15">
        <f>LOOKUP(K748,'Udvaskning nøgletal'!$C$12:$C$60,'Udvaskning nøgletal'!$H$12:$H$60)</f>
        <v>0</v>
      </c>
      <c r="Z748" s="10">
        <f>IF(X748=1,LOOKUP(K748,'Udvaskning nøgletal'!$C$12:$C$60,'Udvaskning nøgletal'!$E$12:$E$60)+Markniveau!Y748*Markniveau!S748/100,IF(X748=2,LOOKUP(K748,'Udvaskning nøgletal'!$C$12:$C$60,'Udvaskning nøgletal'!$F$12:$F$60)+Markniveau!Y748*Markniveau!S748/100,IF(X748=3,LOOKUP(K748,'Udvaskning nøgletal'!$C$12:$C$60,'Udvaskning nøgletal'!G758:G806)+Markniveau!Y748*Markniveau!S748/100,"")))</f>
        <v>125.85383557148924</v>
      </c>
      <c r="AA748" s="10">
        <f t="shared" si="116"/>
        <v>507.19095735310168</v>
      </c>
      <c r="AB748" s="10">
        <f t="shared" si="115"/>
        <v>6.2926917785744623</v>
      </c>
      <c r="AC748" s="10">
        <f t="shared" si="117"/>
        <v>25.359547867655085</v>
      </c>
      <c r="AD748" s="10">
        <f>IF(AND(Q748&gt;0,Q748&lt;30,K748&lt;8),Markniveau!Z748*'Udvaskning nøgletal'!$I$12/100,IF(AND(Q748&gt;0,Q748&lt;30,K748=216),Markniveau!Z748*'Udvaskning nøgletal'!$I$34/100,Markniveau!Z748))</f>
        <v>125.85383557148924</v>
      </c>
      <c r="AE748" s="10">
        <f t="shared" si="123"/>
        <v>507.19095735310168</v>
      </c>
      <c r="AF748" s="10">
        <f t="shared" si="118"/>
        <v>6.2926917785744623</v>
      </c>
      <c r="AG748" s="10">
        <f t="shared" si="124"/>
        <v>25.359547867655085</v>
      </c>
      <c r="AH748" s="10" t="str">
        <f>IF(AND(Q748&gt;0,Q748&lt;30,K748=216),'Udvaskning nøgletal'!$C$42,IF(AND(Q748&gt;0,Q748&lt;30,K748&gt;7,K748&lt;17),'Udvaskning nøgletal'!$C$61,IF(AND(Q748&gt;0,Q748&lt;30,K748&lt;7),'Udvaskning nøgletal'!$C$62,"")))</f>
        <v/>
      </c>
      <c r="AI748" s="10">
        <f t="shared" si="120"/>
        <v>216</v>
      </c>
      <c r="AJ748" s="10">
        <f>IF($X748=1,LOOKUP(AI748,'Udvaskning nøgletal'!$C$12:$C$62,'Udvaskning nøgletal'!$E$12:$E$62)+Markniveau!$Y748*Markniveau!$S748/100,IF($X748=2,LOOKUP(AI748,'Udvaskning nøgletal'!$C$12:$C$62,'Udvaskning nøgletal'!$F$12:$F$62)+Markniveau!$Y748*Markniveau!$S748/100,IF($X748=3,LOOKUP(AI748,'Udvaskning nøgletal'!$C$12:$C$62,'Udvaskning nøgletal'!Q758:Q808)+Markniveau!$Y748*Markniveau!$S748/100,"")))</f>
        <v>125.85383557148924</v>
      </c>
      <c r="AK748" s="10">
        <f t="shared" si="119"/>
        <v>507.19095735310168</v>
      </c>
      <c r="AL748" s="10">
        <f t="shared" si="121"/>
        <v>6.2926917785744623</v>
      </c>
      <c r="AM748" s="10">
        <f t="shared" si="122"/>
        <v>25.359547867655085</v>
      </c>
    </row>
    <row r="749" spans="1:39" x14ac:dyDescent="0.25">
      <c r="A749" s="15">
        <v>26019788</v>
      </c>
      <c r="B749" s="15">
        <v>52</v>
      </c>
      <c r="C749" s="15">
        <v>90360</v>
      </c>
      <c r="D749" s="15">
        <v>92962</v>
      </c>
      <c r="E749" s="15" t="s">
        <v>618</v>
      </c>
      <c r="F749" s="15">
        <v>2011</v>
      </c>
      <c r="G749" s="15">
        <v>20110408</v>
      </c>
      <c r="H749" s="15">
        <v>39287</v>
      </c>
      <c r="I749" s="15">
        <v>3.93</v>
      </c>
      <c r="J749" s="6" t="s">
        <v>173</v>
      </c>
      <c r="K749" s="15">
        <v>1</v>
      </c>
      <c r="L749" s="15" t="s">
        <v>32</v>
      </c>
      <c r="M749" s="15" t="s">
        <v>5</v>
      </c>
      <c r="N749" s="11" t="s">
        <v>1384</v>
      </c>
      <c r="O749" s="11" t="s">
        <v>28</v>
      </c>
      <c r="P749" s="11" t="s">
        <v>33</v>
      </c>
      <c r="Q749" s="15">
        <v>95</v>
      </c>
      <c r="R749" s="11" t="s">
        <v>3</v>
      </c>
      <c r="S749" s="10">
        <v>168.4925499492</v>
      </c>
      <c r="T749" s="15">
        <v>80</v>
      </c>
      <c r="U749" s="15">
        <v>0</v>
      </c>
      <c r="V749" s="15">
        <v>1</v>
      </c>
      <c r="W749" s="15">
        <v>0</v>
      </c>
      <c r="X749" s="15">
        <f>IF(O749='Udvaskning nøgletal'!$D$65,1,IF(O749='Udvaskning nøgletal'!$D$66,2,IF(O749='Udvaskning nøgletal'!$D$67,3,IF(O749='Udvaskning nøgletal'!$D$68,2,""))))</f>
        <v>1</v>
      </c>
      <c r="Y749" s="15">
        <f>LOOKUP(K749,'Udvaskning nøgletal'!$C$12:$C$60,'Udvaskning nøgletal'!$H$12:$H$60)</f>
        <v>5</v>
      </c>
      <c r="Z749" s="10">
        <f>IF(X749=1,LOOKUP(K749,'Udvaskning nøgletal'!$C$12:$C$60,'Udvaskning nøgletal'!$E$12:$E$60)+Markniveau!Y749*Markniveau!S749/100,IF(X749=2,LOOKUP(K749,'Udvaskning nøgletal'!$C$12:$C$60,'Udvaskning nøgletal'!$F$12:$F$60)+Markniveau!Y749*Markniveau!S749/100,IF(X749=3,LOOKUP(K749,'Udvaskning nøgletal'!$C$12:$C$60,'Udvaskning nøgletal'!G759:G807)+Markniveau!Y749*Markniveau!S749/100,"")))</f>
        <v>73.084627497459991</v>
      </c>
      <c r="AA749" s="10">
        <f t="shared" si="116"/>
        <v>287.22258606501777</v>
      </c>
      <c r="AB749" s="10">
        <f t="shared" si="115"/>
        <v>3.654231374873</v>
      </c>
      <c r="AC749" s="10">
        <f t="shared" si="117"/>
        <v>14.361129303250891</v>
      </c>
      <c r="AD749" s="10">
        <f>IF(AND(Q749&gt;0,Q749&lt;30,K749&lt;8),Markniveau!Z749*'Udvaskning nøgletal'!$I$12/100,IF(AND(Q749&gt;0,Q749&lt;30,K749=216),Markniveau!Z749*'Udvaskning nøgletal'!$I$34/100,Markniveau!Z749))</f>
        <v>73.084627497459991</v>
      </c>
      <c r="AE749" s="10">
        <f t="shared" si="123"/>
        <v>287.22258606501777</v>
      </c>
      <c r="AF749" s="10">
        <f t="shared" si="118"/>
        <v>3.654231374873</v>
      </c>
      <c r="AG749" s="10">
        <f t="shared" si="124"/>
        <v>14.361129303250891</v>
      </c>
      <c r="AH749" s="10" t="str">
        <f>IF(AND(Q749&gt;0,Q749&lt;30,K749=216),'Udvaskning nøgletal'!$C$42,IF(AND(Q749&gt;0,Q749&lt;30,K749&gt;7,K749&lt;17),'Udvaskning nøgletal'!$C$61,IF(AND(Q749&gt;0,Q749&lt;30,K749&lt;7),'Udvaskning nøgletal'!$C$62,"")))</f>
        <v/>
      </c>
      <c r="AI749" s="10">
        <f t="shared" si="120"/>
        <v>1</v>
      </c>
      <c r="AJ749" s="10">
        <f>IF($X749=1,LOOKUP(AI749,'Udvaskning nøgletal'!$C$12:$C$62,'Udvaskning nøgletal'!$E$12:$E$62)+Markniveau!$Y749*Markniveau!$S749/100,IF($X749=2,LOOKUP(AI749,'Udvaskning nøgletal'!$C$12:$C$62,'Udvaskning nøgletal'!$F$12:$F$62)+Markniveau!$Y749*Markniveau!$S749/100,IF($X749=3,LOOKUP(AI749,'Udvaskning nøgletal'!$C$12:$C$62,'Udvaskning nøgletal'!Q759:Q809)+Markniveau!$Y749*Markniveau!$S749/100,"")))</f>
        <v>73.084627497459991</v>
      </c>
      <c r="AK749" s="10">
        <f t="shared" si="119"/>
        <v>287.22258606501777</v>
      </c>
      <c r="AL749" s="10">
        <f t="shared" si="121"/>
        <v>3.654231374873</v>
      </c>
      <c r="AM749" s="10">
        <f t="shared" si="122"/>
        <v>14.361129303250891</v>
      </c>
    </row>
    <row r="750" spans="1:39" x14ac:dyDescent="0.25">
      <c r="A750" s="15">
        <v>26019788</v>
      </c>
      <c r="B750" s="15">
        <v>52</v>
      </c>
      <c r="C750" s="15">
        <v>90361</v>
      </c>
      <c r="D750" s="15">
        <v>92962</v>
      </c>
      <c r="E750" s="15" t="s">
        <v>619</v>
      </c>
      <c r="F750" s="15">
        <v>2011</v>
      </c>
      <c r="G750" s="15">
        <v>20110408</v>
      </c>
      <c r="H750" s="15">
        <v>12456</v>
      </c>
      <c r="I750" s="15">
        <v>1.25</v>
      </c>
      <c r="J750" s="6" t="s">
        <v>26</v>
      </c>
      <c r="K750" s="15">
        <v>260</v>
      </c>
      <c r="L750" s="15" t="s">
        <v>45</v>
      </c>
      <c r="M750" s="15" t="s">
        <v>5</v>
      </c>
      <c r="N750" s="11" t="s">
        <v>1384</v>
      </c>
      <c r="O750" s="11" t="s">
        <v>28</v>
      </c>
      <c r="P750" s="11" t="s">
        <v>29</v>
      </c>
      <c r="Q750" s="15">
        <v>95</v>
      </c>
      <c r="R750" s="11" t="s">
        <v>3</v>
      </c>
      <c r="S750" s="10">
        <v>168.4925499492</v>
      </c>
      <c r="T750" s="15">
        <v>80</v>
      </c>
      <c r="U750" s="15">
        <v>0</v>
      </c>
      <c r="V750" s="15">
        <v>1</v>
      </c>
      <c r="W750" s="15">
        <v>0</v>
      </c>
      <c r="X750" s="15">
        <f>IF(O750='Udvaskning nøgletal'!$D$65,1,IF(O750='Udvaskning nøgletal'!$D$66,2,IF(O750='Udvaskning nøgletal'!$D$67,3,IF(O750='Udvaskning nøgletal'!$D$68,2,""))))</f>
        <v>1</v>
      </c>
      <c r="Y750" s="15">
        <f>LOOKUP(K750,'Udvaskning nøgletal'!$C$12:$C$60,'Udvaskning nøgletal'!$H$12:$H$60)</f>
        <v>0</v>
      </c>
      <c r="Z750" s="10">
        <f>IF(X750=1,LOOKUP(K750,'Udvaskning nøgletal'!$C$12:$C$60,'Udvaskning nøgletal'!$E$12:$E$60)+Markniveau!Y750*Markniveau!S750/100,IF(X750=2,LOOKUP(K750,'Udvaskning nøgletal'!$C$12:$C$60,'Udvaskning nøgletal'!$F$12:$F$60)+Markniveau!Y750*Markniveau!S750/100,IF(X750=3,LOOKUP(K750,'Udvaskning nøgletal'!$C$12:$C$60,'Udvaskning nøgletal'!G760:G808)+Markniveau!Y750*Markniveau!S750/100,"")))</f>
        <v>33.723295792149436</v>
      </c>
      <c r="AA750" s="10">
        <f t="shared" si="116"/>
        <v>42.154119740186793</v>
      </c>
      <c r="AB750" s="10">
        <f t="shared" si="115"/>
        <v>1.6861647896074716</v>
      </c>
      <c r="AC750" s="10">
        <f t="shared" si="117"/>
        <v>2.1077059870093393</v>
      </c>
      <c r="AD750" s="10">
        <f>IF(AND(Q750&gt;0,Q750&lt;30,K750&lt;8),Markniveau!Z750*'Udvaskning nøgletal'!$I$12/100,IF(AND(Q750&gt;0,Q750&lt;30,K750=216),Markniveau!Z750*'Udvaskning nøgletal'!$I$34/100,Markniveau!Z750))</f>
        <v>33.723295792149436</v>
      </c>
      <c r="AE750" s="10">
        <f t="shared" si="123"/>
        <v>42.154119740186793</v>
      </c>
      <c r="AF750" s="10">
        <f t="shared" si="118"/>
        <v>1.6861647896074716</v>
      </c>
      <c r="AG750" s="10">
        <f t="shared" si="124"/>
        <v>2.1077059870093393</v>
      </c>
      <c r="AH750" s="10" t="str">
        <f>IF(AND(Q750&gt;0,Q750&lt;30,K750=216),'Udvaskning nøgletal'!$C$42,IF(AND(Q750&gt;0,Q750&lt;30,K750&gt;7,K750&lt;17),'Udvaskning nøgletal'!$C$61,IF(AND(Q750&gt;0,Q750&lt;30,K750&lt;7),'Udvaskning nøgletal'!$C$62,"")))</f>
        <v/>
      </c>
      <c r="AI750" s="10">
        <f t="shared" si="120"/>
        <v>260</v>
      </c>
      <c r="AJ750" s="10">
        <f>IF($X750=1,LOOKUP(AI750,'Udvaskning nøgletal'!$C$12:$C$62,'Udvaskning nøgletal'!$E$12:$E$62)+Markniveau!$Y750*Markniveau!$S750/100,IF($X750=2,LOOKUP(AI750,'Udvaskning nøgletal'!$C$12:$C$62,'Udvaskning nøgletal'!$F$12:$F$62)+Markniveau!$Y750*Markniveau!$S750/100,IF($X750=3,LOOKUP(AI750,'Udvaskning nøgletal'!$C$12:$C$62,'Udvaskning nøgletal'!Q760:Q810)+Markniveau!$Y750*Markniveau!$S750/100,"")))</f>
        <v>33.723295792149436</v>
      </c>
      <c r="AK750" s="10">
        <f t="shared" si="119"/>
        <v>42.154119740186793</v>
      </c>
      <c r="AL750" s="10">
        <f t="shared" si="121"/>
        <v>1.6861647896074716</v>
      </c>
      <c r="AM750" s="10">
        <f t="shared" si="122"/>
        <v>2.1077059870093393</v>
      </c>
    </row>
    <row r="751" spans="1:39" x14ac:dyDescent="0.25">
      <c r="A751" s="15">
        <v>26019788</v>
      </c>
      <c r="B751" s="15">
        <v>52</v>
      </c>
      <c r="C751" s="15">
        <v>90362</v>
      </c>
      <c r="D751" s="15">
        <v>92962</v>
      </c>
      <c r="E751" s="15" t="s">
        <v>620</v>
      </c>
      <c r="F751" s="15">
        <v>2011</v>
      </c>
      <c r="G751" s="15">
        <v>20110408</v>
      </c>
      <c r="H751" s="15">
        <v>18656</v>
      </c>
      <c r="I751" s="15">
        <v>1.87</v>
      </c>
      <c r="J751" s="6" t="s">
        <v>75</v>
      </c>
      <c r="K751" s="15">
        <v>583</v>
      </c>
      <c r="L751" s="15" t="s">
        <v>154</v>
      </c>
      <c r="M751" s="15" t="s">
        <v>155</v>
      </c>
      <c r="N751" s="11" t="s">
        <v>1384</v>
      </c>
      <c r="O751" s="11" t="s">
        <v>28</v>
      </c>
      <c r="P751" s="11" t="s">
        <v>29</v>
      </c>
      <c r="Q751" s="15">
        <v>95</v>
      </c>
      <c r="R751" s="11" t="s">
        <v>3</v>
      </c>
      <c r="S751" s="10">
        <v>168.4925499492</v>
      </c>
      <c r="T751" s="15">
        <v>80</v>
      </c>
      <c r="U751" s="15">
        <v>0</v>
      </c>
      <c r="V751" s="15">
        <v>1</v>
      </c>
      <c r="W751" s="15">
        <v>0</v>
      </c>
      <c r="X751" s="15">
        <f>IF(O751='Udvaskning nøgletal'!$D$65,1,IF(O751='Udvaskning nøgletal'!$D$66,2,IF(O751='Udvaskning nøgletal'!$D$67,3,IF(O751='Udvaskning nøgletal'!$D$68,2,""))))</f>
        <v>1</v>
      </c>
      <c r="Y751" s="15">
        <f>LOOKUP(K751,'Udvaskning nøgletal'!$C$12:$C$60,'Udvaskning nøgletal'!$H$12:$H$60)</f>
        <v>0</v>
      </c>
      <c r="Z751" s="10">
        <f>IF(X751=1,LOOKUP(K751,'Udvaskning nøgletal'!$C$12:$C$60,'Udvaskning nøgletal'!$E$12:$E$60)+Markniveau!Y751*Markniveau!S751/100,IF(X751=2,LOOKUP(K751,'Udvaskning nøgletal'!$C$12:$C$60,'Udvaskning nøgletal'!$F$12:$F$60)+Markniveau!Y751*Markniveau!S751/100,IF(X751=3,LOOKUP(K751,'Udvaskning nøgletal'!$C$12:$C$60,'Udvaskning nøgletal'!G761:G809)+Markniveau!Y751*Markniveau!S751/100,"")))</f>
        <v>10</v>
      </c>
      <c r="AA751" s="10">
        <f t="shared" si="116"/>
        <v>18.700000000000003</v>
      </c>
      <c r="AB751" s="10">
        <f t="shared" si="115"/>
        <v>0.5</v>
      </c>
      <c r="AC751" s="10">
        <f t="shared" si="117"/>
        <v>0.93500000000000005</v>
      </c>
      <c r="AD751" s="10">
        <f>IF(AND(Q751&gt;0,Q751&lt;30,K751&lt;8),Markniveau!Z751*'Udvaskning nøgletal'!$I$12/100,IF(AND(Q751&gt;0,Q751&lt;30,K751=216),Markniveau!Z751*'Udvaskning nøgletal'!$I$34/100,Markniveau!Z751))</f>
        <v>10</v>
      </c>
      <c r="AE751" s="10">
        <f t="shared" si="123"/>
        <v>18.700000000000003</v>
      </c>
      <c r="AF751" s="10">
        <f t="shared" si="118"/>
        <v>0.5</v>
      </c>
      <c r="AG751" s="10">
        <f t="shared" si="124"/>
        <v>0.93500000000000005</v>
      </c>
      <c r="AH751" s="10" t="str">
        <f>IF(AND(Q751&gt;0,Q751&lt;30,K751=216),'Udvaskning nøgletal'!$C$42,IF(AND(Q751&gt;0,Q751&lt;30,K751&gt;7,K751&lt;17),'Udvaskning nøgletal'!$C$61,IF(AND(Q751&gt;0,Q751&lt;30,K751&lt;7),'Udvaskning nøgletal'!$C$62,"")))</f>
        <v/>
      </c>
      <c r="AI751" s="10">
        <f t="shared" si="120"/>
        <v>583</v>
      </c>
      <c r="AJ751" s="10">
        <f>IF($X751=1,LOOKUP(AI751,'Udvaskning nøgletal'!$C$12:$C$62,'Udvaskning nøgletal'!$E$12:$E$62)+Markniveau!$Y751*Markniveau!$S751/100,IF($X751=2,LOOKUP(AI751,'Udvaskning nøgletal'!$C$12:$C$62,'Udvaskning nøgletal'!$F$12:$F$62)+Markniveau!$Y751*Markniveau!$S751/100,IF($X751=3,LOOKUP(AI751,'Udvaskning nøgletal'!$C$12:$C$62,'Udvaskning nøgletal'!Q761:Q811)+Markniveau!$Y751*Markniveau!$S751/100,"")))</f>
        <v>10</v>
      </c>
      <c r="AK751" s="10">
        <f t="shared" si="119"/>
        <v>18.700000000000003</v>
      </c>
      <c r="AL751" s="10">
        <f t="shared" si="121"/>
        <v>0.5</v>
      </c>
      <c r="AM751" s="10">
        <f t="shared" si="122"/>
        <v>0.93500000000000005</v>
      </c>
    </row>
    <row r="752" spans="1:39" x14ac:dyDescent="0.25">
      <c r="A752" s="15">
        <v>26019788</v>
      </c>
      <c r="B752" s="15">
        <v>52</v>
      </c>
      <c r="C752" s="15">
        <v>90363</v>
      </c>
      <c r="D752" s="15">
        <v>92962</v>
      </c>
      <c r="E752" s="15" t="s">
        <v>621</v>
      </c>
      <c r="F752" s="15">
        <v>2011</v>
      </c>
      <c r="G752" s="15">
        <v>20110408</v>
      </c>
      <c r="H752" s="15">
        <v>3185</v>
      </c>
      <c r="I752" s="15">
        <v>0.32</v>
      </c>
      <c r="J752" s="6" t="s">
        <v>1474</v>
      </c>
      <c r="K752" s="15">
        <v>583</v>
      </c>
      <c r="L752" s="15" t="s">
        <v>154</v>
      </c>
      <c r="M752" s="15" t="s">
        <v>155</v>
      </c>
      <c r="N752" s="11" t="s">
        <v>1384</v>
      </c>
      <c r="O752" s="11" t="s">
        <v>28</v>
      </c>
      <c r="P752" s="11" t="s">
        <v>29</v>
      </c>
      <c r="Q752" s="15">
        <v>95</v>
      </c>
      <c r="R752" s="11" t="s">
        <v>3</v>
      </c>
      <c r="S752" s="10">
        <v>168.4925499492</v>
      </c>
      <c r="T752" s="15">
        <v>80</v>
      </c>
      <c r="U752" s="15">
        <v>0</v>
      </c>
      <c r="V752" s="15">
        <v>1</v>
      </c>
      <c r="W752" s="15">
        <v>0</v>
      </c>
      <c r="X752" s="15">
        <f>IF(O752='Udvaskning nøgletal'!$D$65,1,IF(O752='Udvaskning nøgletal'!$D$66,2,IF(O752='Udvaskning nøgletal'!$D$67,3,IF(O752='Udvaskning nøgletal'!$D$68,2,""))))</f>
        <v>1</v>
      </c>
      <c r="Y752" s="15">
        <f>LOOKUP(K752,'Udvaskning nøgletal'!$C$12:$C$60,'Udvaskning nøgletal'!$H$12:$H$60)</f>
        <v>0</v>
      </c>
      <c r="Z752" s="10">
        <f>IF(X752=1,LOOKUP(K752,'Udvaskning nøgletal'!$C$12:$C$60,'Udvaskning nøgletal'!$E$12:$E$60)+Markniveau!Y752*Markniveau!S752/100,IF(X752=2,LOOKUP(K752,'Udvaskning nøgletal'!$C$12:$C$60,'Udvaskning nøgletal'!$F$12:$F$60)+Markniveau!Y752*Markniveau!S752/100,IF(X752=3,LOOKUP(K752,'Udvaskning nøgletal'!$C$12:$C$60,'Udvaskning nøgletal'!G762:G810)+Markniveau!Y752*Markniveau!S752/100,"")))</f>
        <v>10</v>
      </c>
      <c r="AA752" s="10">
        <f t="shared" si="116"/>
        <v>3.2</v>
      </c>
      <c r="AB752" s="10">
        <f t="shared" si="115"/>
        <v>0.5</v>
      </c>
      <c r="AC752" s="10">
        <f t="shared" si="117"/>
        <v>0.16</v>
      </c>
      <c r="AD752" s="10">
        <f>IF(AND(Q752&gt;0,Q752&lt;30,K752&lt;8),Markniveau!Z752*'Udvaskning nøgletal'!$I$12/100,IF(AND(Q752&gt;0,Q752&lt;30,K752=216),Markniveau!Z752*'Udvaskning nøgletal'!$I$34/100,Markniveau!Z752))</f>
        <v>10</v>
      </c>
      <c r="AE752" s="10">
        <f t="shared" si="123"/>
        <v>3.2</v>
      </c>
      <c r="AF752" s="10">
        <f t="shared" si="118"/>
        <v>0.5</v>
      </c>
      <c r="AG752" s="10">
        <f t="shared" si="124"/>
        <v>0.16</v>
      </c>
      <c r="AH752" s="10" t="str">
        <f>IF(AND(Q752&gt;0,Q752&lt;30,K752=216),'Udvaskning nøgletal'!$C$42,IF(AND(Q752&gt;0,Q752&lt;30,K752&gt;7,K752&lt;17),'Udvaskning nøgletal'!$C$61,IF(AND(Q752&gt;0,Q752&lt;30,K752&lt;7),'Udvaskning nøgletal'!$C$62,"")))</f>
        <v/>
      </c>
      <c r="AI752" s="10">
        <f t="shared" si="120"/>
        <v>583</v>
      </c>
      <c r="AJ752" s="10">
        <f>IF($X752=1,LOOKUP(AI752,'Udvaskning nøgletal'!$C$12:$C$62,'Udvaskning nøgletal'!$E$12:$E$62)+Markniveau!$Y752*Markniveau!$S752/100,IF($X752=2,LOOKUP(AI752,'Udvaskning nøgletal'!$C$12:$C$62,'Udvaskning nøgletal'!$F$12:$F$62)+Markniveau!$Y752*Markniveau!$S752/100,IF($X752=3,LOOKUP(AI752,'Udvaskning nøgletal'!$C$12:$C$62,'Udvaskning nøgletal'!Q762:Q812)+Markniveau!$Y752*Markniveau!$S752/100,"")))</f>
        <v>10</v>
      </c>
      <c r="AK752" s="10">
        <f t="shared" si="119"/>
        <v>3.2</v>
      </c>
      <c r="AL752" s="10">
        <f t="shared" si="121"/>
        <v>0.5</v>
      </c>
      <c r="AM752" s="10">
        <f t="shared" si="122"/>
        <v>0.16</v>
      </c>
    </row>
    <row r="753" spans="1:39" x14ac:dyDescent="0.25">
      <c r="A753" s="15">
        <v>26019788</v>
      </c>
      <c r="B753" s="15">
        <v>52</v>
      </c>
      <c r="C753" s="15">
        <v>90364</v>
      </c>
      <c r="D753" s="15">
        <v>92962</v>
      </c>
      <c r="E753" s="15" t="s">
        <v>619</v>
      </c>
      <c r="F753" s="15">
        <v>2011</v>
      </c>
      <c r="G753" s="15">
        <v>20110408</v>
      </c>
      <c r="H753" s="15">
        <v>17391</v>
      </c>
      <c r="I753" s="15">
        <v>1.74</v>
      </c>
      <c r="J753" s="6" t="s">
        <v>1516</v>
      </c>
      <c r="K753" s="15">
        <v>230</v>
      </c>
      <c r="L753" s="15" t="s">
        <v>120</v>
      </c>
      <c r="M753" s="15" t="s">
        <v>5</v>
      </c>
      <c r="N753" s="11" t="s">
        <v>1384</v>
      </c>
      <c r="O753" s="11" t="s">
        <v>28</v>
      </c>
      <c r="P753" s="11" t="s">
        <v>29</v>
      </c>
      <c r="Q753" s="15">
        <v>95</v>
      </c>
      <c r="R753" s="11" t="s">
        <v>3</v>
      </c>
      <c r="S753" s="10">
        <v>168.4925499492</v>
      </c>
      <c r="T753" s="15">
        <v>80</v>
      </c>
      <c r="U753" s="15">
        <v>0</v>
      </c>
      <c r="V753" s="15">
        <v>1</v>
      </c>
      <c r="W753" s="15">
        <v>0</v>
      </c>
      <c r="X753" s="15">
        <f>IF(O753='Udvaskning nøgletal'!$D$65,1,IF(O753='Udvaskning nøgletal'!$D$66,2,IF(O753='Udvaskning nøgletal'!$D$67,3,IF(O753='Udvaskning nøgletal'!$D$68,2,""))))</f>
        <v>1</v>
      </c>
      <c r="Y753" s="15">
        <f>LOOKUP(K753,'Udvaskning nøgletal'!$C$12:$C$60,'Udvaskning nøgletal'!$H$12:$H$60)</f>
        <v>0</v>
      </c>
      <c r="Z753" s="10">
        <f>IF(X753=1,LOOKUP(K753,'Udvaskning nøgletal'!$C$12:$C$60,'Udvaskning nøgletal'!$E$12:$E$60)+Markniveau!Y753*Markniveau!S753/100,IF(X753=2,LOOKUP(K753,'Udvaskning nøgletal'!$C$12:$C$60,'Udvaskning nøgletal'!$F$12:$F$60)+Markniveau!Y753*Markniveau!S753/100,IF(X753=3,LOOKUP(K753,'Udvaskning nøgletal'!$C$12:$C$60,'Udvaskning nøgletal'!G763:G811)+Markniveau!Y753*Markniveau!S753/100,"")))</f>
        <v>38.620385460262987</v>
      </c>
      <c r="AA753" s="10">
        <f t="shared" si="116"/>
        <v>67.199470700857603</v>
      </c>
      <c r="AB753" s="10">
        <f t="shared" si="115"/>
        <v>1.9310192730131492</v>
      </c>
      <c r="AC753" s="10">
        <f t="shared" si="117"/>
        <v>3.3599735350428799</v>
      </c>
      <c r="AD753" s="10">
        <f>IF(AND(Q753&gt;0,Q753&lt;30,K753&lt;8),Markniveau!Z753*'Udvaskning nøgletal'!$I$12/100,IF(AND(Q753&gt;0,Q753&lt;30,K753=216),Markniveau!Z753*'Udvaskning nøgletal'!$I$34/100,Markniveau!Z753))</f>
        <v>38.620385460262987</v>
      </c>
      <c r="AE753" s="10">
        <f t="shared" si="123"/>
        <v>67.199470700857603</v>
      </c>
      <c r="AF753" s="10">
        <f t="shared" si="118"/>
        <v>1.9310192730131492</v>
      </c>
      <c r="AG753" s="10">
        <f t="shared" si="124"/>
        <v>3.3599735350428799</v>
      </c>
      <c r="AH753" s="10" t="str">
        <f>IF(AND(Q753&gt;0,Q753&lt;30,K753=216),'Udvaskning nøgletal'!$C$42,IF(AND(Q753&gt;0,Q753&lt;30,K753&gt;7,K753&lt;17),'Udvaskning nøgletal'!$C$61,IF(AND(Q753&gt;0,Q753&lt;30,K753&lt;7),'Udvaskning nøgletal'!$C$62,"")))</f>
        <v/>
      </c>
      <c r="AI753" s="10">
        <f t="shared" si="120"/>
        <v>230</v>
      </c>
      <c r="AJ753" s="10">
        <f>IF($X753=1,LOOKUP(AI753,'Udvaskning nøgletal'!$C$12:$C$62,'Udvaskning nøgletal'!$E$12:$E$62)+Markniveau!$Y753*Markniveau!$S753/100,IF($X753=2,LOOKUP(AI753,'Udvaskning nøgletal'!$C$12:$C$62,'Udvaskning nøgletal'!$F$12:$F$62)+Markniveau!$Y753*Markniveau!$S753/100,IF($X753=3,LOOKUP(AI753,'Udvaskning nøgletal'!$C$12:$C$62,'Udvaskning nøgletal'!Q763:Q813)+Markniveau!$Y753*Markniveau!$S753/100,"")))</f>
        <v>38.620385460262987</v>
      </c>
      <c r="AK753" s="10">
        <f t="shared" si="119"/>
        <v>67.199470700857603</v>
      </c>
      <c r="AL753" s="10">
        <f t="shared" si="121"/>
        <v>1.9310192730131492</v>
      </c>
      <c r="AM753" s="10">
        <f t="shared" si="122"/>
        <v>3.3599735350428799</v>
      </c>
    </row>
    <row r="754" spans="1:39" x14ac:dyDescent="0.25">
      <c r="A754" s="15">
        <v>26019788</v>
      </c>
      <c r="B754" s="15">
        <v>52</v>
      </c>
      <c r="C754" s="15">
        <v>90365</v>
      </c>
      <c r="D754" s="15">
        <v>92962</v>
      </c>
      <c r="E754" s="15" t="s">
        <v>622</v>
      </c>
      <c r="F754" s="15">
        <v>2011</v>
      </c>
      <c r="G754" s="15">
        <v>20110408</v>
      </c>
      <c r="H754" s="15">
        <v>24128</v>
      </c>
      <c r="I754" s="15">
        <v>2.41</v>
      </c>
      <c r="J754" s="6" t="s">
        <v>76</v>
      </c>
      <c r="K754" s="15">
        <v>230</v>
      </c>
      <c r="L754" s="15" t="s">
        <v>120</v>
      </c>
      <c r="M754" s="15" t="s">
        <v>5</v>
      </c>
      <c r="N754" s="11" t="s">
        <v>1384</v>
      </c>
      <c r="O754" s="11" t="s">
        <v>28</v>
      </c>
      <c r="P754" s="11" t="s">
        <v>29</v>
      </c>
      <c r="Q754" s="15">
        <v>95</v>
      </c>
      <c r="R754" s="11" t="s">
        <v>3</v>
      </c>
      <c r="S754" s="10">
        <v>168.4925499492</v>
      </c>
      <c r="T754" s="15">
        <v>80</v>
      </c>
      <c r="U754" s="15">
        <v>0</v>
      </c>
      <c r="V754" s="15">
        <v>1</v>
      </c>
      <c r="W754" s="15">
        <v>0</v>
      </c>
      <c r="X754" s="15">
        <f>IF(O754='Udvaskning nøgletal'!$D$65,1,IF(O754='Udvaskning nøgletal'!$D$66,2,IF(O754='Udvaskning nøgletal'!$D$67,3,IF(O754='Udvaskning nøgletal'!$D$68,2,""))))</f>
        <v>1</v>
      </c>
      <c r="Y754" s="15">
        <f>LOOKUP(K754,'Udvaskning nøgletal'!$C$12:$C$60,'Udvaskning nøgletal'!$H$12:$H$60)</f>
        <v>0</v>
      </c>
      <c r="Z754" s="10">
        <f>IF(X754=1,LOOKUP(K754,'Udvaskning nøgletal'!$C$12:$C$60,'Udvaskning nøgletal'!$E$12:$E$60)+Markniveau!Y754*Markniveau!S754/100,IF(X754=2,LOOKUP(K754,'Udvaskning nøgletal'!$C$12:$C$60,'Udvaskning nøgletal'!$F$12:$F$60)+Markniveau!Y754*Markniveau!S754/100,IF(X754=3,LOOKUP(K754,'Udvaskning nøgletal'!$C$12:$C$60,'Udvaskning nøgletal'!G764:G812)+Markniveau!Y754*Markniveau!S754/100,"")))</f>
        <v>38.620385460262987</v>
      </c>
      <c r="AA754" s="10">
        <f t="shared" si="116"/>
        <v>93.075128959233808</v>
      </c>
      <c r="AB754" s="10">
        <f t="shared" si="115"/>
        <v>1.9310192730131492</v>
      </c>
      <c r="AC754" s="10">
        <f t="shared" si="117"/>
        <v>4.6537564479616895</v>
      </c>
      <c r="AD754" s="10">
        <f>IF(AND(Q754&gt;0,Q754&lt;30,K754&lt;8),Markniveau!Z754*'Udvaskning nøgletal'!$I$12/100,IF(AND(Q754&gt;0,Q754&lt;30,K754=216),Markniveau!Z754*'Udvaskning nøgletal'!$I$34/100,Markniveau!Z754))</f>
        <v>38.620385460262987</v>
      </c>
      <c r="AE754" s="10">
        <f t="shared" si="123"/>
        <v>93.075128959233808</v>
      </c>
      <c r="AF754" s="10">
        <f t="shared" si="118"/>
        <v>1.9310192730131492</v>
      </c>
      <c r="AG754" s="10">
        <f t="shared" si="124"/>
        <v>4.6537564479616895</v>
      </c>
      <c r="AH754" s="10" t="str">
        <f>IF(AND(Q754&gt;0,Q754&lt;30,K754=216),'Udvaskning nøgletal'!$C$42,IF(AND(Q754&gt;0,Q754&lt;30,K754&gt;7,K754&lt;17),'Udvaskning nøgletal'!$C$61,IF(AND(Q754&gt;0,Q754&lt;30,K754&lt;7),'Udvaskning nøgletal'!$C$62,"")))</f>
        <v/>
      </c>
      <c r="AI754" s="10">
        <f t="shared" si="120"/>
        <v>230</v>
      </c>
      <c r="AJ754" s="10">
        <f>IF($X754=1,LOOKUP(AI754,'Udvaskning nøgletal'!$C$12:$C$62,'Udvaskning nøgletal'!$E$12:$E$62)+Markniveau!$Y754*Markniveau!$S754/100,IF($X754=2,LOOKUP(AI754,'Udvaskning nøgletal'!$C$12:$C$62,'Udvaskning nøgletal'!$F$12:$F$62)+Markniveau!$Y754*Markniveau!$S754/100,IF($X754=3,LOOKUP(AI754,'Udvaskning nøgletal'!$C$12:$C$62,'Udvaskning nøgletal'!Q764:Q814)+Markniveau!$Y754*Markniveau!$S754/100,"")))</f>
        <v>38.620385460262987</v>
      </c>
      <c r="AK754" s="10">
        <f t="shared" si="119"/>
        <v>93.075128959233808</v>
      </c>
      <c r="AL754" s="10">
        <f t="shared" si="121"/>
        <v>1.9310192730131492</v>
      </c>
      <c r="AM754" s="10">
        <f t="shared" si="122"/>
        <v>4.6537564479616895</v>
      </c>
    </row>
    <row r="755" spans="1:39" x14ac:dyDescent="0.25">
      <c r="A755" s="15">
        <v>26019788</v>
      </c>
      <c r="B755" s="15">
        <v>52</v>
      </c>
      <c r="C755" s="15">
        <v>97466</v>
      </c>
      <c r="D755" s="15">
        <v>92962</v>
      </c>
      <c r="E755" s="15" t="s">
        <v>623</v>
      </c>
      <c r="F755" s="15">
        <v>2011</v>
      </c>
      <c r="G755" s="15">
        <v>20110408</v>
      </c>
      <c r="H755" s="15">
        <v>27029</v>
      </c>
      <c r="I755" s="15">
        <v>2.7</v>
      </c>
      <c r="J755" s="6" t="s">
        <v>61</v>
      </c>
      <c r="K755" s="15">
        <v>230</v>
      </c>
      <c r="L755" s="15" t="s">
        <v>120</v>
      </c>
      <c r="M755" s="15" t="s">
        <v>5</v>
      </c>
      <c r="N755" s="11" t="s">
        <v>1384</v>
      </c>
      <c r="O755" s="11" t="s">
        <v>28</v>
      </c>
      <c r="P755" s="11" t="s">
        <v>29</v>
      </c>
      <c r="Q755" s="15">
        <v>95</v>
      </c>
      <c r="R755" s="11" t="s">
        <v>3</v>
      </c>
      <c r="S755" s="10">
        <v>168.4925499492</v>
      </c>
      <c r="T755" s="15">
        <v>80</v>
      </c>
      <c r="U755" s="15">
        <v>0</v>
      </c>
      <c r="V755" s="15">
        <v>1</v>
      </c>
      <c r="W755" s="15">
        <v>0</v>
      </c>
      <c r="X755" s="15">
        <f>IF(O755='Udvaskning nøgletal'!$D$65,1,IF(O755='Udvaskning nøgletal'!$D$66,2,IF(O755='Udvaskning nøgletal'!$D$67,3,IF(O755='Udvaskning nøgletal'!$D$68,2,""))))</f>
        <v>1</v>
      </c>
      <c r="Y755" s="15">
        <f>LOOKUP(K755,'Udvaskning nøgletal'!$C$12:$C$60,'Udvaskning nøgletal'!$H$12:$H$60)</f>
        <v>0</v>
      </c>
      <c r="Z755" s="10">
        <f>IF(X755=1,LOOKUP(K755,'Udvaskning nøgletal'!$C$12:$C$60,'Udvaskning nøgletal'!$E$12:$E$60)+Markniveau!Y755*Markniveau!S755/100,IF(X755=2,LOOKUP(K755,'Udvaskning nøgletal'!$C$12:$C$60,'Udvaskning nøgletal'!$F$12:$F$60)+Markniveau!Y755*Markniveau!S755/100,IF(X755=3,LOOKUP(K755,'Udvaskning nøgletal'!$C$12:$C$60,'Udvaskning nøgletal'!G765:G813)+Markniveau!Y755*Markniveau!S755/100,"")))</f>
        <v>38.620385460262987</v>
      </c>
      <c r="AA755" s="10">
        <f t="shared" si="116"/>
        <v>104.27504074271008</v>
      </c>
      <c r="AB755" s="10">
        <f t="shared" si="115"/>
        <v>1.9310192730131492</v>
      </c>
      <c r="AC755" s="10">
        <f t="shared" si="117"/>
        <v>5.2137520371355031</v>
      </c>
      <c r="AD755" s="10">
        <f>IF(AND(Q755&gt;0,Q755&lt;30,K755&lt;8),Markniveau!Z755*'Udvaskning nøgletal'!$I$12/100,IF(AND(Q755&gt;0,Q755&lt;30,K755=216),Markniveau!Z755*'Udvaskning nøgletal'!$I$34/100,Markniveau!Z755))</f>
        <v>38.620385460262987</v>
      </c>
      <c r="AE755" s="10">
        <f t="shared" si="123"/>
        <v>104.27504074271008</v>
      </c>
      <c r="AF755" s="10">
        <f t="shared" si="118"/>
        <v>1.9310192730131492</v>
      </c>
      <c r="AG755" s="10">
        <f t="shared" si="124"/>
        <v>5.2137520371355031</v>
      </c>
      <c r="AH755" s="10" t="str">
        <f>IF(AND(Q755&gt;0,Q755&lt;30,K755=216),'Udvaskning nøgletal'!$C$42,IF(AND(Q755&gt;0,Q755&lt;30,K755&gt;7,K755&lt;17),'Udvaskning nøgletal'!$C$61,IF(AND(Q755&gt;0,Q755&lt;30,K755&lt;7),'Udvaskning nøgletal'!$C$62,"")))</f>
        <v/>
      </c>
      <c r="AI755" s="10">
        <f t="shared" si="120"/>
        <v>230</v>
      </c>
      <c r="AJ755" s="10">
        <f>IF($X755=1,LOOKUP(AI755,'Udvaskning nøgletal'!$C$12:$C$62,'Udvaskning nøgletal'!$E$12:$E$62)+Markniveau!$Y755*Markniveau!$S755/100,IF($X755=2,LOOKUP(AI755,'Udvaskning nøgletal'!$C$12:$C$62,'Udvaskning nøgletal'!$F$12:$F$62)+Markniveau!$Y755*Markniveau!$S755/100,IF($X755=3,LOOKUP(AI755,'Udvaskning nøgletal'!$C$12:$C$62,'Udvaskning nøgletal'!Q765:Q815)+Markniveau!$Y755*Markniveau!$S755/100,"")))</f>
        <v>38.620385460262987</v>
      </c>
      <c r="AK755" s="10">
        <f t="shared" si="119"/>
        <v>104.27504074271008</v>
      </c>
      <c r="AL755" s="10">
        <f t="shared" si="121"/>
        <v>1.9310192730131492</v>
      </c>
      <c r="AM755" s="10">
        <f t="shared" si="122"/>
        <v>5.2137520371355031</v>
      </c>
    </row>
    <row r="756" spans="1:39" x14ac:dyDescent="0.25">
      <c r="A756" s="15">
        <v>26019788</v>
      </c>
      <c r="B756" s="15">
        <v>52</v>
      </c>
      <c r="C756" s="15">
        <v>97467</v>
      </c>
      <c r="D756" s="15">
        <v>92962</v>
      </c>
      <c r="E756" s="15" t="s">
        <v>615</v>
      </c>
      <c r="F756" s="15">
        <v>2011</v>
      </c>
      <c r="G756" s="15">
        <v>20110408</v>
      </c>
      <c r="H756" s="15">
        <v>23722</v>
      </c>
      <c r="I756" s="15">
        <v>2.37</v>
      </c>
      <c r="J756" s="6" t="s">
        <v>37</v>
      </c>
      <c r="K756" s="15">
        <v>260</v>
      </c>
      <c r="L756" s="15" t="s">
        <v>45</v>
      </c>
      <c r="M756" s="15" t="s">
        <v>5</v>
      </c>
      <c r="N756" s="11" t="s">
        <v>1384</v>
      </c>
      <c r="O756" s="11" t="s">
        <v>28</v>
      </c>
      <c r="P756" s="11" t="s">
        <v>29</v>
      </c>
      <c r="Q756" s="15">
        <v>95</v>
      </c>
      <c r="R756" s="11" t="s">
        <v>3</v>
      </c>
      <c r="S756" s="10">
        <v>168.4925499492</v>
      </c>
      <c r="T756" s="15">
        <v>80</v>
      </c>
      <c r="U756" s="15">
        <v>0</v>
      </c>
      <c r="V756" s="15">
        <v>1</v>
      </c>
      <c r="W756" s="15">
        <v>0</v>
      </c>
      <c r="X756" s="15">
        <f>IF(O756='Udvaskning nøgletal'!$D$65,1,IF(O756='Udvaskning nøgletal'!$D$66,2,IF(O756='Udvaskning nøgletal'!$D$67,3,IF(O756='Udvaskning nøgletal'!$D$68,2,""))))</f>
        <v>1</v>
      </c>
      <c r="Y756" s="15">
        <f>LOOKUP(K756,'Udvaskning nøgletal'!$C$12:$C$60,'Udvaskning nøgletal'!$H$12:$H$60)</f>
        <v>0</v>
      </c>
      <c r="Z756" s="10">
        <f>IF(X756=1,LOOKUP(K756,'Udvaskning nøgletal'!$C$12:$C$60,'Udvaskning nøgletal'!$E$12:$E$60)+Markniveau!Y756*Markniveau!S756/100,IF(X756=2,LOOKUP(K756,'Udvaskning nøgletal'!$C$12:$C$60,'Udvaskning nøgletal'!$F$12:$F$60)+Markniveau!Y756*Markniveau!S756/100,IF(X756=3,LOOKUP(K756,'Udvaskning nøgletal'!$C$12:$C$60,'Udvaskning nøgletal'!G766:G814)+Markniveau!Y756*Markniveau!S756/100,"")))</f>
        <v>33.723295792149436</v>
      </c>
      <c r="AA756" s="10">
        <f t="shared" si="116"/>
        <v>79.924211027394165</v>
      </c>
      <c r="AB756" s="10">
        <f t="shared" si="115"/>
        <v>1.6861647896074716</v>
      </c>
      <c r="AC756" s="10">
        <f t="shared" si="117"/>
        <v>3.9962105513697082</v>
      </c>
      <c r="AD756" s="10">
        <f>IF(AND(Q756&gt;0,Q756&lt;30,K756&lt;8),Markniveau!Z756*'Udvaskning nøgletal'!$I$12/100,IF(AND(Q756&gt;0,Q756&lt;30,K756=216),Markniveau!Z756*'Udvaskning nøgletal'!$I$34/100,Markniveau!Z756))</f>
        <v>33.723295792149436</v>
      </c>
      <c r="AE756" s="10">
        <f t="shared" si="123"/>
        <v>79.924211027394165</v>
      </c>
      <c r="AF756" s="10">
        <f t="shared" si="118"/>
        <v>1.6861647896074716</v>
      </c>
      <c r="AG756" s="10">
        <f t="shared" si="124"/>
        <v>3.9962105513697082</v>
      </c>
      <c r="AH756" s="10" t="str">
        <f>IF(AND(Q756&gt;0,Q756&lt;30,K756=216),'Udvaskning nøgletal'!$C$42,IF(AND(Q756&gt;0,Q756&lt;30,K756&gt;7,K756&lt;17),'Udvaskning nøgletal'!$C$61,IF(AND(Q756&gt;0,Q756&lt;30,K756&lt;7),'Udvaskning nøgletal'!$C$62,"")))</f>
        <v/>
      </c>
      <c r="AI756" s="10">
        <f t="shared" si="120"/>
        <v>260</v>
      </c>
      <c r="AJ756" s="10">
        <f>IF($X756=1,LOOKUP(AI756,'Udvaskning nøgletal'!$C$12:$C$62,'Udvaskning nøgletal'!$E$12:$E$62)+Markniveau!$Y756*Markniveau!$S756/100,IF($X756=2,LOOKUP(AI756,'Udvaskning nøgletal'!$C$12:$C$62,'Udvaskning nøgletal'!$F$12:$F$62)+Markniveau!$Y756*Markniveau!$S756/100,IF($X756=3,LOOKUP(AI756,'Udvaskning nøgletal'!$C$12:$C$62,'Udvaskning nøgletal'!Q766:Q816)+Markniveau!$Y756*Markniveau!$S756/100,"")))</f>
        <v>33.723295792149436</v>
      </c>
      <c r="AK756" s="10">
        <f t="shared" si="119"/>
        <v>79.924211027394165</v>
      </c>
      <c r="AL756" s="10">
        <f t="shared" si="121"/>
        <v>1.6861647896074716</v>
      </c>
      <c r="AM756" s="10">
        <f t="shared" si="122"/>
        <v>3.9962105513697082</v>
      </c>
    </row>
    <row r="757" spans="1:39" x14ac:dyDescent="0.25">
      <c r="A757" s="15">
        <v>26019788</v>
      </c>
      <c r="B757" s="15">
        <v>52</v>
      </c>
      <c r="C757" s="15">
        <v>97469</v>
      </c>
      <c r="D757" s="15">
        <v>92962</v>
      </c>
      <c r="E757" s="15" t="s">
        <v>615</v>
      </c>
      <c r="F757" s="15">
        <v>2011</v>
      </c>
      <c r="G757" s="15">
        <v>20110408</v>
      </c>
      <c r="H757" s="15">
        <v>29147</v>
      </c>
      <c r="I757" s="15">
        <v>2.91</v>
      </c>
      <c r="J757" s="6" t="s">
        <v>97</v>
      </c>
      <c r="K757" s="15">
        <v>230</v>
      </c>
      <c r="L757" s="15" t="s">
        <v>120</v>
      </c>
      <c r="M757" s="15" t="s">
        <v>5</v>
      </c>
      <c r="N757" s="11" t="s">
        <v>1384</v>
      </c>
      <c r="O757" s="11" t="s">
        <v>28</v>
      </c>
      <c r="P757" s="11" t="s">
        <v>29</v>
      </c>
      <c r="Q757" s="15">
        <v>95</v>
      </c>
      <c r="R757" s="11" t="s">
        <v>3</v>
      </c>
      <c r="S757" s="10">
        <v>168.4925499492</v>
      </c>
      <c r="T757" s="15">
        <v>80</v>
      </c>
      <c r="U757" s="15">
        <v>0</v>
      </c>
      <c r="V757" s="15">
        <v>1</v>
      </c>
      <c r="W757" s="15">
        <v>0</v>
      </c>
      <c r="X757" s="15">
        <f>IF(O757='Udvaskning nøgletal'!$D$65,1,IF(O757='Udvaskning nøgletal'!$D$66,2,IF(O757='Udvaskning nøgletal'!$D$67,3,IF(O757='Udvaskning nøgletal'!$D$68,2,""))))</f>
        <v>1</v>
      </c>
      <c r="Y757" s="15">
        <f>LOOKUP(K757,'Udvaskning nøgletal'!$C$12:$C$60,'Udvaskning nøgletal'!$H$12:$H$60)</f>
        <v>0</v>
      </c>
      <c r="Z757" s="10">
        <f>IF(X757=1,LOOKUP(K757,'Udvaskning nøgletal'!$C$12:$C$60,'Udvaskning nøgletal'!$E$12:$E$60)+Markniveau!Y757*Markniveau!S757/100,IF(X757=2,LOOKUP(K757,'Udvaskning nøgletal'!$C$12:$C$60,'Udvaskning nøgletal'!$F$12:$F$60)+Markniveau!Y757*Markniveau!S757/100,IF(X757=3,LOOKUP(K757,'Udvaskning nøgletal'!$C$12:$C$60,'Udvaskning nøgletal'!G767:G815)+Markniveau!Y757*Markniveau!S757/100,"")))</f>
        <v>38.620385460262987</v>
      </c>
      <c r="AA757" s="10">
        <f t="shared" si="116"/>
        <v>112.3853216893653</v>
      </c>
      <c r="AB757" s="10">
        <f t="shared" si="115"/>
        <v>1.9310192730131492</v>
      </c>
      <c r="AC757" s="10">
        <f t="shared" si="117"/>
        <v>5.6192660844682649</v>
      </c>
      <c r="AD757" s="10">
        <f>IF(AND(Q757&gt;0,Q757&lt;30,K757&lt;8),Markniveau!Z757*'Udvaskning nøgletal'!$I$12/100,IF(AND(Q757&gt;0,Q757&lt;30,K757=216),Markniveau!Z757*'Udvaskning nøgletal'!$I$34/100,Markniveau!Z757))</f>
        <v>38.620385460262987</v>
      </c>
      <c r="AE757" s="10">
        <f t="shared" si="123"/>
        <v>112.3853216893653</v>
      </c>
      <c r="AF757" s="10">
        <f t="shared" si="118"/>
        <v>1.9310192730131492</v>
      </c>
      <c r="AG757" s="10">
        <f t="shared" si="124"/>
        <v>5.6192660844682649</v>
      </c>
      <c r="AH757" s="10" t="str">
        <f>IF(AND(Q757&gt;0,Q757&lt;30,K757=216),'Udvaskning nøgletal'!$C$42,IF(AND(Q757&gt;0,Q757&lt;30,K757&gt;7,K757&lt;17),'Udvaskning nøgletal'!$C$61,IF(AND(Q757&gt;0,Q757&lt;30,K757&lt;7),'Udvaskning nøgletal'!$C$62,"")))</f>
        <v/>
      </c>
      <c r="AI757" s="10">
        <f t="shared" si="120"/>
        <v>230</v>
      </c>
      <c r="AJ757" s="10">
        <f>IF($X757=1,LOOKUP(AI757,'Udvaskning nøgletal'!$C$12:$C$62,'Udvaskning nøgletal'!$E$12:$E$62)+Markniveau!$Y757*Markniveau!$S757/100,IF($X757=2,LOOKUP(AI757,'Udvaskning nøgletal'!$C$12:$C$62,'Udvaskning nøgletal'!$F$12:$F$62)+Markniveau!$Y757*Markniveau!$S757/100,IF($X757=3,LOOKUP(AI757,'Udvaskning nøgletal'!$C$12:$C$62,'Udvaskning nøgletal'!Q767:Q817)+Markniveau!$Y757*Markniveau!$S757/100,"")))</f>
        <v>38.620385460262987</v>
      </c>
      <c r="AK757" s="10">
        <f t="shared" si="119"/>
        <v>112.3853216893653</v>
      </c>
      <c r="AL757" s="10">
        <f t="shared" si="121"/>
        <v>1.9310192730131492</v>
      </c>
      <c r="AM757" s="10">
        <f t="shared" si="122"/>
        <v>5.6192660844682649</v>
      </c>
    </row>
    <row r="758" spans="1:39" x14ac:dyDescent="0.25">
      <c r="A758" s="15">
        <v>26019788</v>
      </c>
      <c r="B758" s="15">
        <v>52</v>
      </c>
      <c r="C758" s="15">
        <v>97470</v>
      </c>
      <c r="D758" s="15">
        <v>92962</v>
      </c>
      <c r="E758" s="15" t="s">
        <v>615</v>
      </c>
      <c r="F758" s="15">
        <v>2011</v>
      </c>
      <c r="G758" s="15">
        <v>20110408</v>
      </c>
      <c r="H758" s="15">
        <v>19884</v>
      </c>
      <c r="I758" s="15">
        <v>1.99</v>
      </c>
      <c r="J758" s="6" t="s">
        <v>1455</v>
      </c>
      <c r="K758" s="15">
        <v>230</v>
      </c>
      <c r="L758" s="15" t="s">
        <v>120</v>
      </c>
      <c r="M758" s="15" t="s">
        <v>5</v>
      </c>
      <c r="N758" s="11" t="s">
        <v>1384</v>
      </c>
      <c r="O758" s="11" t="s">
        <v>28</v>
      </c>
      <c r="P758" s="11" t="s">
        <v>29</v>
      </c>
      <c r="Q758" s="15">
        <v>95</v>
      </c>
      <c r="R758" s="11" t="s">
        <v>3</v>
      </c>
      <c r="S758" s="10">
        <v>168.4925499492</v>
      </c>
      <c r="T758" s="15">
        <v>80</v>
      </c>
      <c r="U758" s="15">
        <v>0</v>
      </c>
      <c r="V758" s="15">
        <v>1</v>
      </c>
      <c r="W758" s="15">
        <v>0</v>
      </c>
      <c r="X758" s="15">
        <f>IF(O758='Udvaskning nøgletal'!$D$65,1,IF(O758='Udvaskning nøgletal'!$D$66,2,IF(O758='Udvaskning nøgletal'!$D$67,3,IF(O758='Udvaskning nøgletal'!$D$68,2,""))))</f>
        <v>1</v>
      </c>
      <c r="Y758" s="15">
        <f>LOOKUP(K758,'Udvaskning nøgletal'!$C$12:$C$60,'Udvaskning nøgletal'!$H$12:$H$60)</f>
        <v>0</v>
      </c>
      <c r="Z758" s="10">
        <f>IF(X758=1,LOOKUP(K758,'Udvaskning nøgletal'!$C$12:$C$60,'Udvaskning nøgletal'!$E$12:$E$60)+Markniveau!Y758*Markniveau!S758/100,IF(X758=2,LOOKUP(K758,'Udvaskning nøgletal'!$C$12:$C$60,'Udvaskning nøgletal'!$F$12:$F$60)+Markniveau!Y758*Markniveau!S758/100,IF(X758=3,LOOKUP(K758,'Udvaskning nøgletal'!$C$12:$C$60,'Udvaskning nøgletal'!G768:G816)+Markniveau!Y758*Markniveau!S758/100,"")))</f>
        <v>38.620385460262987</v>
      </c>
      <c r="AA758" s="10">
        <f t="shared" si="116"/>
        <v>76.854567065923348</v>
      </c>
      <c r="AB758" s="10">
        <f t="shared" si="115"/>
        <v>1.9310192730131492</v>
      </c>
      <c r="AC758" s="10">
        <f t="shared" si="117"/>
        <v>3.8427283532961671</v>
      </c>
      <c r="AD758" s="10">
        <f>IF(AND(Q758&gt;0,Q758&lt;30,K758&lt;8),Markniveau!Z758*'Udvaskning nøgletal'!$I$12/100,IF(AND(Q758&gt;0,Q758&lt;30,K758=216),Markniveau!Z758*'Udvaskning nøgletal'!$I$34/100,Markniveau!Z758))</f>
        <v>38.620385460262987</v>
      </c>
      <c r="AE758" s="10">
        <f t="shared" si="123"/>
        <v>76.854567065923348</v>
      </c>
      <c r="AF758" s="10">
        <f t="shared" si="118"/>
        <v>1.9310192730131492</v>
      </c>
      <c r="AG758" s="10">
        <f t="shared" si="124"/>
        <v>3.8427283532961671</v>
      </c>
      <c r="AH758" s="10" t="str">
        <f>IF(AND(Q758&gt;0,Q758&lt;30,K758=216),'Udvaskning nøgletal'!$C$42,IF(AND(Q758&gt;0,Q758&lt;30,K758&gt;7,K758&lt;17),'Udvaskning nøgletal'!$C$61,IF(AND(Q758&gt;0,Q758&lt;30,K758&lt;7),'Udvaskning nøgletal'!$C$62,"")))</f>
        <v/>
      </c>
      <c r="AI758" s="10">
        <f t="shared" si="120"/>
        <v>230</v>
      </c>
      <c r="AJ758" s="10">
        <f>IF($X758=1,LOOKUP(AI758,'Udvaskning nøgletal'!$C$12:$C$62,'Udvaskning nøgletal'!$E$12:$E$62)+Markniveau!$Y758*Markniveau!$S758/100,IF($X758=2,LOOKUP(AI758,'Udvaskning nøgletal'!$C$12:$C$62,'Udvaskning nøgletal'!$F$12:$F$62)+Markniveau!$Y758*Markniveau!$S758/100,IF($X758=3,LOOKUP(AI758,'Udvaskning nøgletal'!$C$12:$C$62,'Udvaskning nøgletal'!Q768:Q818)+Markniveau!$Y758*Markniveau!$S758/100,"")))</f>
        <v>38.620385460262987</v>
      </c>
      <c r="AK758" s="10">
        <f t="shared" si="119"/>
        <v>76.854567065923348</v>
      </c>
      <c r="AL758" s="10">
        <f t="shared" si="121"/>
        <v>1.9310192730131492</v>
      </c>
      <c r="AM758" s="10">
        <f t="shared" si="122"/>
        <v>3.8427283532961671</v>
      </c>
    </row>
    <row r="759" spans="1:39" x14ac:dyDescent="0.25">
      <c r="A759" s="15">
        <v>26019788</v>
      </c>
      <c r="B759" s="15">
        <v>52</v>
      </c>
      <c r="C759" s="15">
        <v>102603</v>
      </c>
      <c r="D759" s="15">
        <v>92962</v>
      </c>
      <c r="E759" s="15" t="s">
        <v>616</v>
      </c>
      <c r="F759" s="15">
        <v>2011</v>
      </c>
      <c r="G759" s="15">
        <v>20110408</v>
      </c>
      <c r="H759" s="15">
        <v>33337</v>
      </c>
      <c r="I759" s="15">
        <v>3.33</v>
      </c>
      <c r="J759" s="6" t="s">
        <v>144</v>
      </c>
      <c r="K759" s="15">
        <v>280</v>
      </c>
      <c r="L759" s="15" t="s">
        <v>624</v>
      </c>
      <c r="M759" s="15" t="s">
        <v>5</v>
      </c>
      <c r="N759" s="11" t="s">
        <v>1384</v>
      </c>
      <c r="O759" s="11" t="s">
        <v>28</v>
      </c>
      <c r="P759" s="11" t="s">
        <v>29</v>
      </c>
      <c r="Q759" s="15">
        <v>95</v>
      </c>
      <c r="R759" s="11" t="s">
        <v>3</v>
      </c>
      <c r="S759" s="10">
        <v>168.4925499492</v>
      </c>
      <c r="T759" s="15">
        <v>80</v>
      </c>
      <c r="U759" s="15">
        <v>0</v>
      </c>
      <c r="V759" s="15">
        <v>1</v>
      </c>
      <c r="W759" s="15">
        <v>0</v>
      </c>
      <c r="X759" s="15">
        <f>IF(O759='Udvaskning nøgletal'!$D$65,1,IF(O759='Udvaskning nøgletal'!$D$66,2,IF(O759='Udvaskning nøgletal'!$D$67,3,IF(O759='Udvaskning nøgletal'!$D$68,2,""))))</f>
        <v>1</v>
      </c>
      <c r="Y759" s="15">
        <f>LOOKUP(K759,'Udvaskning nøgletal'!$C$12:$C$60,'Udvaskning nøgletal'!$H$12:$H$60)</f>
        <v>0</v>
      </c>
      <c r="Z759" s="10">
        <f>IF(X759=1,LOOKUP(K759,'Udvaskning nøgletal'!$C$12:$C$60,'Udvaskning nøgletal'!$E$12:$E$60)+Markniveau!Y759*Markniveau!S759/100,IF(X759=2,LOOKUP(K759,'Udvaskning nøgletal'!$C$12:$C$60,'Udvaskning nøgletal'!$F$12:$F$60)+Markniveau!Y759*Markniveau!S759/100,IF(X759=3,LOOKUP(K759,'Udvaskning nøgletal'!$C$12:$C$60,'Udvaskning nøgletal'!G769:G817)+Markniveau!Y759*Markniveau!S759/100,"")))</f>
        <v>37.1</v>
      </c>
      <c r="AA759" s="10">
        <f t="shared" si="116"/>
        <v>123.54300000000001</v>
      </c>
      <c r="AB759" s="10">
        <f t="shared" si="115"/>
        <v>1.855</v>
      </c>
      <c r="AC759" s="10">
        <f t="shared" si="117"/>
        <v>6.1771500000000001</v>
      </c>
      <c r="AD759" s="10">
        <f>IF(AND(Q759&gt;0,Q759&lt;30,K759&lt;8),Markniveau!Z759*'Udvaskning nøgletal'!$I$12/100,IF(AND(Q759&gt;0,Q759&lt;30,K759=216),Markniveau!Z759*'Udvaskning nøgletal'!$I$34/100,Markniveau!Z759))</f>
        <v>37.1</v>
      </c>
      <c r="AE759" s="10">
        <f t="shared" si="123"/>
        <v>123.54300000000001</v>
      </c>
      <c r="AF759" s="10">
        <f t="shared" si="118"/>
        <v>1.855</v>
      </c>
      <c r="AG759" s="10">
        <f t="shared" si="124"/>
        <v>6.1771500000000001</v>
      </c>
      <c r="AH759" s="10" t="str">
        <f>IF(AND(Q759&gt;0,Q759&lt;30,K759=216),'Udvaskning nøgletal'!$C$42,IF(AND(Q759&gt;0,Q759&lt;30,K759&gt;7,K759&lt;17),'Udvaskning nøgletal'!$C$61,IF(AND(Q759&gt;0,Q759&lt;30,K759&lt;7),'Udvaskning nøgletal'!$C$62,"")))</f>
        <v/>
      </c>
      <c r="AI759" s="10">
        <f t="shared" si="120"/>
        <v>280</v>
      </c>
      <c r="AJ759" s="10">
        <f>IF($X759=1,LOOKUP(AI759,'Udvaskning nøgletal'!$C$12:$C$62,'Udvaskning nøgletal'!$E$12:$E$62)+Markniveau!$Y759*Markniveau!$S759/100,IF($X759=2,LOOKUP(AI759,'Udvaskning nøgletal'!$C$12:$C$62,'Udvaskning nøgletal'!$F$12:$F$62)+Markniveau!$Y759*Markniveau!$S759/100,IF($X759=3,LOOKUP(AI759,'Udvaskning nøgletal'!$C$12:$C$62,'Udvaskning nøgletal'!Q769:Q819)+Markniveau!$Y759*Markniveau!$S759/100,"")))</f>
        <v>37.1</v>
      </c>
      <c r="AK759" s="10">
        <f t="shared" si="119"/>
        <v>123.54300000000001</v>
      </c>
      <c r="AL759" s="10">
        <f t="shared" si="121"/>
        <v>1.855</v>
      </c>
      <c r="AM759" s="10">
        <f t="shared" si="122"/>
        <v>6.1771500000000001</v>
      </c>
    </row>
    <row r="760" spans="1:39" x14ac:dyDescent="0.25">
      <c r="A760" s="15">
        <v>26019788</v>
      </c>
      <c r="B760" s="15">
        <v>52</v>
      </c>
      <c r="C760" s="15">
        <v>428404</v>
      </c>
      <c r="D760" s="15">
        <v>92962</v>
      </c>
      <c r="E760" s="15" t="s">
        <v>616</v>
      </c>
      <c r="F760" s="15">
        <v>2011</v>
      </c>
      <c r="G760" s="15">
        <v>20110408</v>
      </c>
      <c r="H760" s="15">
        <v>29889</v>
      </c>
      <c r="I760" s="15">
        <v>2.99</v>
      </c>
      <c r="J760" s="6" t="s">
        <v>58</v>
      </c>
      <c r="K760" s="15">
        <v>1</v>
      </c>
      <c r="L760" s="15" t="s">
        <v>32</v>
      </c>
      <c r="M760" s="15" t="s">
        <v>5</v>
      </c>
      <c r="N760" s="11" t="s">
        <v>1384</v>
      </c>
      <c r="O760" s="11" t="s">
        <v>28</v>
      </c>
      <c r="P760" s="11" t="s">
        <v>29</v>
      </c>
      <c r="Q760" s="15">
        <v>95</v>
      </c>
      <c r="R760" s="11" t="s">
        <v>3</v>
      </c>
      <c r="S760" s="10">
        <v>168.4925499492</v>
      </c>
      <c r="T760" s="15">
        <v>80</v>
      </c>
      <c r="U760" s="15">
        <v>0</v>
      </c>
      <c r="V760" s="15">
        <v>1</v>
      </c>
      <c r="W760" s="15">
        <v>0</v>
      </c>
      <c r="X760" s="15">
        <f>IF(O760='Udvaskning nøgletal'!$D$65,1,IF(O760='Udvaskning nøgletal'!$D$66,2,IF(O760='Udvaskning nøgletal'!$D$67,3,IF(O760='Udvaskning nøgletal'!$D$68,2,""))))</f>
        <v>1</v>
      </c>
      <c r="Y760" s="15">
        <f>LOOKUP(K760,'Udvaskning nøgletal'!$C$12:$C$60,'Udvaskning nøgletal'!$H$12:$H$60)</f>
        <v>5</v>
      </c>
      <c r="Z760" s="10">
        <f>IF(X760=1,LOOKUP(K760,'Udvaskning nøgletal'!$C$12:$C$60,'Udvaskning nøgletal'!$E$12:$E$60)+Markniveau!Y760*Markniveau!S760/100,IF(X760=2,LOOKUP(K760,'Udvaskning nøgletal'!$C$12:$C$60,'Udvaskning nøgletal'!$F$12:$F$60)+Markniveau!Y760*Markniveau!S760/100,IF(X760=3,LOOKUP(K760,'Udvaskning nøgletal'!$C$12:$C$60,'Udvaskning nøgletal'!G770:G818)+Markniveau!Y760*Markniveau!S760/100,"")))</f>
        <v>73.084627497459991</v>
      </c>
      <c r="AA760" s="10">
        <f t="shared" si="116"/>
        <v>218.52303621740538</v>
      </c>
      <c r="AB760" s="10">
        <f t="shared" si="115"/>
        <v>3.654231374873</v>
      </c>
      <c r="AC760" s="10">
        <f t="shared" si="117"/>
        <v>10.926151810870271</v>
      </c>
      <c r="AD760" s="10">
        <f>IF(AND(Q760&gt;0,Q760&lt;30,K760&lt;8),Markniveau!Z760*'Udvaskning nøgletal'!$I$12/100,IF(AND(Q760&gt;0,Q760&lt;30,K760=216),Markniveau!Z760*'Udvaskning nøgletal'!$I$34/100,Markniveau!Z760))</f>
        <v>73.084627497459991</v>
      </c>
      <c r="AE760" s="10">
        <f t="shared" si="123"/>
        <v>218.52303621740538</v>
      </c>
      <c r="AF760" s="10">
        <f t="shared" si="118"/>
        <v>3.654231374873</v>
      </c>
      <c r="AG760" s="10">
        <f t="shared" si="124"/>
        <v>10.926151810870271</v>
      </c>
      <c r="AH760" s="10" t="str">
        <f>IF(AND(Q760&gt;0,Q760&lt;30,K760=216),'Udvaskning nøgletal'!$C$42,IF(AND(Q760&gt;0,Q760&lt;30,K760&gt;7,K760&lt;17),'Udvaskning nøgletal'!$C$61,IF(AND(Q760&gt;0,Q760&lt;30,K760&lt;7),'Udvaskning nøgletal'!$C$62,"")))</f>
        <v/>
      </c>
      <c r="AI760" s="10">
        <f t="shared" si="120"/>
        <v>1</v>
      </c>
      <c r="AJ760" s="10">
        <f>IF($X760=1,LOOKUP(AI760,'Udvaskning nøgletal'!$C$12:$C$62,'Udvaskning nøgletal'!$E$12:$E$62)+Markniveau!$Y760*Markniveau!$S760/100,IF($X760=2,LOOKUP(AI760,'Udvaskning nøgletal'!$C$12:$C$62,'Udvaskning nøgletal'!$F$12:$F$62)+Markniveau!$Y760*Markniveau!$S760/100,IF($X760=3,LOOKUP(AI760,'Udvaskning nøgletal'!$C$12:$C$62,'Udvaskning nøgletal'!Q770:Q820)+Markniveau!$Y760*Markniveau!$S760/100,"")))</f>
        <v>73.084627497459991</v>
      </c>
      <c r="AK760" s="10">
        <f t="shared" si="119"/>
        <v>218.52303621740538</v>
      </c>
      <c r="AL760" s="10">
        <f t="shared" si="121"/>
        <v>3.654231374873</v>
      </c>
      <c r="AM760" s="10">
        <f t="shared" si="122"/>
        <v>10.926151810870271</v>
      </c>
    </row>
    <row r="761" spans="1:39" x14ac:dyDescent="0.25">
      <c r="A761" s="15">
        <v>26019788</v>
      </c>
      <c r="B761" s="15">
        <v>52</v>
      </c>
      <c r="C761" s="15">
        <v>67933</v>
      </c>
      <c r="D761" s="15">
        <v>92962</v>
      </c>
      <c r="E761" s="15" t="s">
        <v>616</v>
      </c>
      <c r="F761" s="15">
        <v>2011</v>
      </c>
      <c r="G761" s="15">
        <v>20110408</v>
      </c>
      <c r="H761" s="15">
        <v>38479</v>
      </c>
      <c r="I761" s="15">
        <v>3.85</v>
      </c>
      <c r="J761" s="6" t="s">
        <v>92</v>
      </c>
      <c r="K761" s="15">
        <v>216</v>
      </c>
      <c r="L761" s="15" t="s">
        <v>116</v>
      </c>
      <c r="M761" s="15" t="s">
        <v>5</v>
      </c>
      <c r="N761" s="11" t="s">
        <v>1384</v>
      </c>
      <c r="O761" s="11" t="s">
        <v>28</v>
      </c>
      <c r="P761" s="11" t="s">
        <v>29</v>
      </c>
      <c r="Q761" s="15">
        <v>95</v>
      </c>
      <c r="R761" s="11" t="s">
        <v>3</v>
      </c>
      <c r="S761" s="10">
        <v>168.4925499492</v>
      </c>
      <c r="T761" s="15">
        <v>80</v>
      </c>
      <c r="U761" s="15">
        <v>0</v>
      </c>
      <c r="V761" s="15">
        <v>1</v>
      </c>
      <c r="W761" s="15">
        <v>0</v>
      </c>
      <c r="X761" s="15">
        <f>IF(O761='Udvaskning nøgletal'!$D$65,1,IF(O761='Udvaskning nøgletal'!$D$66,2,IF(O761='Udvaskning nøgletal'!$D$67,3,IF(O761='Udvaskning nøgletal'!$D$68,2,""))))</f>
        <v>1</v>
      </c>
      <c r="Y761" s="15">
        <f>LOOKUP(K761,'Udvaskning nøgletal'!$C$12:$C$60,'Udvaskning nøgletal'!$H$12:$H$60)</f>
        <v>0</v>
      </c>
      <c r="Z761" s="10">
        <f>IF(X761=1,LOOKUP(K761,'Udvaskning nøgletal'!$C$12:$C$60,'Udvaskning nøgletal'!$E$12:$E$60)+Markniveau!Y761*Markniveau!S761/100,IF(X761=2,LOOKUP(K761,'Udvaskning nøgletal'!$C$12:$C$60,'Udvaskning nøgletal'!$F$12:$F$60)+Markniveau!Y761*Markniveau!S761/100,IF(X761=3,LOOKUP(K761,'Udvaskning nøgletal'!$C$12:$C$60,'Udvaskning nøgletal'!G771:G819)+Markniveau!Y761*Markniveau!S761/100,"")))</f>
        <v>125.85383557148924</v>
      </c>
      <c r="AA761" s="10">
        <f t="shared" si="116"/>
        <v>484.53726695023357</v>
      </c>
      <c r="AB761" s="10">
        <f t="shared" si="115"/>
        <v>6.2926917785744623</v>
      </c>
      <c r="AC761" s="10">
        <f t="shared" si="117"/>
        <v>24.226863347511681</v>
      </c>
      <c r="AD761" s="10">
        <f>IF(AND(Q761&gt;0,Q761&lt;30,K761&lt;8),Markniveau!Z761*'Udvaskning nøgletal'!$I$12/100,IF(AND(Q761&gt;0,Q761&lt;30,K761=216),Markniveau!Z761*'Udvaskning nøgletal'!$I$34/100,Markniveau!Z761))</f>
        <v>125.85383557148924</v>
      </c>
      <c r="AE761" s="10">
        <f t="shared" si="123"/>
        <v>484.53726695023357</v>
      </c>
      <c r="AF761" s="10">
        <f t="shared" si="118"/>
        <v>6.2926917785744623</v>
      </c>
      <c r="AG761" s="10">
        <f t="shared" si="124"/>
        <v>24.226863347511681</v>
      </c>
      <c r="AH761" s="10" t="str">
        <f>IF(AND(Q761&gt;0,Q761&lt;30,K761=216),'Udvaskning nøgletal'!$C$42,IF(AND(Q761&gt;0,Q761&lt;30,K761&gt;7,K761&lt;17),'Udvaskning nøgletal'!$C$61,IF(AND(Q761&gt;0,Q761&lt;30,K761&lt;7),'Udvaskning nøgletal'!$C$62,"")))</f>
        <v/>
      </c>
      <c r="AI761" s="10">
        <f t="shared" si="120"/>
        <v>216</v>
      </c>
      <c r="AJ761" s="10">
        <f>IF($X761=1,LOOKUP(AI761,'Udvaskning nøgletal'!$C$12:$C$62,'Udvaskning nøgletal'!$E$12:$E$62)+Markniveau!$Y761*Markniveau!$S761/100,IF($X761=2,LOOKUP(AI761,'Udvaskning nøgletal'!$C$12:$C$62,'Udvaskning nøgletal'!$F$12:$F$62)+Markniveau!$Y761*Markniveau!$S761/100,IF($X761=3,LOOKUP(AI761,'Udvaskning nøgletal'!$C$12:$C$62,'Udvaskning nøgletal'!Q771:Q821)+Markniveau!$Y761*Markniveau!$S761/100,"")))</f>
        <v>125.85383557148924</v>
      </c>
      <c r="AK761" s="10">
        <f t="shared" si="119"/>
        <v>484.53726695023357</v>
      </c>
      <c r="AL761" s="10">
        <f t="shared" si="121"/>
        <v>6.2926917785744623</v>
      </c>
      <c r="AM761" s="10">
        <f t="shared" si="122"/>
        <v>24.226863347511681</v>
      </c>
    </row>
    <row r="762" spans="1:39" x14ac:dyDescent="0.25">
      <c r="A762" s="15">
        <v>26019788</v>
      </c>
      <c r="B762" s="15">
        <v>52</v>
      </c>
      <c r="C762" s="15">
        <v>89852</v>
      </c>
      <c r="D762" s="15">
        <v>92962</v>
      </c>
      <c r="E762" s="15" t="s">
        <v>615</v>
      </c>
      <c r="F762" s="15">
        <v>2011</v>
      </c>
      <c r="G762" s="15">
        <v>20110408</v>
      </c>
      <c r="H762" s="15">
        <v>30502</v>
      </c>
      <c r="I762" s="15">
        <v>3.05</v>
      </c>
      <c r="J762" s="6" t="s">
        <v>31</v>
      </c>
      <c r="K762" s="15">
        <v>260</v>
      </c>
      <c r="L762" s="15" t="s">
        <v>45</v>
      </c>
      <c r="M762" s="15" t="s">
        <v>5</v>
      </c>
      <c r="N762" s="11" t="s">
        <v>1384</v>
      </c>
      <c r="O762" s="11" t="s">
        <v>28</v>
      </c>
      <c r="P762" s="11" t="s">
        <v>29</v>
      </c>
      <c r="Q762" s="15">
        <v>95</v>
      </c>
      <c r="R762" s="11" t="s">
        <v>3</v>
      </c>
      <c r="S762" s="10">
        <v>168.4925499492</v>
      </c>
      <c r="T762" s="15">
        <v>80</v>
      </c>
      <c r="U762" s="15">
        <v>0</v>
      </c>
      <c r="V762" s="15">
        <v>1</v>
      </c>
      <c r="W762" s="15">
        <v>0</v>
      </c>
      <c r="X762" s="15">
        <f>IF(O762='Udvaskning nøgletal'!$D$65,1,IF(O762='Udvaskning nøgletal'!$D$66,2,IF(O762='Udvaskning nøgletal'!$D$67,3,IF(O762='Udvaskning nøgletal'!$D$68,2,""))))</f>
        <v>1</v>
      </c>
      <c r="Y762" s="15">
        <f>LOOKUP(K762,'Udvaskning nøgletal'!$C$12:$C$60,'Udvaskning nøgletal'!$H$12:$H$60)</f>
        <v>0</v>
      </c>
      <c r="Z762" s="10">
        <f>IF(X762=1,LOOKUP(K762,'Udvaskning nøgletal'!$C$12:$C$60,'Udvaskning nøgletal'!$E$12:$E$60)+Markniveau!Y762*Markniveau!S762/100,IF(X762=2,LOOKUP(K762,'Udvaskning nøgletal'!$C$12:$C$60,'Udvaskning nøgletal'!$F$12:$F$60)+Markniveau!Y762*Markniveau!S762/100,IF(X762=3,LOOKUP(K762,'Udvaskning nøgletal'!$C$12:$C$60,'Udvaskning nøgletal'!G772:G820)+Markniveau!Y762*Markniveau!S762/100,"")))</f>
        <v>33.723295792149436</v>
      </c>
      <c r="AA762" s="10">
        <f t="shared" si="116"/>
        <v>102.85605216605578</v>
      </c>
      <c r="AB762" s="10">
        <f t="shared" si="115"/>
        <v>1.6861647896074716</v>
      </c>
      <c r="AC762" s="10">
        <f t="shared" si="117"/>
        <v>5.1428026083027882</v>
      </c>
      <c r="AD762" s="10">
        <f>IF(AND(Q762&gt;0,Q762&lt;30,K762&lt;8),Markniveau!Z762*'Udvaskning nøgletal'!$I$12/100,IF(AND(Q762&gt;0,Q762&lt;30,K762=216),Markniveau!Z762*'Udvaskning nøgletal'!$I$34/100,Markniveau!Z762))</f>
        <v>33.723295792149436</v>
      </c>
      <c r="AE762" s="10">
        <f t="shared" si="123"/>
        <v>102.85605216605578</v>
      </c>
      <c r="AF762" s="10">
        <f t="shared" si="118"/>
        <v>1.6861647896074716</v>
      </c>
      <c r="AG762" s="10">
        <f t="shared" si="124"/>
        <v>5.1428026083027882</v>
      </c>
      <c r="AH762" s="10" t="str">
        <f>IF(AND(Q762&gt;0,Q762&lt;30,K762=216),'Udvaskning nøgletal'!$C$42,IF(AND(Q762&gt;0,Q762&lt;30,K762&gt;7,K762&lt;17),'Udvaskning nøgletal'!$C$61,IF(AND(Q762&gt;0,Q762&lt;30,K762&lt;7),'Udvaskning nøgletal'!$C$62,"")))</f>
        <v/>
      </c>
      <c r="AI762" s="10">
        <f t="shared" si="120"/>
        <v>260</v>
      </c>
      <c r="AJ762" s="10">
        <f>IF($X762=1,LOOKUP(AI762,'Udvaskning nøgletal'!$C$12:$C$62,'Udvaskning nøgletal'!$E$12:$E$62)+Markniveau!$Y762*Markniveau!$S762/100,IF($X762=2,LOOKUP(AI762,'Udvaskning nøgletal'!$C$12:$C$62,'Udvaskning nøgletal'!$F$12:$F$62)+Markniveau!$Y762*Markniveau!$S762/100,IF($X762=3,LOOKUP(AI762,'Udvaskning nøgletal'!$C$12:$C$62,'Udvaskning nøgletal'!Q772:Q822)+Markniveau!$Y762*Markniveau!$S762/100,"")))</f>
        <v>33.723295792149436</v>
      </c>
      <c r="AK762" s="10">
        <f t="shared" si="119"/>
        <v>102.85605216605578</v>
      </c>
      <c r="AL762" s="10">
        <f t="shared" si="121"/>
        <v>1.6861647896074716</v>
      </c>
      <c r="AM762" s="10">
        <f t="shared" si="122"/>
        <v>5.1428026083027882</v>
      </c>
    </row>
    <row r="763" spans="1:39" x14ac:dyDescent="0.25">
      <c r="A763" s="15">
        <v>26025516</v>
      </c>
      <c r="B763" s="15">
        <v>11.56</v>
      </c>
      <c r="C763" s="15">
        <v>566821</v>
      </c>
      <c r="D763" s="15">
        <v>98962</v>
      </c>
      <c r="E763" s="15" t="s">
        <v>625</v>
      </c>
      <c r="F763" s="15">
        <v>2011</v>
      </c>
      <c r="G763" s="15">
        <v>20110328</v>
      </c>
      <c r="H763" s="15">
        <v>13039</v>
      </c>
      <c r="I763" s="15">
        <v>1.3</v>
      </c>
      <c r="J763" s="6" t="s">
        <v>37</v>
      </c>
      <c r="K763" s="15">
        <v>260</v>
      </c>
      <c r="L763" s="15" t="s">
        <v>45</v>
      </c>
      <c r="M763" s="15" t="s">
        <v>5</v>
      </c>
      <c r="N763" s="11" t="s">
        <v>1391</v>
      </c>
      <c r="O763" s="11" t="s">
        <v>46</v>
      </c>
      <c r="P763" s="11" t="s">
        <v>33</v>
      </c>
      <c r="Q763" s="15">
        <v>95</v>
      </c>
      <c r="R763" s="11" t="s">
        <v>3</v>
      </c>
      <c r="S763" s="10">
        <v>126.43276450512001</v>
      </c>
      <c r="T763" s="15">
        <v>80</v>
      </c>
      <c r="U763" s="15">
        <v>0</v>
      </c>
      <c r="V763" s="15">
        <v>0</v>
      </c>
      <c r="W763" s="15">
        <v>1</v>
      </c>
      <c r="X763" s="15">
        <f>IF(O763='Udvaskning nøgletal'!$D$65,1,IF(O763='Udvaskning nøgletal'!$D$66,2,IF(O763='Udvaskning nøgletal'!$D$67,3,IF(O763='Udvaskning nøgletal'!$D$68,2,""))))</f>
        <v>2</v>
      </c>
      <c r="Y763" s="15">
        <f>LOOKUP(K763,'Udvaskning nøgletal'!$C$12:$C$60,'Udvaskning nøgletal'!$H$12:$H$60)</f>
        <v>0</v>
      </c>
      <c r="Z763" s="10">
        <f>IF(X763=1,LOOKUP(K763,'Udvaskning nøgletal'!$C$12:$C$60,'Udvaskning nøgletal'!$E$12:$E$60)+Markniveau!Y763*Markniveau!S763/100,IF(X763=2,LOOKUP(K763,'Udvaskning nøgletal'!$C$12:$C$60,'Udvaskning nøgletal'!$F$12:$F$60)+Markniveau!Y763*Markniveau!S763/100,IF(X763=3,LOOKUP(K763,'Udvaskning nøgletal'!$C$12:$C$60,'Udvaskning nøgletal'!G773:G821)+Markniveau!Y763*Markniveau!S763/100,"")))</f>
        <v>27.331185321443094</v>
      </c>
      <c r="AA763" s="10">
        <f t="shared" si="116"/>
        <v>35.530540917876024</v>
      </c>
      <c r="AB763" s="10">
        <f t="shared" si="115"/>
        <v>1.3665592660721546</v>
      </c>
      <c r="AC763" s="10">
        <f t="shared" si="117"/>
        <v>1.7765270458938009</v>
      </c>
      <c r="AD763" s="10">
        <f>IF(AND(Q763&gt;0,Q763&lt;30,K763&lt;8),Markniveau!Z763*'Udvaskning nøgletal'!$I$12/100,IF(AND(Q763&gt;0,Q763&lt;30,K763=216),Markniveau!Z763*'Udvaskning nøgletal'!$I$34/100,Markniveau!Z763))</f>
        <v>27.331185321443094</v>
      </c>
      <c r="AE763" s="10">
        <f t="shared" si="123"/>
        <v>35.530540917876024</v>
      </c>
      <c r="AF763" s="10">
        <f t="shared" si="118"/>
        <v>1.3665592660721546</v>
      </c>
      <c r="AG763" s="10">
        <f t="shared" si="124"/>
        <v>1.7765270458938009</v>
      </c>
      <c r="AH763" s="10" t="str">
        <f>IF(AND(Q763&gt;0,Q763&lt;30,K763=216),'Udvaskning nøgletal'!$C$42,IF(AND(Q763&gt;0,Q763&lt;30,K763&gt;7,K763&lt;17),'Udvaskning nøgletal'!$C$61,IF(AND(Q763&gt;0,Q763&lt;30,K763&lt;7),'Udvaskning nøgletal'!$C$62,"")))</f>
        <v/>
      </c>
      <c r="AI763" s="10">
        <f t="shared" si="120"/>
        <v>260</v>
      </c>
      <c r="AJ763" s="10">
        <f>IF($X763=1,LOOKUP(AI763,'Udvaskning nøgletal'!$C$12:$C$62,'Udvaskning nøgletal'!$E$12:$E$62)+Markniveau!$Y763*Markniveau!$S763/100,IF($X763=2,LOOKUP(AI763,'Udvaskning nøgletal'!$C$12:$C$62,'Udvaskning nøgletal'!$F$12:$F$62)+Markniveau!$Y763*Markniveau!$S763/100,IF($X763=3,LOOKUP(AI763,'Udvaskning nøgletal'!$C$12:$C$62,'Udvaskning nøgletal'!Q773:Q823)+Markniveau!$Y763*Markniveau!$S763/100,"")))</f>
        <v>27.331185321443094</v>
      </c>
      <c r="AK763" s="10">
        <f t="shared" si="119"/>
        <v>35.530540917876024</v>
      </c>
      <c r="AL763" s="10">
        <f t="shared" si="121"/>
        <v>1.3665592660721546</v>
      </c>
      <c r="AM763" s="10">
        <f t="shared" si="122"/>
        <v>1.7765270458938009</v>
      </c>
    </row>
    <row r="764" spans="1:39" x14ac:dyDescent="0.25">
      <c r="A764" s="15">
        <v>26025516</v>
      </c>
      <c r="B764" s="15">
        <v>11.56</v>
      </c>
      <c r="C764" s="15">
        <v>608525</v>
      </c>
      <c r="D764" s="15">
        <v>98962</v>
      </c>
      <c r="E764" s="15" t="s">
        <v>625</v>
      </c>
      <c r="F764" s="15">
        <v>2011</v>
      </c>
      <c r="G764" s="15">
        <v>20110328</v>
      </c>
      <c r="H764" s="15">
        <v>10349</v>
      </c>
      <c r="I764" s="15">
        <v>1.03</v>
      </c>
      <c r="J764" s="6" t="s">
        <v>97</v>
      </c>
      <c r="K764" s="15">
        <v>250</v>
      </c>
      <c r="L764" s="15" t="s">
        <v>626</v>
      </c>
      <c r="M764" s="15" t="s">
        <v>4</v>
      </c>
      <c r="N764" s="11" t="s">
        <v>1391</v>
      </c>
      <c r="O764" s="11" t="s">
        <v>46</v>
      </c>
      <c r="P764" s="11" t="s">
        <v>33</v>
      </c>
      <c r="Q764" s="15">
        <v>95</v>
      </c>
      <c r="R764" s="11" t="s">
        <v>3</v>
      </c>
      <c r="S764" s="10">
        <v>126.43276450512001</v>
      </c>
      <c r="T764" s="15">
        <v>80</v>
      </c>
      <c r="U764" s="15">
        <v>0</v>
      </c>
      <c r="V764" s="15">
        <v>0</v>
      </c>
      <c r="W764" s="15">
        <v>1</v>
      </c>
      <c r="X764" s="15">
        <f>IF(O764='Udvaskning nøgletal'!$D$65,1,IF(O764='Udvaskning nøgletal'!$D$66,2,IF(O764='Udvaskning nøgletal'!$D$67,3,IF(O764='Udvaskning nøgletal'!$D$68,2,""))))</f>
        <v>2</v>
      </c>
      <c r="Y764" s="15">
        <f>LOOKUP(K764,'Udvaskning nøgletal'!$C$12:$C$60,'Udvaskning nøgletal'!$H$12:$H$60)</f>
        <v>0</v>
      </c>
      <c r="Z764" s="10">
        <f>IF(X764=1,LOOKUP(K764,'Udvaskning nøgletal'!$C$12:$C$60,'Udvaskning nøgletal'!$E$12:$E$60)+Markniveau!Y764*Markniveau!S764/100,IF(X764=2,LOOKUP(K764,'Udvaskning nøgletal'!$C$12:$C$60,'Udvaskning nøgletal'!$F$12:$F$60)+Markniveau!Y764*Markniveau!S764/100,IF(X764=3,LOOKUP(K764,'Udvaskning nøgletal'!$C$12:$C$60,'Udvaskning nøgletal'!G774:G822)+Markniveau!Y764*Markniveau!S764/100,"")))</f>
        <v>21.2</v>
      </c>
      <c r="AA764" s="10">
        <f t="shared" si="116"/>
        <v>21.835999999999999</v>
      </c>
      <c r="AB764" s="10">
        <f t="shared" si="115"/>
        <v>1.06</v>
      </c>
      <c r="AC764" s="10">
        <f t="shared" si="117"/>
        <v>1.0918000000000001</v>
      </c>
      <c r="AD764" s="10">
        <f>IF(AND(Q764&gt;0,Q764&lt;30,K764&lt;8),Markniveau!Z764*'Udvaskning nøgletal'!$I$12/100,IF(AND(Q764&gt;0,Q764&lt;30,K764=216),Markniveau!Z764*'Udvaskning nøgletal'!$I$34/100,Markniveau!Z764))</f>
        <v>21.2</v>
      </c>
      <c r="AE764" s="10">
        <f t="shared" si="123"/>
        <v>21.835999999999999</v>
      </c>
      <c r="AF764" s="10">
        <f t="shared" si="118"/>
        <v>1.06</v>
      </c>
      <c r="AG764" s="10">
        <f t="shared" si="124"/>
        <v>1.0918000000000001</v>
      </c>
      <c r="AH764" s="10" t="str">
        <f>IF(AND(Q764&gt;0,Q764&lt;30,K764=216),'Udvaskning nøgletal'!$C$42,IF(AND(Q764&gt;0,Q764&lt;30,K764&gt;7,K764&lt;17),'Udvaskning nøgletal'!$C$61,IF(AND(Q764&gt;0,Q764&lt;30,K764&lt;7),'Udvaskning nøgletal'!$C$62,"")))</f>
        <v/>
      </c>
      <c r="AI764" s="10">
        <f t="shared" si="120"/>
        <v>250</v>
      </c>
      <c r="AJ764" s="10">
        <f>IF($X764=1,LOOKUP(AI764,'Udvaskning nøgletal'!$C$12:$C$62,'Udvaskning nøgletal'!$E$12:$E$62)+Markniveau!$Y764*Markniveau!$S764/100,IF($X764=2,LOOKUP(AI764,'Udvaskning nøgletal'!$C$12:$C$62,'Udvaskning nøgletal'!$F$12:$F$62)+Markniveau!$Y764*Markniveau!$S764/100,IF($X764=3,LOOKUP(AI764,'Udvaskning nøgletal'!$C$12:$C$62,'Udvaskning nøgletal'!Q774:Q824)+Markniveau!$Y764*Markniveau!$S764/100,"")))</f>
        <v>21.2</v>
      </c>
      <c r="AK764" s="10">
        <f t="shared" si="119"/>
        <v>21.835999999999999</v>
      </c>
      <c r="AL764" s="10">
        <f t="shared" si="121"/>
        <v>1.06</v>
      </c>
      <c r="AM764" s="10">
        <f t="shared" si="122"/>
        <v>1.0918000000000001</v>
      </c>
    </row>
    <row r="765" spans="1:39" x14ac:dyDescent="0.25">
      <c r="A765" s="15">
        <v>26025516</v>
      </c>
      <c r="B765" s="15">
        <v>11.56</v>
      </c>
      <c r="C765" s="15">
        <v>608526</v>
      </c>
      <c r="D765" s="15">
        <v>98962</v>
      </c>
      <c r="E765" s="15" t="s">
        <v>625</v>
      </c>
      <c r="F765" s="15">
        <v>2011</v>
      </c>
      <c r="G765" s="15">
        <v>20110328</v>
      </c>
      <c r="H765" s="15">
        <v>10081</v>
      </c>
      <c r="I765" s="15">
        <v>1.01</v>
      </c>
      <c r="J765" s="6" t="s">
        <v>1455</v>
      </c>
      <c r="K765" s="15">
        <v>260</v>
      </c>
      <c r="L765" s="15" t="s">
        <v>45</v>
      </c>
      <c r="M765" s="15" t="s">
        <v>5</v>
      </c>
      <c r="N765" s="11" t="s">
        <v>1391</v>
      </c>
      <c r="O765" s="11" t="s">
        <v>46</v>
      </c>
      <c r="P765" s="11" t="s">
        <v>33</v>
      </c>
      <c r="Q765" s="15">
        <v>95</v>
      </c>
      <c r="R765" s="11" t="s">
        <v>3</v>
      </c>
      <c r="S765" s="10">
        <v>126.43276450512001</v>
      </c>
      <c r="T765" s="15">
        <v>80</v>
      </c>
      <c r="U765" s="15">
        <v>0</v>
      </c>
      <c r="V765" s="15">
        <v>0</v>
      </c>
      <c r="W765" s="15">
        <v>1</v>
      </c>
      <c r="X765" s="15">
        <f>IF(O765='Udvaskning nøgletal'!$D$65,1,IF(O765='Udvaskning nøgletal'!$D$66,2,IF(O765='Udvaskning nøgletal'!$D$67,3,IF(O765='Udvaskning nøgletal'!$D$68,2,""))))</f>
        <v>2</v>
      </c>
      <c r="Y765" s="15">
        <f>LOOKUP(K765,'Udvaskning nøgletal'!$C$12:$C$60,'Udvaskning nøgletal'!$H$12:$H$60)</f>
        <v>0</v>
      </c>
      <c r="Z765" s="10">
        <f>IF(X765=1,LOOKUP(K765,'Udvaskning nøgletal'!$C$12:$C$60,'Udvaskning nøgletal'!$E$12:$E$60)+Markniveau!Y765*Markniveau!S765/100,IF(X765=2,LOOKUP(K765,'Udvaskning nøgletal'!$C$12:$C$60,'Udvaskning nøgletal'!$F$12:$F$60)+Markniveau!Y765*Markniveau!S765/100,IF(X765=3,LOOKUP(K765,'Udvaskning nøgletal'!$C$12:$C$60,'Udvaskning nøgletal'!G775:G823)+Markniveau!Y765*Markniveau!S765/100,"")))</f>
        <v>27.331185321443094</v>
      </c>
      <c r="AA765" s="10">
        <f t="shared" si="116"/>
        <v>27.604497174657524</v>
      </c>
      <c r="AB765" s="10">
        <f t="shared" si="115"/>
        <v>1.3665592660721546</v>
      </c>
      <c r="AC765" s="10">
        <f t="shared" si="117"/>
        <v>1.3802248587328763</v>
      </c>
      <c r="AD765" s="10">
        <f>IF(AND(Q765&gt;0,Q765&lt;30,K765&lt;8),Markniveau!Z765*'Udvaskning nøgletal'!$I$12/100,IF(AND(Q765&gt;0,Q765&lt;30,K765=216),Markniveau!Z765*'Udvaskning nøgletal'!$I$34/100,Markniveau!Z765))</f>
        <v>27.331185321443094</v>
      </c>
      <c r="AE765" s="10">
        <f t="shared" si="123"/>
        <v>27.604497174657524</v>
      </c>
      <c r="AF765" s="10">
        <f t="shared" si="118"/>
        <v>1.3665592660721546</v>
      </c>
      <c r="AG765" s="10">
        <f t="shared" si="124"/>
        <v>1.3802248587328763</v>
      </c>
      <c r="AH765" s="10" t="str">
        <f>IF(AND(Q765&gt;0,Q765&lt;30,K765=216),'Udvaskning nøgletal'!$C$42,IF(AND(Q765&gt;0,Q765&lt;30,K765&gt;7,K765&lt;17),'Udvaskning nøgletal'!$C$61,IF(AND(Q765&gt;0,Q765&lt;30,K765&lt;7),'Udvaskning nøgletal'!$C$62,"")))</f>
        <v/>
      </c>
      <c r="AI765" s="10">
        <f t="shared" si="120"/>
        <v>260</v>
      </c>
      <c r="AJ765" s="10">
        <f>IF($X765=1,LOOKUP(AI765,'Udvaskning nøgletal'!$C$12:$C$62,'Udvaskning nøgletal'!$E$12:$E$62)+Markniveau!$Y765*Markniveau!$S765/100,IF($X765=2,LOOKUP(AI765,'Udvaskning nøgletal'!$C$12:$C$62,'Udvaskning nøgletal'!$F$12:$F$62)+Markniveau!$Y765*Markniveau!$S765/100,IF($X765=3,LOOKUP(AI765,'Udvaskning nøgletal'!$C$12:$C$62,'Udvaskning nøgletal'!Q775:Q825)+Markniveau!$Y765*Markniveau!$S765/100,"")))</f>
        <v>27.331185321443094</v>
      </c>
      <c r="AK765" s="10">
        <f t="shared" si="119"/>
        <v>27.604497174657524</v>
      </c>
      <c r="AL765" s="10">
        <f t="shared" si="121"/>
        <v>1.3665592660721546</v>
      </c>
      <c r="AM765" s="10">
        <f t="shared" si="122"/>
        <v>1.3802248587328763</v>
      </c>
    </row>
    <row r="766" spans="1:39" x14ac:dyDescent="0.25">
      <c r="A766" s="15">
        <v>26025516</v>
      </c>
      <c r="B766" s="15">
        <v>11.56</v>
      </c>
      <c r="C766" s="15">
        <v>609053</v>
      </c>
      <c r="D766" s="15">
        <v>98962</v>
      </c>
      <c r="E766" s="15" t="s">
        <v>487</v>
      </c>
      <c r="F766" s="15">
        <v>2011</v>
      </c>
      <c r="G766" s="15">
        <v>20110328</v>
      </c>
      <c r="H766" s="15">
        <v>84455</v>
      </c>
      <c r="I766" s="15">
        <v>8.4499999999999993</v>
      </c>
      <c r="J766" s="6" t="s">
        <v>61</v>
      </c>
      <c r="K766" s="15">
        <v>1</v>
      </c>
      <c r="L766" s="15" t="s">
        <v>32</v>
      </c>
      <c r="M766" s="15" t="s">
        <v>5</v>
      </c>
      <c r="N766" s="11" t="s">
        <v>1391</v>
      </c>
      <c r="O766" s="11" t="s">
        <v>46</v>
      </c>
      <c r="P766" s="11" t="s">
        <v>29</v>
      </c>
      <c r="Q766" s="15">
        <v>95</v>
      </c>
      <c r="R766" s="11" t="s">
        <v>3</v>
      </c>
      <c r="S766" s="10">
        <v>126.43276450512001</v>
      </c>
      <c r="T766" s="15">
        <v>80</v>
      </c>
      <c r="U766" s="15">
        <v>0</v>
      </c>
      <c r="V766" s="15">
        <v>0</v>
      </c>
      <c r="W766" s="15">
        <v>1</v>
      </c>
      <c r="X766" s="15">
        <f>IF(O766='Udvaskning nøgletal'!$D$65,1,IF(O766='Udvaskning nøgletal'!$D$66,2,IF(O766='Udvaskning nøgletal'!$D$67,3,IF(O766='Udvaskning nøgletal'!$D$68,2,""))))</f>
        <v>2</v>
      </c>
      <c r="Y766" s="15">
        <f>LOOKUP(K766,'Udvaskning nøgletal'!$C$12:$C$60,'Udvaskning nøgletal'!$H$12:$H$60)</f>
        <v>5</v>
      </c>
      <c r="Z766" s="10">
        <f>IF(X766=1,LOOKUP(K766,'Udvaskning nøgletal'!$C$12:$C$60,'Udvaskning nøgletal'!$E$12:$E$60)+Markniveau!Y766*Markniveau!S766/100,IF(X766=2,LOOKUP(K766,'Udvaskning nøgletal'!$C$12:$C$60,'Udvaskning nøgletal'!$F$12:$F$60)+Markniveau!Y766*Markniveau!S766/100,IF(X766=3,LOOKUP(K766,'Udvaskning nøgletal'!$C$12:$C$60,'Udvaskning nøgletal'!G776:G824)+Markniveau!Y766*Markniveau!S766/100,"")))</f>
        <v>57.201638225256005</v>
      </c>
      <c r="AA766" s="10">
        <f t="shared" si="116"/>
        <v>483.3538430034132</v>
      </c>
      <c r="AB766" s="10">
        <f t="shared" si="115"/>
        <v>2.8600819112628004</v>
      </c>
      <c r="AC766" s="10">
        <f t="shared" si="117"/>
        <v>24.167692150170662</v>
      </c>
      <c r="AD766" s="10">
        <f>IF(AND(Q766&gt;0,Q766&lt;30,K766&lt;8),Markniveau!Z766*'Udvaskning nøgletal'!$I$12/100,IF(AND(Q766&gt;0,Q766&lt;30,K766=216),Markniveau!Z766*'Udvaskning nøgletal'!$I$34/100,Markniveau!Z766))</f>
        <v>57.201638225256005</v>
      </c>
      <c r="AE766" s="10">
        <f t="shared" si="123"/>
        <v>483.3538430034132</v>
      </c>
      <c r="AF766" s="10">
        <f t="shared" si="118"/>
        <v>2.8600819112628004</v>
      </c>
      <c r="AG766" s="10">
        <f t="shared" si="124"/>
        <v>24.167692150170662</v>
      </c>
      <c r="AH766" s="10" t="str">
        <f>IF(AND(Q766&gt;0,Q766&lt;30,K766=216),'Udvaskning nøgletal'!$C$42,IF(AND(Q766&gt;0,Q766&lt;30,K766&gt;7,K766&lt;17),'Udvaskning nøgletal'!$C$61,IF(AND(Q766&gt;0,Q766&lt;30,K766&lt;7),'Udvaskning nøgletal'!$C$62,"")))</f>
        <v/>
      </c>
      <c r="AI766" s="10">
        <f t="shared" si="120"/>
        <v>1</v>
      </c>
      <c r="AJ766" s="10">
        <f>IF($X766=1,LOOKUP(AI766,'Udvaskning nøgletal'!$C$12:$C$62,'Udvaskning nøgletal'!$E$12:$E$62)+Markniveau!$Y766*Markniveau!$S766/100,IF($X766=2,LOOKUP(AI766,'Udvaskning nøgletal'!$C$12:$C$62,'Udvaskning nøgletal'!$F$12:$F$62)+Markniveau!$Y766*Markniveau!$S766/100,IF($X766=3,LOOKUP(AI766,'Udvaskning nøgletal'!$C$12:$C$62,'Udvaskning nøgletal'!Q776:Q826)+Markniveau!$Y766*Markniveau!$S766/100,"")))</f>
        <v>57.201638225256005</v>
      </c>
      <c r="AK766" s="10">
        <f t="shared" si="119"/>
        <v>483.3538430034132</v>
      </c>
      <c r="AL766" s="10">
        <f t="shared" si="121"/>
        <v>2.8600819112628004</v>
      </c>
      <c r="AM766" s="10">
        <f t="shared" si="122"/>
        <v>24.167692150170662</v>
      </c>
    </row>
    <row r="767" spans="1:39" x14ac:dyDescent="0.25">
      <c r="A767" s="15">
        <v>26025516</v>
      </c>
      <c r="B767" s="15">
        <v>11.56</v>
      </c>
      <c r="C767" s="15">
        <v>609573</v>
      </c>
      <c r="D767" s="15">
        <v>98962</v>
      </c>
      <c r="E767" s="15" t="s">
        <v>625</v>
      </c>
      <c r="F767" s="15">
        <v>2011</v>
      </c>
      <c r="G767" s="15">
        <v>20110328</v>
      </c>
      <c r="H767" s="15">
        <v>7912</v>
      </c>
      <c r="I767" s="15">
        <v>0.79</v>
      </c>
      <c r="J767" s="6" t="s">
        <v>1436</v>
      </c>
      <c r="K767" s="15">
        <v>250</v>
      </c>
      <c r="L767" s="15" t="s">
        <v>626</v>
      </c>
      <c r="M767" s="15" t="s">
        <v>4</v>
      </c>
      <c r="N767" s="11" t="s">
        <v>1391</v>
      </c>
      <c r="O767" s="11" t="s">
        <v>46</v>
      </c>
      <c r="P767" s="11" t="s">
        <v>29</v>
      </c>
      <c r="Q767" s="15">
        <v>95</v>
      </c>
      <c r="R767" s="11" t="s">
        <v>3</v>
      </c>
      <c r="S767" s="10">
        <v>126.43276450512001</v>
      </c>
      <c r="T767" s="15">
        <v>80</v>
      </c>
      <c r="U767" s="15">
        <v>0</v>
      </c>
      <c r="V767" s="15">
        <v>0</v>
      </c>
      <c r="W767" s="15">
        <v>1</v>
      </c>
      <c r="X767" s="15">
        <f>IF(O767='Udvaskning nøgletal'!$D$65,1,IF(O767='Udvaskning nøgletal'!$D$66,2,IF(O767='Udvaskning nøgletal'!$D$67,3,IF(O767='Udvaskning nøgletal'!$D$68,2,""))))</f>
        <v>2</v>
      </c>
      <c r="Y767" s="15">
        <f>LOOKUP(K767,'Udvaskning nøgletal'!$C$12:$C$60,'Udvaskning nøgletal'!$H$12:$H$60)</f>
        <v>0</v>
      </c>
      <c r="Z767" s="10">
        <f>IF(X767=1,LOOKUP(K767,'Udvaskning nøgletal'!$C$12:$C$60,'Udvaskning nøgletal'!$E$12:$E$60)+Markniveau!Y767*Markniveau!S767/100,IF(X767=2,LOOKUP(K767,'Udvaskning nøgletal'!$C$12:$C$60,'Udvaskning nøgletal'!$F$12:$F$60)+Markniveau!Y767*Markniveau!S767/100,IF(X767=3,LOOKUP(K767,'Udvaskning nøgletal'!$C$12:$C$60,'Udvaskning nøgletal'!G777:G825)+Markniveau!Y767*Markniveau!S767/100,"")))</f>
        <v>21.2</v>
      </c>
      <c r="AA767" s="10">
        <f t="shared" si="116"/>
        <v>16.748000000000001</v>
      </c>
      <c r="AB767" s="10">
        <f t="shared" si="115"/>
        <v>1.06</v>
      </c>
      <c r="AC767" s="10">
        <f t="shared" si="117"/>
        <v>0.83740000000000003</v>
      </c>
      <c r="AD767" s="10">
        <f>IF(AND(Q767&gt;0,Q767&lt;30,K767&lt;8),Markniveau!Z767*'Udvaskning nøgletal'!$I$12/100,IF(AND(Q767&gt;0,Q767&lt;30,K767=216),Markniveau!Z767*'Udvaskning nøgletal'!$I$34/100,Markniveau!Z767))</f>
        <v>21.2</v>
      </c>
      <c r="AE767" s="10">
        <f t="shared" si="123"/>
        <v>16.748000000000001</v>
      </c>
      <c r="AF767" s="10">
        <f t="shared" si="118"/>
        <v>1.06</v>
      </c>
      <c r="AG767" s="10">
        <f t="shared" si="124"/>
        <v>0.83740000000000003</v>
      </c>
      <c r="AH767" s="10" t="str">
        <f>IF(AND(Q767&gt;0,Q767&lt;30,K767=216),'Udvaskning nøgletal'!$C$42,IF(AND(Q767&gt;0,Q767&lt;30,K767&gt;7,K767&lt;17),'Udvaskning nøgletal'!$C$61,IF(AND(Q767&gt;0,Q767&lt;30,K767&lt;7),'Udvaskning nøgletal'!$C$62,"")))</f>
        <v/>
      </c>
      <c r="AI767" s="10">
        <f t="shared" si="120"/>
        <v>250</v>
      </c>
      <c r="AJ767" s="10">
        <f>IF($X767=1,LOOKUP(AI767,'Udvaskning nøgletal'!$C$12:$C$62,'Udvaskning nøgletal'!$E$12:$E$62)+Markniveau!$Y767*Markniveau!$S767/100,IF($X767=2,LOOKUP(AI767,'Udvaskning nøgletal'!$C$12:$C$62,'Udvaskning nøgletal'!$F$12:$F$62)+Markniveau!$Y767*Markniveau!$S767/100,IF($X767=3,LOOKUP(AI767,'Udvaskning nøgletal'!$C$12:$C$62,'Udvaskning nøgletal'!Q777:Q827)+Markniveau!$Y767*Markniveau!$S767/100,"")))</f>
        <v>21.2</v>
      </c>
      <c r="AK767" s="10">
        <f t="shared" si="119"/>
        <v>16.748000000000001</v>
      </c>
      <c r="AL767" s="10">
        <f t="shared" si="121"/>
        <v>1.06</v>
      </c>
      <c r="AM767" s="10">
        <f t="shared" si="122"/>
        <v>0.83740000000000003</v>
      </c>
    </row>
    <row r="768" spans="1:39" x14ac:dyDescent="0.25">
      <c r="A768" s="15">
        <v>26025516</v>
      </c>
      <c r="B768" s="15">
        <v>11.56</v>
      </c>
      <c r="C768" s="15">
        <v>609574</v>
      </c>
      <c r="D768" s="15">
        <v>98962</v>
      </c>
      <c r="E768" s="15" t="s">
        <v>625</v>
      </c>
      <c r="F768" s="15">
        <v>2011</v>
      </c>
      <c r="G768" s="15">
        <v>20110328</v>
      </c>
      <c r="H768" s="15">
        <v>23192</v>
      </c>
      <c r="I768" s="15">
        <v>2.3199999999999998</v>
      </c>
      <c r="J768" s="6" t="s">
        <v>31</v>
      </c>
      <c r="K768" s="15">
        <v>1</v>
      </c>
      <c r="L768" s="15" t="s">
        <v>32</v>
      </c>
      <c r="M768" s="15" t="s">
        <v>5</v>
      </c>
      <c r="N768" s="11" t="s">
        <v>1391</v>
      </c>
      <c r="O768" s="11" t="s">
        <v>46</v>
      </c>
      <c r="P768" s="11" t="s">
        <v>29</v>
      </c>
      <c r="Q768" s="15">
        <v>95</v>
      </c>
      <c r="R768" s="11" t="s">
        <v>3</v>
      </c>
      <c r="S768" s="10">
        <v>126.43276450512001</v>
      </c>
      <c r="T768" s="15">
        <v>80</v>
      </c>
      <c r="U768" s="15">
        <v>0</v>
      </c>
      <c r="V768" s="15">
        <v>0</v>
      </c>
      <c r="W768" s="15">
        <v>1</v>
      </c>
      <c r="X768" s="15">
        <f>IF(O768='Udvaskning nøgletal'!$D$65,1,IF(O768='Udvaskning nøgletal'!$D$66,2,IF(O768='Udvaskning nøgletal'!$D$67,3,IF(O768='Udvaskning nøgletal'!$D$68,2,""))))</f>
        <v>2</v>
      </c>
      <c r="Y768" s="15">
        <f>LOOKUP(K768,'Udvaskning nøgletal'!$C$12:$C$60,'Udvaskning nøgletal'!$H$12:$H$60)</f>
        <v>5</v>
      </c>
      <c r="Z768" s="10">
        <f>IF(X768=1,LOOKUP(K768,'Udvaskning nøgletal'!$C$12:$C$60,'Udvaskning nøgletal'!$E$12:$E$60)+Markniveau!Y768*Markniveau!S768/100,IF(X768=2,LOOKUP(K768,'Udvaskning nøgletal'!$C$12:$C$60,'Udvaskning nøgletal'!$F$12:$F$60)+Markniveau!Y768*Markniveau!S768/100,IF(X768=3,LOOKUP(K768,'Udvaskning nøgletal'!$C$12:$C$60,'Udvaskning nøgletal'!G778:G826)+Markniveau!Y768*Markniveau!S768/100,"")))</f>
        <v>57.201638225256005</v>
      </c>
      <c r="AA768" s="10">
        <f t="shared" si="116"/>
        <v>132.70780068259393</v>
      </c>
      <c r="AB768" s="10">
        <f t="shared" si="115"/>
        <v>2.8600819112628004</v>
      </c>
      <c r="AC768" s="10">
        <f t="shared" si="117"/>
        <v>6.6353900341296965</v>
      </c>
      <c r="AD768" s="10">
        <f>IF(AND(Q768&gt;0,Q768&lt;30,K768&lt;8),Markniveau!Z768*'Udvaskning nøgletal'!$I$12/100,IF(AND(Q768&gt;0,Q768&lt;30,K768=216),Markniveau!Z768*'Udvaskning nøgletal'!$I$34/100,Markniveau!Z768))</f>
        <v>57.201638225256005</v>
      </c>
      <c r="AE768" s="10">
        <f t="shared" si="123"/>
        <v>132.70780068259393</v>
      </c>
      <c r="AF768" s="10">
        <f t="shared" si="118"/>
        <v>2.8600819112628004</v>
      </c>
      <c r="AG768" s="10">
        <f t="shared" si="124"/>
        <v>6.6353900341296965</v>
      </c>
      <c r="AH768" s="10" t="str">
        <f>IF(AND(Q768&gt;0,Q768&lt;30,K768=216),'Udvaskning nøgletal'!$C$42,IF(AND(Q768&gt;0,Q768&lt;30,K768&gt;7,K768&lt;17),'Udvaskning nøgletal'!$C$61,IF(AND(Q768&gt;0,Q768&lt;30,K768&lt;7),'Udvaskning nøgletal'!$C$62,"")))</f>
        <v/>
      </c>
      <c r="AI768" s="10">
        <f t="shared" si="120"/>
        <v>1</v>
      </c>
      <c r="AJ768" s="10">
        <f>IF($X768=1,LOOKUP(AI768,'Udvaskning nøgletal'!$C$12:$C$62,'Udvaskning nøgletal'!$E$12:$E$62)+Markniveau!$Y768*Markniveau!$S768/100,IF($X768=2,LOOKUP(AI768,'Udvaskning nøgletal'!$C$12:$C$62,'Udvaskning nøgletal'!$F$12:$F$62)+Markniveau!$Y768*Markniveau!$S768/100,IF($X768=3,LOOKUP(AI768,'Udvaskning nøgletal'!$C$12:$C$62,'Udvaskning nøgletal'!Q778:Q828)+Markniveau!$Y768*Markniveau!$S768/100,"")))</f>
        <v>57.201638225256005</v>
      </c>
      <c r="AK768" s="10">
        <f t="shared" si="119"/>
        <v>132.70780068259393</v>
      </c>
      <c r="AL768" s="10">
        <f t="shared" si="121"/>
        <v>2.8600819112628004</v>
      </c>
      <c r="AM768" s="10">
        <f t="shared" si="122"/>
        <v>6.6353900341296965</v>
      </c>
    </row>
    <row r="769" spans="1:39" x14ac:dyDescent="0.25">
      <c r="A769" s="15">
        <v>26025516</v>
      </c>
      <c r="B769" s="15">
        <v>11.56</v>
      </c>
      <c r="C769" s="15">
        <v>501531</v>
      </c>
      <c r="D769" s="15">
        <v>98962</v>
      </c>
      <c r="E769" s="15" t="s">
        <v>625</v>
      </c>
      <c r="F769" s="15">
        <v>2011</v>
      </c>
      <c r="G769" s="15">
        <v>20110328</v>
      </c>
      <c r="H769" s="15">
        <v>3542</v>
      </c>
      <c r="I769" s="15">
        <v>0.35</v>
      </c>
      <c r="J769" s="6" t="s">
        <v>1398</v>
      </c>
      <c r="K769" s="15">
        <v>1</v>
      </c>
      <c r="L769" s="15" t="s">
        <v>32</v>
      </c>
      <c r="M769" s="15" t="s">
        <v>5</v>
      </c>
      <c r="N769" s="11" t="s">
        <v>1391</v>
      </c>
      <c r="O769" s="11" t="s">
        <v>46</v>
      </c>
      <c r="P769" s="11" t="s">
        <v>33</v>
      </c>
      <c r="Q769" s="15">
        <v>95</v>
      </c>
      <c r="R769" s="11" t="s">
        <v>3</v>
      </c>
      <c r="S769" s="10">
        <v>126.43276450512001</v>
      </c>
      <c r="T769" s="15">
        <v>80</v>
      </c>
      <c r="U769" s="15">
        <v>0</v>
      </c>
      <c r="V769" s="15">
        <v>0</v>
      </c>
      <c r="W769" s="15">
        <v>1</v>
      </c>
      <c r="X769" s="15">
        <f>IF(O769='Udvaskning nøgletal'!$D$65,1,IF(O769='Udvaskning nøgletal'!$D$66,2,IF(O769='Udvaskning nøgletal'!$D$67,3,IF(O769='Udvaskning nøgletal'!$D$68,2,""))))</f>
        <v>2</v>
      </c>
      <c r="Y769" s="15">
        <f>LOOKUP(K769,'Udvaskning nøgletal'!$C$12:$C$60,'Udvaskning nøgletal'!$H$12:$H$60)</f>
        <v>5</v>
      </c>
      <c r="Z769" s="10">
        <f>IF(X769=1,LOOKUP(K769,'Udvaskning nøgletal'!$C$12:$C$60,'Udvaskning nøgletal'!$E$12:$E$60)+Markniveau!Y769*Markniveau!S769/100,IF(X769=2,LOOKUP(K769,'Udvaskning nøgletal'!$C$12:$C$60,'Udvaskning nøgletal'!$F$12:$F$60)+Markniveau!Y769*Markniveau!S769/100,IF(X769=3,LOOKUP(K769,'Udvaskning nøgletal'!$C$12:$C$60,'Udvaskning nøgletal'!G779:G827)+Markniveau!Y769*Markniveau!S769/100,"")))</f>
        <v>57.201638225256005</v>
      </c>
      <c r="AA769" s="10">
        <f t="shared" si="116"/>
        <v>20.0205733788396</v>
      </c>
      <c r="AB769" s="10">
        <f t="shared" si="115"/>
        <v>2.8600819112628004</v>
      </c>
      <c r="AC769" s="10">
        <f t="shared" si="117"/>
        <v>1.0010286689419801</v>
      </c>
      <c r="AD769" s="10">
        <f>IF(AND(Q769&gt;0,Q769&lt;30,K769&lt;8),Markniveau!Z769*'Udvaskning nøgletal'!$I$12/100,IF(AND(Q769&gt;0,Q769&lt;30,K769=216),Markniveau!Z769*'Udvaskning nøgletal'!$I$34/100,Markniveau!Z769))</f>
        <v>57.201638225256005</v>
      </c>
      <c r="AE769" s="10">
        <f t="shared" si="123"/>
        <v>20.0205733788396</v>
      </c>
      <c r="AF769" s="10">
        <f t="shared" si="118"/>
        <v>2.8600819112628004</v>
      </c>
      <c r="AG769" s="10">
        <f t="shared" si="124"/>
        <v>1.0010286689419801</v>
      </c>
      <c r="AH769" s="10" t="str">
        <f>IF(AND(Q769&gt;0,Q769&lt;30,K769=216),'Udvaskning nøgletal'!$C$42,IF(AND(Q769&gt;0,Q769&lt;30,K769&gt;7,K769&lt;17),'Udvaskning nøgletal'!$C$61,IF(AND(Q769&gt;0,Q769&lt;30,K769&lt;7),'Udvaskning nøgletal'!$C$62,"")))</f>
        <v/>
      </c>
      <c r="AI769" s="10">
        <f t="shared" si="120"/>
        <v>1</v>
      </c>
      <c r="AJ769" s="10">
        <f>IF($X769=1,LOOKUP(AI769,'Udvaskning nøgletal'!$C$12:$C$62,'Udvaskning nøgletal'!$E$12:$E$62)+Markniveau!$Y769*Markniveau!$S769/100,IF($X769=2,LOOKUP(AI769,'Udvaskning nøgletal'!$C$12:$C$62,'Udvaskning nøgletal'!$F$12:$F$62)+Markniveau!$Y769*Markniveau!$S769/100,IF($X769=3,LOOKUP(AI769,'Udvaskning nøgletal'!$C$12:$C$62,'Udvaskning nøgletal'!Q779:Q829)+Markniveau!$Y769*Markniveau!$S769/100,"")))</f>
        <v>57.201638225256005</v>
      </c>
      <c r="AK769" s="10">
        <f t="shared" si="119"/>
        <v>20.0205733788396</v>
      </c>
      <c r="AL769" s="10">
        <f t="shared" si="121"/>
        <v>2.8600819112628004</v>
      </c>
      <c r="AM769" s="10">
        <f t="shared" si="122"/>
        <v>1.0010286689419801</v>
      </c>
    </row>
    <row r="770" spans="1:39" x14ac:dyDescent="0.25">
      <c r="A770" s="15">
        <v>26025516</v>
      </c>
      <c r="B770" s="15">
        <v>11.56</v>
      </c>
      <c r="C770" s="15">
        <v>556951</v>
      </c>
      <c r="D770" s="15">
        <v>98962</v>
      </c>
      <c r="E770" s="15" t="s">
        <v>625</v>
      </c>
      <c r="F770" s="15">
        <v>2011</v>
      </c>
      <c r="G770" s="15">
        <v>20110328</v>
      </c>
      <c r="H770" s="15">
        <v>12217</v>
      </c>
      <c r="I770" s="15">
        <v>1.22</v>
      </c>
      <c r="J770" s="6" t="s">
        <v>1458</v>
      </c>
      <c r="K770" s="15">
        <v>268</v>
      </c>
      <c r="L770" s="15" t="s">
        <v>627</v>
      </c>
      <c r="M770" s="15" t="s">
        <v>5</v>
      </c>
      <c r="N770" s="11" t="s">
        <v>1391</v>
      </c>
      <c r="O770" s="11" t="s">
        <v>46</v>
      </c>
      <c r="P770" s="11" t="s">
        <v>33</v>
      </c>
      <c r="Q770" s="15">
        <v>95</v>
      </c>
      <c r="R770" s="11" t="s">
        <v>3</v>
      </c>
      <c r="S770" s="10">
        <v>126.43276450512001</v>
      </c>
      <c r="T770" s="15">
        <v>80</v>
      </c>
      <c r="U770" s="15">
        <v>0</v>
      </c>
      <c r="V770" s="15">
        <v>0</v>
      </c>
      <c r="W770" s="15">
        <v>1</v>
      </c>
      <c r="X770" s="15">
        <f>IF(O770='Udvaskning nøgletal'!$D$65,1,IF(O770='Udvaskning nøgletal'!$D$66,2,IF(O770='Udvaskning nøgletal'!$D$67,3,IF(O770='Udvaskning nøgletal'!$D$68,2,""))))</f>
        <v>2</v>
      </c>
      <c r="Y770" s="15">
        <f>LOOKUP(K770,'Udvaskning nøgletal'!$C$12:$C$60,'Udvaskning nøgletal'!$H$12:$H$60)</f>
        <v>0</v>
      </c>
      <c r="Z770" s="10">
        <f>IF(X770=1,LOOKUP(K770,'Udvaskning nøgletal'!$C$12:$C$60,'Udvaskning nøgletal'!$E$12:$E$60)+Markniveau!Y770*Markniveau!S770/100,IF(X770=2,LOOKUP(K770,'Udvaskning nøgletal'!$C$12:$C$60,'Udvaskning nøgletal'!$F$12:$F$60)+Markniveau!Y770*Markniveau!S770/100,IF(X770=3,LOOKUP(K770,'Udvaskning nøgletal'!$C$12:$C$60,'Udvaskning nøgletal'!G780:G828)+Markniveau!Y770*Markniveau!S770/100,"")))</f>
        <v>21.2</v>
      </c>
      <c r="AA770" s="10">
        <f t="shared" si="116"/>
        <v>25.863999999999997</v>
      </c>
      <c r="AB770" s="10">
        <f t="shared" ref="AB770:AB833" si="125">IF(Q770&gt;0,(100-Q770)*Z770/100,"")</f>
        <v>1.06</v>
      </c>
      <c r="AC770" s="10">
        <f t="shared" si="117"/>
        <v>1.2932000000000001</v>
      </c>
      <c r="AD770" s="10">
        <f>IF(AND(Q770&gt;0,Q770&lt;30,K770&lt;8),Markniveau!Z770*'Udvaskning nøgletal'!$I$12/100,IF(AND(Q770&gt;0,Q770&lt;30,K770=216),Markniveau!Z770*'Udvaskning nøgletal'!$I$34/100,Markniveau!Z770))</f>
        <v>21.2</v>
      </c>
      <c r="AE770" s="10">
        <f t="shared" si="123"/>
        <v>25.863999999999997</v>
      </c>
      <c r="AF770" s="10">
        <f t="shared" si="118"/>
        <v>1.06</v>
      </c>
      <c r="AG770" s="10">
        <f t="shared" si="124"/>
        <v>1.2932000000000001</v>
      </c>
      <c r="AH770" s="10" t="str">
        <f>IF(AND(Q770&gt;0,Q770&lt;30,K770=216),'Udvaskning nøgletal'!$C$42,IF(AND(Q770&gt;0,Q770&lt;30,K770&gt;7,K770&lt;17),'Udvaskning nøgletal'!$C$61,IF(AND(Q770&gt;0,Q770&lt;30,K770&lt;7),'Udvaskning nøgletal'!$C$62,"")))</f>
        <v/>
      </c>
      <c r="AI770" s="10">
        <f t="shared" si="120"/>
        <v>268</v>
      </c>
      <c r="AJ770" s="10">
        <f>IF($X770=1,LOOKUP(AI770,'Udvaskning nøgletal'!$C$12:$C$62,'Udvaskning nøgletal'!$E$12:$E$62)+Markniveau!$Y770*Markniveau!$S770/100,IF($X770=2,LOOKUP(AI770,'Udvaskning nøgletal'!$C$12:$C$62,'Udvaskning nøgletal'!$F$12:$F$62)+Markniveau!$Y770*Markniveau!$S770/100,IF($X770=3,LOOKUP(AI770,'Udvaskning nøgletal'!$C$12:$C$62,'Udvaskning nøgletal'!Q780:Q830)+Markniveau!$Y770*Markniveau!$S770/100,"")))</f>
        <v>21.2</v>
      </c>
      <c r="AK770" s="10">
        <f t="shared" si="119"/>
        <v>25.863999999999997</v>
      </c>
      <c r="AL770" s="10">
        <f t="shared" si="121"/>
        <v>1.06</v>
      </c>
      <c r="AM770" s="10">
        <f t="shared" si="122"/>
        <v>1.2932000000000001</v>
      </c>
    </row>
    <row r="771" spans="1:39" x14ac:dyDescent="0.25">
      <c r="A771" s="15">
        <v>26261945</v>
      </c>
      <c r="B771" s="15">
        <v>9.73</v>
      </c>
      <c r="C771" s="15">
        <v>623591</v>
      </c>
      <c r="D771" s="15">
        <v>31754</v>
      </c>
      <c r="E771" s="15" t="s">
        <v>628</v>
      </c>
      <c r="F771" s="15">
        <v>2011</v>
      </c>
      <c r="G771" s="15">
        <v>20110401</v>
      </c>
      <c r="H771" s="15">
        <v>44434</v>
      </c>
      <c r="I771" s="15">
        <v>4.4400000000000004</v>
      </c>
      <c r="J771" s="6" t="s">
        <v>37</v>
      </c>
      <c r="K771" s="15">
        <v>11</v>
      </c>
      <c r="L771" s="15" t="s">
        <v>102</v>
      </c>
      <c r="M771" s="15" t="s">
        <v>5</v>
      </c>
      <c r="N771" s="11" t="s">
        <v>1384</v>
      </c>
      <c r="O771" s="11" t="s">
        <v>28</v>
      </c>
      <c r="P771" s="11" t="s">
        <v>29</v>
      </c>
      <c r="Q771" s="15">
        <v>95</v>
      </c>
      <c r="R771" s="11" t="s">
        <v>3</v>
      </c>
      <c r="S771" s="10">
        <v>119.01849948613</v>
      </c>
      <c r="T771" s="15">
        <v>80</v>
      </c>
      <c r="U771" s="15">
        <v>0</v>
      </c>
      <c r="V771" s="15">
        <v>0</v>
      </c>
      <c r="W771" s="15">
        <v>0</v>
      </c>
      <c r="X771" s="15">
        <f>IF(O771='Udvaskning nøgletal'!$D$65,1,IF(O771='Udvaskning nøgletal'!$D$66,2,IF(O771='Udvaskning nøgletal'!$D$67,3,IF(O771='Udvaskning nøgletal'!$D$68,2,""))))</f>
        <v>1</v>
      </c>
      <c r="Y771" s="15">
        <f>LOOKUP(K771,'Udvaskning nøgletal'!$C$12:$C$60,'Udvaskning nøgletal'!$H$12:$H$60)</f>
        <v>5</v>
      </c>
      <c r="Z771" s="10">
        <f>IF(X771=1,LOOKUP(K771,'Udvaskning nøgletal'!$C$12:$C$60,'Udvaskning nøgletal'!$E$12:$E$60)+Markniveau!Y771*Markniveau!S771/100,IF(X771=2,LOOKUP(K771,'Udvaskning nøgletal'!$C$12:$C$60,'Udvaskning nøgletal'!$F$12:$F$60)+Markniveau!Y771*Markniveau!S771/100,IF(X771=3,LOOKUP(K771,'Udvaskning nøgletal'!$C$12:$C$60,'Udvaskning nøgletal'!G781:G829)+Markniveau!Y771*Markniveau!S771/100,"")))</f>
        <v>70.610924974306499</v>
      </c>
      <c r="AA771" s="10">
        <f t="shared" ref="AA771:AA834" si="126">Z771*I771</f>
        <v>313.51250688592086</v>
      </c>
      <c r="AB771" s="10">
        <f t="shared" si="125"/>
        <v>3.530546248715325</v>
      </c>
      <c r="AC771" s="10">
        <f t="shared" ref="AC771:AC834" si="127">IF(Q771&gt;0,AB771*I771,"")</f>
        <v>15.675625344296044</v>
      </c>
      <c r="AD771" s="10">
        <f>IF(AND(Q771&gt;0,Q771&lt;30,K771&lt;8),Markniveau!Z771*'Udvaskning nøgletal'!$I$12/100,IF(AND(Q771&gt;0,Q771&lt;30,K771=216),Markniveau!Z771*'Udvaskning nøgletal'!$I$34/100,Markniveau!Z771))</f>
        <v>70.610924974306499</v>
      </c>
      <c r="AE771" s="10">
        <f t="shared" si="123"/>
        <v>313.51250688592086</v>
      </c>
      <c r="AF771" s="10">
        <f t="shared" ref="AF771:AF834" si="128">IF($Q771&gt;0,(100-$Q771)*$AD771/100,"")</f>
        <v>3.530546248715325</v>
      </c>
      <c r="AG771" s="10">
        <f t="shared" si="124"/>
        <v>15.675625344296044</v>
      </c>
      <c r="AH771" s="10" t="str">
        <f>IF(AND(Q771&gt;0,Q771&lt;30,K771=216),'Udvaskning nøgletal'!$C$42,IF(AND(Q771&gt;0,Q771&lt;30,K771&gt;7,K771&lt;17),'Udvaskning nøgletal'!$C$61,IF(AND(Q771&gt;0,Q771&lt;30,K771&lt;7),'Udvaskning nøgletal'!$C$62,"")))</f>
        <v/>
      </c>
      <c r="AI771" s="10">
        <f t="shared" si="120"/>
        <v>11</v>
      </c>
      <c r="AJ771" s="10">
        <f>IF($X771=1,LOOKUP(AI771,'Udvaskning nøgletal'!$C$12:$C$62,'Udvaskning nøgletal'!$E$12:$E$62)+Markniveau!$Y771*Markniveau!$S771/100,IF($X771=2,LOOKUP(AI771,'Udvaskning nøgletal'!$C$12:$C$62,'Udvaskning nøgletal'!$F$12:$F$62)+Markniveau!$Y771*Markniveau!$S771/100,IF($X771=3,LOOKUP(AI771,'Udvaskning nøgletal'!$C$12:$C$62,'Udvaskning nøgletal'!Q781:Q831)+Markniveau!$Y771*Markniveau!$S771/100,"")))</f>
        <v>70.610924974306499</v>
      </c>
      <c r="AK771" s="10">
        <f t="shared" ref="AK771:AK834" si="129">AJ771*$I771</f>
        <v>313.51250688592086</v>
      </c>
      <c r="AL771" s="10">
        <f t="shared" si="121"/>
        <v>3.530546248715325</v>
      </c>
      <c r="AM771" s="10">
        <f t="shared" si="122"/>
        <v>15.675625344296044</v>
      </c>
    </row>
    <row r="772" spans="1:39" x14ac:dyDescent="0.25">
      <c r="A772" s="15">
        <v>26261945</v>
      </c>
      <c r="B772" s="15">
        <v>9.73</v>
      </c>
      <c r="C772" s="15">
        <v>57903</v>
      </c>
      <c r="D772" s="15">
        <v>31754</v>
      </c>
      <c r="E772" s="15" t="s">
        <v>628</v>
      </c>
      <c r="F772" s="15">
        <v>2011</v>
      </c>
      <c r="G772" s="15">
        <v>20110401</v>
      </c>
      <c r="H772" s="15">
        <v>32492</v>
      </c>
      <c r="I772" s="15">
        <v>3.25</v>
      </c>
      <c r="J772" s="6" t="s">
        <v>1398</v>
      </c>
      <c r="K772" s="15">
        <v>11</v>
      </c>
      <c r="L772" s="15" t="s">
        <v>102</v>
      </c>
      <c r="M772" s="15" t="s">
        <v>5</v>
      </c>
      <c r="N772" s="11" t="s">
        <v>1384</v>
      </c>
      <c r="O772" s="11" t="s">
        <v>28</v>
      </c>
      <c r="P772" s="11" t="s">
        <v>29</v>
      </c>
      <c r="Q772" s="15">
        <v>95</v>
      </c>
      <c r="R772" s="11" t="s">
        <v>3</v>
      </c>
      <c r="S772" s="10">
        <v>119.01849948613</v>
      </c>
      <c r="T772" s="15">
        <v>80</v>
      </c>
      <c r="U772" s="15">
        <v>0</v>
      </c>
      <c r="V772" s="15">
        <v>0</v>
      </c>
      <c r="W772" s="15">
        <v>0</v>
      </c>
      <c r="X772" s="15">
        <f>IF(O772='Udvaskning nøgletal'!$D$65,1,IF(O772='Udvaskning nøgletal'!$D$66,2,IF(O772='Udvaskning nøgletal'!$D$67,3,IF(O772='Udvaskning nøgletal'!$D$68,2,""))))</f>
        <v>1</v>
      </c>
      <c r="Y772" s="15">
        <f>LOOKUP(K772,'Udvaskning nøgletal'!$C$12:$C$60,'Udvaskning nøgletal'!$H$12:$H$60)</f>
        <v>5</v>
      </c>
      <c r="Z772" s="10">
        <f>IF(X772=1,LOOKUP(K772,'Udvaskning nøgletal'!$C$12:$C$60,'Udvaskning nøgletal'!$E$12:$E$60)+Markniveau!Y772*Markniveau!S772/100,IF(X772=2,LOOKUP(K772,'Udvaskning nøgletal'!$C$12:$C$60,'Udvaskning nøgletal'!$F$12:$F$60)+Markniveau!Y772*Markniveau!S772/100,IF(X772=3,LOOKUP(K772,'Udvaskning nøgletal'!$C$12:$C$60,'Udvaskning nøgletal'!G782:G830)+Markniveau!Y772*Markniveau!S772/100,"")))</f>
        <v>70.610924974306499</v>
      </c>
      <c r="AA772" s="10">
        <f t="shared" si="126"/>
        <v>229.48550616649612</v>
      </c>
      <c r="AB772" s="10">
        <f t="shared" si="125"/>
        <v>3.530546248715325</v>
      </c>
      <c r="AC772" s="10">
        <f t="shared" si="127"/>
        <v>11.474275308324806</v>
      </c>
      <c r="AD772" s="10">
        <f>IF(AND(Q772&gt;0,Q772&lt;30,K772&lt;8),Markniveau!Z772*'Udvaskning nøgletal'!$I$12/100,IF(AND(Q772&gt;0,Q772&lt;30,K772=216),Markniveau!Z772*'Udvaskning nøgletal'!$I$34/100,Markniveau!Z772))</f>
        <v>70.610924974306499</v>
      </c>
      <c r="AE772" s="10">
        <f t="shared" si="123"/>
        <v>229.48550616649612</v>
      </c>
      <c r="AF772" s="10">
        <f t="shared" si="128"/>
        <v>3.530546248715325</v>
      </c>
      <c r="AG772" s="10">
        <f t="shared" si="124"/>
        <v>11.474275308324806</v>
      </c>
      <c r="AH772" s="10" t="str">
        <f>IF(AND(Q772&gt;0,Q772&lt;30,K772=216),'Udvaskning nøgletal'!$C$42,IF(AND(Q772&gt;0,Q772&lt;30,K772&gt;7,K772&lt;17),'Udvaskning nøgletal'!$C$61,IF(AND(Q772&gt;0,Q772&lt;30,K772&lt;7),'Udvaskning nøgletal'!$C$62,"")))</f>
        <v/>
      </c>
      <c r="AI772" s="10">
        <f t="shared" si="120"/>
        <v>11</v>
      </c>
      <c r="AJ772" s="10">
        <f>IF($X772=1,LOOKUP(AI772,'Udvaskning nøgletal'!$C$12:$C$62,'Udvaskning nøgletal'!$E$12:$E$62)+Markniveau!$Y772*Markniveau!$S772/100,IF($X772=2,LOOKUP(AI772,'Udvaskning nøgletal'!$C$12:$C$62,'Udvaskning nøgletal'!$F$12:$F$62)+Markniveau!$Y772*Markniveau!$S772/100,IF($X772=3,LOOKUP(AI772,'Udvaskning nøgletal'!$C$12:$C$62,'Udvaskning nøgletal'!Q782:Q832)+Markniveau!$Y772*Markniveau!$S772/100,"")))</f>
        <v>70.610924974306499</v>
      </c>
      <c r="AK772" s="10">
        <f t="shared" si="129"/>
        <v>229.48550616649612</v>
      </c>
      <c r="AL772" s="10">
        <f t="shared" si="121"/>
        <v>3.530546248715325</v>
      </c>
      <c r="AM772" s="10">
        <f t="shared" si="122"/>
        <v>11.474275308324806</v>
      </c>
    </row>
    <row r="773" spans="1:39" x14ac:dyDescent="0.25">
      <c r="A773" s="15">
        <v>26261945</v>
      </c>
      <c r="B773" s="15">
        <v>9.73</v>
      </c>
      <c r="C773" s="15">
        <v>57904</v>
      </c>
      <c r="D773" s="15">
        <v>31754</v>
      </c>
      <c r="E773" s="15" t="s">
        <v>629</v>
      </c>
      <c r="F773" s="15">
        <v>2011</v>
      </c>
      <c r="G773" s="15">
        <v>20110401</v>
      </c>
      <c r="H773" s="15">
        <v>20379</v>
      </c>
      <c r="I773" s="15">
        <v>2.04</v>
      </c>
      <c r="J773" s="6" t="s">
        <v>61</v>
      </c>
      <c r="K773" s="15">
        <v>11</v>
      </c>
      <c r="L773" s="15" t="s">
        <v>102</v>
      </c>
      <c r="M773" s="15" t="s">
        <v>5</v>
      </c>
      <c r="N773" s="11" t="s">
        <v>1384</v>
      </c>
      <c r="O773" s="11" t="s">
        <v>28</v>
      </c>
      <c r="P773" s="11" t="s">
        <v>29</v>
      </c>
      <c r="Q773" s="15">
        <v>95</v>
      </c>
      <c r="R773" s="11" t="s">
        <v>3</v>
      </c>
      <c r="S773" s="10">
        <v>119.01849948613</v>
      </c>
      <c r="T773" s="15">
        <v>80</v>
      </c>
      <c r="U773" s="15">
        <v>0</v>
      </c>
      <c r="V773" s="15">
        <v>0</v>
      </c>
      <c r="W773" s="15">
        <v>0</v>
      </c>
      <c r="X773" s="15">
        <f>IF(O773='Udvaskning nøgletal'!$D$65,1,IF(O773='Udvaskning nøgletal'!$D$66,2,IF(O773='Udvaskning nøgletal'!$D$67,3,IF(O773='Udvaskning nøgletal'!$D$68,2,""))))</f>
        <v>1</v>
      </c>
      <c r="Y773" s="15">
        <f>LOOKUP(K773,'Udvaskning nøgletal'!$C$12:$C$60,'Udvaskning nøgletal'!$H$12:$H$60)</f>
        <v>5</v>
      </c>
      <c r="Z773" s="10">
        <f>IF(X773=1,LOOKUP(K773,'Udvaskning nøgletal'!$C$12:$C$60,'Udvaskning nøgletal'!$E$12:$E$60)+Markniveau!Y773*Markniveau!S773/100,IF(X773=2,LOOKUP(K773,'Udvaskning nøgletal'!$C$12:$C$60,'Udvaskning nøgletal'!$F$12:$F$60)+Markniveau!Y773*Markniveau!S773/100,IF(X773=3,LOOKUP(K773,'Udvaskning nøgletal'!$C$12:$C$60,'Udvaskning nøgletal'!G783:G831)+Markniveau!Y773*Markniveau!S773/100,"")))</f>
        <v>70.610924974306499</v>
      </c>
      <c r="AA773" s="10">
        <f t="shared" si="126"/>
        <v>144.04628694758526</v>
      </c>
      <c r="AB773" s="10">
        <f t="shared" si="125"/>
        <v>3.530546248715325</v>
      </c>
      <c r="AC773" s="10">
        <f t="shared" si="127"/>
        <v>7.2023143473792635</v>
      </c>
      <c r="AD773" s="10">
        <f>IF(AND(Q773&gt;0,Q773&lt;30,K773&lt;8),Markniveau!Z773*'Udvaskning nøgletal'!$I$12/100,IF(AND(Q773&gt;0,Q773&lt;30,K773=216),Markniveau!Z773*'Udvaskning nøgletal'!$I$34/100,Markniveau!Z773))</f>
        <v>70.610924974306499</v>
      </c>
      <c r="AE773" s="10">
        <f t="shared" si="123"/>
        <v>144.04628694758526</v>
      </c>
      <c r="AF773" s="10">
        <f t="shared" si="128"/>
        <v>3.530546248715325</v>
      </c>
      <c r="AG773" s="10">
        <f t="shared" si="124"/>
        <v>7.2023143473792635</v>
      </c>
      <c r="AH773" s="10" t="str">
        <f>IF(AND(Q773&gt;0,Q773&lt;30,K773=216),'Udvaskning nøgletal'!$C$42,IF(AND(Q773&gt;0,Q773&lt;30,K773&gt;7,K773&lt;17),'Udvaskning nøgletal'!$C$61,IF(AND(Q773&gt;0,Q773&lt;30,K773&lt;7),'Udvaskning nøgletal'!$C$62,"")))</f>
        <v/>
      </c>
      <c r="AI773" s="10">
        <f t="shared" si="120"/>
        <v>11</v>
      </c>
      <c r="AJ773" s="10">
        <f>IF($X773=1,LOOKUP(AI773,'Udvaskning nøgletal'!$C$12:$C$62,'Udvaskning nøgletal'!$E$12:$E$62)+Markniveau!$Y773*Markniveau!$S773/100,IF($X773=2,LOOKUP(AI773,'Udvaskning nøgletal'!$C$12:$C$62,'Udvaskning nøgletal'!$F$12:$F$62)+Markniveau!$Y773*Markniveau!$S773/100,IF($X773=3,LOOKUP(AI773,'Udvaskning nøgletal'!$C$12:$C$62,'Udvaskning nøgletal'!Q783:Q833)+Markniveau!$Y773*Markniveau!$S773/100,"")))</f>
        <v>70.610924974306499</v>
      </c>
      <c r="AK773" s="10">
        <f t="shared" si="129"/>
        <v>144.04628694758526</v>
      </c>
      <c r="AL773" s="10">
        <f t="shared" si="121"/>
        <v>3.530546248715325</v>
      </c>
      <c r="AM773" s="10">
        <f t="shared" si="122"/>
        <v>7.2023143473792635</v>
      </c>
    </row>
    <row r="774" spans="1:39" x14ac:dyDescent="0.25">
      <c r="A774" s="15">
        <v>27059147</v>
      </c>
      <c r="B774" s="15">
        <v>19.489999999999998</v>
      </c>
      <c r="C774" s="15">
        <v>105884</v>
      </c>
      <c r="D774" s="15">
        <v>31531</v>
      </c>
      <c r="E774" s="15" t="s">
        <v>630</v>
      </c>
      <c r="F774" s="15">
        <v>2011</v>
      </c>
      <c r="G774" s="15">
        <v>20110406</v>
      </c>
      <c r="H774" s="15">
        <v>30396</v>
      </c>
      <c r="I774" s="15">
        <v>3.04</v>
      </c>
      <c r="J774" s="6" t="s">
        <v>61</v>
      </c>
      <c r="K774" s="15">
        <v>3</v>
      </c>
      <c r="L774" s="15" t="s">
        <v>114</v>
      </c>
      <c r="M774" s="15" t="s">
        <v>5</v>
      </c>
      <c r="N774" s="11" t="s">
        <v>1391</v>
      </c>
      <c r="O774" s="11" t="s">
        <v>46</v>
      </c>
      <c r="P774" s="11" t="s">
        <v>29</v>
      </c>
      <c r="Q774" s="15">
        <v>95</v>
      </c>
      <c r="R774" s="11" t="s">
        <v>3</v>
      </c>
      <c r="S774" s="10">
        <v>65.007183170857004</v>
      </c>
      <c r="T774" s="15">
        <v>80</v>
      </c>
      <c r="U774" s="15">
        <v>0</v>
      </c>
      <c r="V774" s="15">
        <v>0</v>
      </c>
      <c r="W774" s="15">
        <v>0</v>
      </c>
      <c r="X774" s="15">
        <f>IF(O774='Udvaskning nøgletal'!$D$65,1,IF(O774='Udvaskning nøgletal'!$D$66,2,IF(O774='Udvaskning nøgletal'!$D$67,3,IF(O774='Udvaskning nøgletal'!$D$68,2,""))))</f>
        <v>2</v>
      </c>
      <c r="Y774" s="15">
        <f>LOOKUP(K774,'Udvaskning nøgletal'!$C$12:$C$60,'Udvaskning nøgletal'!$H$12:$H$60)</f>
        <v>5</v>
      </c>
      <c r="Z774" s="10">
        <f>IF(X774=1,LOOKUP(K774,'Udvaskning nøgletal'!$C$12:$C$60,'Udvaskning nøgletal'!$E$12:$E$60)+Markniveau!Y774*Markniveau!S774/100,IF(X774=2,LOOKUP(K774,'Udvaskning nøgletal'!$C$12:$C$60,'Udvaskning nøgletal'!$F$12:$F$60)+Markniveau!Y774*Markniveau!S774/100,IF(X774=3,LOOKUP(K774,'Udvaskning nøgletal'!$C$12:$C$60,'Udvaskning nøgletal'!G784:G832)+Markniveau!Y774*Markniveau!S774/100,"")))</f>
        <v>54.130359158542852</v>
      </c>
      <c r="AA774" s="10">
        <f t="shared" si="126"/>
        <v>164.55629184197028</v>
      </c>
      <c r="AB774" s="10">
        <f t="shared" si="125"/>
        <v>2.7065179579271428</v>
      </c>
      <c r="AC774" s="10">
        <f t="shared" si="127"/>
        <v>8.2278145920985146</v>
      </c>
      <c r="AD774" s="10">
        <f>IF(AND(Q774&gt;0,Q774&lt;30,K774&lt;8),Markniveau!Z774*'Udvaskning nøgletal'!$I$12/100,IF(AND(Q774&gt;0,Q774&lt;30,K774=216),Markniveau!Z774*'Udvaskning nøgletal'!$I$34/100,Markniveau!Z774))</f>
        <v>54.130359158542852</v>
      </c>
      <c r="AE774" s="10">
        <f t="shared" si="123"/>
        <v>164.55629184197028</v>
      </c>
      <c r="AF774" s="10">
        <f t="shared" si="128"/>
        <v>2.7065179579271428</v>
      </c>
      <c r="AG774" s="10">
        <f t="shared" si="124"/>
        <v>8.2278145920985146</v>
      </c>
      <c r="AH774" s="10" t="str">
        <f>IF(AND(Q774&gt;0,Q774&lt;30,K774=216),'Udvaskning nøgletal'!$C$42,IF(AND(Q774&gt;0,Q774&lt;30,K774&gt;7,K774&lt;17),'Udvaskning nøgletal'!$C$61,IF(AND(Q774&gt;0,Q774&lt;30,K774&lt;7),'Udvaskning nøgletal'!$C$62,"")))</f>
        <v/>
      </c>
      <c r="AI774" s="10">
        <f t="shared" si="120"/>
        <v>3</v>
      </c>
      <c r="AJ774" s="10">
        <f>IF($X774=1,LOOKUP(AI774,'Udvaskning nøgletal'!$C$12:$C$62,'Udvaskning nøgletal'!$E$12:$E$62)+Markniveau!$Y774*Markniveau!$S774/100,IF($X774=2,LOOKUP(AI774,'Udvaskning nøgletal'!$C$12:$C$62,'Udvaskning nøgletal'!$F$12:$F$62)+Markniveau!$Y774*Markniveau!$S774/100,IF($X774=3,LOOKUP(AI774,'Udvaskning nøgletal'!$C$12:$C$62,'Udvaskning nøgletal'!Q784:Q834)+Markniveau!$Y774*Markniveau!$S774/100,"")))</f>
        <v>54.130359158542852</v>
      </c>
      <c r="AK774" s="10">
        <f t="shared" si="129"/>
        <v>164.55629184197028</v>
      </c>
      <c r="AL774" s="10">
        <f t="shared" si="121"/>
        <v>2.7065179579271428</v>
      </c>
      <c r="AM774" s="10">
        <f t="shared" si="122"/>
        <v>8.2278145920985146</v>
      </c>
    </row>
    <row r="775" spans="1:39" x14ac:dyDescent="0.25">
      <c r="A775" s="15">
        <v>27059147</v>
      </c>
      <c r="B775" s="15">
        <v>19.489999999999998</v>
      </c>
      <c r="C775" s="15">
        <v>105885</v>
      </c>
      <c r="D775" s="15">
        <v>31531</v>
      </c>
      <c r="E775" s="15" t="s">
        <v>630</v>
      </c>
      <c r="F775" s="15">
        <v>2011</v>
      </c>
      <c r="G775" s="15">
        <v>20110406</v>
      </c>
      <c r="H775" s="15">
        <v>8038</v>
      </c>
      <c r="I775" s="15">
        <v>0.8</v>
      </c>
      <c r="J775" s="6" t="s">
        <v>37</v>
      </c>
      <c r="K775" s="15">
        <v>260</v>
      </c>
      <c r="L775" s="15" t="s">
        <v>45</v>
      </c>
      <c r="M775" s="15" t="s">
        <v>5</v>
      </c>
      <c r="N775" s="11" t="s">
        <v>1391</v>
      </c>
      <c r="O775" s="11" t="s">
        <v>46</v>
      </c>
      <c r="P775" s="11" t="s">
        <v>29</v>
      </c>
      <c r="Q775" s="15">
        <v>95</v>
      </c>
      <c r="R775" s="11" t="s">
        <v>3</v>
      </c>
      <c r="S775" s="10">
        <v>65.007183170857004</v>
      </c>
      <c r="T775" s="15">
        <v>80</v>
      </c>
      <c r="U775" s="15">
        <v>0</v>
      </c>
      <c r="V775" s="15">
        <v>0</v>
      </c>
      <c r="W775" s="15">
        <v>0</v>
      </c>
      <c r="X775" s="15">
        <f>IF(O775='Udvaskning nøgletal'!$D$65,1,IF(O775='Udvaskning nøgletal'!$D$66,2,IF(O775='Udvaskning nøgletal'!$D$67,3,IF(O775='Udvaskning nøgletal'!$D$68,2,""))))</f>
        <v>2</v>
      </c>
      <c r="Y775" s="15">
        <f>LOOKUP(K775,'Udvaskning nøgletal'!$C$12:$C$60,'Udvaskning nøgletal'!$H$12:$H$60)</f>
        <v>0</v>
      </c>
      <c r="Z775" s="10">
        <f>IF(X775=1,LOOKUP(K775,'Udvaskning nøgletal'!$C$12:$C$60,'Udvaskning nøgletal'!$E$12:$E$60)+Markniveau!Y775*Markniveau!S775/100,IF(X775=2,LOOKUP(K775,'Udvaskning nøgletal'!$C$12:$C$60,'Udvaskning nøgletal'!$F$12:$F$60)+Markniveau!Y775*Markniveau!S775/100,IF(X775=3,LOOKUP(K775,'Udvaskning nøgletal'!$C$12:$C$60,'Udvaskning nøgletal'!G785:G833)+Markniveau!Y775*Markniveau!S775/100,"")))</f>
        <v>27.331185321443094</v>
      </c>
      <c r="AA775" s="10">
        <f t="shared" si="126"/>
        <v>21.864948257154477</v>
      </c>
      <c r="AB775" s="10">
        <f t="shared" si="125"/>
        <v>1.3665592660721546</v>
      </c>
      <c r="AC775" s="10">
        <f t="shared" si="127"/>
        <v>1.0932474128577236</v>
      </c>
      <c r="AD775" s="10">
        <f>IF(AND(Q775&gt;0,Q775&lt;30,K775&lt;8),Markniveau!Z775*'Udvaskning nøgletal'!$I$12/100,IF(AND(Q775&gt;0,Q775&lt;30,K775=216),Markniveau!Z775*'Udvaskning nøgletal'!$I$34/100,Markniveau!Z775))</f>
        <v>27.331185321443094</v>
      </c>
      <c r="AE775" s="10">
        <f t="shared" si="123"/>
        <v>21.864948257154477</v>
      </c>
      <c r="AF775" s="10">
        <f t="shared" si="128"/>
        <v>1.3665592660721546</v>
      </c>
      <c r="AG775" s="10">
        <f t="shared" si="124"/>
        <v>1.0932474128577236</v>
      </c>
      <c r="AH775" s="10" t="str">
        <f>IF(AND(Q775&gt;0,Q775&lt;30,K775=216),'Udvaskning nøgletal'!$C$42,IF(AND(Q775&gt;0,Q775&lt;30,K775&gt;7,K775&lt;17),'Udvaskning nøgletal'!$C$61,IF(AND(Q775&gt;0,Q775&lt;30,K775&lt;7),'Udvaskning nøgletal'!$C$62,"")))</f>
        <v/>
      </c>
      <c r="AI775" s="10">
        <f t="shared" si="120"/>
        <v>260</v>
      </c>
      <c r="AJ775" s="10">
        <f>IF($X775=1,LOOKUP(AI775,'Udvaskning nøgletal'!$C$12:$C$62,'Udvaskning nøgletal'!$E$12:$E$62)+Markniveau!$Y775*Markniveau!$S775/100,IF($X775=2,LOOKUP(AI775,'Udvaskning nøgletal'!$C$12:$C$62,'Udvaskning nøgletal'!$F$12:$F$62)+Markniveau!$Y775*Markniveau!$S775/100,IF($X775=3,LOOKUP(AI775,'Udvaskning nøgletal'!$C$12:$C$62,'Udvaskning nøgletal'!Q785:Q835)+Markniveau!$Y775*Markniveau!$S775/100,"")))</f>
        <v>27.331185321443094</v>
      </c>
      <c r="AK775" s="10">
        <f t="shared" si="129"/>
        <v>21.864948257154477</v>
      </c>
      <c r="AL775" s="10">
        <f t="shared" si="121"/>
        <v>1.3665592660721546</v>
      </c>
      <c r="AM775" s="10">
        <f t="shared" si="122"/>
        <v>1.0932474128577236</v>
      </c>
    </row>
    <row r="776" spans="1:39" x14ac:dyDescent="0.25">
      <c r="A776" s="15">
        <v>27059147</v>
      </c>
      <c r="B776" s="15">
        <v>19.489999999999998</v>
      </c>
      <c r="C776" s="15">
        <v>105886</v>
      </c>
      <c r="D776" s="15">
        <v>31531</v>
      </c>
      <c r="E776" s="15" t="s">
        <v>630</v>
      </c>
      <c r="F776" s="15">
        <v>2011</v>
      </c>
      <c r="G776" s="15">
        <v>20110406</v>
      </c>
      <c r="H776" s="15">
        <v>44487</v>
      </c>
      <c r="I776" s="15">
        <v>4.45</v>
      </c>
      <c r="J776" s="6" t="s">
        <v>97</v>
      </c>
      <c r="K776" s="15">
        <v>11</v>
      </c>
      <c r="L776" s="15" t="s">
        <v>102</v>
      </c>
      <c r="M776" s="15" t="s">
        <v>5</v>
      </c>
      <c r="N776" s="11" t="s">
        <v>1391</v>
      </c>
      <c r="O776" s="11" t="s">
        <v>46</v>
      </c>
      <c r="P776" s="11" t="s">
        <v>29</v>
      </c>
      <c r="Q776" s="15">
        <v>95</v>
      </c>
      <c r="R776" s="11" t="s">
        <v>3</v>
      </c>
      <c r="S776" s="10">
        <v>65.007183170857004</v>
      </c>
      <c r="T776" s="15">
        <v>80</v>
      </c>
      <c r="U776" s="15">
        <v>0</v>
      </c>
      <c r="V776" s="15">
        <v>0</v>
      </c>
      <c r="W776" s="15">
        <v>0</v>
      </c>
      <c r="X776" s="15">
        <f>IF(O776='Udvaskning nøgletal'!$D$65,1,IF(O776='Udvaskning nøgletal'!$D$66,2,IF(O776='Udvaskning nøgletal'!$D$67,3,IF(O776='Udvaskning nøgletal'!$D$68,2,""))))</f>
        <v>2</v>
      </c>
      <c r="Y776" s="15">
        <f>LOOKUP(K776,'Udvaskning nøgletal'!$C$12:$C$60,'Udvaskning nøgletal'!$H$12:$H$60)</f>
        <v>5</v>
      </c>
      <c r="Z776" s="10">
        <f>IF(X776=1,LOOKUP(K776,'Udvaskning nøgletal'!$C$12:$C$60,'Udvaskning nøgletal'!$E$12:$E$60)+Markniveau!Y776*Markniveau!S776/100,IF(X776=2,LOOKUP(K776,'Udvaskning nøgletal'!$C$12:$C$60,'Udvaskning nøgletal'!$F$12:$F$60)+Markniveau!Y776*Markniveau!S776/100,IF(X776=3,LOOKUP(K776,'Udvaskning nøgletal'!$C$12:$C$60,'Udvaskning nøgletal'!G786:G834)+Markniveau!Y776*Markniveau!S776/100,"")))</f>
        <v>54.130359158542852</v>
      </c>
      <c r="AA776" s="10">
        <f t="shared" si="126"/>
        <v>240.88009825551569</v>
      </c>
      <c r="AB776" s="10">
        <f t="shared" si="125"/>
        <v>2.7065179579271428</v>
      </c>
      <c r="AC776" s="10">
        <f t="shared" si="127"/>
        <v>12.044004912775787</v>
      </c>
      <c r="AD776" s="10">
        <f>IF(AND(Q776&gt;0,Q776&lt;30,K776&lt;8),Markniveau!Z776*'Udvaskning nøgletal'!$I$12/100,IF(AND(Q776&gt;0,Q776&lt;30,K776=216),Markniveau!Z776*'Udvaskning nøgletal'!$I$34/100,Markniveau!Z776))</f>
        <v>54.130359158542852</v>
      </c>
      <c r="AE776" s="10">
        <f t="shared" si="123"/>
        <v>240.88009825551569</v>
      </c>
      <c r="AF776" s="10">
        <f t="shared" si="128"/>
        <v>2.7065179579271428</v>
      </c>
      <c r="AG776" s="10">
        <f t="shared" si="124"/>
        <v>12.044004912775787</v>
      </c>
      <c r="AH776" s="10" t="str">
        <f>IF(AND(Q776&gt;0,Q776&lt;30,K776=216),'Udvaskning nøgletal'!$C$42,IF(AND(Q776&gt;0,Q776&lt;30,K776&gt;7,K776&lt;17),'Udvaskning nøgletal'!$C$61,IF(AND(Q776&gt;0,Q776&lt;30,K776&lt;7),'Udvaskning nøgletal'!$C$62,"")))</f>
        <v/>
      </c>
      <c r="AI776" s="10">
        <f t="shared" ref="AI776:AI839" si="130">IF(SUM(AH776)&gt;0,AH776,K776)</f>
        <v>11</v>
      </c>
      <c r="AJ776" s="10">
        <f>IF($X776=1,LOOKUP(AI776,'Udvaskning nøgletal'!$C$12:$C$62,'Udvaskning nøgletal'!$E$12:$E$62)+Markniveau!$Y776*Markniveau!$S776/100,IF($X776=2,LOOKUP(AI776,'Udvaskning nøgletal'!$C$12:$C$62,'Udvaskning nøgletal'!$F$12:$F$62)+Markniveau!$Y776*Markniveau!$S776/100,IF($X776=3,LOOKUP(AI776,'Udvaskning nøgletal'!$C$12:$C$62,'Udvaskning nøgletal'!Q786:Q836)+Markniveau!$Y776*Markniveau!$S776/100,"")))</f>
        <v>54.130359158542852</v>
      </c>
      <c r="AK776" s="10">
        <f t="shared" si="129"/>
        <v>240.88009825551569</v>
      </c>
      <c r="AL776" s="10">
        <f t="shared" si="121"/>
        <v>2.7065179579271428</v>
      </c>
      <c r="AM776" s="10">
        <f t="shared" si="122"/>
        <v>12.044004912775787</v>
      </c>
    </row>
    <row r="777" spans="1:39" x14ac:dyDescent="0.25">
      <c r="A777" s="15">
        <v>27059147</v>
      </c>
      <c r="B777" s="15">
        <v>19.489999999999998</v>
      </c>
      <c r="C777" s="15">
        <v>105887</v>
      </c>
      <c r="D777" s="15">
        <v>31531</v>
      </c>
      <c r="E777" s="15" t="s">
        <v>631</v>
      </c>
      <c r="F777" s="15">
        <v>2011</v>
      </c>
      <c r="G777" s="15">
        <v>20110406</v>
      </c>
      <c r="H777" s="15">
        <v>36008</v>
      </c>
      <c r="I777" s="15">
        <v>3.6</v>
      </c>
      <c r="J777" s="6" t="s">
        <v>34</v>
      </c>
      <c r="K777" s="15">
        <v>1</v>
      </c>
      <c r="L777" s="15" t="s">
        <v>32</v>
      </c>
      <c r="M777" s="15" t="s">
        <v>5</v>
      </c>
      <c r="N777" s="11" t="s">
        <v>1391</v>
      </c>
      <c r="O777" s="11" t="s">
        <v>46</v>
      </c>
      <c r="P777" s="11" t="s">
        <v>29</v>
      </c>
      <c r="Q777" s="15">
        <v>95</v>
      </c>
      <c r="R777" s="11" t="s">
        <v>3</v>
      </c>
      <c r="S777" s="10">
        <v>65.007183170857004</v>
      </c>
      <c r="T777" s="15">
        <v>80</v>
      </c>
      <c r="U777" s="15">
        <v>0</v>
      </c>
      <c r="V777" s="15">
        <v>0</v>
      </c>
      <c r="W777" s="15">
        <v>0</v>
      </c>
      <c r="X777" s="15">
        <f>IF(O777='Udvaskning nøgletal'!$D$65,1,IF(O777='Udvaskning nøgletal'!$D$66,2,IF(O777='Udvaskning nøgletal'!$D$67,3,IF(O777='Udvaskning nøgletal'!$D$68,2,""))))</f>
        <v>2</v>
      </c>
      <c r="Y777" s="15">
        <f>LOOKUP(K777,'Udvaskning nøgletal'!$C$12:$C$60,'Udvaskning nøgletal'!$H$12:$H$60)</f>
        <v>5</v>
      </c>
      <c r="Z777" s="10">
        <f>IF(X777=1,LOOKUP(K777,'Udvaskning nøgletal'!$C$12:$C$60,'Udvaskning nøgletal'!$E$12:$E$60)+Markniveau!Y777*Markniveau!S777/100,IF(X777=2,LOOKUP(K777,'Udvaskning nøgletal'!$C$12:$C$60,'Udvaskning nøgletal'!$F$12:$F$60)+Markniveau!Y777*Markniveau!S777/100,IF(X777=3,LOOKUP(K777,'Udvaskning nøgletal'!$C$12:$C$60,'Udvaskning nøgletal'!G787:G835)+Markniveau!Y777*Markniveau!S777/100,"")))</f>
        <v>54.130359158542852</v>
      </c>
      <c r="AA777" s="10">
        <f t="shared" si="126"/>
        <v>194.86929297075426</v>
      </c>
      <c r="AB777" s="10">
        <f t="shared" si="125"/>
        <v>2.7065179579271428</v>
      </c>
      <c r="AC777" s="10">
        <f t="shared" si="127"/>
        <v>9.7434646485377137</v>
      </c>
      <c r="AD777" s="10">
        <f>IF(AND(Q777&gt;0,Q777&lt;30,K777&lt;8),Markniveau!Z777*'Udvaskning nøgletal'!$I$12/100,IF(AND(Q777&gt;0,Q777&lt;30,K777=216),Markniveau!Z777*'Udvaskning nøgletal'!$I$34/100,Markniveau!Z777))</f>
        <v>54.130359158542852</v>
      </c>
      <c r="AE777" s="10">
        <f t="shared" si="123"/>
        <v>194.86929297075426</v>
      </c>
      <c r="AF777" s="10">
        <f t="shared" si="128"/>
        <v>2.7065179579271428</v>
      </c>
      <c r="AG777" s="10">
        <f t="shared" si="124"/>
        <v>9.7434646485377137</v>
      </c>
      <c r="AH777" s="10" t="str">
        <f>IF(AND(Q777&gt;0,Q777&lt;30,K777=216),'Udvaskning nøgletal'!$C$42,IF(AND(Q777&gt;0,Q777&lt;30,K777&gt;7,K777&lt;17),'Udvaskning nøgletal'!$C$61,IF(AND(Q777&gt;0,Q777&lt;30,K777&lt;7),'Udvaskning nøgletal'!$C$62,"")))</f>
        <v/>
      </c>
      <c r="AI777" s="10">
        <f t="shared" si="130"/>
        <v>1</v>
      </c>
      <c r="AJ777" s="10">
        <f>IF($X777=1,LOOKUP(AI777,'Udvaskning nøgletal'!$C$12:$C$62,'Udvaskning nøgletal'!$E$12:$E$62)+Markniveau!$Y777*Markniveau!$S777/100,IF($X777=2,LOOKUP(AI777,'Udvaskning nøgletal'!$C$12:$C$62,'Udvaskning nøgletal'!$F$12:$F$62)+Markniveau!$Y777*Markniveau!$S777/100,IF($X777=3,LOOKUP(AI777,'Udvaskning nøgletal'!$C$12:$C$62,'Udvaskning nøgletal'!Q787:Q837)+Markniveau!$Y777*Markniveau!$S777/100,"")))</f>
        <v>54.130359158542852</v>
      </c>
      <c r="AK777" s="10">
        <f t="shared" si="129"/>
        <v>194.86929297075426</v>
      </c>
      <c r="AL777" s="10">
        <f t="shared" si="121"/>
        <v>2.7065179579271428</v>
      </c>
      <c r="AM777" s="10">
        <f t="shared" si="122"/>
        <v>9.7434646485377137</v>
      </c>
    </row>
    <row r="778" spans="1:39" x14ac:dyDescent="0.25">
      <c r="A778" s="15">
        <v>27059147</v>
      </c>
      <c r="B778" s="15">
        <v>19.489999999999998</v>
      </c>
      <c r="C778" s="15">
        <v>105888</v>
      </c>
      <c r="D778" s="15">
        <v>31531</v>
      </c>
      <c r="E778" s="15" t="s">
        <v>421</v>
      </c>
      <c r="F778" s="15">
        <v>2011</v>
      </c>
      <c r="G778" s="15">
        <v>20110406</v>
      </c>
      <c r="H778" s="15">
        <v>10587</v>
      </c>
      <c r="I778" s="15">
        <v>1.06</v>
      </c>
      <c r="J778" s="6" t="s">
        <v>1396</v>
      </c>
      <c r="K778" s="15">
        <v>1</v>
      </c>
      <c r="L778" s="15" t="s">
        <v>32</v>
      </c>
      <c r="M778" s="15" t="s">
        <v>5</v>
      </c>
      <c r="N778" s="11" t="s">
        <v>1391</v>
      </c>
      <c r="O778" s="11" t="s">
        <v>46</v>
      </c>
      <c r="P778" s="11" t="s">
        <v>29</v>
      </c>
      <c r="Q778" s="15">
        <v>95</v>
      </c>
      <c r="R778" s="11" t="s">
        <v>3</v>
      </c>
      <c r="S778" s="10">
        <v>65.007183170857004</v>
      </c>
      <c r="T778" s="15">
        <v>80</v>
      </c>
      <c r="U778" s="15">
        <v>0</v>
      </c>
      <c r="V778" s="15">
        <v>0</v>
      </c>
      <c r="W778" s="15">
        <v>0</v>
      </c>
      <c r="X778" s="15">
        <f>IF(O778='Udvaskning nøgletal'!$D$65,1,IF(O778='Udvaskning nøgletal'!$D$66,2,IF(O778='Udvaskning nøgletal'!$D$67,3,IF(O778='Udvaskning nøgletal'!$D$68,2,""))))</f>
        <v>2</v>
      </c>
      <c r="Y778" s="15">
        <f>LOOKUP(K778,'Udvaskning nøgletal'!$C$12:$C$60,'Udvaskning nøgletal'!$H$12:$H$60)</f>
        <v>5</v>
      </c>
      <c r="Z778" s="10">
        <f>IF(X778=1,LOOKUP(K778,'Udvaskning nøgletal'!$C$12:$C$60,'Udvaskning nøgletal'!$E$12:$E$60)+Markniveau!Y778*Markniveau!S778/100,IF(X778=2,LOOKUP(K778,'Udvaskning nøgletal'!$C$12:$C$60,'Udvaskning nøgletal'!$F$12:$F$60)+Markniveau!Y778*Markniveau!S778/100,IF(X778=3,LOOKUP(K778,'Udvaskning nøgletal'!$C$12:$C$60,'Udvaskning nøgletal'!G788:G836)+Markniveau!Y778*Markniveau!S778/100,"")))</f>
        <v>54.130359158542852</v>
      </c>
      <c r="AA778" s="10">
        <f t="shared" si="126"/>
        <v>57.378180708055424</v>
      </c>
      <c r="AB778" s="10">
        <f t="shared" si="125"/>
        <v>2.7065179579271428</v>
      </c>
      <c r="AC778" s="10">
        <f t="shared" si="127"/>
        <v>2.8689090354027713</v>
      </c>
      <c r="AD778" s="10">
        <f>IF(AND(Q778&gt;0,Q778&lt;30,K778&lt;8),Markniveau!Z778*'Udvaskning nøgletal'!$I$12/100,IF(AND(Q778&gt;0,Q778&lt;30,K778=216),Markniveau!Z778*'Udvaskning nøgletal'!$I$34/100,Markniveau!Z778))</f>
        <v>54.130359158542852</v>
      </c>
      <c r="AE778" s="10">
        <f t="shared" si="123"/>
        <v>57.378180708055424</v>
      </c>
      <c r="AF778" s="10">
        <f t="shared" si="128"/>
        <v>2.7065179579271428</v>
      </c>
      <c r="AG778" s="10">
        <f t="shared" si="124"/>
        <v>2.8689090354027713</v>
      </c>
      <c r="AH778" s="10" t="str">
        <f>IF(AND(Q778&gt;0,Q778&lt;30,K778=216),'Udvaskning nøgletal'!$C$42,IF(AND(Q778&gt;0,Q778&lt;30,K778&gt;7,K778&lt;17),'Udvaskning nøgletal'!$C$61,IF(AND(Q778&gt;0,Q778&lt;30,K778&lt;7),'Udvaskning nøgletal'!$C$62,"")))</f>
        <v/>
      </c>
      <c r="AI778" s="10">
        <f t="shared" si="130"/>
        <v>1</v>
      </c>
      <c r="AJ778" s="10">
        <f>IF($X778=1,LOOKUP(AI778,'Udvaskning nøgletal'!$C$12:$C$62,'Udvaskning nøgletal'!$E$12:$E$62)+Markniveau!$Y778*Markniveau!$S778/100,IF($X778=2,LOOKUP(AI778,'Udvaskning nøgletal'!$C$12:$C$62,'Udvaskning nøgletal'!$F$12:$F$62)+Markniveau!$Y778*Markniveau!$S778/100,IF($X778=3,LOOKUP(AI778,'Udvaskning nøgletal'!$C$12:$C$62,'Udvaskning nøgletal'!Q788:Q838)+Markniveau!$Y778*Markniveau!$S778/100,"")))</f>
        <v>54.130359158542852</v>
      </c>
      <c r="AK778" s="10">
        <f t="shared" si="129"/>
        <v>57.378180708055424</v>
      </c>
      <c r="AL778" s="10">
        <f t="shared" si="121"/>
        <v>2.7065179579271428</v>
      </c>
      <c r="AM778" s="10">
        <f t="shared" si="122"/>
        <v>2.8689090354027713</v>
      </c>
    </row>
    <row r="779" spans="1:39" x14ac:dyDescent="0.25">
      <c r="A779" s="15">
        <v>27059147</v>
      </c>
      <c r="B779" s="15">
        <v>19.489999999999998</v>
      </c>
      <c r="C779" s="15">
        <v>105889</v>
      </c>
      <c r="D779" s="15">
        <v>31531</v>
      </c>
      <c r="E779" s="15" t="s">
        <v>421</v>
      </c>
      <c r="F779" s="15">
        <v>2011</v>
      </c>
      <c r="G779" s="15">
        <v>20110406</v>
      </c>
      <c r="H779" s="15">
        <v>5758</v>
      </c>
      <c r="I779" s="15">
        <v>0.57999999999999996</v>
      </c>
      <c r="J779" s="6" t="s">
        <v>1389</v>
      </c>
      <c r="K779" s="15">
        <v>260</v>
      </c>
      <c r="L779" s="15" t="s">
        <v>45</v>
      </c>
      <c r="M779" s="15" t="s">
        <v>5</v>
      </c>
      <c r="N779" s="11" t="s">
        <v>1391</v>
      </c>
      <c r="O779" s="11" t="s">
        <v>46</v>
      </c>
      <c r="P779" s="11" t="s">
        <v>29</v>
      </c>
      <c r="Q779" s="15">
        <v>95</v>
      </c>
      <c r="R779" s="11" t="s">
        <v>3</v>
      </c>
      <c r="S779" s="10">
        <v>65.007183170857004</v>
      </c>
      <c r="T779" s="15">
        <v>80</v>
      </c>
      <c r="U779" s="15">
        <v>0</v>
      </c>
      <c r="V779" s="15">
        <v>0</v>
      </c>
      <c r="W779" s="15">
        <v>0</v>
      </c>
      <c r="X779" s="15">
        <f>IF(O779='Udvaskning nøgletal'!$D$65,1,IF(O779='Udvaskning nøgletal'!$D$66,2,IF(O779='Udvaskning nøgletal'!$D$67,3,IF(O779='Udvaskning nøgletal'!$D$68,2,""))))</f>
        <v>2</v>
      </c>
      <c r="Y779" s="15">
        <f>LOOKUP(K779,'Udvaskning nøgletal'!$C$12:$C$60,'Udvaskning nøgletal'!$H$12:$H$60)</f>
        <v>0</v>
      </c>
      <c r="Z779" s="10">
        <f>IF(X779=1,LOOKUP(K779,'Udvaskning nøgletal'!$C$12:$C$60,'Udvaskning nøgletal'!$E$12:$E$60)+Markniveau!Y779*Markniveau!S779/100,IF(X779=2,LOOKUP(K779,'Udvaskning nøgletal'!$C$12:$C$60,'Udvaskning nøgletal'!$F$12:$F$60)+Markniveau!Y779*Markniveau!S779/100,IF(X779=3,LOOKUP(K779,'Udvaskning nøgletal'!$C$12:$C$60,'Udvaskning nøgletal'!G789:G837)+Markniveau!Y779*Markniveau!S779/100,"")))</f>
        <v>27.331185321443094</v>
      </c>
      <c r="AA779" s="10">
        <f t="shared" si="126"/>
        <v>15.852087486436993</v>
      </c>
      <c r="AB779" s="10">
        <f t="shared" si="125"/>
        <v>1.3665592660721546</v>
      </c>
      <c r="AC779" s="10">
        <f t="shared" si="127"/>
        <v>0.7926043743218496</v>
      </c>
      <c r="AD779" s="10">
        <f>IF(AND(Q779&gt;0,Q779&lt;30,K779&lt;8),Markniveau!Z779*'Udvaskning nøgletal'!$I$12/100,IF(AND(Q779&gt;0,Q779&lt;30,K779=216),Markniveau!Z779*'Udvaskning nøgletal'!$I$34/100,Markniveau!Z779))</f>
        <v>27.331185321443094</v>
      </c>
      <c r="AE779" s="10">
        <f t="shared" si="123"/>
        <v>15.852087486436993</v>
      </c>
      <c r="AF779" s="10">
        <f t="shared" si="128"/>
        <v>1.3665592660721546</v>
      </c>
      <c r="AG779" s="10">
        <f t="shared" si="124"/>
        <v>0.7926043743218496</v>
      </c>
      <c r="AH779" s="10" t="str">
        <f>IF(AND(Q779&gt;0,Q779&lt;30,K779=216),'Udvaskning nøgletal'!$C$42,IF(AND(Q779&gt;0,Q779&lt;30,K779&gt;7,K779&lt;17),'Udvaskning nøgletal'!$C$61,IF(AND(Q779&gt;0,Q779&lt;30,K779&lt;7),'Udvaskning nøgletal'!$C$62,"")))</f>
        <v/>
      </c>
      <c r="AI779" s="10">
        <f t="shared" si="130"/>
        <v>260</v>
      </c>
      <c r="AJ779" s="10">
        <f>IF($X779=1,LOOKUP(AI779,'Udvaskning nøgletal'!$C$12:$C$62,'Udvaskning nøgletal'!$E$12:$E$62)+Markniveau!$Y779*Markniveau!$S779/100,IF($X779=2,LOOKUP(AI779,'Udvaskning nøgletal'!$C$12:$C$62,'Udvaskning nøgletal'!$F$12:$F$62)+Markniveau!$Y779*Markniveau!$S779/100,IF($X779=3,LOOKUP(AI779,'Udvaskning nøgletal'!$C$12:$C$62,'Udvaskning nøgletal'!Q789:Q839)+Markniveau!$Y779*Markniveau!$S779/100,"")))</f>
        <v>27.331185321443094</v>
      </c>
      <c r="AK779" s="10">
        <f t="shared" si="129"/>
        <v>15.852087486436993</v>
      </c>
      <c r="AL779" s="10">
        <f t="shared" ref="AL779:AL842" si="131">IF($Q779&gt;0,(100-$Q779)*AJ779/100,"")</f>
        <v>1.3665592660721546</v>
      </c>
      <c r="AM779" s="10">
        <f t="shared" ref="AM779:AM842" si="132">IF($Q779&gt;0,(100-$Q779)*AJ779/100*I779,"")</f>
        <v>0.7926043743218496</v>
      </c>
    </row>
    <row r="780" spans="1:39" x14ac:dyDescent="0.25">
      <c r="A780" s="15">
        <v>27059147</v>
      </c>
      <c r="B780" s="15">
        <v>19.489999999999998</v>
      </c>
      <c r="C780" s="15">
        <v>12235</v>
      </c>
      <c r="D780" s="15">
        <v>31531</v>
      </c>
      <c r="E780" s="15" t="s">
        <v>421</v>
      </c>
      <c r="F780" s="15">
        <v>2011</v>
      </c>
      <c r="G780" s="15">
        <v>20110406</v>
      </c>
      <c r="H780" s="15">
        <v>33815</v>
      </c>
      <c r="I780" s="15">
        <v>3.38</v>
      </c>
      <c r="J780" s="6" t="s">
        <v>36</v>
      </c>
      <c r="K780" s="15">
        <v>11</v>
      </c>
      <c r="L780" s="15" t="s">
        <v>102</v>
      </c>
      <c r="M780" s="15" t="s">
        <v>5</v>
      </c>
      <c r="N780" s="11" t="s">
        <v>1391</v>
      </c>
      <c r="O780" s="11" t="s">
        <v>46</v>
      </c>
      <c r="P780" s="11" t="s">
        <v>29</v>
      </c>
      <c r="Q780" s="15">
        <v>95</v>
      </c>
      <c r="R780" s="11" t="s">
        <v>3</v>
      </c>
      <c r="S780" s="10">
        <v>65.007183170857004</v>
      </c>
      <c r="T780" s="15">
        <v>80</v>
      </c>
      <c r="U780" s="15">
        <v>0</v>
      </c>
      <c r="V780" s="15">
        <v>0</v>
      </c>
      <c r="W780" s="15">
        <v>0</v>
      </c>
      <c r="X780" s="15">
        <f>IF(O780='Udvaskning nøgletal'!$D$65,1,IF(O780='Udvaskning nøgletal'!$D$66,2,IF(O780='Udvaskning nøgletal'!$D$67,3,IF(O780='Udvaskning nøgletal'!$D$68,2,""))))</f>
        <v>2</v>
      </c>
      <c r="Y780" s="15">
        <f>LOOKUP(K780,'Udvaskning nøgletal'!$C$12:$C$60,'Udvaskning nøgletal'!$H$12:$H$60)</f>
        <v>5</v>
      </c>
      <c r="Z780" s="10">
        <f>IF(X780=1,LOOKUP(K780,'Udvaskning nøgletal'!$C$12:$C$60,'Udvaskning nøgletal'!$E$12:$E$60)+Markniveau!Y780*Markniveau!S780/100,IF(X780=2,LOOKUP(K780,'Udvaskning nøgletal'!$C$12:$C$60,'Udvaskning nøgletal'!$F$12:$F$60)+Markniveau!Y780*Markniveau!S780/100,IF(X780=3,LOOKUP(K780,'Udvaskning nøgletal'!$C$12:$C$60,'Udvaskning nøgletal'!G790:G838)+Markniveau!Y780*Markniveau!S780/100,"")))</f>
        <v>54.130359158542852</v>
      </c>
      <c r="AA780" s="10">
        <f t="shared" si="126"/>
        <v>182.96061395587483</v>
      </c>
      <c r="AB780" s="10">
        <f t="shared" si="125"/>
        <v>2.7065179579271428</v>
      </c>
      <c r="AC780" s="10">
        <f t="shared" si="127"/>
        <v>9.1480306977937431</v>
      </c>
      <c r="AD780" s="10">
        <f>IF(AND(Q780&gt;0,Q780&lt;30,K780&lt;8),Markniveau!Z780*'Udvaskning nøgletal'!$I$12/100,IF(AND(Q780&gt;0,Q780&lt;30,K780=216),Markniveau!Z780*'Udvaskning nøgletal'!$I$34/100,Markniveau!Z780))</f>
        <v>54.130359158542852</v>
      </c>
      <c r="AE780" s="10">
        <f t="shared" si="123"/>
        <v>182.96061395587483</v>
      </c>
      <c r="AF780" s="10">
        <f t="shared" si="128"/>
        <v>2.7065179579271428</v>
      </c>
      <c r="AG780" s="10">
        <f t="shared" si="124"/>
        <v>9.1480306977937431</v>
      </c>
      <c r="AH780" s="10" t="str">
        <f>IF(AND(Q780&gt;0,Q780&lt;30,K780=216),'Udvaskning nøgletal'!$C$42,IF(AND(Q780&gt;0,Q780&lt;30,K780&gt;7,K780&lt;17),'Udvaskning nøgletal'!$C$61,IF(AND(Q780&gt;0,Q780&lt;30,K780&lt;7),'Udvaskning nøgletal'!$C$62,"")))</f>
        <v/>
      </c>
      <c r="AI780" s="10">
        <f t="shared" si="130"/>
        <v>11</v>
      </c>
      <c r="AJ780" s="10">
        <f>IF($X780=1,LOOKUP(AI780,'Udvaskning nøgletal'!$C$12:$C$62,'Udvaskning nøgletal'!$E$12:$E$62)+Markniveau!$Y780*Markniveau!$S780/100,IF($X780=2,LOOKUP(AI780,'Udvaskning nøgletal'!$C$12:$C$62,'Udvaskning nøgletal'!$F$12:$F$62)+Markniveau!$Y780*Markniveau!$S780/100,IF($X780=3,LOOKUP(AI780,'Udvaskning nøgletal'!$C$12:$C$62,'Udvaskning nøgletal'!Q790:Q840)+Markniveau!$Y780*Markniveau!$S780/100,"")))</f>
        <v>54.130359158542852</v>
      </c>
      <c r="AK780" s="10">
        <f t="shared" si="129"/>
        <v>182.96061395587483</v>
      </c>
      <c r="AL780" s="10">
        <f t="shared" si="131"/>
        <v>2.7065179579271428</v>
      </c>
      <c r="AM780" s="10">
        <f t="shared" si="132"/>
        <v>9.1480306977937431</v>
      </c>
    </row>
    <row r="781" spans="1:39" x14ac:dyDescent="0.25">
      <c r="A781" s="15">
        <v>27059147</v>
      </c>
      <c r="B781" s="15">
        <v>19.489999999999998</v>
      </c>
      <c r="C781" s="15">
        <v>105882</v>
      </c>
      <c r="D781" s="15">
        <v>31531</v>
      </c>
      <c r="E781" s="15" t="s">
        <v>421</v>
      </c>
      <c r="F781" s="15">
        <v>2011</v>
      </c>
      <c r="G781" s="15">
        <v>20110406</v>
      </c>
      <c r="H781" s="15">
        <v>25808</v>
      </c>
      <c r="I781" s="15">
        <v>2.58</v>
      </c>
      <c r="J781" s="6" t="s">
        <v>38</v>
      </c>
      <c r="K781" s="15">
        <v>260</v>
      </c>
      <c r="L781" s="15" t="s">
        <v>45</v>
      </c>
      <c r="M781" s="15" t="s">
        <v>5</v>
      </c>
      <c r="N781" s="11" t="s">
        <v>1391</v>
      </c>
      <c r="O781" s="11" t="s">
        <v>46</v>
      </c>
      <c r="P781" s="11" t="s">
        <v>29</v>
      </c>
      <c r="Q781" s="15">
        <v>95</v>
      </c>
      <c r="R781" s="11" t="s">
        <v>3</v>
      </c>
      <c r="S781" s="10">
        <v>65.007183170857004</v>
      </c>
      <c r="T781" s="15">
        <v>80</v>
      </c>
      <c r="U781" s="15">
        <v>0</v>
      </c>
      <c r="V781" s="15">
        <v>0</v>
      </c>
      <c r="W781" s="15">
        <v>0</v>
      </c>
      <c r="X781" s="15">
        <f>IF(O781='Udvaskning nøgletal'!$D$65,1,IF(O781='Udvaskning nøgletal'!$D$66,2,IF(O781='Udvaskning nøgletal'!$D$67,3,IF(O781='Udvaskning nøgletal'!$D$68,2,""))))</f>
        <v>2</v>
      </c>
      <c r="Y781" s="15">
        <f>LOOKUP(K781,'Udvaskning nøgletal'!$C$12:$C$60,'Udvaskning nøgletal'!$H$12:$H$60)</f>
        <v>0</v>
      </c>
      <c r="Z781" s="10">
        <f>IF(X781=1,LOOKUP(K781,'Udvaskning nøgletal'!$C$12:$C$60,'Udvaskning nøgletal'!$E$12:$E$60)+Markniveau!Y781*Markniveau!S781/100,IF(X781=2,LOOKUP(K781,'Udvaskning nøgletal'!$C$12:$C$60,'Udvaskning nøgletal'!$F$12:$F$60)+Markniveau!Y781*Markniveau!S781/100,IF(X781=3,LOOKUP(K781,'Udvaskning nøgletal'!$C$12:$C$60,'Udvaskning nøgletal'!G791:G839)+Markniveau!Y781*Markniveau!S781/100,"")))</f>
        <v>27.331185321443094</v>
      </c>
      <c r="AA781" s="10">
        <f t="shared" si="126"/>
        <v>70.514458129323188</v>
      </c>
      <c r="AB781" s="10">
        <f t="shared" si="125"/>
        <v>1.3665592660721546</v>
      </c>
      <c r="AC781" s="10">
        <f t="shared" si="127"/>
        <v>3.525722906466159</v>
      </c>
      <c r="AD781" s="10">
        <f>IF(AND(Q781&gt;0,Q781&lt;30,K781&lt;8),Markniveau!Z781*'Udvaskning nøgletal'!$I$12/100,IF(AND(Q781&gt;0,Q781&lt;30,K781=216),Markniveau!Z781*'Udvaskning nøgletal'!$I$34/100,Markniveau!Z781))</f>
        <v>27.331185321443094</v>
      </c>
      <c r="AE781" s="10">
        <f t="shared" si="123"/>
        <v>70.514458129323188</v>
      </c>
      <c r="AF781" s="10">
        <f t="shared" si="128"/>
        <v>1.3665592660721546</v>
      </c>
      <c r="AG781" s="10">
        <f t="shared" si="124"/>
        <v>3.525722906466159</v>
      </c>
      <c r="AH781" s="10" t="str">
        <f>IF(AND(Q781&gt;0,Q781&lt;30,K781=216),'Udvaskning nøgletal'!$C$42,IF(AND(Q781&gt;0,Q781&lt;30,K781&gt;7,K781&lt;17),'Udvaskning nøgletal'!$C$61,IF(AND(Q781&gt;0,Q781&lt;30,K781&lt;7),'Udvaskning nøgletal'!$C$62,"")))</f>
        <v/>
      </c>
      <c r="AI781" s="10">
        <f t="shared" si="130"/>
        <v>260</v>
      </c>
      <c r="AJ781" s="10">
        <f>IF($X781=1,LOOKUP(AI781,'Udvaskning nøgletal'!$C$12:$C$62,'Udvaskning nøgletal'!$E$12:$E$62)+Markniveau!$Y781*Markniveau!$S781/100,IF($X781=2,LOOKUP(AI781,'Udvaskning nøgletal'!$C$12:$C$62,'Udvaskning nøgletal'!$F$12:$F$62)+Markniveau!$Y781*Markniveau!$S781/100,IF($X781=3,LOOKUP(AI781,'Udvaskning nøgletal'!$C$12:$C$62,'Udvaskning nøgletal'!Q791:Q841)+Markniveau!$Y781*Markniveau!$S781/100,"")))</f>
        <v>27.331185321443094</v>
      </c>
      <c r="AK781" s="10">
        <f t="shared" si="129"/>
        <v>70.514458129323188</v>
      </c>
      <c r="AL781" s="10">
        <f t="shared" si="131"/>
        <v>1.3665592660721546</v>
      </c>
      <c r="AM781" s="10">
        <f t="shared" si="132"/>
        <v>3.525722906466159</v>
      </c>
    </row>
    <row r="782" spans="1:39" x14ac:dyDescent="0.25">
      <c r="A782" s="15">
        <v>27180264</v>
      </c>
      <c r="B782" s="15">
        <v>30.21</v>
      </c>
      <c r="C782" s="15">
        <v>477795</v>
      </c>
      <c r="D782" s="15">
        <v>101990</v>
      </c>
      <c r="E782" s="15" t="s">
        <v>632</v>
      </c>
      <c r="F782" s="15">
        <v>2011</v>
      </c>
      <c r="G782" s="15">
        <v>20110311</v>
      </c>
      <c r="H782" s="15">
        <v>35327</v>
      </c>
      <c r="I782" s="15">
        <v>3.53</v>
      </c>
      <c r="J782" s="6" t="s">
        <v>75</v>
      </c>
      <c r="K782" s="15">
        <v>10</v>
      </c>
      <c r="L782" s="15" t="s">
        <v>107</v>
      </c>
      <c r="M782" s="15" t="s">
        <v>5</v>
      </c>
      <c r="N782" s="11" t="s">
        <v>1391</v>
      </c>
      <c r="O782" s="11" t="s">
        <v>46</v>
      </c>
      <c r="P782" s="11" t="s">
        <v>29</v>
      </c>
      <c r="Q782" s="15">
        <v>95</v>
      </c>
      <c r="R782" s="11" t="s">
        <v>3</v>
      </c>
      <c r="S782" s="10">
        <v>207.71290871291001</v>
      </c>
      <c r="T782" s="15">
        <v>80</v>
      </c>
      <c r="U782" s="15">
        <v>1</v>
      </c>
      <c r="V782" s="15">
        <v>1</v>
      </c>
      <c r="W782" s="15">
        <v>0</v>
      </c>
      <c r="X782" s="15">
        <f>IF(O782='Udvaskning nøgletal'!$D$65,1,IF(O782='Udvaskning nøgletal'!$D$66,2,IF(O782='Udvaskning nøgletal'!$D$67,3,IF(O782='Udvaskning nøgletal'!$D$68,2,""))))</f>
        <v>2</v>
      </c>
      <c r="Y782" s="15">
        <f>LOOKUP(K782,'Udvaskning nøgletal'!$C$12:$C$60,'Udvaskning nøgletal'!$H$12:$H$60)</f>
        <v>5</v>
      </c>
      <c r="Z782" s="10">
        <f>IF(X782=1,LOOKUP(K782,'Udvaskning nøgletal'!$C$12:$C$60,'Udvaskning nøgletal'!$E$12:$E$60)+Markniveau!Y782*Markniveau!S782/100,IF(X782=2,LOOKUP(K782,'Udvaskning nøgletal'!$C$12:$C$60,'Udvaskning nøgletal'!$F$12:$F$60)+Markniveau!Y782*Markniveau!S782/100,IF(X782=3,LOOKUP(K782,'Udvaskning nøgletal'!$C$12:$C$60,'Udvaskning nøgletal'!G792:G840)+Markniveau!Y782*Markniveau!S782/100,"")))</f>
        <v>61.265645435645503</v>
      </c>
      <c r="AA782" s="10">
        <f t="shared" si="126"/>
        <v>216.26772838782861</v>
      </c>
      <c r="AB782" s="10">
        <f t="shared" si="125"/>
        <v>3.063282271782275</v>
      </c>
      <c r="AC782" s="10">
        <f t="shared" si="127"/>
        <v>10.81338641939143</v>
      </c>
      <c r="AD782" s="10">
        <f>IF(AND(Q782&gt;0,Q782&lt;30,K782&lt;8),Markniveau!Z782*'Udvaskning nøgletal'!$I$12/100,IF(AND(Q782&gt;0,Q782&lt;30,K782=216),Markniveau!Z782*'Udvaskning nøgletal'!$I$34/100,Markniveau!Z782))</f>
        <v>61.265645435645503</v>
      </c>
      <c r="AE782" s="10">
        <f t="shared" si="123"/>
        <v>216.26772838782861</v>
      </c>
      <c r="AF782" s="10">
        <f t="shared" si="128"/>
        <v>3.063282271782275</v>
      </c>
      <c r="AG782" s="10">
        <f t="shared" si="124"/>
        <v>10.81338641939143</v>
      </c>
      <c r="AH782" s="10" t="str">
        <f>IF(AND(Q782&gt;0,Q782&lt;30,K782=216),'Udvaskning nøgletal'!$C$42,IF(AND(Q782&gt;0,Q782&lt;30,K782&gt;7,K782&lt;17),'Udvaskning nøgletal'!$C$61,IF(AND(Q782&gt;0,Q782&lt;30,K782&lt;7),'Udvaskning nøgletal'!$C$62,"")))</f>
        <v/>
      </c>
      <c r="AI782" s="10">
        <f t="shared" si="130"/>
        <v>10</v>
      </c>
      <c r="AJ782" s="10">
        <f>IF($X782=1,LOOKUP(AI782,'Udvaskning nøgletal'!$C$12:$C$62,'Udvaskning nøgletal'!$E$12:$E$62)+Markniveau!$Y782*Markniveau!$S782/100,IF($X782=2,LOOKUP(AI782,'Udvaskning nøgletal'!$C$12:$C$62,'Udvaskning nøgletal'!$F$12:$F$62)+Markniveau!$Y782*Markniveau!$S782/100,IF($X782=3,LOOKUP(AI782,'Udvaskning nøgletal'!$C$12:$C$62,'Udvaskning nøgletal'!Q792:Q842)+Markniveau!$Y782*Markniveau!$S782/100,"")))</f>
        <v>61.265645435645503</v>
      </c>
      <c r="AK782" s="10">
        <f t="shared" si="129"/>
        <v>216.26772838782861</v>
      </c>
      <c r="AL782" s="10">
        <f t="shared" si="131"/>
        <v>3.063282271782275</v>
      </c>
      <c r="AM782" s="10">
        <f t="shared" si="132"/>
        <v>10.81338641939143</v>
      </c>
    </row>
    <row r="783" spans="1:39" x14ac:dyDescent="0.25">
      <c r="A783" s="15">
        <v>27180264</v>
      </c>
      <c r="B783" s="15">
        <v>30.21</v>
      </c>
      <c r="C783" s="15">
        <v>477796</v>
      </c>
      <c r="D783" s="15">
        <v>101990</v>
      </c>
      <c r="E783" s="15" t="s">
        <v>633</v>
      </c>
      <c r="F783" s="15">
        <v>2011</v>
      </c>
      <c r="G783" s="15">
        <v>20110311</v>
      </c>
      <c r="H783" s="15">
        <v>17706</v>
      </c>
      <c r="I783" s="15">
        <v>1.77</v>
      </c>
      <c r="J783" s="6" t="s">
        <v>87</v>
      </c>
      <c r="K783" s="15">
        <v>263</v>
      </c>
      <c r="L783" s="15" t="s">
        <v>39</v>
      </c>
      <c r="M783" s="15" t="s">
        <v>5</v>
      </c>
      <c r="N783" s="11" t="s">
        <v>1384</v>
      </c>
      <c r="O783" s="11" t="s">
        <v>28</v>
      </c>
      <c r="P783" s="11" t="s">
        <v>33</v>
      </c>
      <c r="Q783" s="15">
        <v>40</v>
      </c>
      <c r="R783" s="11" t="s">
        <v>6</v>
      </c>
      <c r="S783" s="10">
        <v>207.71290871291001</v>
      </c>
      <c r="T783" s="15">
        <v>80</v>
      </c>
      <c r="U783" s="15">
        <v>1</v>
      </c>
      <c r="V783" s="15">
        <v>1</v>
      </c>
      <c r="W783" s="15">
        <v>0</v>
      </c>
      <c r="X783" s="15">
        <f>IF(O783='Udvaskning nøgletal'!$D$65,1,IF(O783='Udvaskning nøgletal'!$D$66,2,IF(O783='Udvaskning nøgletal'!$D$67,3,IF(O783='Udvaskning nøgletal'!$D$68,2,""))))</f>
        <v>1</v>
      </c>
      <c r="Y783" s="15">
        <f>LOOKUP(K783,'Udvaskning nøgletal'!$C$12:$C$60,'Udvaskning nøgletal'!$H$12:$H$60)</f>
        <v>0</v>
      </c>
      <c r="Z783" s="10">
        <f>IF(X783=1,LOOKUP(K783,'Udvaskning nøgletal'!$C$12:$C$60,'Udvaskning nøgletal'!$E$12:$E$60)+Markniveau!Y783*Markniveau!S783/100,IF(X783=2,LOOKUP(K783,'Udvaskning nøgletal'!$C$12:$C$60,'Udvaskning nøgletal'!$F$12:$F$60)+Markniveau!Y783*Markniveau!S783/100,IF(X783=3,LOOKUP(K783,'Udvaskning nøgletal'!$C$12:$C$60,'Udvaskning nøgletal'!G793:G841)+Markniveau!Y783*Markniveau!S783/100,"")))</f>
        <v>33.723295792149436</v>
      </c>
      <c r="AA783" s="10">
        <f t="shared" si="126"/>
        <v>59.690233552104502</v>
      </c>
      <c r="AB783" s="10">
        <f t="shared" si="125"/>
        <v>20.233977475289663</v>
      </c>
      <c r="AC783" s="10">
        <f t="shared" si="127"/>
        <v>35.814140131262704</v>
      </c>
      <c r="AD783" s="10">
        <f>IF(AND(Q783&gt;0,Q783&lt;30,K783&lt;8),Markniveau!Z783*'Udvaskning nøgletal'!$I$12/100,IF(AND(Q783&gt;0,Q783&lt;30,K783=216),Markniveau!Z783*'Udvaskning nøgletal'!$I$34/100,Markniveau!Z783))</f>
        <v>33.723295792149436</v>
      </c>
      <c r="AE783" s="10">
        <f t="shared" si="123"/>
        <v>59.690233552104502</v>
      </c>
      <c r="AF783" s="10">
        <f t="shared" si="128"/>
        <v>20.233977475289663</v>
      </c>
      <c r="AG783" s="10">
        <f t="shared" si="124"/>
        <v>35.814140131262704</v>
      </c>
      <c r="AH783" s="10" t="str">
        <f>IF(AND(Q783&gt;0,Q783&lt;30,K783=216),'Udvaskning nøgletal'!$C$42,IF(AND(Q783&gt;0,Q783&lt;30,K783&gt;7,K783&lt;17),'Udvaskning nøgletal'!$C$61,IF(AND(Q783&gt;0,Q783&lt;30,K783&lt;7),'Udvaskning nøgletal'!$C$62,"")))</f>
        <v/>
      </c>
      <c r="AI783" s="10">
        <f t="shared" si="130"/>
        <v>263</v>
      </c>
      <c r="AJ783" s="10">
        <f>IF($X783=1,LOOKUP(AI783,'Udvaskning nøgletal'!$C$12:$C$62,'Udvaskning nøgletal'!$E$12:$E$62)+Markniveau!$Y783*Markniveau!$S783/100,IF($X783=2,LOOKUP(AI783,'Udvaskning nøgletal'!$C$12:$C$62,'Udvaskning nøgletal'!$F$12:$F$62)+Markniveau!$Y783*Markniveau!$S783/100,IF($X783=3,LOOKUP(AI783,'Udvaskning nøgletal'!$C$12:$C$62,'Udvaskning nøgletal'!Q793:Q843)+Markniveau!$Y783*Markniveau!$S783/100,"")))</f>
        <v>33.723295792149436</v>
      </c>
      <c r="AK783" s="10">
        <f t="shared" si="129"/>
        <v>59.690233552104502</v>
      </c>
      <c r="AL783" s="10">
        <f t="shared" si="131"/>
        <v>20.233977475289663</v>
      </c>
      <c r="AM783" s="10">
        <f t="shared" si="132"/>
        <v>35.814140131262704</v>
      </c>
    </row>
    <row r="784" spans="1:39" x14ac:dyDescent="0.25">
      <c r="A784" s="15">
        <v>27180264</v>
      </c>
      <c r="B784" s="15">
        <v>30.21</v>
      </c>
      <c r="C784" s="15">
        <v>477797</v>
      </c>
      <c r="D784" s="15">
        <v>101990</v>
      </c>
      <c r="E784" s="15" t="s">
        <v>634</v>
      </c>
      <c r="F784" s="15">
        <v>2011</v>
      </c>
      <c r="G784" s="15">
        <v>20110311</v>
      </c>
      <c r="H784" s="15">
        <v>79151</v>
      </c>
      <c r="I784" s="15">
        <v>7.92</v>
      </c>
      <c r="J784" s="6" t="s">
        <v>53</v>
      </c>
      <c r="K784" s="15">
        <v>263</v>
      </c>
      <c r="L784" s="15" t="s">
        <v>39</v>
      </c>
      <c r="M784" s="15" t="s">
        <v>5</v>
      </c>
      <c r="N784" s="11" t="s">
        <v>1384</v>
      </c>
      <c r="O784" s="11" t="s">
        <v>28</v>
      </c>
      <c r="P784" s="11" t="s">
        <v>29</v>
      </c>
      <c r="Q784" s="15">
        <v>95</v>
      </c>
      <c r="R784" s="11" t="s">
        <v>3</v>
      </c>
      <c r="S784" s="10">
        <v>207.71290871291001</v>
      </c>
      <c r="T784" s="15">
        <v>80</v>
      </c>
      <c r="U784" s="15">
        <v>1</v>
      </c>
      <c r="V784" s="15">
        <v>1</v>
      </c>
      <c r="W784" s="15">
        <v>0</v>
      </c>
      <c r="X784" s="15">
        <f>IF(O784='Udvaskning nøgletal'!$D$65,1,IF(O784='Udvaskning nøgletal'!$D$66,2,IF(O784='Udvaskning nøgletal'!$D$67,3,IF(O784='Udvaskning nøgletal'!$D$68,2,""))))</f>
        <v>1</v>
      </c>
      <c r="Y784" s="15">
        <f>LOOKUP(K784,'Udvaskning nøgletal'!$C$12:$C$60,'Udvaskning nøgletal'!$H$12:$H$60)</f>
        <v>0</v>
      </c>
      <c r="Z784" s="10">
        <f>IF(X784=1,LOOKUP(K784,'Udvaskning nøgletal'!$C$12:$C$60,'Udvaskning nøgletal'!$E$12:$E$60)+Markniveau!Y784*Markniveau!S784/100,IF(X784=2,LOOKUP(K784,'Udvaskning nøgletal'!$C$12:$C$60,'Udvaskning nøgletal'!$F$12:$F$60)+Markniveau!Y784*Markniveau!S784/100,IF(X784=3,LOOKUP(K784,'Udvaskning nøgletal'!$C$12:$C$60,'Udvaskning nøgletal'!G794:G842)+Markniveau!Y784*Markniveau!S784/100,"")))</f>
        <v>33.723295792149436</v>
      </c>
      <c r="AA784" s="10">
        <f t="shared" si="126"/>
        <v>267.08850267382354</v>
      </c>
      <c r="AB784" s="10">
        <f t="shared" si="125"/>
        <v>1.6861647896074716</v>
      </c>
      <c r="AC784" s="10">
        <f t="shared" si="127"/>
        <v>13.354425133691175</v>
      </c>
      <c r="AD784" s="10">
        <f>IF(AND(Q784&gt;0,Q784&lt;30,K784&lt;8),Markniveau!Z784*'Udvaskning nøgletal'!$I$12/100,IF(AND(Q784&gt;0,Q784&lt;30,K784=216),Markniveau!Z784*'Udvaskning nøgletal'!$I$34/100,Markniveau!Z784))</f>
        <v>33.723295792149436</v>
      </c>
      <c r="AE784" s="10">
        <f t="shared" si="123"/>
        <v>267.08850267382354</v>
      </c>
      <c r="AF784" s="10">
        <f t="shared" si="128"/>
        <v>1.6861647896074716</v>
      </c>
      <c r="AG784" s="10">
        <f t="shared" si="124"/>
        <v>13.354425133691175</v>
      </c>
      <c r="AH784" s="10" t="str">
        <f>IF(AND(Q784&gt;0,Q784&lt;30,K784=216),'Udvaskning nøgletal'!$C$42,IF(AND(Q784&gt;0,Q784&lt;30,K784&gt;7,K784&lt;17),'Udvaskning nøgletal'!$C$61,IF(AND(Q784&gt;0,Q784&lt;30,K784&lt;7),'Udvaskning nøgletal'!$C$62,"")))</f>
        <v/>
      </c>
      <c r="AI784" s="10">
        <f t="shared" si="130"/>
        <v>263</v>
      </c>
      <c r="AJ784" s="10">
        <f>IF($X784=1,LOOKUP(AI784,'Udvaskning nøgletal'!$C$12:$C$62,'Udvaskning nøgletal'!$E$12:$E$62)+Markniveau!$Y784*Markniveau!$S784/100,IF($X784=2,LOOKUP(AI784,'Udvaskning nøgletal'!$C$12:$C$62,'Udvaskning nøgletal'!$F$12:$F$62)+Markniveau!$Y784*Markniveau!$S784/100,IF($X784=3,LOOKUP(AI784,'Udvaskning nøgletal'!$C$12:$C$62,'Udvaskning nøgletal'!Q794:Q844)+Markniveau!$Y784*Markniveau!$S784/100,"")))</f>
        <v>33.723295792149436</v>
      </c>
      <c r="AK784" s="10">
        <f t="shared" si="129"/>
        <v>267.08850267382354</v>
      </c>
      <c r="AL784" s="10">
        <f t="shared" si="131"/>
        <v>1.6861647896074716</v>
      </c>
      <c r="AM784" s="10">
        <f t="shared" si="132"/>
        <v>13.354425133691175</v>
      </c>
    </row>
    <row r="785" spans="1:39" x14ac:dyDescent="0.25">
      <c r="A785" s="15">
        <v>27180264</v>
      </c>
      <c r="B785" s="15">
        <v>30.21</v>
      </c>
      <c r="C785" s="15">
        <v>478349</v>
      </c>
      <c r="D785" s="15">
        <v>101990</v>
      </c>
      <c r="E785" s="15" t="s">
        <v>635</v>
      </c>
      <c r="F785" s="15">
        <v>2011</v>
      </c>
      <c r="G785" s="15">
        <v>20110311</v>
      </c>
      <c r="H785" s="15">
        <v>71835</v>
      </c>
      <c r="I785" s="15">
        <v>7.18</v>
      </c>
      <c r="J785" s="6" t="s">
        <v>91</v>
      </c>
      <c r="K785" s="15">
        <v>1</v>
      </c>
      <c r="L785" s="15" t="s">
        <v>32</v>
      </c>
      <c r="M785" s="15" t="s">
        <v>5</v>
      </c>
      <c r="N785" s="11" t="s">
        <v>1384</v>
      </c>
      <c r="O785" s="11" t="s">
        <v>28</v>
      </c>
      <c r="P785" s="11" t="s">
        <v>29</v>
      </c>
      <c r="Q785" s="15">
        <v>95</v>
      </c>
      <c r="R785" s="11" t="s">
        <v>3</v>
      </c>
      <c r="S785" s="10">
        <v>207.71290871291001</v>
      </c>
      <c r="T785" s="15">
        <v>80</v>
      </c>
      <c r="U785" s="15">
        <v>1</v>
      </c>
      <c r="V785" s="15">
        <v>1</v>
      </c>
      <c r="W785" s="15">
        <v>0</v>
      </c>
      <c r="X785" s="15">
        <f>IF(O785='Udvaskning nøgletal'!$D$65,1,IF(O785='Udvaskning nøgletal'!$D$66,2,IF(O785='Udvaskning nøgletal'!$D$67,3,IF(O785='Udvaskning nøgletal'!$D$68,2,""))))</f>
        <v>1</v>
      </c>
      <c r="Y785" s="15">
        <f>LOOKUP(K785,'Udvaskning nøgletal'!$C$12:$C$60,'Udvaskning nøgletal'!$H$12:$H$60)</f>
        <v>5</v>
      </c>
      <c r="Z785" s="10">
        <f>IF(X785=1,LOOKUP(K785,'Udvaskning nøgletal'!$C$12:$C$60,'Udvaskning nøgletal'!$E$12:$E$60)+Markniveau!Y785*Markniveau!S785/100,IF(X785=2,LOOKUP(K785,'Udvaskning nøgletal'!$C$12:$C$60,'Udvaskning nøgletal'!$F$12:$F$60)+Markniveau!Y785*Markniveau!S785/100,IF(X785=3,LOOKUP(K785,'Udvaskning nøgletal'!$C$12:$C$60,'Udvaskning nøgletal'!G795:G843)+Markniveau!Y785*Markniveau!S785/100,"")))</f>
        <v>75.045645435645497</v>
      </c>
      <c r="AA785" s="10">
        <f t="shared" si="126"/>
        <v>538.82773422793468</v>
      </c>
      <c r="AB785" s="10">
        <f t="shared" si="125"/>
        <v>3.752282271782275</v>
      </c>
      <c r="AC785" s="10">
        <f t="shared" si="127"/>
        <v>26.941386711396735</v>
      </c>
      <c r="AD785" s="10">
        <f>IF(AND(Q785&gt;0,Q785&lt;30,K785&lt;8),Markniveau!Z785*'Udvaskning nøgletal'!$I$12/100,IF(AND(Q785&gt;0,Q785&lt;30,K785=216),Markniveau!Z785*'Udvaskning nøgletal'!$I$34/100,Markniveau!Z785))</f>
        <v>75.045645435645497</v>
      </c>
      <c r="AE785" s="10">
        <f t="shared" ref="AE785:AE848" si="133">AD785*I785</f>
        <v>538.82773422793468</v>
      </c>
      <c r="AF785" s="10">
        <f t="shared" si="128"/>
        <v>3.752282271782275</v>
      </c>
      <c r="AG785" s="10">
        <f t="shared" ref="AG785:AG848" si="134">IF($Q785&gt;0,(100-$Q785)*$AD785/100*I785,"")</f>
        <v>26.941386711396735</v>
      </c>
      <c r="AH785" s="10" t="str">
        <f>IF(AND(Q785&gt;0,Q785&lt;30,K785=216),'Udvaskning nøgletal'!$C$42,IF(AND(Q785&gt;0,Q785&lt;30,K785&gt;7,K785&lt;17),'Udvaskning nøgletal'!$C$61,IF(AND(Q785&gt;0,Q785&lt;30,K785&lt;7),'Udvaskning nøgletal'!$C$62,"")))</f>
        <v/>
      </c>
      <c r="AI785" s="10">
        <f t="shared" si="130"/>
        <v>1</v>
      </c>
      <c r="AJ785" s="10">
        <f>IF($X785=1,LOOKUP(AI785,'Udvaskning nøgletal'!$C$12:$C$62,'Udvaskning nøgletal'!$E$12:$E$62)+Markniveau!$Y785*Markniveau!$S785/100,IF($X785=2,LOOKUP(AI785,'Udvaskning nøgletal'!$C$12:$C$62,'Udvaskning nøgletal'!$F$12:$F$62)+Markniveau!$Y785*Markniveau!$S785/100,IF($X785=3,LOOKUP(AI785,'Udvaskning nøgletal'!$C$12:$C$62,'Udvaskning nøgletal'!Q795:Q845)+Markniveau!$Y785*Markniveau!$S785/100,"")))</f>
        <v>75.045645435645497</v>
      </c>
      <c r="AK785" s="10">
        <f t="shared" si="129"/>
        <v>538.82773422793468</v>
      </c>
      <c r="AL785" s="10">
        <f t="shared" si="131"/>
        <v>3.752282271782275</v>
      </c>
      <c r="AM785" s="10">
        <f t="shared" si="132"/>
        <v>26.941386711396735</v>
      </c>
    </row>
    <row r="786" spans="1:39" x14ac:dyDescent="0.25">
      <c r="A786" s="15">
        <v>27180264</v>
      </c>
      <c r="B786" s="15">
        <v>30.21</v>
      </c>
      <c r="C786" s="15">
        <v>478350</v>
      </c>
      <c r="D786" s="15">
        <v>101990</v>
      </c>
      <c r="E786" s="15" t="s">
        <v>636</v>
      </c>
      <c r="F786" s="15">
        <v>2011</v>
      </c>
      <c r="G786" s="15">
        <v>20110311</v>
      </c>
      <c r="H786" s="15">
        <v>25698</v>
      </c>
      <c r="I786" s="15">
        <v>2.57</v>
      </c>
      <c r="J786" s="6" t="s">
        <v>92</v>
      </c>
      <c r="K786" s="15">
        <v>1</v>
      </c>
      <c r="L786" s="15" t="s">
        <v>32</v>
      </c>
      <c r="M786" s="15" t="s">
        <v>5</v>
      </c>
      <c r="N786" s="11" t="s">
        <v>1391</v>
      </c>
      <c r="O786" s="11" t="s">
        <v>46</v>
      </c>
      <c r="P786" s="11" t="s">
        <v>33</v>
      </c>
      <c r="Q786" s="15">
        <v>0</v>
      </c>
      <c r="R786" s="11" t="s">
        <v>1386</v>
      </c>
      <c r="S786" s="10">
        <v>207.71290871291001</v>
      </c>
      <c r="T786" s="15">
        <v>80</v>
      </c>
      <c r="U786" s="15">
        <v>1</v>
      </c>
      <c r="V786" s="15">
        <v>1</v>
      </c>
      <c r="W786" s="15">
        <v>0</v>
      </c>
      <c r="X786" s="15">
        <f>IF(O786='Udvaskning nøgletal'!$D$65,1,IF(O786='Udvaskning nøgletal'!$D$66,2,IF(O786='Udvaskning nøgletal'!$D$67,3,IF(O786='Udvaskning nøgletal'!$D$68,2,""))))</f>
        <v>2</v>
      </c>
      <c r="Y786" s="15">
        <f>LOOKUP(K786,'Udvaskning nøgletal'!$C$12:$C$60,'Udvaskning nøgletal'!$H$12:$H$60)</f>
        <v>5</v>
      </c>
      <c r="Z786" s="10">
        <f>IF(X786=1,LOOKUP(K786,'Udvaskning nøgletal'!$C$12:$C$60,'Udvaskning nøgletal'!$E$12:$E$60)+Markniveau!Y786*Markniveau!S786/100,IF(X786=2,LOOKUP(K786,'Udvaskning nøgletal'!$C$12:$C$60,'Udvaskning nøgletal'!$F$12:$F$60)+Markniveau!Y786*Markniveau!S786/100,IF(X786=3,LOOKUP(K786,'Udvaskning nøgletal'!$C$12:$C$60,'Udvaskning nøgletal'!G796:G844)+Markniveau!Y786*Markniveau!S786/100,"")))</f>
        <v>61.265645435645503</v>
      </c>
      <c r="AA786" s="10">
        <f t="shared" si="126"/>
        <v>157.45270876960893</v>
      </c>
      <c r="AB786" s="10" t="str">
        <f t="shared" si="125"/>
        <v/>
      </c>
      <c r="AC786" s="10" t="str">
        <f t="shared" si="127"/>
        <v/>
      </c>
      <c r="AD786" s="10">
        <f>IF(AND(Q786&gt;0,Q786&lt;30,K786&lt;8),Markniveau!Z786*'Udvaskning nøgletal'!$I$12/100,IF(AND(Q786&gt;0,Q786&lt;30,K786=216),Markniveau!Z786*'Udvaskning nøgletal'!$I$34/100,Markniveau!Z786))</f>
        <v>61.265645435645503</v>
      </c>
      <c r="AE786" s="10">
        <f t="shared" si="133"/>
        <v>157.45270876960893</v>
      </c>
      <c r="AF786" s="10" t="str">
        <f t="shared" si="128"/>
        <v/>
      </c>
      <c r="AG786" s="10" t="str">
        <f t="shared" si="134"/>
        <v/>
      </c>
      <c r="AH786" s="10" t="str">
        <f>IF(AND(Q786&gt;0,Q786&lt;30,K786=216),'Udvaskning nøgletal'!$C$42,IF(AND(Q786&gt;0,Q786&lt;30,K786&gt;7,K786&lt;17),'Udvaskning nøgletal'!$C$61,IF(AND(Q786&gt;0,Q786&lt;30,K786&lt;7),'Udvaskning nøgletal'!$C$62,"")))</f>
        <v/>
      </c>
      <c r="AI786" s="10">
        <f t="shared" si="130"/>
        <v>1</v>
      </c>
      <c r="AJ786" s="10">
        <f>IF($X786=1,LOOKUP(AI786,'Udvaskning nøgletal'!$C$12:$C$62,'Udvaskning nøgletal'!$E$12:$E$62)+Markniveau!$Y786*Markniveau!$S786/100,IF($X786=2,LOOKUP(AI786,'Udvaskning nøgletal'!$C$12:$C$62,'Udvaskning nøgletal'!$F$12:$F$62)+Markniveau!$Y786*Markniveau!$S786/100,IF($X786=3,LOOKUP(AI786,'Udvaskning nøgletal'!$C$12:$C$62,'Udvaskning nøgletal'!Q796:Q846)+Markniveau!$Y786*Markniveau!$S786/100,"")))</f>
        <v>61.265645435645503</v>
      </c>
      <c r="AK786" s="10">
        <f t="shared" si="129"/>
        <v>157.45270876960893</v>
      </c>
      <c r="AL786" s="10" t="str">
        <f t="shared" si="131"/>
        <v/>
      </c>
      <c r="AM786" s="10" t="str">
        <f t="shared" si="132"/>
        <v/>
      </c>
    </row>
    <row r="787" spans="1:39" x14ac:dyDescent="0.25">
      <c r="A787" s="15">
        <v>27180264</v>
      </c>
      <c r="B787" s="15">
        <v>30.21</v>
      </c>
      <c r="C787" s="15">
        <v>478351</v>
      </c>
      <c r="D787" s="15">
        <v>101990</v>
      </c>
      <c r="E787" s="15" t="s">
        <v>637</v>
      </c>
      <c r="F787" s="15">
        <v>2011</v>
      </c>
      <c r="G787" s="15">
        <v>20110311</v>
      </c>
      <c r="H787" s="15">
        <v>21001</v>
      </c>
      <c r="I787" s="15">
        <v>2.1</v>
      </c>
      <c r="J787" s="6" t="s">
        <v>58</v>
      </c>
      <c r="K787" s="15">
        <v>1</v>
      </c>
      <c r="L787" s="15" t="s">
        <v>32</v>
      </c>
      <c r="M787" s="15" t="s">
        <v>5</v>
      </c>
      <c r="N787" s="11" t="s">
        <v>1391</v>
      </c>
      <c r="O787" s="11" t="s">
        <v>46</v>
      </c>
      <c r="P787" s="11" t="s">
        <v>33</v>
      </c>
      <c r="Q787" s="15">
        <v>0</v>
      </c>
      <c r="R787" s="11" t="s">
        <v>1386</v>
      </c>
      <c r="S787" s="10">
        <v>207.71290871291001</v>
      </c>
      <c r="T787" s="15">
        <v>80</v>
      </c>
      <c r="U787" s="15">
        <v>1</v>
      </c>
      <c r="V787" s="15">
        <v>1</v>
      </c>
      <c r="W787" s="15">
        <v>0</v>
      </c>
      <c r="X787" s="15">
        <f>IF(O787='Udvaskning nøgletal'!$D$65,1,IF(O787='Udvaskning nøgletal'!$D$66,2,IF(O787='Udvaskning nøgletal'!$D$67,3,IF(O787='Udvaskning nøgletal'!$D$68,2,""))))</f>
        <v>2</v>
      </c>
      <c r="Y787" s="15">
        <f>LOOKUP(K787,'Udvaskning nøgletal'!$C$12:$C$60,'Udvaskning nøgletal'!$H$12:$H$60)</f>
        <v>5</v>
      </c>
      <c r="Z787" s="10">
        <f>IF(X787=1,LOOKUP(K787,'Udvaskning nøgletal'!$C$12:$C$60,'Udvaskning nøgletal'!$E$12:$E$60)+Markniveau!Y787*Markniveau!S787/100,IF(X787=2,LOOKUP(K787,'Udvaskning nøgletal'!$C$12:$C$60,'Udvaskning nøgletal'!$F$12:$F$60)+Markniveau!Y787*Markniveau!S787/100,IF(X787=3,LOOKUP(K787,'Udvaskning nøgletal'!$C$12:$C$60,'Udvaskning nøgletal'!G797:G845)+Markniveau!Y787*Markniveau!S787/100,"")))</f>
        <v>61.265645435645503</v>
      </c>
      <c r="AA787" s="10">
        <f t="shared" si="126"/>
        <v>128.65785541485556</v>
      </c>
      <c r="AB787" s="10" t="str">
        <f t="shared" si="125"/>
        <v/>
      </c>
      <c r="AC787" s="10" t="str">
        <f t="shared" si="127"/>
        <v/>
      </c>
      <c r="AD787" s="10">
        <f>IF(AND(Q787&gt;0,Q787&lt;30,K787&lt;8),Markniveau!Z787*'Udvaskning nøgletal'!$I$12/100,IF(AND(Q787&gt;0,Q787&lt;30,K787=216),Markniveau!Z787*'Udvaskning nøgletal'!$I$34/100,Markniveau!Z787))</f>
        <v>61.265645435645503</v>
      </c>
      <c r="AE787" s="10">
        <f t="shared" si="133"/>
        <v>128.65785541485556</v>
      </c>
      <c r="AF787" s="10" t="str">
        <f t="shared" si="128"/>
        <v/>
      </c>
      <c r="AG787" s="10" t="str">
        <f t="shared" si="134"/>
        <v/>
      </c>
      <c r="AH787" s="10" t="str">
        <f>IF(AND(Q787&gt;0,Q787&lt;30,K787=216),'Udvaskning nøgletal'!$C$42,IF(AND(Q787&gt;0,Q787&lt;30,K787&gt;7,K787&lt;17),'Udvaskning nøgletal'!$C$61,IF(AND(Q787&gt;0,Q787&lt;30,K787&lt;7),'Udvaskning nøgletal'!$C$62,"")))</f>
        <v/>
      </c>
      <c r="AI787" s="10">
        <f t="shared" si="130"/>
        <v>1</v>
      </c>
      <c r="AJ787" s="10">
        <f>IF($X787=1,LOOKUP(AI787,'Udvaskning nøgletal'!$C$12:$C$62,'Udvaskning nøgletal'!$E$12:$E$62)+Markniveau!$Y787*Markniveau!$S787/100,IF($X787=2,LOOKUP(AI787,'Udvaskning nøgletal'!$C$12:$C$62,'Udvaskning nøgletal'!$F$12:$F$62)+Markniveau!$Y787*Markniveau!$S787/100,IF($X787=3,LOOKUP(AI787,'Udvaskning nøgletal'!$C$12:$C$62,'Udvaskning nøgletal'!Q797:Q847)+Markniveau!$Y787*Markniveau!$S787/100,"")))</f>
        <v>61.265645435645503</v>
      </c>
      <c r="AK787" s="10">
        <f t="shared" si="129"/>
        <v>128.65785541485556</v>
      </c>
      <c r="AL787" s="10" t="str">
        <f t="shared" si="131"/>
        <v/>
      </c>
      <c r="AM787" s="10" t="str">
        <f t="shared" si="132"/>
        <v/>
      </c>
    </row>
    <row r="788" spans="1:39" x14ac:dyDescent="0.25">
      <c r="A788" s="15">
        <v>27180264</v>
      </c>
      <c r="B788" s="15">
        <v>30.21</v>
      </c>
      <c r="C788" s="15">
        <v>478352</v>
      </c>
      <c r="D788" s="15">
        <v>101990</v>
      </c>
      <c r="E788" s="15" t="s">
        <v>638</v>
      </c>
      <c r="F788" s="15">
        <v>2011</v>
      </c>
      <c r="G788" s="15">
        <v>20110311</v>
      </c>
      <c r="H788" s="15">
        <v>5493</v>
      </c>
      <c r="I788" s="15">
        <v>0.55000000000000004</v>
      </c>
      <c r="J788" s="6" t="s">
        <v>86</v>
      </c>
      <c r="K788" s="15">
        <v>1</v>
      </c>
      <c r="L788" s="15" t="s">
        <v>32</v>
      </c>
      <c r="M788" s="15" t="s">
        <v>5</v>
      </c>
      <c r="N788" s="11" t="s">
        <v>1391</v>
      </c>
      <c r="O788" s="11" t="s">
        <v>46</v>
      </c>
      <c r="P788" s="11" t="s">
        <v>33</v>
      </c>
      <c r="Q788" s="15">
        <v>0</v>
      </c>
      <c r="R788" s="11" t="s">
        <v>1386</v>
      </c>
      <c r="S788" s="10">
        <v>207.71290871291001</v>
      </c>
      <c r="T788" s="15">
        <v>80</v>
      </c>
      <c r="U788" s="15">
        <v>1</v>
      </c>
      <c r="V788" s="15">
        <v>1</v>
      </c>
      <c r="W788" s="15">
        <v>0</v>
      </c>
      <c r="X788" s="15">
        <f>IF(O788='Udvaskning nøgletal'!$D$65,1,IF(O788='Udvaskning nøgletal'!$D$66,2,IF(O788='Udvaskning nøgletal'!$D$67,3,IF(O788='Udvaskning nøgletal'!$D$68,2,""))))</f>
        <v>2</v>
      </c>
      <c r="Y788" s="15">
        <f>LOOKUP(K788,'Udvaskning nøgletal'!$C$12:$C$60,'Udvaskning nøgletal'!$H$12:$H$60)</f>
        <v>5</v>
      </c>
      <c r="Z788" s="10">
        <f>IF(X788=1,LOOKUP(K788,'Udvaskning nøgletal'!$C$12:$C$60,'Udvaskning nøgletal'!$E$12:$E$60)+Markniveau!Y788*Markniveau!S788/100,IF(X788=2,LOOKUP(K788,'Udvaskning nøgletal'!$C$12:$C$60,'Udvaskning nøgletal'!$F$12:$F$60)+Markniveau!Y788*Markniveau!S788/100,IF(X788=3,LOOKUP(K788,'Udvaskning nøgletal'!$C$12:$C$60,'Udvaskning nøgletal'!G798:G846)+Markniveau!Y788*Markniveau!S788/100,"")))</f>
        <v>61.265645435645503</v>
      </c>
      <c r="AA788" s="10">
        <f t="shared" si="126"/>
        <v>33.696104989605033</v>
      </c>
      <c r="AB788" s="10" t="str">
        <f t="shared" si="125"/>
        <v/>
      </c>
      <c r="AC788" s="10" t="str">
        <f t="shared" si="127"/>
        <v/>
      </c>
      <c r="AD788" s="10">
        <f>IF(AND(Q788&gt;0,Q788&lt;30,K788&lt;8),Markniveau!Z788*'Udvaskning nøgletal'!$I$12/100,IF(AND(Q788&gt;0,Q788&lt;30,K788=216),Markniveau!Z788*'Udvaskning nøgletal'!$I$34/100,Markniveau!Z788))</f>
        <v>61.265645435645503</v>
      </c>
      <c r="AE788" s="10">
        <f t="shared" si="133"/>
        <v>33.696104989605033</v>
      </c>
      <c r="AF788" s="10" t="str">
        <f t="shared" si="128"/>
        <v/>
      </c>
      <c r="AG788" s="10" t="str">
        <f t="shared" si="134"/>
        <v/>
      </c>
      <c r="AH788" s="10" t="str">
        <f>IF(AND(Q788&gt;0,Q788&lt;30,K788=216),'Udvaskning nøgletal'!$C$42,IF(AND(Q788&gt;0,Q788&lt;30,K788&gt;7,K788&lt;17),'Udvaskning nøgletal'!$C$61,IF(AND(Q788&gt;0,Q788&lt;30,K788&lt;7),'Udvaskning nøgletal'!$C$62,"")))</f>
        <v/>
      </c>
      <c r="AI788" s="10">
        <f t="shared" si="130"/>
        <v>1</v>
      </c>
      <c r="AJ788" s="10">
        <f>IF($X788=1,LOOKUP(AI788,'Udvaskning nøgletal'!$C$12:$C$62,'Udvaskning nøgletal'!$E$12:$E$62)+Markniveau!$Y788*Markniveau!$S788/100,IF($X788=2,LOOKUP(AI788,'Udvaskning nøgletal'!$C$12:$C$62,'Udvaskning nøgletal'!$F$12:$F$62)+Markniveau!$Y788*Markniveau!$S788/100,IF($X788=3,LOOKUP(AI788,'Udvaskning nøgletal'!$C$12:$C$62,'Udvaskning nøgletal'!Q798:Q848)+Markniveau!$Y788*Markniveau!$S788/100,"")))</f>
        <v>61.265645435645503</v>
      </c>
      <c r="AK788" s="10">
        <f t="shared" si="129"/>
        <v>33.696104989605033</v>
      </c>
      <c r="AL788" s="10" t="str">
        <f t="shared" si="131"/>
        <v/>
      </c>
      <c r="AM788" s="10" t="str">
        <f t="shared" si="132"/>
        <v/>
      </c>
    </row>
    <row r="789" spans="1:39" x14ac:dyDescent="0.25">
      <c r="A789" s="15">
        <v>27180264</v>
      </c>
      <c r="B789" s="15">
        <v>30.21</v>
      </c>
      <c r="C789" s="15">
        <v>478353</v>
      </c>
      <c r="D789" s="15">
        <v>101990</v>
      </c>
      <c r="E789" s="15" t="s">
        <v>639</v>
      </c>
      <c r="F789" s="15">
        <v>2011</v>
      </c>
      <c r="G789" s="15">
        <v>20110311</v>
      </c>
      <c r="H789" s="15">
        <v>64301</v>
      </c>
      <c r="I789" s="15">
        <v>6.43</v>
      </c>
      <c r="J789" s="6" t="s">
        <v>144</v>
      </c>
      <c r="K789" s="15">
        <v>1</v>
      </c>
      <c r="L789" s="15" t="s">
        <v>32</v>
      </c>
      <c r="M789" s="15" t="s">
        <v>5</v>
      </c>
      <c r="N789" s="11" t="s">
        <v>1391</v>
      </c>
      <c r="O789" s="11" t="s">
        <v>46</v>
      </c>
      <c r="P789" s="11" t="s">
        <v>33</v>
      </c>
      <c r="Q789" s="15">
        <v>0</v>
      </c>
      <c r="R789" s="11" t="s">
        <v>1386</v>
      </c>
      <c r="S789" s="10">
        <v>207.71290871291001</v>
      </c>
      <c r="T789" s="15">
        <v>80</v>
      </c>
      <c r="U789" s="15">
        <v>1</v>
      </c>
      <c r="V789" s="15">
        <v>1</v>
      </c>
      <c r="W789" s="15">
        <v>0</v>
      </c>
      <c r="X789" s="15">
        <f>IF(O789='Udvaskning nøgletal'!$D$65,1,IF(O789='Udvaskning nøgletal'!$D$66,2,IF(O789='Udvaskning nøgletal'!$D$67,3,IF(O789='Udvaskning nøgletal'!$D$68,2,""))))</f>
        <v>2</v>
      </c>
      <c r="Y789" s="15">
        <f>LOOKUP(K789,'Udvaskning nøgletal'!$C$12:$C$60,'Udvaskning nøgletal'!$H$12:$H$60)</f>
        <v>5</v>
      </c>
      <c r="Z789" s="10">
        <f>IF(X789=1,LOOKUP(K789,'Udvaskning nøgletal'!$C$12:$C$60,'Udvaskning nøgletal'!$E$12:$E$60)+Markniveau!Y789*Markniveau!S789/100,IF(X789=2,LOOKUP(K789,'Udvaskning nøgletal'!$C$12:$C$60,'Udvaskning nøgletal'!$F$12:$F$60)+Markniveau!Y789*Markniveau!S789/100,IF(X789=3,LOOKUP(K789,'Udvaskning nøgletal'!$C$12:$C$60,'Udvaskning nøgletal'!G799:G847)+Markniveau!Y789*Markniveau!S789/100,"")))</f>
        <v>61.265645435645503</v>
      </c>
      <c r="AA789" s="10">
        <f t="shared" si="126"/>
        <v>393.93810015120056</v>
      </c>
      <c r="AB789" s="10" t="str">
        <f t="shared" si="125"/>
        <v/>
      </c>
      <c r="AC789" s="10" t="str">
        <f t="shared" si="127"/>
        <v/>
      </c>
      <c r="AD789" s="10">
        <f>IF(AND(Q789&gt;0,Q789&lt;30,K789&lt;8),Markniveau!Z789*'Udvaskning nøgletal'!$I$12/100,IF(AND(Q789&gt;0,Q789&lt;30,K789=216),Markniveau!Z789*'Udvaskning nøgletal'!$I$34/100,Markniveau!Z789))</f>
        <v>61.265645435645503</v>
      </c>
      <c r="AE789" s="10">
        <f t="shared" si="133"/>
        <v>393.93810015120056</v>
      </c>
      <c r="AF789" s="10" t="str">
        <f t="shared" si="128"/>
        <v/>
      </c>
      <c r="AG789" s="10" t="str">
        <f t="shared" si="134"/>
        <v/>
      </c>
      <c r="AH789" s="10" t="str">
        <f>IF(AND(Q789&gt;0,Q789&lt;30,K789=216),'Udvaskning nøgletal'!$C$42,IF(AND(Q789&gt;0,Q789&lt;30,K789&gt;7,K789&lt;17),'Udvaskning nøgletal'!$C$61,IF(AND(Q789&gt;0,Q789&lt;30,K789&lt;7),'Udvaskning nøgletal'!$C$62,"")))</f>
        <v/>
      </c>
      <c r="AI789" s="10">
        <f t="shared" si="130"/>
        <v>1</v>
      </c>
      <c r="AJ789" s="10">
        <f>IF($X789=1,LOOKUP(AI789,'Udvaskning nøgletal'!$C$12:$C$62,'Udvaskning nøgletal'!$E$12:$E$62)+Markniveau!$Y789*Markniveau!$S789/100,IF($X789=2,LOOKUP(AI789,'Udvaskning nøgletal'!$C$12:$C$62,'Udvaskning nøgletal'!$F$12:$F$62)+Markniveau!$Y789*Markniveau!$S789/100,IF($X789=3,LOOKUP(AI789,'Udvaskning nøgletal'!$C$12:$C$62,'Udvaskning nøgletal'!Q799:Q849)+Markniveau!$Y789*Markniveau!$S789/100,"")))</f>
        <v>61.265645435645503</v>
      </c>
      <c r="AK789" s="10">
        <f t="shared" si="129"/>
        <v>393.93810015120056</v>
      </c>
      <c r="AL789" s="10" t="str">
        <f t="shared" si="131"/>
        <v/>
      </c>
      <c r="AM789" s="10" t="str">
        <f t="shared" si="132"/>
        <v/>
      </c>
    </row>
    <row r="790" spans="1:39" x14ac:dyDescent="0.25">
      <c r="A790" s="15">
        <v>27180264</v>
      </c>
      <c r="B790" s="15">
        <v>30.21</v>
      </c>
      <c r="C790" s="15">
        <v>478868</v>
      </c>
      <c r="D790" s="15">
        <v>101990</v>
      </c>
      <c r="E790" s="15" t="s">
        <v>640</v>
      </c>
      <c r="F790" s="15">
        <v>2011</v>
      </c>
      <c r="G790" s="15">
        <v>20110311</v>
      </c>
      <c r="H790" s="15">
        <v>64632</v>
      </c>
      <c r="I790" s="15">
        <v>6.46</v>
      </c>
      <c r="J790" s="6" t="s">
        <v>97</v>
      </c>
      <c r="K790" s="15">
        <v>214</v>
      </c>
      <c r="L790" s="15" t="s">
        <v>56</v>
      </c>
      <c r="M790" s="15" t="s">
        <v>5</v>
      </c>
      <c r="N790" s="11" t="s">
        <v>1391</v>
      </c>
      <c r="O790" s="11" t="s">
        <v>46</v>
      </c>
      <c r="P790" s="11" t="s">
        <v>33</v>
      </c>
      <c r="Q790" s="15">
        <v>0</v>
      </c>
      <c r="R790" s="11" t="s">
        <v>1386</v>
      </c>
      <c r="S790" s="10">
        <v>207.71290871291001</v>
      </c>
      <c r="T790" s="15">
        <v>80</v>
      </c>
      <c r="U790" s="15">
        <v>1</v>
      </c>
      <c r="V790" s="15">
        <v>1</v>
      </c>
      <c r="W790" s="15">
        <v>0</v>
      </c>
      <c r="X790" s="15">
        <f>IF(O790='Udvaskning nøgletal'!$D$65,1,IF(O790='Udvaskning nøgletal'!$D$66,2,IF(O790='Udvaskning nøgletal'!$D$67,3,IF(O790='Udvaskning nøgletal'!$D$68,2,""))))</f>
        <v>2</v>
      </c>
      <c r="Y790" s="15">
        <f>LOOKUP(K790,'Udvaskning nøgletal'!$C$12:$C$60,'Udvaskning nøgletal'!$H$12:$H$60)</f>
        <v>0</v>
      </c>
      <c r="Z790" s="10">
        <f>IF(X790=1,LOOKUP(K790,'Udvaskning nøgletal'!$C$12:$C$60,'Udvaskning nøgletal'!$E$12:$E$60)+Markniveau!Y790*Markniveau!S790/100,IF(X790=2,LOOKUP(K790,'Udvaskning nøgletal'!$C$12:$C$60,'Udvaskning nøgletal'!$F$12:$F$60)+Markniveau!Y790*Markniveau!S790/100,IF(X790=3,LOOKUP(K790,'Udvaskning nøgletal'!$C$12:$C$60,'Udvaskning nøgletal'!G800:G848)+Markniveau!Y790*Markniveau!S790/100,"")))</f>
        <v>31.161328188970323</v>
      </c>
      <c r="AA790" s="10">
        <f t="shared" si="126"/>
        <v>201.30218010074827</v>
      </c>
      <c r="AB790" s="10" t="str">
        <f t="shared" si="125"/>
        <v/>
      </c>
      <c r="AC790" s="10" t="str">
        <f t="shared" si="127"/>
        <v/>
      </c>
      <c r="AD790" s="10">
        <f>IF(AND(Q790&gt;0,Q790&lt;30,K790&lt;8),Markniveau!Z790*'Udvaskning nøgletal'!$I$12/100,IF(AND(Q790&gt;0,Q790&lt;30,K790=216),Markniveau!Z790*'Udvaskning nøgletal'!$I$34/100,Markniveau!Z790))</f>
        <v>31.161328188970323</v>
      </c>
      <c r="AE790" s="10">
        <f t="shared" si="133"/>
        <v>201.30218010074827</v>
      </c>
      <c r="AF790" s="10" t="str">
        <f t="shared" si="128"/>
        <v/>
      </c>
      <c r="AG790" s="10" t="str">
        <f t="shared" si="134"/>
        <v/>
      </c>
      <c r="AH790" s="10" t="str">
        <f>IF(AND(Q790&gt;0,Q790&lt;30,K790=216),'Udvaskning nøgletal'!$C$42,IF(AND(Q790&gt;0,Q790&lt;30,K790&gt;7,K790&lt;17),'Udvaskning nøgletal'!$C$61,IF(AND(Q790&gt;0,Q790&lt;30,K790&lt;7),'Udvaskning nøgletal'!$C$62,"")))</f>
        <v/>
      </c>
      <c r="AI790" s="10">
        <f t="shared" si="130"/>
        <v>214</v>
      </c>
      <c r="AJ790" s="10">
        <f>IF($X790=1,LOOKUP(AI790,'Udvaskning nøgletal'!$C$12:$C$62,'Udvaskning nøgletal'!$E$12:$E$62)+Markniveau!$Y790*Markniveau!$S790/100,IF($X790=2,LOOKUP(AI790,'Udvaskning nøgletal'!$C$12:$C$62,'Udvaskning nøgletal'!$F$12:$F$62)+Markniveau!$Y790*Markniveau!$S790/100,IF($X790=3,LOOKUP(AI790,'Udvaskning nøgletal'!$C$12:$C$62,'Udvaskning nøgletal'!Q800:Q850)+Markniveau!$Y790*Markniveau!$S790/100,"")))</f>
        <v>31.161328188970323</v>
      </c>
      <c r="AK790" s="10">
        <f t="shared" si="129"/>
        <v>201.30218010074827</v>
      </c>
      <c r="AL790" s="10" t="str">
        <f t="shared" si="131"/>
        <v/>
      </c>
      <c r="AM790" s="10" t="str">
        <f t="shared" si="132"/>
        <v/>
      </c>
    </row>
    <row r="791" spans="1:39" x14ac:dyDescent="0.25">
      <c r="A791" s="15">
        <v>27180264</v>
      </c>
      <c r="B791" s="15">
        <v>30.21</v>
      </c>
      <c r="C791" s="15">
        <v>478870</v>
      </c>
      <c r="D791" s="15">
        <v>101990</v>
      </c>
      <c r="E791" s="15" t="s">
        <v>641</v>
      </c>
      <c r="F791" s="15">
        <v>2011</v>
      </c>
      <c r="G791" s="15">
        <v>20110311</v>
      </c>
      <c r="H791" s="15">
        <v>88139</v>
      </c>
      <c r="I791" s="15">
        <v>8.81</v>
      </c>
      <c r="J791" s="6" t="s">
        <v>35</v>
      </c>
      <c r="K791" s="15">
        <v>216</v>
      </c>
      <c r="L791" s="15" t="s">
        <v>116</v>
      </c>
      <c r="M791" s="15" t="s">
        <v>5</v>
      </c>
      <c r="N791" s="11" t="s">
        <v>1391</v>
      </c>
      <c r="O791" s="11" t="s">
        <v>46</v>
      </c>
      <c r="P791" s="11" t="s">
        <v>33</v>
      </c>
      <c r="Q791" s="15">
        <v>0</v>
      </c>
      <c r="R791" s="11" t="s">
        <v>1386</v>
      </c>
      <c r="S791" s="10">
        <v>207.71290871291001</v>
      </c>
      <c r="T791" s="15">
        <v>80</v>
      </c>
      <c r="U791" s="15">
        <v>1</v>
      </c>
      <c r="V791" s="15">
        <v>1</v>
      </c>
      <c r="W791" s="15">
        <v>0</v>
      </c>
      <c r="X791" s="15">
        <f>IF(O791='Udvaskning nøgletal'!$D$65,1,IF(O791='Udvaskning nøgletal'!$D$66,2,IF(O791='Udvaskning nøgletal'!$D$67,3,IF(O791='Udvaskning nøgletal'!$D$68,2,""))))</f>
        <v>2</v>
      </c>
      <c r="Y791" s="15">
        <f>LOOKUP(K791,'Udvaskning nøgletal'!$C$12:$C$60,'Udvaskning nøgletal'!$H$12:$H$60)</f>
        <v>0</v>
      </c>
      <c r="Z791" s="10">
        <f>IF(X791=1,LOOKUP(K791,'Udvaskning nøgletal'!$C$12:$C$60,'Udvaskning nøgletal'!$E$12:$E$60)+Markniveau!Y791*Markniveau!S791/100,IF(X791=2,LOOKUP(K791,'Udvaskning nøgletal'!$C$12:$C$60,'Udvaskning nøgletal'!$F$12:$F$60)+Markniveau!Y791*Markniveau!S791/100,IF(X791=3,LOOKUP(K791,'Udvaskning nøgletal'!$C$12:$C$60,'Udvaskning nøgletal'!G801:G849)+Markniveau!Y791*Markniveau!S791/100,"")))</f>
        <v>101.66744640811392</v>
      </c>
      <c r="AA791" s="10">
        <f t="shared" si="126"/>
        <v>895.69020285548368</v>
      </c>
      <c r="AB791" s="10" t="str">
        <f t="shared" si="125"/>
        <v/>
      </c>
      <c r="AC791" s="10" t="str">
        <f t="shared" si="127"/>
        <v/>
      </c>
      <c r="AD791" s="10">
        <f>IF(AND(Q791&gt;0,Q791&lt;30,K791&lt;8),Markniveau!Z791*'Udvaskning nøgletal'!$I$12/100,IF(AND(Q791&gt;0,Q791&lt;30,K791=216),Markniveau!Z791*'Udvaskning nøgletal'!$I$34/100,Markniveau!Z791))</f>
        <v>101.66744640811392</v>
      </c>
      <c r="AE791" s="10">
        <f t="shared" si="133"/>
        <v>895.69020285548368</v>
      </c>
      <c r="AF791" s="10" t="str">
        <f t="shared" si="128"/>
        <v/>
      </c>
      <c r="AG791" s="10" t="str">
        <f t="shared" si="134"/>
        <v/>
      </c>
      <c r="AH791" s="10" t="str">
        <f>IF(AND(Q791&gt;0,Q791&lt;30,K791=216),'Udvaskning nøgletal'!$C$42,IF(AND(Q791&gt;0,Q791&lt;30,K791&gt;7,K791&lt;17),'Udvaskning nøgletal'!$C$61,IF(AND(Q791&gt;0,Q791&lt;30,K791&lt;7),'Udvaskning nøgletal'!$C$62,"")))</f>
        <v/>
      </c>
      <c r="AI791" s="10">
        <f t="shared" si="130"/>
        <v>216</v>
      </c>
      <c r="AJ791" s="10">
        <f>IF($X791=1,LOOKUP(AI791,'Udvaskning nøgletal'!$C$12:$C$62,'Udvaskning nøgletal'!$E$12:$E$62)+Markniveau!$Y791*Markniveau!$S791/100,IF($X791=2,LOOKUP(AI791,'Udvaskning nøgletal'!$C$12:$C$62,'Udvaskning nøgletal'!$F$12:$F$62)+Markniveau!$Y791*Markniveau!$S791/100,IF($X791=3,LOOKUP(AI791,'Udvaskning nøgletal'!$C$12:$C$62,'Udvaskning nøgletal'!Q801:Q851)+Markniveau!$Y791*Markniveau!$S791/100,"")))</f>
        <v>101.66744640811392</v>
      </c>
      <c r="AK791" s="10">
        <f t="shared" si="129"/>
        <v>895.69020285548368</v>
      </c>
      <c r="AL791" s="10" t="str">
        <f t="shared" si="131"/>
        <v/>
      </c>
      <c r="AM791" s="10" t="str">
        <f t="shared" si="132"/>
        <v/>
      </c>
    </row>
    <row r="792" spans="1:39" x14ac:dyDescent="0.25">
      <c r="A792" s="15">
        <v>27180264</v>
      </c>
      <c r="B792" s="15">
        <v>30.21</v>
      </c>
      <c r="C792" s="15">
        <v>478871</v>
      </c>
      <c r="D792" s="15">
        <v>101990</v>
      </c>
      <c r="E792" s="15" t="s">
        <v>641</v>
      </c>
      <c r="F792" s="15">
        <v>2011</v>
      </c>
      <c r="G792" s="15">
        <v>20110311</v>
      </c>
      <c r="H792" s="15">
        <v>21399</v>
      </c>
      <c r="I792" s="15">
        <v>2.14</v>
      </c>
      <c r="J792" s="6" t="s">
        <v>36</v>
      </c>
      <c r="K792" s="15">
        <v>216</v>
      </c>
      <c r="L792" s="15" t="s">
        <v>116</v>
      </c>
      <c r="M792" s="15" t="s">
        <v>5</v>
      </c>
      <c r="N792" s="11" t="s">
        <v>1391</v>
      </c>
      <c r="O792" s="11" t="s">
        <v>46</v>
      </c>
      <c r="P792" s="11" t="s">
        <v>33</v>
      </c>
      <c r="Q792" s="15">
        <v>0</v>
      </c>
      <c r="R792" s="11" t="s">
        <v>1386</v>
      </c>
      <c r="S792" s="10">
        <v>207.71290871291001</v>
      </c>
      <c r="T792" s="15">
        <v>80</v>
      </c>
      <c r="U792" s="15">
        <v>1</v>
      </c>
      <c r="V792" s="15">
        <v>1</v>
      </c>
      <c r="W792" s="15">
        <v>0</v>
      </c>
      <c r="X792" s="15">
        <f>IF(O792='Udvaskning nøgletal'!$D$65,1,IF(O792='Udvaskning nøgletal'!$D$66,2,IF(O792='Udvaskning nøgletal'!$D$67,3,IF(O792='Udvaskning nøgletal'!$D$68,2,""))))</f>
        <v>2</v>
      </c>
      <c r="Y792" s="15">
        <f>LOOKUP(K792,'Udvaskning nøgletal'!$C$12:$C$60,'Udvaskning nøgletal'!$H$12:$H$60)</f>
        <v>0</v>
      </c>
      <c r="Z792" s="10">
        <f>IF(X792=1,LOOKUP(K792,'Udvaskning nøgletal'!$C$12:$C$60,'Udvaskning nøgletal'!$E$12:$E$60)+Markniveau!Y792*Markniveau!S792/100,IF(X792=2,LOOKUP(K792,'Udvaskning nøgletal'!$C$12:$C$60,'Udvaskning nøgletal'!$F$12:$F$60)+Markniveau!Y792*Markniveau!S792/100,IF(X792=3,LOOKUP(K792,'Udvaskning nøgletal'!$C$12:$C$60,'Udvaskning nøgletal'!G802:G850)+Markniveau!Y792*Markniveau!S792/100,"")))</f>
        <v>101.66744640811392</v>
      </c>
      <c r="AA792" s="10">
        <f t="shared" si="126"/>
        <v>217.5683353133638</v>
      </c>
      <c r="AB792" s="10" t="str">
        <f t="shared" si="125"/>
        <v/>
      </c>
      <c r="AC792" s="10" t="str">
        <f t="shared" si="127"/>
        <v/>
      </c>
      <c r="AD792" s="10">
        <f>IF(AND(Q792&gt;0,Q792&lt;30,K792&lt;8),Markniveau!Z792*'Udvaskning nøgletal'!$I$12/100,IF(AND(Q792&gt;0,Q792&lt;30,K792=216),Markniveau!Z792*'Udvaskning nøgletal'!$I$34/100,Markniveau!Z792))</f>
        <v>101.66744640811392</v>
      </c>
      <c r="AE792" s="10">
        <f t="shared" si="133"/>
        <v>217.5683353133638</v>
      </c>
      <c r="AF792" s="10" t="str">
        <f t="shared" si="128"/>
        <v/>
      </c>
      <c r="AG792" s="10" t="str">
        <f t="shared" si="134"/>
        <v/>
      </c>
      <c r="AH792" s="10" t="str">
        <f>IF(AND(Q792&gt;0,Q792&lt;30,K792=216),'Udvaskning nøgletal'!$C$42,IF(AND(Q792&gt;0,Q792&lt;30,K792&gt;7,K792&lt;17),'Udvaskning nøgletal'!$C$61,IF(AND(Q792&gt;0,Q792&lt;30,K792&lt;7),'Udvaskning nøgletal'!$C$62,"")))</f>
        <v/>
      </c>
      <c r="AI792" s="10">
        <f t="shared" si="130"/>
        <v>216</v>
      </c>
      <c r="AJ792" s="10">
        <f>IF($X792=1,LOOKUP(AI792,'Udvaskning nøgletal'!$C$12:$C$62,'Udvaskning nøgletal'!$E$12:$E$62)+Markniveau!$Y792*Markniveau!$S792/100,IF($X792=2,LOOKUP(AI792,'Udvaskning nøgletal'!$C$12:$C$62,'Udvaskning nøgletal'!$F$12:$F$62)+Markniveau!$Y792*Markniveau!$S792/100,IF($X792=3,LOOKUP(AI792,'Udvaskning nøgletal'!$C$12:$C$62,'Udvaskning nøgletal'!Q802:Q852)+Markniveau!$Y792*Markniveau!$S792/100,"")))</f>
        <v>101.66744640811392</v>
      </c>
      <c r="AK792" s="10">
        <f t="shared" si="129"/>
        <v>217.5683353133638</v>
      </c>
      <c r="AL792" s="10" t="str">
        <f t="shared" si="131"/>
        <v/>
      </c>
      <c r="AM792" s="10" t="str">
        <f t="shared" si="132"/>
        <v/>
      </c>
    </row>
    <row r="793" spans="1:39" x14ac:dyDescent="0.25">
      <c r="A793" s="15">
        <v>27180264</v>
      </c>
      <c r="B793" s="15">
        <v>30.21</v>
      </c>
      <c r="C793" s="15">
        <v>478872</v>
      </c>
      <c r="D793" s="15">
        <v>101990</v>
      </c>
      <c r="E793" s="15" t="s">
        <v>642</v>
      </c>
      <c r="F793" s="15">
        <v>2011</v>
      </c>
      <c r="G793" s="15">
        <v>20110311</v>
      </c>
      <c r="H793" s="15">
        <v>29112</v>
      </c>
      <c r="I793" s="15">
        <v>2.91</v>
      </c>
      <c r="J793" s="6" t="s">
        <v>60</v>
      </c>
      <c r="K793" s="15">
        <v>10</v>
      </c>
      <c r="L793" s="15" t="s">
        <v>107</v>
      </c>
      <c r="M793" s="15" t="s">
        <v>5</v>
      </c>
      <c r="N793" s="11" t="s">
        <v>1384</v>
      </c>
      <c r="O793" s="11" t="s">
        <v>28</v>
      </c>
      <c r="P793" s="11" t="s">
        <v>29</v>
      </c>
      <c r="Q793" s="15">
        <v>95</v>
      </c>
      <c r="R793" s="11" t="s">
        <v>3</v>
      </c>
      <c r="S793" s="10">
        <v>207.71290871291001</v>
      </c>
      <c r="T793" s="15">
        <v>80</v>
      </c>
      <c r="U793" s="15">
        <v>1</v>
      </c>
      <c r="V793" s="15">
        <v>1</v>
      </c>
      <c r="W793" s="15">
        <v>0</v>
      </c>
      <c r="X793" s="15">
        <f>IF(O793='Udvaskning nøgletal'!$D$65,1,IF(O793='Udvaskning nøgletal'!$D$66,2,IF(O793='Udvaskning nøgletal'!$D$67,3,IF(O793='Udvaskning nøgletal'!$D$68,2,""))))</f>
        <v>1</v>
      </c>
      <c r="Y793" s="15">
        <f>LOOKUP(K793,'Udvaskning nøgletal'!$C$12:$C$60,'Udvaskning nøgletal'!$H$12:$H$60)</f>
        <v>5</v>
      </c>
      <c r="Z793" s="10">
        <f>IF(X793=1,LOOKUP(K793,'Udvaskning nøgletal'!$C$12:$C$60,'Udvaskning nøgletal'!$E$12:$E$60)+Markniveau!Y793*Markniveau!S793/100,IF(X793=2,LOOKUP(K793,'Udvaskning nøgletal'!$C$12:$C$60,'Udvaskning nøgletal'!$F$12:$F$60)+Markniveau!Y793*Markniveau!S793/100,IF(X793=3,LOOKUP(K793,'Udvaskning nøgletal'!$C$12:$C$60,'Udvaskning nøgletal'!G803:G851)+Markniveau!Y793*Markniveau!S793/100,"")))</f>
        <v>75.045645435645497</v>
      </c>
      <c r="AA793" s="10">
        <f t="shared" si="126"/>
        <v>218.38282821772842</v>
      </c>
      <c r="AB793" s="10">
        <f t="shared" si="125"/>
        <v>3.752282271782275</v>
      </c>
      <c r="AC793" s="10">
        <f t="shared" si="127"/>
        <v>10.919141410886422</v>
      </c>
      <c r="AD793" s="10">
        <f>IF(AND(Q793&gt;0,Q793&lt;30,K793&lt;8),Markniveau!Z793*'Udvaskning nøgletal'!$I$12/100,IF(AND(Q793&gt;0,Q793&lt;30,K793=216),Markniveau!Z793*'Udvaskning nøgletal'!$I$34/100,Markniveau!Z793))</f>
        <v>75.045645435645497</v>
      </c>
      <c r="AE793" s="10">
        <f t="shared" si="133"/>
        <v>218.38282821772842</v>
      </c>
      <c r="AF793" s="10">
        <f t="shared" si="128"/>
        <v>3.752282271782275</v>
      </c>
      <c r="AG793" s="10">
        <f t="shared" si="134"/>
        <v>10.919141410886422</v>
      </c>
      <c r="AH793" s="10" t="str">
        <f>IF(AND(Q793&gt;0,Q793&lt;30,K793=216),'Udvaskning nøgletal'!$C$42,IF(AND(Q793&gt;0,Q793&lt;30,K793&gt;7,K793&lt;17),'Udvaskning nøgletal'!$C$61,IF(AND(Q793&gt;0,Q793&lt;30,K793&lt;7),'Udvaskning nøgletal'!$C$62,"")))</f>
        <v/>
      </c>
      <c r="AI793" s="10">
        <f t="shared" si="130"/>
        <v>10</v>
      </c>
      <c r="AJ793" s="10">
        <f>IF($X793=1,LOOKUP(AI793,'Udvaskning nøgletal'!$C$12:$C$62,'Udvaskning nøgletal'!$E$12:$E$62)+Markniveau!$Y793*Markniveau!$S793/100,IF($X793=2,LOOKUP(AI793,'Udvaskning nøgletal'!$C$12:$C$62,'Udvaskning nøgletal'!$F$12:$F$62)+Markniveau!$Y793*Markniveau!$S793/100,IF($X793=3,LOOKUP(AI793,'Udvaskning nøgletal'!$C$12:$C$62,'Udvaskning nøgletal'!Q803:Q853)+Markniveau!$Y793*Markniveau!$S793/100,"")))</f>
        <v>75.045645435645497</v>
      </c>
      <c r="AK793" s="10">
        <f t="shared" si="129"/>
        <v>218.38282821772842</v>
      </c>
      <c r="AL793" s="10">
        <f t="shared" si="131"/>
        <v>3.752282271782275</v>
      </c>
      <c r="AM793" s="10">
        <f t="shared" si="132"/>
        <v>10.919141410886422</v>
      </c>
    </row>
    <row r="794" spans="1:39" x14ac:dyDescent="0.25">
      <c r="A794" s="15">
        <v>27180264</v>
      </c>
      <c r="B794" s="15">
        <v>30.21</v>
      </c>
      <c r="C794" s="15">
        <v>479411</v>
      </c>
      <c r="D794" s="15">
        <v>101990</v>
      </c>
      <c r="E794" s="15" t="s">
        <v>643</v>
      </c>
      <c r="F794" s="15">
        <v>2011</v>
      </c>
      <c r="G794" s="15">
        <v>20110311</v>
      </c>
      <c r="H794" s="15">
        <v>64370</v>
      </c>
      <c r="I794" s="15">
        <v>6.44</v>
      </c>
      <c r="J794" s="6" t="s">
        <v>63</v>
      </c>
      <c r="K794" s="15">
        <v>10</v>
      </c>
      <c r="L794" s="15" t="s">
        <v>107</v>
      </c>
      <c r="M794" s="15" t="s">
        <v>5</v>
      </c>
      <c r="N794" s="11" t="s">
        <v>1384</v>
      </c>
      <c r="O794" s="11" t="s">
        <v>28</v>
      </c>
      <c r="P794" s="11" t="s">
        <v>29</v>
      </c>
      <c r="Q794" s="15">
        <v>95</v>
      </c>
      <c r="R794" s="11" t="s">
        <v>3</v>
      </c>
      <c r="S794" s="10">
        <v>207.71290871291001</v>
      </c>
      <c r="T794" s="15">
        <v>80</v>
      </c>
      <c r="U794" s="15">
        <v>1</v>
      </c>
      <c r="V794" s="15">
        <v>1</v>
      </c>
      <c r="W794" s="15">
        <v>0</v>
      </c>
      <c r="X794" s="15">
        <f>IF(O794='Udvaskning nøgletal'!$D$65,1,IF(O794='Udvaskning nøgletal'!$D$66,2,IF(O794='Udvaskning nøgletal'!$D$67,3,IF(O794='Udvaskning nøgletal'!$D$68,2,""))))</f>
        <v>1</v>
      </c>
      <c r="Y794" s="15">
        <f>LOOKUP(K794,'Udvaskning nøgletal'!$C$12:$C$60,'Udvaskning nøgletal'!$H$12:$H$60)</f>
        <v>5</v>
      </c>
      <c r="Z794" s="10">
        <f>IF(X794=1,LOOKUP(K794,'Udvaskning nøgletal'!$C$12:$C$60,'Udvaskning nøgletal'!$E$12:$E$60)+Markniveau!Y794*Markniveau!S794/100,IF(X794=2,LOOKUP(K794,'Udvaskning nøgletal'!$C$12:$C$60,'Udvaskning nøgletal'!$F$12:$F$60)+Markniveau!Y794*Markniveau!S794/100,IF(X794=3,LOOKUP(K794,'Udvaskning nøgletal'!$C$12:$C$60,'Udvaskning nøgletal'!G804:G852)+Markniveau!Y794*Markniveau!S794/100,"")))</f>
        <v>75.045645435645497</v>
      </c>
      <c r="AA794" s="10">
        <f t="shared" si="126"/>
        <v>483.29395660555701</v>
      </c>
      <c r="AB794" s="10">
        <f t="shared" si="125"/>
        <v>3.752282271782275</v>
      </c>
      <c r="AC794" s="10">
        <f t="shared" si="127"/>
        <v>24.164697830277852</v>
      </c>
      <c r="AD794" s="10">
        <f>IF(AND(Q794&gt;0,Q794&lt;30,K794&lt;8),Markniveau!Z794*'Udvaskning nøgletal'!$I$12/100,IF(AND(Q794&gt;0,Q794&lt;30,K794=216),Markniveau!Z794*'Udvaskning nøgletal'!$I$34/100,Markniveau!Z794))</f>
        <v>75.045645435645497</v>
      </c>
      <c r="AE794" s="10">
        <f t="shared" si="133"/>
        <v>483.29395660555701</v>
      </c>
      <c r="AF794" s="10">
        <f t="shared" si="128"/>
        <v>3.752282271782275</v>
      </c>
      <c r="AG794" s="10">
        <f t="shared" si="134"/>
        <v>24.164697830277852</v>
      </c>
      <c r="AH794" s="10" t="str">
        <f>IF(AND(Q794&gt;0,Q794&lt;30,K794=216),'Udvaskning nøgletal'!$C$42,IF(AND(Q794&gt;0,Q794&lt;30,K794&gt;7,K794&lt;17),'Udvaskning nøgletal'!$C$61,IF(AND(Q794&gt;0,Q794&lt;30,K794&lt;7),'Udvaskning nøgletal'!$C$62,"")))</f>
        <v/>
      </c>
      <c r="AI794" s="10">
        <f t="shared" si="130"/>
        <v>10</v>
      </c>
      <c r="AJ794" s="10">
        <f>IF($X794=1,LOOKUP(AI794,'Udvaskning nøgletal'!$C$12:$C$62,'Udvaskning nøgletal'!$E$12:$E$62)+Markniveau!$Y794*Markniveau!$S794/100,IF($X794=2,LOOKUP(AI794,'Udvaskning nøgletal'!$C$12:$C$62,'Udvaskning nøgletal'!$F$12:$F$62)+Markniveau!$Y794*Markniveau!$S794/100,IF($X794=3,LOOKUP(AI794,'Udvaskning nøgletal'!$C$12:$C$62,'Udvaskning nøgletal'!Q804:Q854)+Markniveau!$Y794*Markniveau!$S794/100,"")))</f>
        <v>75.045645435645497</v>
      </c>
      <c r="AK794" s="10">
        <f t="shared" si="129"/>
        <v>483.29395660555701</v>
      </c>
      <c r="AL794" s="10">
        <f t="shared" si="131"/>
        <v>3.752282271782275</v>
      </c>
      <c r="AM794" s="10">
        <f t="shared" si="132"/>
        <v>24.164697830277852</v>
      </c>
    </row>
    <row r="795" spans="1:39" x14ac:dyDescent="0.25">
      <c r="A795" s="15">
        <v>27180264</v>
      </c>
      <c r="B795" s="15">
        <v>30.21</v>
      </c>
      <c r="C795" s="15">
        <v>479412</v>
      </c>
      <c r="D795" s="15">
        <v>101990</v>
      </c>
      <c r="E795" s="15" t="s">
        <v>643</v>
      </c>
      <c r="F795" s="15">
        <v>2011</v>
      </c>
      <c r="G795" s="15">
        <v>20110311</v>
      </c>
      <c r="H795" s="15">
        <v>6545</v>
      </c>
      <c r="I795" s="15">
        <v>0.65</v>
      </c>
      <c r="J795" s="6" t="s">
        <v>66</v>
      </c>
      <c r="K795" s="15">
        <v>252</v>
      </c>
      <c r="L795" s="15" t="s">
        <v>41</v>
      </c>
      <c r="M795" s="15" t="s">
        <v>4</v>
      </c>
      <c r="N795" s="11" t="s">
        <v>1384</v>
      </c>
      <c r="O795" s="11" t="s">
        <v>28</v>
      </c>
      <c r="P795" s="11" t="s">
        <v>29</v>
      </c>
      <c r="Q795" s="15">
        <v>95</v>
      </c>
      <c r="R795" s="11" t="s">
        <v>3</v>
      </c>
      <c r="S795" s="10">
        <v>207.71290871291001</v>
      </c>
      <c r="T795" s="15">
        <v>80</v>
      </c>
      <c r="U795" s="15">
        <v>1</v>
      </c>
      <c r="V795" s="15">
        <v>1</v>
      </c>
      <c r="W795" s="15">
        <v>0</v>
      </c>
      <c r="X795" s="15">
        <f>IF(O795='Udvaskning nøgletal'!$D$65,1,IF(O795='Udvaskning nøgletal'!$D$66,2,IF(O795='Udvaskning nøgletal'!$D$67,3,IF(O795='Udvaskning nøgletal'!$D$68,2,""))))</f>
        <v>1</v>
      </c>
      <c r="Y795" s="15">
        <f>LOOKUP(K795,'Udvaskning nøgletal'!$C$12:$C$60,'Udvaskning nøgletal'!$H$12:$H$60)</f>
        <v>0</v>
      </c>
      <c r="Z795" s="10">
        <f>IF(X795=1,LOOKUP(K795,'Udvaskning nøgletal'!$C$12:$C$60,'Udvaskning nøgletal'!$E$12:$E$60)+Markniveau!Y795*Markniveau!S795/100,IF(X795=2,LOOKUP(K795,'Udvaskning nøgletal'!$C$12:$C$60,'Udvaskning nøgletal'!$F$12:$F$60)+Markniveau!Y795*Markniveau!S795/100,IF(X795=3,LOOKUP(K795,'Udvaskning nøgletal'!$C$12:$C$60,'Udvaskning nøgletal'!G805:G853)+Markniveau!Y795*Markniveau!S795/100,"")))</f>
        <v>21.2</v>
      </c>
      <c r="AA795" s="10">
        <f t="shared" si="126"/>
        <v>13.78</v>
      </c>
      <c r="AB795" s="10">
        <f t="shared" si="125"/>
        <v>1.06</v>
      </c>
      <c r="AC795" s="10">
        <f t="shared" si="127"/>
        <v>0.68900000000000006</v>
      </c>
      <c r="AD795" s="10">
        <f>IF(AND(Q795&gt;0,Q795&lt;30,K795&lt;8),Markniveau!Z795*'Udvaskning nøgletal'!$I$12/100,IF(AND(Q795&gt;0,Q795&lt;30,K795=216),Markniveau!Z795*'Udvaskning nøgletal'!$I$34/100,Markniveau!Z795))</f>
        <v>21.2</v>
      </c>
      <c r="AE795" s="10">
        <f t="shared" si="133"/>
        <v>13.78</v>
      </c>
      <c r="AF795" s="10">
        <f t="shared" si="128"/>
        <v>1.06</v>
      </c>
      <c r="AG795" s="10">
        <f t="shared" si="134"/>
        <v>0.68900000000000006</v>
      </c>
      <c r="AH795" s="10" t="str">
        <f>IF(AND(Q795&gt;0,Q795&lt;30,K795=216),'Udvaskning nøgletal'!$C$42,IF(AND(Q795&gt;0,Q795&lt;30,K795&gt;7,K795&lt;17),'Udvaskning nøgletal'!$C$61,IF(AND(Q795&gt;0,Q795&lt;30,K795&lt;7),'Udvaskning nøgletal'!$C$62,"")))</f>
        <v/>
      </c>
      <c r="AI795" s="10">
        <f t="shared" si="130"/>
        <v>252</v>
      </c>
      <c r="AJ795" s="10">
        <f>IF($X795=1,LOOKUP(AI795,'Udvaskning nøgletal'!$C$12:$C$62,'Udvaskning nøgletal'!$E$12:$E$62)+Markniveau!$Y795*Markniveau!$S795/100,IF($X795=2,LOOKUP(AI795,'Udvaskning nøgletal'!$C$12:$C$62,'Udvaskning nøgletal'!$F$12:$F$62)+Markniveau!$Y795*Markniveau!$S795/100,IF($X795=3,LOOKUP(AI795,'Udvaskning nøgletal'!$C$12:$C$62,'Udvaskning nøgletal'!Q805:Q855)+Markniveau!$Y795*Markniveau!$S795/100,"")))</f>
        <v>21.2</v>
      </c>
      <c r="AK795" s="10">
        <f t="shared" si="129"/>
        <v>13.78</v>
      </c>
      <c r="AL795" s="10">
        <f t="shared" si="131"/>
        <v>1.06</v>
      </c>
      <c r="AM795" s="10">
        <f t="shared" si="132"/>
        <v>0.68900000000000006</v>
      </c>
    </row>
    <row r="796" spans="1:39" x14ac:dyDescent="0.25">
      <c r="A796" s="15">
        <v>27180264</v>
      </c>
      <c r="B796" s="15">
        <v>30.21</v>
      </c>
      <c r="C796" s="15">
        <v>479413</v>
      </c>
      <c r="D796" s="15">
        <v>101990</v>
      </c>
      <c r="E796" s="15" t="s">
        <v>644</v>
      </c>
      <c r="F796" s="15">
        <v>2011</v>
      </c>
      <c r="G796" s="15">
        <v>20110311</v>
      </c>
      <c r="H796" s="15">
        <v>9891</v>
      </c>
      <c r="I796" s="15">
        <v>0.99</v>
      </c>
      <c r="J796" s="6" t="s">
        <v>122</v>
      </c>
      <c r="K796" s="15">
        <v>214</v>
      </c>
      <c r="L796" s="15" t="s">
        <v>56</v>
      </c>
      <c r="M796" s="15" t="s">
        <v>5</v>
      </c>
      <c r="N796" s="11" t="s">
        <v>1384</v>
      </c>
      <c r="O796" s="11" t="s">
        <v>28</v>
      </c>
      <c r="P796" s="11" t="s">
        <v>33</v>
      </c>
      <c r="Q796" s="15">
        <v>0</v>
      </c>
      <c r="R796" s="11" t="s">
        <v>1386</v>
      </c>
      <c r="S796" s="10">
        <v>207.71290871291001</v>
      </c>
      <c r="T796" s="15">
        <v>80</v>
      </c>
      <c r="U796" s="15">
        <v>1</v>
      </c>
      <c r="V796" s="15">
        <v>1</v>
      </c>
      <c r="W796" s="15">
        <v>0</v>
      </c>
      <c r="X796" s="15">
        <f>IF(O796='Udvaskning nøgletal'!$D$65,1,IF(O796='Udvaskning nøgletal'!$D$66,2,IF(O796='Udvaskning nøgletal'!$D$67,3,IF(O796='Udvaskning nøgletal'!$D$68,2,""))))</f>
        <v>1</v>
      </c>
      <c r="Y796" s="15">
        <f>LOOKUP(K796,'Udvaskning nøgletal'!$C$12:$C$60,'Udvaskning nøgletal'!$H$12:$H$60)</f>
        <v>0</v>
      </c>
      <c r="Z796" s="10">
        <f>IF(X796=1,LOOKUP(K796,'Udvaskning nøgletal'!$C$12:$C$60,'Udvaskning nøgletal'!$E$12:$E$60)+Markniveau!Y796*Markniveau!S796/100,IF(X796=2,LOOKUP(K796,'Udvaskning nøgletal'!$C$12:$C$60,'Udvaskning nøgletal'!$F$12:$F$60)+Markniveau!Y796*Markniveau!S796/100,IF(X796=3,LOOKUP(K796,'Udvaskning nøgletal'!$C$12:$C$60,'Udvaskning nøgletal'!G806:G854)+Markniveau!Y796*Markniveau!S796/100,"")))</f>
        <v>38.620385460262987</v>
      </c>
      <c r="AA796" s="10">
        <f t="shared" si="126"/>
        <v>38.234181605660361</v>
      </c>
      <c r="AB796" s="10" t="str">
        <f t="shared" si="125"/>
        <v/>
      </c>
      <c r="AC796" s="10" t="str">
        <f t="shared" si="127"/>
        <v/>
      </c>
      <c r="AD796" s="10">
        <f>IF(AND(Q796&gt;0,Q796&lt;30,K796&lt;8),Markniveau!Z796*'Udvaskning nøgletal'!$I$12/100,IF(AND(Q796&gt;0,Q796&lt;30,K796=216),Markniveau!Z796*'Udvaskning nøgletal'!$I$34/100,Markniveau!Z796))</f>
        <v>38.620385460262987</v>
      </c>
      <c r="AE796" s="10">
        <f t="shared" si="133"/>
        <v>38.234181605660361</v>
      </c>
      <c r="AF796" s="10" t="str">
        <f t="shared" si="128"/>
        <v/>
      </c>
      <c r="AG796" s="10" t="str">
        <f t="shared" si="134"/>
        <v/>
      </c>
      <c r="AH796" s="10" t="str">
        <f>IF(AND(Q796&gt;0,Q796&lt;30,K796=216),'Udvaskning nøgletal'!$C$42,IF(AND(Q796&gt;0,Q796&lt;30,K796&gt;7,K796&lt;17),'Udvaskning nøgletal'!$C$61,IF(AND(Q796&gt;0,Q796&lt;30,K796&lt;7),'Udvaskning nøgletal'!$C$62,"")))</f>
        <v/>
      </c>
      <c r="AI796" s="10">
        <f t="shared" si="130"/>
        <v>214</v>
      </c>
      <c r="AJ796" s="10">
        <f>IF($X796=1,LOOKUP(AI796,'Udvaskning nøgletal'!$C$12:$C$62,'Udvaskning nøgletal'!$E$12:$E$62)+Markniveau!$Y796*Markniveau!$S796/100,IF($X796=2,LOOKUP(AI796,'Udvaskning nøgletal'!$C$12:$C$62,'Udvaskning nøgletal'!$F$12:$F$62)+Markniveau!$Y796*Markniveau!$S796/100,IF($X796=3,LOOKUP(AI796,'Udvaskning nøgletal'!$C$12:$C$62,'Udvaskning nøgletal'!Q806:Q856)+Markniveau!$Y796*Markniveau!$S796/100,"")))</f>
        <v>38.620385460262987</v>
      </c>
      <c r="AK796" s="10">
        <f t="shared" si="129"/>
        <v>38.234181605660361</v>
      </c>
      <c r="AL796" s="10" t="str">
        <f t="shared" si="131"/>
        <v/>
      </c>
      <c r="AM796" s="10" t="str">
        <f t="shared" si="132"/>
        <v/>
      </c>
    </row>
    <row r="797" spans="1:39" x14ac:dyDescent="0.25">
      <c r="A797" s="15">
        <v>27180264</v>
      </c>
      <c r="B797" s="15">
        <v>30.21</v>
      </c>
      <c r="C797" s="15">
        <v>479414</v>
      </c>
      <c r="D797" s="15">
        <v>101990</v>
      </c>
      <c r="E797" s="15" t="s">
        <v>645</v>
      </c>
      <c r="F797" s="15">
        <v>2011</v>
      </c>
      <c r="G797" s="15">
        <v>20110311</v>
      </c>
      <c r="H797" s="15">
        <v>49786</v>
      </c>
      <c r="I797" s="15">
        <v>4.9800000000000004</v>
      </c>
      <c r="J797" s="6" t="s">
        <v>26</v>
      </c>
      <c r="K797" s="15">
        <v>214</v>
      </c>
      <c r="L797" s="15" t="s">
        <v>56</v>
      </c>
      <c r="M797" s="15" t="s">
        <v>5</v>
      </c>
      <c r="N797" s="11" t="s">
        <v>1384</v>
      </c>
      <c r="O797" s="11" t="s">
        <v>28</v>
      </c>
      <c r="P797" s="11" t="s">
        <v>33</v>
      </c>
      <c r="Q797" s="15">
        <v>0</v>
      </c>
      <c r="R797" s="11" t="s">
        <v>1386</v>
      </c>
      <c r="S797" s="10">
        <v>207.71290871291001</v>
      </c>
      <c r="T797" s="15">
        <v>80</v>
      </c>
      <c r="U797" s="15">
        <v>1</v>
      </c>
      <c r="V797" s="15">
        <v>1</v>
      </c>
      <c r="W797" s="15">
        <v>0</v>
      </c>
      <c r="X797" s="15">
        <f>IF(O797='Udvaskning nøgletal'!$D$65,1,IF(O797='Udvaskning nøgletal'!$D$66,2,IF(O797='Udvaskning nøgletal'!$D$67,3,IF(O797='Udvaskning nøgletal'!$D$68,2,""))))</f>
        <v>1</v>
      </c>
      <c r="Y797" s="15">
        <f>LOOKUP(K797,'Udvaskning nøgletal'!$C$12:$C$60,'Udvaskning nøgletal'!$H$12:$H$60)</f>
        <v>0</v>
      </c>
      <c r="Z797" s="10">
        <f>IF(X797=1,LOOKUP(K797,'Udvaskning nøgletal'!$C$12:$C$60,'Udvaskning nøgletal'!$E$12:$E$60)+Markniveau!Y797*Markniveau!S797/100,IF(X797=2,LOOKUP(K797,'Udvaskning nøgletal'!$C$12:$C$60,'Udvaskning nøgletal'!$F$12:$F$60)+Markniveau!Y797*Markniveau!S797/100,IF(X797=3,LOOKUP(K797,'Udvaskning nøgletal'!$C$12:$C$60,'Udvaskning nøgletal'!G807:G855)+Markniveau!Y797*Markniveau!S797/100,"")))</f>
        <v>38.620385460262987</v>
      </c>
      <c r="AA797" s="10">
        <f t="shared" si="126"/>
        <v>192.3295195921097</v>
      </c>
      <c r="AB797" s="10" t="str">
        <f t="shared" si="125"/>
        <v/>
      </c>
      <c r="AC797" s="10" t="str">
        <f t="shared" si="127"/>
        <v/>
      </c>
      <c r="AD797" s="10">
        <f>IF(AND(Q797&gt;0,Q797&lt;30,K797&lt;8),Markniveau!Z797*'Udvaskning nøgletal'!$I$12/100,IF(AND(Q797&gt;0,Q797&lt;30,K797=216),Markniveau!Z797*'Udvaskning nøgletal'!$I$34/100,Markniveau!Z797))</f>
        <v>38.620385460262987</v>
      </c>
      <c r="AE797" s="10">
        <f t="shared" si="133"/>
        <v>192.3295195921097</v>
      </c>
      <c r="AF797" s="10" t="str">
        <f t="shared" si="128"/>
        <v/>
      </c>
      <c r="AG797" s="10" t="str">
        <f t="shared" si="134"/>
        <v/>
      </c>
      <c r="AH797" s="10" t="str">
        <f>IF(AND(Q797&gt;0,Q797&lt;30,K797=216),'Udvaskning nøgletal'!$C$42,IF(AND(Q797&gt;0,Q797&lt;30,K797&gt;7,K797&lt;17),'Udvaskning nøgletal'!$C$61,IF(AND(Q797&gt;0,Q797&lt;30,K797&lt;7),'Udvaskning nøgletal'!$C$62,"")))</f>
        <v/>
      </c>
      <c r="AI797" s="10">
        <f t="shared" si="130"/>
        <v>214</v>
      </c>
      <c r="AJ797" s="10">
        <f>IF($X797=1,LOOKUP(AI797,'Udvaskning nøgletal'!$C$12:$C$62,'Udvaskning nøgletal'!$E$12:$E$62)+Markniveau!$Y797*Markniveau!$S797/100,IF($X797=2,LOOKUP(AI797,'Udvaskning nøgletal'!$C$12:$C$62,'Udvaskning nøgletal'!$F$12:$F$62)+Markniveau!$Y797*Markniveau!$S797/100,IF($X797=3,LOOKUP(AI797,'Udvaskning nøgletal'!$C$12:$C$62,'Udvaskning nøgletal'!Q807:Q857)+Markniveau!$Y797*Markniveau!$S797/100,"")))</f>
        <v>38.620385460262987</v>
      </c>
      <c r="AK797" s="10">
        <f t="shared" si="129"/>
        <v>192.3295195921097</v>
      </c>
      <c r="AL797" s="10" t="str">
        <f t="shared" si="131"/>
        <v/>
      </c>
      <c r="AM797" s="10" t="str">
        <f t="shared" si="132"/>
        <v/>
      </c>
    </row>
    <row r="798" spans="1:39" x14ac:dyDescent="0.25">
      <c r="A798" s="15">
        <v>27180264</v>
      </c>
      <c r="B798" s="15">
        <v>30.21</v>
      </c>
      <c r="C798" s="15">
        <v>479415</v>
      </c>
      <c r="D798" s="15">
        <v>101990</v>
      </c>
      <c r="E798" s="15" t="s">
        <v>646</v>
      </c>
      <c r="F798" s="15">
        <v>2011</v>
      </c>
      <c r="G798" s="15">
        <v>20110311</v>
      </c>
      <c r="H798" s="15">
        <v>19672</v>
      </c>
      <c r="I798" s="15">
        <v>1.97</v>
      </c>
      <c r="J798" s="6" t="s">
        <v>143</v>
      </c>
      <c r="K798" s="15">
        <v>592</v>
      </c>
      <c r="L798" s="15" t="s">
        <v>647</v>
      </c>
      <c r="M798" s="15" t="s">
        <v>424</v>
      </c>
      <c r="N798" s="11" t="s">
        <v>1384</v>
      </c>
      <c r="O798" s="11" t="s">
        <v>28</v>
      </c>
      <c r="P798" s="11" t="s">
        <v>33</v>
      </c>
      <c r="Q798" s="15">
        <v>0</v>
      </c>
      <c r="R798" s="11" t="s">
        <v>1386</v>
      </c>
      <c r="S798" s="10">
        <v>207.71290871291001</v>
      </c>
      <c r="T798" s="15">
        <v>80</v>
      </c>
      <c r="U798" s="15">
        <v>1</v>
      </c>
      <c r="V798" s="15">
        <v>1</v>
      </c>
      <c r="W798" s="15">
        <v>0</v>
      </c>
      <c r="X798" s="15">
        <f>IF(O798='Udvaskning nøgletal'!$D$65,1,IF(O798='Udvaskning nøgletal'!$D$66,2,IF(O798='Udvaskning nøgletal'!$D$67,3,IF(O798='Udvaskning nøgletal'!$D$68,2,""))))</f>
        <v>1</v>
      </c>
      <c r="Y798" s="15">
        <f>LOOKUP(K798,'Udvaskning nøgletal'!$C$12:$C$60,'Udvaskning nøgletal'!$H$12:$H$60)</f>
        <v>0</v>
      </c>
      <c r="Z798" s="10">
        <f>IF(X798=1,LOOKUP(K798,'Udvaskning nøgletal'!$C$12:$C$60,'Udvaskning nøgletal'!$E$12:$E$60)+Markniveau!Y798*Markniveau!S798/100,IF(X798=2,LOOKUP(K798,'Udvaskning nøgletal'!$C$12:$C$60,'Udvaskning nøgletal'!$F$12:$F$60)+Markniveau!Y798*Markniveau!S798/100,IF(X798=3,LOOKUP(K798,'Udvaskning nøgletal'!$C$12:$C$60,'Udvaskning nøgletal'!G808:G856)+Markniveau!Y798*Markniveau!S798/100,"")))</f>
        <v>10</v>
      </c>
      <c r="AA798" s="10">
        <f t="shared" si="126"/>
        <v>19.7</v>
      </c>
      <c r="AB798" s="10" t="str">
        <f t="shared" si="125"/>
        <v/>
      </c>
      <c r="AC798" s="10" t="str">
        <f t="shared" si="127"/>
        <v/>
      </c>
      <c r="AD798" s="10">
        <f>IF(AND(Q798&gt;0,Q798&lt;30,K798&lt;8),Markniveau!Z798*'Udvaskning nøgletal'!$I$12/100,IF(AND(Q798&gt;0,Q798&lt;30,K798=216),Markniveau!Z798*'Udvaskning nøgletal'!$I$34/100,Markniveau!Z798))</f>
        <v>10</v>
      </c>
      <c r="AE798" s="10">
        <f t="shared" si="133"/>
        <v>19.7</v>
      </c>
      <c r="AF798" s="10" t="str">
        <f t="shared" si="128"/>
        <v/>
      </c>
      <c r="AG798" s="10" t="str">
        <f t="shared" si="134"/>
        <v/>
      </c>
      <c r="AH798" s="10" t="str">
        <f>IF(AND(Q798&gt;0,Q798&lt;30,K798=216),'Udvaskning nøgletal'!$C$42,IF(AND(Q798&gt;0,Q798&lt;30,K798&gt;7,K798&lt;17),'Udvaskning nøgletal'!$C$61,IF(AND(Q798&gt;0,Q798&lt;30,K798&lt;7),'Udvaskning nøgletal'!$C$62,"")))</f>
        <v/>
      </c>
      <c r="AI798" s="10">
        <f t="shared" si="130"/>
        <v>592</v>
      </c>
      <c r="AJ798" s="10">
        <f>IF($X798=1,LOOKUP(AI798,'Udvaskning nøgletal'!$C$12:$C$62,'Udvaskning nøgletal'!$E$12:$E$62)+Markniveau!$Y798*Markniveau!$S798/100,IF($X798=2,LOOKUP(AI798,'Udvaskning nøgletal'!$C$12:$C$62,'Udvaskning nøgletal'!$F$12:$F$62)+Markniveau!$Y798*Markniveau!$S798/100,IF($X798=3,LOOKUP(AI798,'Udvaskning nøgletal'!$C$12:$C$62,'Udvaskning nøgletal'!Q808:Q858)+Markniveau!$Y798*Markniveau!$S798/100,"")))</f>
        <v>10</v>
      </c>
      <c r="AK798" s="10">
        <f t="shared" si="129"/>
        <v>19.7</v>
      </c>
      <c r="AL798" s="10" t="str">
        <f t="shared" si="131"/>
        <v/>
      </c>
      <c r="AM798" s="10" t="str">
        <f t="shared" si="132"/>
        <v/>
      </c>
    </row>
    <row r="799" spans="1:39" x14ac:dyDescent="0.25">
      <c r="A799" s="15">
        <v>27180264</v>
      </c>
      <c r="B799" s="15">
        <v>30.21</v>
      </c>
      <c r="C799" s="15">
        <v>479416</v>
      </c>
      <c r="D799" s="15">
        <v>101990</v>
      </c>
      <c r="E799" s="15" t="s">
        <v>648</v>
      </c>
      <c r="F799" s="15">
        <v>2011</v>
      </c>
      <c r="G799" s="15">
        <v>20110311</v>
      </c>
      <c r="H799" s="15">
        <v>15487</v>
      </c>
      <c r="I799" s="15">
        <v>1.55</v>
      </c>
      <c r="J799" s="6" t="s">
        <v>123</v>
      </c>
      <c r="K799" s="15">
        <v>592</v>
      </c>
      <c r="L799" s="15" t="s">
        <v>647</v>
      </c>
      <c r="M799" s="15" t="s">
        <v>424</v>
      </c>
      <c r="N799" s="11" t="s">
        <v>1384</v>
      </c>
      <c r="O799" s="11" t="s">
        <v>28</v>
      </c>
      <c r="P799" s="11" t="s">
        <v>33</v>
      </c>
      <c r="Q799" s="15">
        <v>0</v>
      </c>
      <c r="R799" s="11" t="s">
        <v>1386</v>
      </c>
      <c r="S799" s="10">
        <v>207.71290871291001</v>
      </c>
      <c r="T799" s="15">
        <v>80</v>
      </c>
      <c r="U799" s="15">
        <v>1</v>
      </c>
      <c r="V799" s="15">
        <v>1</v>
      </c>
      <c r="W799" s="15">
        <v>0</v>
      </c>
      <c r="X799" s="15">
        <f>IF(O799='Udvaskning nøgletal'!$D$65,1,IF(O799='Udvaskning nøgletal'!$D$66,2,IF(O799='Udvaskning nøgletal'!$D$67,3,IF(O799='Udvaskning nøgletal'!$D$68,2,""))))</f>
        <v>1</v>
      </c>
      <c r="Y799" s="15">
        <f>LOOKUP(K799,'Udvaskning nøgletal'!$C$12:$C$60,'Udvaskning nøgletal'!$H$12:$H$60)</f>
        <v>0</v>
      </c>
      <c r="Z799" s="10">
        <f>IF(X799=1,LOOKUP(K799,'Udvaskning nøgletal'!$C$12:$C$60,'Udvaskning nøgletal'!$E$12:$E$60)+Markniveau!Y799*Markniveau!S799/100,IF(X799=2,LOOKUP(K799,'Udvaskning nøgletal'!$C$12:$C$60,'Udvaskning nøgletal'!$F$12:$F$60)+Markniveau!Y799*Markniveau!S799/100,IF(X799=3,LOOKUP(K799,'Udvaskning nøgletal'!$C$12:$C$60,'Udvaskning nøgletal'!G809:G857)+Markniveau!Y799*Markniveau!S799/100,"")))</f>
        <v>10</v>
      </c>
      <c r="AA799" s="10">
        <f t="shared" si="126"/>
        <v>15.5</v>
      </c>
      <c r="AB799" s="10" t="str">
        <f t="shared" si="125"/>
        <v/>
      </c>
      <c r="AC799" s="10" t="str">
        <f t="shared" si="127"/>
        <v/>
      </c>
      <c r="AD799" s="10">
        <f>IF(AND(Q799&gt;0,Q799&lt;30,K799&lt;8),Markniveau!Z799*'Udvaskning nøgletal'!$I$12/100,IF(AND(Q799&gt;0,Q799&lt;30,K799=216),Markniveau!Z799*'Udvaskning nøgletal'!$I$34/100,Markniveau!Z799))</f>
        <v>10</v>
      </c>
      <c r="AE799" s="10">
        <f t="shared" si="133"/>
        <v>15.5</v>
      </c>
      <c r="AF799" s="10" t="str">
        <f t="shared" si="128"/>
        <v/>
      </c>
      <c r="AG799" s="10" t="str">
        <f t="shared" si="134"/>
        <v/>
      </c>
      <c r="AH799" s="10" t="str">
        <f>IF(AND(Q799&gt;0,Q799&lt;30,K799=216),'Udvaskning nøgletal'!$C$42,IF(AND(Q799&gt;0,Q799&lt;30,K799&gt;7,K799&lt;17),'Udvaskning nøgletal'!$C$61,IF(AND(Q799&gt;0,Q799&lt;30,K799&lt;7),'Udvaskning nøgletal'!$C$62,"")))</f>
        <v/>
      </c>
      <c r="AI799" s="10">
        <f t="shared" si="130"/>
        <v>592</v>
      </c>
      <c r="AJ799" s="10">
        <f>IF($X799=1,LOOKUP(AI799,'Udvaskning nøgletal'!$C$12:$C$62,'Udvaskning nøgletal'!$E$12:$E$62)+Markniveau!$Y799*Markniveau!$S799/100,IF($X799=2,LOOKUP(AI799,'Udvaskning nøgletal'!$C$12:$C$62,'Udvaskning nøgletal'!$F$12:$F$62)+Markniveau!$Y799*Markniveau!$S799/100,IF($X799=3,LOOKUP(AI799,'Udvaskning nøgletal'!$C$12:$C$62,'Udvaskning nøgletal'!Q809:Q859)+Markniveau!$Y799*Markniveau!$S799/100,"")))</f>
        <v>10</v>
      </c>
      <c r="AK799" s="10">
        <f t="shared" si="129"/>
        <v>15.5</v>
      </c>
      <c r="AL799" s="10" t="str">
        <f t="shared" si="131"/>
        <v/>
      </c>
      <c r="AM799" s="10" t="str">
        <f t="shared" si="132"/>
        <v/>
      </c>
    </row>
    <row r="800" spans="1:39" x14ac:dyDescent="0.25">
      <c r="A800" s="15">
        <v>27180264</v>
      </c>
      <c r="B800" s="15">
        <v>30.21</v>
      </c>
      <c r="C800" s="15">
        <v>485383</v>
      </c>
      <c r="D800" s="15">
        <v>101990</v>
      </c>
      <c r="E800" s="15" t="s">
        <v>640</v>
      </c>
      <c r="F800" s="15">
        <v>2011</v>
      </c>
      <c r="G800" s="15">
        <v>20110311</v>
      </c>
      <c r="H800" s="15">
        <v>117202</v>
      </c>
      <c r="I800" s="15">
        <v>11.72</v>
      </c>
      <c r="J800" s="6" t="s">
        <v>37</v>
      </c>
      <c r="K800" s="15">
        <v>263</v>
      </c>
      <c r="L800" s="15" t="s">
        <v>39</v>
      </c>
      <c r="M800" s="15" t="s">
        <v>5</v>
      </c>
      <c r="N800" s="11" t="s">
        <v>1391</v>
      </c>
      <c r="O800" s="11" t="s">
        <v>46</v>
      </c>
      <c r="P800" s="11" t="s">
        <v>33</v>
      </c>
      <c r="Q800" s="15">
        <v>0</v>
      </c>
      <c r="R800" s="11" t="s">
        <v>1386</v>
      </c>
      <c r="S800" s="10">
        <v>207.71290871291001</v>
      </c>
      <c r="T800" s="15">
        <v>80</v>
      </c>
      <c r="U800" s="15">
        <v>1</v>
      </c>
      <c r="V800" s="15">
        <v>1</v>
      </c>
      <c r="W800" s="15">
        <v>0</v>
      </c>
      <c r="X800" s="15">
        <f>IF(O800='Udvaskning nøgletal'!$D$65,1,IF(O800='Udvaskning nøgletal'!$D$66,2,IF(O800='Udvaskning nøgletal'!$D$67,3,IF(O800='Udvaskning nøgletal'!$D$68,2,""))))</f>
        <v>2</v>
      </c>
      <c r="Y800" s="15">
        <f>LOOKUP(K800,'Udvaskning nøgletal'!$C$12:$C$60,'Udvaskning nøgletal'!$H$12:$H$60)</f>
        <v>0</v>
      </c>
      <c r="Z800" s="10">
        <f>IF(X800=1,LOOKUP(K800,'Udvaskning nøgletal'!$C$12:$C$60,'Udvaskning nøgletal'!$E$12:$E$60)+Markniveau!Y800*Markniveau!S800/100,IF(X800=2,LOOKUP(K800,'Udvaskning nøgletal'!$C$12:$C$60,'Udvaskning nøgletal'!$F$12:$F$60)+Markniveau!Y800*Markniveau!S800/100,IF(X800=3,LOOKUP(K800,'Udvaskning nøgletal'!$C$12:$C$60,'Udvaskning nøgletal'!G810:G858)+Markniveau!Y800*Markniveau!S800/100,"")))</f>
        <v>27.331185321443094</v>
      </c>
      <c r="AA800" s="10">
        <f t="shared" si="126"/>
        <v>320.32149196731308</v>
      </c>
      <c r="AB800" s="10" t="str">
        <f t="shared" si="125"/>
        <v/>
      </c>
      <c r="AC800" s="10" t="str">
        <f t="shared" si="127"/>
        <v/>
      </c>
      <c r="AD800" s="10">
        <f>IF(AND(Q800&gt;0,Q800&lt;30,K800&lt;8),Markniveau!Z800*'Udvaskning nøgletal'!$I$12/100,IF(AND(Q800&gt;0,Q800&lt;30,K800=216),Markniveau!Z800*'Udvaskning nøgletal'!$I$34/100,Markniveau!Z800))</f>
        <v>27.331185321443094</v>
      </c>
      <c r="AE800" s="10">
        <f t="shared" si="133"/>
        <v>320.32149196731308</v>
      </c>
      <c r="AF800" s="10" t="str">
        <f t="shared" si="128"/>
        <v/>
      </c>
      <c r="AG800" s="10" t="str">
        <f t="shared" si="134"/>
        <v/>
      </c>
      <c r="AH800" s="10" t="str">
        <f>IF(AND(Q800&gt;0,Q800&lt;30,K800=216),'Udvaskning nøgletal'!$C$42,IF(AND(Q800&gt;0,Q800&lt;30,K800&gt;7,K800&lt;17),'Udvaskning nøgletal'!$C$61,IF(AND(Q800&gt;0,Q800&lt;30,K800&lt;7),'Udvaskning nøgletal'!$C$62,"")))</f>
        <v/>
      </c>
      <c r="AI800" s="10">
        <f t="shared" si="130"/>
        <v>263</v>
      </c>
      <c r="AJ800" s="10">
        <f>IF($X800=1,LOOKUP(AI800,'Udvaskning nøgletal'!$C$12:$C$62,'Udvaskning nøgletal'!$E$12:$E$62)+Markniveau!$Y800*Markniveau!$S800/100,IF($X800=2,LOOKUP(AI800,'Udvaskning nøgletal'!$C$12:$C$62,'Udvaskning nøgletal'!$F$12:$F$62)+Markniveau!$Y800*Markniveau!$S800/100,IF($X800=3,LOOKUP(AI800,'Udvaskning nøgletal'!$C$12:$C$62,'Udvaskning nøgletal'!Q810:Q860)+Markniveau!$Y800*Markniveau!$S800/100,"")))</f>
        <v>27.331185321443094</v>
      </c>
      <c r="AK800" s="10">
        <f t="shared" si="129"/>
        <v>320.32149196731308</v>
      </c>
      <c r="AL800" s="10" t="str">
        <f t="shared" si="131"/>
        <v/>
      </c>
      <c r="AM800" s="10" t="str">
        <f t="shared" si="132"/>
        <v/>
      </c>
    </row>
    <row r="801" spans="1:39" x14ac:dyDescent="0.25">
      <c r="A801" s="15">
        <v>27180264</v>
      </c>
      <c r="B801" s="15">
        <v>30.21</v>
      </c>
      <c r="C801" s="15">
        <v>489040</v>
      </c>
      <c r="D801" s="15">
        <v>101990</v>
      </c>
      <c r="E801" s="15" t="s">
        <v>640</v>
      </c>
      <c r="F801" s="15">
        <v>2011</v>
      </c>
      <c r="G801" s="15">
        <v>20110311</v>
      </c>
      <c r="H801" s="15">
        <v>44619</v>
      </c>
      <c r="I801" s="15">
        <v>4.46</v>
      </c>
      <c r="J801" s="6" t="s">
        <v>1398</v>
      </c>
      <c r="K801" s="15">
        <v>214</v>
      </c>
      <c r="L801" s="15" t="s">
        <v>56</v>
      </c>
      <c r="M801" s="15" t="s">
        <v>5</v>
      </c>
      <c r="N801" s="11" t="s">
        <v>1391</v>
      </c>
      <c r="O801" s="11" t="s">
        <v>46</v>
      </c>
      <c r="P801" s="11" t="s">
        <v>33</v>
      </c>
      <c r="Q801" s="15">
        <v>0</v>
      </c>
      <c r="R801" s="11" t="s">
        <v>1386</v>
      </c>
      <c r="S801" s="10">
        <v>207.71290871291001</v>
      </c>
      <c r="T801" s="15">
        <v>80</v>
      </c>
      <c r="U801" s="15">
        <v>1</v>
      </c>
      <c r="V801" s="15">
        <v>1</v>
      </c>
      <c r="W801" s="15">
        <v>0</v>
      </c>
      <c r="X801" s="15">
        <f>IF(O801='Udvaskning nøgletal'!$D$65,1,IF(O801='Udvaskning nøgletal'!$D$66,2,IF(O801='Udvaskning nøgletal'!$D$67,3,IF(O801='Udvaskning nøgletal'!$D$68,2,""))))</f>
        <v>2</v>
      </c>
      <c r="Y801" s="15">
        <f>LOOKUP(K801,'Udvaskning nøgletal'!$C$12:$C$60,'Udvaskning nøgletal'!$H$12:$H$60)</f>
        <v>0</v>
      </c>
      <c r="Z801" s="10">
        <f>IF(X801=1,LOOKUP(K801,'Udvaskning nøgletal'!$C$12:$C$60,'Udvaskning nøgletal'!$E$12:$E$60)+Markniveau!Y801*Markniveau!S801/100,IF(X801=2,LOOKUP(K801,'Udvaskning nøgletal'!$C$12:$C$60,'Udvaskning nøgletal'!$F$12:$F$60)+Markniveau!Y801*Markniveau!S801/100,IF(X801=3,LOOKUP(K801,'Udvaskning nøgletal'!$C$12:$C$60,'Udvaskning nøgletal'!G811:G859)+Markniveau!Y801*Markniveau!S801/100,"")))</f>
        <v>31.161328188970323</v>
      </c>
      <c r="AA801" s="10">
        <f t="shared" si="126"/>
        <v>138.97952372280764</v>
      </c>
      <c r="AB801" s="10" t="str">
        <f t="shared" si="125"/>
        <v/>
      </c>
      <c r="AC801" s="10" t="str">
        <f t="shared" si="127"/>
        <v/>
      </c>
      <c r="AD801" s="10">
        <f>IF(AND(Q801&gt;0,Q801&lt;30,K801&lt;8),Markniveau!Z801*'Udvaskning nøgletal'!$I$12/100,IF(AND(Q801&gt;0,Q801&lt;30,K801=216),Markniveau!Z801*'Udvaskning nøgletal'!$I$34/100,Markniveau!Z801))</f>
        <v>31.161328188970323</v>
      </c>
      <c r="AE801" s="10">
        <f t="shared" si="133"/>
        <v>138.97952372280764</v>
      </c>
      <c r="AF801" s="10" t="str">
        <f t="shared" si="128"/>
        <v/>
      </c>
      <c r="AG801" s="10" t="str">
        <f t="shared" si="134"/>
        <v/>
      </c>
      <c r="AH801" s="10" t="str">
        <f>IF(AND(Q801&gt;0,Q801&lt;30,K801=216),'Udvaskning nøgletal'!$C$42,IF(AND(Q801&gt;0,Q801&lt;30,K801&gt;7,K801&lt;17),'Udvaskning nøgletal'!$C$61,IF(AND(Q801&gt;0,Q801&lt;30,K801&lt;7),'Udvaskning nøgletal'!$C$62,"")))</f>
        <v/>
      </c>
      <c r="AI801" s="10">
        <f t="shared" si="130"/>
        <v>214</v>
      </c>
      <c r="AJ801" s="10">
        <f>IF($X801=1,LOOKUP(AI801,'Udvaskning nøgletal'!$C$12:$C$62,'Udvaskning nøgletal'!$E$12:$E$62)+Markniveau!$Y801*Markniveau!$S801/100,IF($X801=2,LOOKUP(AI801,'Udvaskning nøgletal'!$C$12:$C$62,'Udvaskning nøgletal'!$F$12:$F$62)+Markniveau!$Y801*Markniveau!$S801/100,IF($X801=3,LOOKUP(AI801,'Udvaskning nøgletal'!$C$12:$C$62,'Udvaskning nøgletal'!Q811:Q861)+Markniveau!$Y801*Markniveau!$S801/100,"")))</f>
        <v>31.161328188970323</v>
      </c>
      <c r="AK801" s="10">
        <f t="shared" si="129"/>
        <v>138.97952372280764</v>
      </c>
      <c r="AL801" s="10" t="str">
        <f t="shared" si="131"/>
        <v/>
      </c>
      <c r="AM801" s="10" t="str">
        <f t="shared" si="132"/>
        <v/>
      </c>
    </row>
    <row r="802" spans="1:39" x14ac:dyDescent="0.25">
      <c r="A802" s="15">
        <v>27180264</v>
      </c>
      <c r="B802" s="15">
        <v>30.21</v>
      </c>
      <c r="C802" s="15">
        <v>491991</v>
      </c>
      <c r="D802" s="15">
        <v>101990</v>
      </c>
      <c r="E802" s="15" t="s">
        <v>649</v>
      </c>
      <c r="F802" s="15">
        <v>2011</v>
      </c>
      <c r="G802" s="15">
        <v>20110311</v>
      </c>
      <c r="H802" s="15">
        <v>196080</v>
      </c>
      <c r="I802" s="15">
        <v>19.61</v>
      </c>
      <c r="J802" s="6" t="s">
        <v>61</v>
      </c>
      <c r="K802" s="15">
        <v>214</v>
      </c>
      <c r="L802" s="15" t="s">
        <v>56</v>
      </c>
      <c r="M802" s="15" t="s">
        <v>5</v>
      </c>
      <c r="N802" s="11" t="s">
        <v>1391</v>
      </c>
      <c r="O802" s="11" t="s">
        <v>46</v>
      </c>
      <c r="P802" s="11" t="s">
        <v>33</v>
      </c>
      <c r="Q802" s="15">
        <v>0</v>
      </c>
      <c r="R802" s="11" t="s">
        <v>1386</v>
      </c>
      <c r="S802" s="10">
        <v>207.71290871291001</v>
      </c>
      <c r="T802" s="15">
        <v>80</v>
      </c>
      <c r="U802" s="15">
        <v>1</v>
      </c>
      <c r="V802" s="15">
        <v>1</v>
      </c>
      <c r="W802" s="15">
        <v>0</v>
      </c>
      <c r="X802" s="15">
        <f>IF(O802='Udvaskning nøgletal'!$D$65,1,IF(O802='Udvaskning nøgletal'!$D$66,2,IF(O802='Udvaskning nøgletal'!$D$67,3,IF(O802='Udvaskning nøgletal'!$D$68,2,""))))</f>
        <v>2</v>
      </c>
      <c r="Y802" s="15">
        <f>LOOKUP(K802,'Udvaskning nøgletal'!$C$12:$C$60,'Udvaskning nøgletal'!$H$12:$H$60)</f>
        <v>0</v>
      </c>
      <c r="Z802" s="10">
        <f>IF(X802=1,LOOKUP(K802,'Udvaskning nøgletal'!$C$12:$C$60,'Udvaskning nøgletal'!$E$12:$E$60)+Markniveau!Y802*Markniveau!S802/100,IF(X802=2,LOOKUP(K802,'Udvaskning nøgletal'!$C$12:$C$60,'Udvaskning nøgletal'!$F$12:$F$60)+Markniveau!Y802*Markniveau!S802/100,IF(X802=3,LOOKUP(K802,'Udvaskning nøgletal'!$C$12:$C$60,'Udvaskning nøgletal'!G812:G860)+Markniveau!Y802*Markniveau!S802/100,"")))</f>
        <v>31.161328188970323</v>
      </c>
      <c r="AA802" s="10">
        <f t="shared" si="126"/>
        <v>611.07364578570798</v>
      </c>
      <c r="AB802" s="10" t="str">
        <f t="shared" si="125"/>
        <v/>
      </c>
      <c r="AC802" s="10" t="str">
        <f t="shared" si="127"/>
        <v/>
      </c>
      <c r="AD802" s="10">
        <f>IF(AND(Q802&gt;0,Q802&lt;30,K802&lt;8),Markniveau!Z802*'Udvaskning nøgletal'!$I$12/100,IF(AND(Q802&gt;0,Q802&lt;30,K802=216),Markniveau!Z802*'Udvaskning nøgletal'!$I$34/100,Markniveau!Z802))</f>
        <v>31.161328188970323</v>
      </c>
      <c r="AE802" s="10">
        <f t="shared" si="133"/>
        <v>611.07364578570798</v>
      </c>
      <c r="AF802" s="10" t="str">
        <f t="shared" si="128"/>
        <v/>
      </c>
      <c r="AG802" s="10" t="str">
        <f t="shared" si="134"/>
        <v/>
      </c>
      <c r="AH802" s="10" t="str">
        <f>IF(AND(Q802&gt;0,Q802&lt;30,K802=216),'Udvaskning nøgletal'!$C$42,IF(AND(Q802&gt;0,Q802&lt;30,K802&gt;7,K802&lt;17),'Udvaskning nøgletal'!$C$61,IF(AND(Q802&gt;0,Q802&lt;30,K802&lt;7),'Udvaskning nøgletal'!$C$62,"")))</f>
        <v/>
      </c>
      <c r="AI802" s="10">
        <f t="shared" si="130"/>
        <v>214</v>
      </c>
      <c r="AJ802" s="10">
        <f>IF($X802=1,LOOKUP(AI802,'Udvaskning nøgletal'!$C$12:$C$62,'Udvaskning nøgletal'!$E$12:$E$62)+Markniveau!$Y802*Markniveau!$S802/100,IF($X802=2,LOOKUP(AI802,'Udvaskning nøgletal'!$C$12:$C$62,'Udvaskning nøgletal'!$F$12:$F$62)+Markniveau!$Y802*Markniveau!$S802/100,IF($X802=3,LOOKUP(AI802,'Udvaskning nøgletal'!$C$12:$C$62,'Udvaskning nøgletal'!Q812:Q862)+Markniveau!$Y802*Markniveau!$S802/100,"")))</f>
        <v>31.161328188970323</v>
      </c>
      <c r="AK802" s="10">
        <f t="shared" si="129"/>
        <v>611.07364578570798</v>
      </c>
      <c r="AL802" s="10" t="str">
        <f t="shared" si="131"/>
        <v/>
      </c>
      <c r="AM802" s="10" t="str">
        <f t="shared" si="132"/>
        <v/>
      </c>
    </row>
    <row r="803" spans="1:39" x14ac:dyDescent="0.25">
      <c r="A803" s="15">
        <v>27180264</v>
      </c>
      <c r="B803" s="15">
        <v>30.21</v>
      </c>
      <c r="C803" s="15">
        <v>400201</v>
      </c>
      <c r="D803" s="15">
        <v>101990</v>
      </c>
      <c r="E803" s="15" t="s">
        <v>650</v>
      </c>
      <c r="F803" s="15">
        <v>2011</v>
      </c>
      <c r="G803" s="15">
        <v>20110311</v>
      </c>
      <c r="H803" s="15">
        <v>36706</v>
      </c>
      <c r="I803" s="15">
        <v>3.67</v>
      </c>
      <c r="J803" s="6" t="s">
        <v>1402</v>
      </c>
      <c r="K803" s="15">
        <v>214</v>
      </c>
      <c r="L803" s="15" t="s">
        <v>56</v>
      </c>
      <c r="M803" s="15" t="s">
        <v>5</v>
      </c>
      <c r="N803" s="11" t="s">
        <v>1391</v>
      </c>
      <c r="O803" s="11" t="s">
        <v>46</v>
      </c>
      <c r="P803" s="11" t="s">
        <v>33</v>
      </c>
      <c r="Q803" s="15">
        <v>0</v>
      </c>
      <c r="R803" s="11" t="s">
        <v>1386</v>
      </c>
      <c r="S803" s="10">
        <v>207.71290871291001</v>
      </c>
      <c r="T803" s="15">
        <v>80</v>
      </c>
      <c r="U803" s="15">
        <v>1</v>
      </c>
      <c r="V803" s="15">
        <v>1</v>
      </c>
      <c r="W803" s="15">
        <v>0</v>
      </c>
      <c r="X803" s="15">
        <f>IF(O803='Udvaskning nøgletal'!$D$65,1,IF(O803='Udvaskning nøgletal'!$D$66,2,IF(O803='Udvaskning nøgletal'!$D$67,3,IF(O803='Udvaskning nøgletal'!$D$68,2,""))))</f>
        <v>2</v>
      </c>
      <c r="Y803" s="15">
        <f>LOOKUP(K803,'Udvaskning nøgletal'!$C$12:$C$60,'Udvaskning nøgletal'!$H$12:$H$60)</f>
        <v>0</v>
      </c>
      <c r="Z803" s="10">
        <f>IF(X803=1,LOOKUP(K803,'Udvaskning nøgletal'!$C$12:$C$60,'Udvaskning nøgletal'!$E$12:$E$60)+Markniveau!Y803*Markniveau!S803/100,IF(X803=2,LOOKUP(K803,'Udvaskning nøgletal'!$C$12:$C$60,'Udvaskning nøgletal'!$F$12:$F$60)+Markniveau!Y803*Markniveau!S803/100,IF(X803=3,LOOKUP(K803,'Udvaskning nøgletal'!$C$12:$C$60,'Udvaskning nøgletal'!G813:G861)+Markniveau!Y803*Markniveau!S803/100,"")))</f>
        <v>31.161328188970323</v>
      </c>
      <c r="AA803" s="10">
        <f t="shared" si="126"/>
        <v>114.36207445352109</v>
      </c>
      <c r="AB803" s="10" t="str">
        <f t="shared" si="125"/>
        <v/>
      </c>
      <c r="AC803" s="10" t="str">
        <f t="shared" si="127"/>
        <v/>
      </c>
      <c r="AD803" s="10">
        <f>IF(AND(Q803&gt;0,Q803&lt;30,K803&lt;8),Markniveau!Z803*'Udvaskning nøgletal'!$I$12/100,IF(AND(Q803&gt;0,Q803&lt;30,K803=216),Markniveau!Z803*'Udvaskning nøgletal'!$I$34/100,Markniveau!Z803))</f>
        <v>31.161328188970323</v>
      </c>
      <c r="AE803" s="10">
        <f t="shared" si="133"/>
        <v>114.36207445352109</v>
      </c>
      <c r="AF803" s="10" t="str">
        <f t="shared" si="128"/>
        <v/>
      </c>
      <c r="AG803" s="10" t="str">
        <f t="shared" si="134"/>
        <v/>
      </c>
      <c r="AH803" s="10" t="str">
        <f>IF(AND(Q803&gt;0,Q803&lt;30,K803=216),'Udvaskning nøgletal'!$C$42,IF(AND(Q803&gt;0,Q803&lt;30,K803&gt;7,K803&lt;17),'Udvaskning nøgletal'!$C$61,IF(AND(Q803&gt;0,Q803&lt;30,K803&lt;7),'Udvaskning nøgletal'!$C$62,"")))</f>
        <v/>
      </c>
      <c r="AI803" s="10">
        <f t="shared" si="130"/>
        <v>214</v>
      </c>
      <c r="AJ803" s="10">
        <f>IF($X803=1,LOOKUP(AI803,'Udvaskning nøgletal'!$C$12:$C$62,'Udvaskning nøgletal'!$E$12:$E$62)+Markniveau!$Y803*Markniveau!$S803/100,IF($X803=2,LOOKUP(AI803,'Udvaskning nøgletal'!$C$12:$C$62,'Udvaskning nøgletal'!$F$12:$F$62)+Markniveau!$Y803*Markniveau!$S803/100,IF($X803=3,LOOKUP(AI803,'Udvaskning nøgletal'!$C$12:$C$62,'Udvaskning nøgletal'!Q813:Q863)+Markniveau!$Y803*Markniveau!$S803/100,"")))</f>
        <v>31.161328188970323</v>
      </c>
      <c r="AK803" s="10">
        <f t="shared" si="129"/>
        <v>114.36207445352109</v>
      </c>
      <c r="AL803" s="10" t="str">
        <f t="shared" si="131"/>
        <v/>
      </c>
      <c r="AM803" s="10" t="str">
        <f t="shared" si="132"/>
        <v/>
      </c>
    </row>
    <row r="804" spans="1:39" x14ac:dyDescent="0.25">
      <c r="A804" s="15">
        <v>27180264</v>
      </c>
      <c r="B804" s="15">
        <v>30.21</v>
      </c>
      <c r="C804" s="15">
        <v>477794</v>
      </c>
      <c r="D804" s="15">
        <v>101990</v>
      </c>
      <c r="E804" s="15" t="s">
        <v>518</v>
      </c>
      <c r="F804" s="15">
        <v>2011</v>
      </c>
      <c r="G804" s="15">
        <v>20110311</v>
      </c>
      <c r="H804" s="15">
        <v>15782</v>
      </c>
      <c r="I804" s="15">
        <v>1.58</v>
      </c>
      <c r="J804" s="6" t="s">
        <v>76</v>
      </c>
      <c r="K804" s="15">
        <v>10</v>
      </c>
      <c r="L804" s="15" t="s">
        <v>107</v>
      </c>
      <c r="M804" s="15" t="s">
        <v>5</v>
      </c>
      <c r="N804" s="11" t="s">
        <v>1391</v>
      </c>
      <c r="O804" s="11" t="s">
        <v>46</v>
      </c>
      <c r="P804" s="11" t="s">
        <v>29</v>
      </c>
      <c r="Q804" s="15">
        <v>95</v>
      </c>
      <c r="R804" s="11" t="s">
        <v>3</v>
      </c>
      <c r="S804" s="10">
        <v>207.71290871291001</v>
      </c>
      <c r="T804" s="15">
        <v>80</v>
      </c>
      <c r="U804" s="15">
        <v>1</v>
      </c>
      <c r="V804" s="15">
        <v>1</v>
      </c>
      <c r="W804" s="15">
        <v>0</v>
      </c>
      <c r="X804" s="15">
        <f>IF(O804='Udvaskning nøgletal'!$D$65,1,IF(O804='Udvaskning nøgletal'!$D$66,2,IF(O804='Udvaskning nøgletal'!$D$67,3,IF(O804='Udvaskning nøgletal'!$D$68,2,""))))</f>
        <v>2</v>
      </c>
      <c r="Y804" s="15">
        <f>LOOKUP(K804,'Udvaskning nøgletal'!$C$12:$C$60,'Udvaskning nøgletal'!$H$12:$H$60)</f>
        <v>5</v>
      </c>
      <c r="Z804" s="10">
        <f>IF(X804=1,LOOKUP(K804,'Udvaskning nøgletal'!$C$12:$C$60,'Udvaskning nøgletal'!$E$12:$E$60)+Markniveau!Y804*Markniveau!S804/100,IF(X804=2,LOOKUP(K804,'Udvaskning nøgletal'!$C$12:$C$60,'Udvaskning nøgletal'!$F$12:$F$60)+Markniveau!Y804*Markniveau!S804/100,IF(X804=3,LOOKUP(K804,'Udvaskning nøgletal'!$C$12:$C$60,'Udvaskning nøgletal'!G814:G862)+Markniveau!Y804*Markniveau!S804/100,"")))</f>
        <v>61.265645435645503</v>
      </c>
      <c r="AA804" s="10">
        <f t="shared" si="126"/>
        <v>96.799719788319905</v>
      </c>
      <c r="AB804" s="10">
        <f t="shared" si="125"/>
        <v>3.063282271782275</v>
      </c>
      <c r="AC804" s="10">
        <f t="shared" si="127"/>
        <v>4.8399859894159949</v>
      </c>
      <c r="AD804" s="10">
        <f>IF(AND(Q804&gt;0,Q804&lt;30,K804&lt;8),Markniveau!Z804*'Udvaskning nøgletal'!$I$12/100,IF(AND(Q804&gt;0,Q804&lt;30,K804=216),Markniveau!Z804*'Udvaskning nøgletal'!$I$34/100,Markniveau!Z804))</f>
        <v>61.265645435645503</v>
      </c>
      <c r="AE804" s="10">
        <f t="shared" si="133"/>
        <v>96.799719788319905</v>
      </c>
      <c r="AF804" s="10">
        <f t="shared" si="128"/>
        <v>3.063282271782275</v>
      </c>
      <c r="AG804" s="10">
        <f t="shared" si="134"/>
        <v>4.8399859894159949</v>
      </c>
      <c r="AH804" s="10" t="str">
        <f>IF(AND(Q804&gt;0,Q804&lt;30,K804=216),'Udvaskning nøgletal'!$C$42,IF(AND(Q804&gt;0,Q804&lt;30,K804&gt;7,K804&lt;17),'Udvaskning nøgletal'!$C$61,IF(AND(Q804&gt;0,Q804&lt;30,K804&lt;7),'Udvaskning nøgletal'!$C$62,"")))</f>
        <v/>
      </c>
      <c r="AI804" s="10">
        <f t="shared" si="130"/>
        <v>10</v>
      </c>
      <c r="AJ804" s="10">
        <f>IF($X804=1,LOOKUP(AI804,'Udvaskning nøgletal'!$C$12:$C$62,'Udvaskning nøgletal'!$E$12:$E$62)+Markniveau!$Y804*Markniveau!$S804/100,IF($X804=2,LOOKUP(AI804,'Udvaskning nøgletal'!$C$12:$C$62,'Udvaskning nøgletal'!$F$12:$F$62)+Markniveau!$Y804*Markniveau!$S804/100,IF($X804=3,LOOKUP(AI804,'Udvaskning nøgletal'!$C$12:$C$62,'Udvaskning nøgletal'!Q814:Q864)+Markniveau!$Y804*Markniveau!$S804/100,"")))</f>
        <v>61.265645435645503</v>
      </c>
      <c r="AK804" s="10">
        <f t="shared" si="129"/>
        <v>96.799719788319905</v>
      </c>
      <c r="AL804" s="10">
        <f t="shared" si="131"/>
        <v>3.063282271782275</v>
      </c>
      <c r="AM804" s="10">
        <f t="shared" si="132"/>
        <v>4.8399859894159949</v>
      </c>
    </row>
    <row r="805" spans="1:39" x14ac:dyDescent="0.25">
      <c r="A805" s="15">
        <v>27428010</v>
      </c>
      <c r="B805" s="15">
        <v>188.84</v>
      </c>
      <c r="C805" s="15">
        <v>65314</v>
      </c>
      <c r="D805" s="15">
        <v>109625</v>
      </c>
      <c r="E805" s="15" t="s">
        <v>651</v>
      </c>
      <c r="F805" s="15">
        <v>2011</v>
      </c>
      <c r="G805" s="15">
        <v>20110408</v>
      </c>
      <c r="H805" s="15">
        <v>40526</v>
      </c>
      <c r="I805" s="15">
        <v>4.05</v>
      </c>
      <c r="J805" s="6" t="s">
        <v>127</v>
      </c>
      <c r="K805" s="15">
        <v>230</v>
      </c>
      <c r="L805" s="15" t="s">
        <v>120</v>
      </c>
      <c r="M805" s="15" t="s">
        <v>5</v>
      </c>
      <c r="N805" s="11" t="s">
        <v>1384</v>
      </c>
      <c r="O805" s="11" t="s">
        <v>28</v>
      </c>
      <c r="P805" s="11" t="s">
        <v>33</v>
      </c>
      <c r="Q805" s="15">
        <v>1</v>
      </c>
      <c r="R805" s="11" t="s">
        <v>11</v>
      </c>
      <c r="S805" s="10">
        <v>171.21882938461999</v>
      </c>
      <c r="T805" s="15">
        <v>80</v>
      </c>
      <c r="U805" s="15">
        <v>1</v>
      </c>
      <c r="V805" s="15">
        <v>0</v>
      </c>
      <c r="W805" s="15">
        <v>0</v>
      </c>
      <c r="X805" s="15">
        <f>IF(O805='Udvaskning nøgletal'!$D$65,1,IF(O805='Udvaskning nøgletal'!$D$66,2,IF(O805='Udvaskning nøgletal'!$D$67,3,IF(O805='Udvaskning nøgletal'!$D$68,2,""))))</f>
        <v>1</v>
      </c>
      <c r="Y805" s="15">
        <f>LOOKUP(K805,'Udvaskning nøgletal'!$C$12:$C$60,'Udvaskning nøgletal'!$H$12:$H$60)</f>
        <v>0</v>
      </c>
      <c r="Z805" s="10">
        <f>IF(X805=1,LOOKUP(K805,'Udvaskning nøgletal'!$C$12:$C$60,'Udvaskning nøgletal'!$E$12:$E$60)+Markniveau!Y805*Markniveau!S805/100,IF(X805=2,LOOKUP(K805,'Udvaskning nøgletal'!$C$12:$C$60,'Udvaskning nøgletal'!$F$12:$F$60)+Markniveau!Y805*Markniveau!S805/100,IF(X805=3,LOOKUP(K805,'Udvaskning nøgletal'!$C$12:$C$60,'Udvaskning nøgletal'!G815:G863)+Markniveau!Y805*Markniveau!S805/100,"")))</f>
        <v>38.620385460262987</v>
      </c>
      <c r="AA805" s="10">
        <f t="shared" si="126"/>
        <v>156.41256111406508</v>
      </c>
      <c r="AB805" s="10">
        <f t="shared" si="125"/>
        <v>38.234181605660353</v>
      </c>
      <c r="AC805" s="10">
        <f t="shared" si="127"/>
        <v>154.84843550292442</v>
      </c>
      <c r="AD805" s="10">
        <f>IF(AND(Q805&gt;0,Q805&lt;30,K805&lt;8),Markniveau!Z805*'Udvaskning nøgletal'!$I$12/100,IF(AND(Q805&gt;0,Q805&lt;30,K805=216),Markniveau!Z805*'Udvaskning nøgletal'!$I$34/100,Markniveau!Z805))</f>
        <v>38.620385460262987</v>
      </c>
      <c r="AE805" s="10">
        <f t="shared" si="133"/>
        <v>156.41256111406508</v>
      </c>
      <c r="AF805" s="10">
        <f t="shared" si="128"/>
        <v>38.234181605660353</v>
      </c>
      <c r="AG805" s="10">
        <f t="shared" si="134"/>
        <v>154.84843550292442</v>
      </c>
      <c r="AH805" s="10" t="str">
        <f>IF(AND(Q805&gt;0,Q805&lt;30,K805=216),'Udvaskning nøgletal'!$C$42,IF(AND(Q805&gt;0,Q805&lt;30,K805&gt;7,K805&lt;17),'Udvaskning nøgletal'!$C$61,IF(AND(Q805&gt;0,Q805&lt;30,K805&lt;7),'Udvaskning nøgletal'!$C$62,"")))</f>
        <v/>
      </c>
      <c r="AI805" s="10">
        <f t="shared" si="130"/>
        <v>230</v>
      </c>
      <c r="AJ805" s="10">
        <f>IF($X805=1,LOOKUP(AI805,'Udvaskning nøgletal'!$C$12:$C$62,'Udvaskning nøgletal'!$E$12:$E$62)+Markniveau!$Y805*Markniveau!$S805/100,IF($X805=2,LOOKUP(AI805,'Udvaskning nøgletal'!$C$12:$C$62,'Udvaskning nøgletal'!$F$12:$F$62)+Markniveau!$Y805*Markniveau!$S805/100,IF($X805=3,LOOKUP(AI805,'Udvaskning nøgletal'!$C$12:$C$62,'Udvaskning nøgletal'!Q815:Q865)+Markniveau!$Y805*Markniveau!$S805/100,"")))</f>
        <v>38.620385460262987</v>
      </c>
      <c r="AK805" s="10">
        <f t="shared" si="129"/>
        <v>156.41256111406508</v>
      </c>
      <c r="AL805" s="10">
        <f t="shared" si="131"/>
        <v>38.234181605660353</v>
      </c>
      <c r="AM805" s="10">
        <f t="shared" si="132"/>
        <v>154.84843550292442</v>
      </c>
    </row>
    <row r="806" spans="1:39" x14ac:dyDescent="0.25">
      <c r="A806" s="15">
        <v>27428010</v>
      </c>
      <c r="B806" s="15">
        <v>188.84</v>
      </c>
      <c r="C806" s="15">
        <v>65316</v>
      </c>
      <c r="D806" s="15">
        <v>109625</v>
      </c>
      <c r="E806" s="15" t="s">
        <v>643</v>
      </c>
      <c r="F806" s="15">
        <v>2011</v>
      </c>
      <c r="G806" s="15">
        <v>20110408</v>
      </c>
      <c r="H806" s="15">
        <v>73283</v>
      </c>
      <c r="I806" s="15">
        <v>7.33</v>
      </c>
      <c r="J806" s="6" t="s">
        <v>26</v>
      </c>
      <c r="K806" s="15">
        <v>216</v>
      </c>
      <c r="L806" s="15" t="s">
        <v>116</v>
      </c>
      <c r="M806" s="15" t="s">
        <v>5</v>
      </c>
      <c r="N806" s="11" t="s">
        <v>1384</v>
      </c>
      <c r="O806" s="11" t="s">
        <v>28</v>
      </c>
      <c r="P806" s="11" t="s">
        <v>29</v>
      </c>
      <c r="Q806" s="15">
        <v>95</v>
      </c>
      <c r="R806" s="11" t="s">
        <v>3</v>
      </c>
      <c r="S806" s="10">
        <v>171.21882938461999</v>
      </c>
      <c r="T806" s="15">
        <v>80</v>
      </c>
      <c r="U806" s="15">
        <v>1</v>
      </c>
      <c r="V806" s="15">
        <v>0</v>
      </c>
      <c r="W806" s="15">
        <v>0</v>
      </c>
      <c r="X806" s="15">
        <f>IF(O806='Udvaskning nøgletal'!$D$65,1,IF(O806='Udvaskning nøgletal'!$D$66,2,IF(O806='Udvaskning nøgletal'!$D$67,3,IF(O806='Udvaskning nøgletal'!$D$68,2,""))))</f>
        <v>1</v>
      </c>
      <c r="Y806" s="15">
        <f>LOOKUP(K806,'Udvaskning nøgletal'!$C$12:$C$60,'Udvaskning nøgletal'!$H$12:$H$60)</f>
        <v>0</v>
      </c>
      <c r="Z806" s="10">
        <f>IF(X806=1,LOOKUP(K806,'Udvaskning nøgletal'!$C$12:$C$60,'Udvaskning nøgletal'!$E$12:$E$60)+Markniveau!Y806*Markniveau!S806/100,IF(X806=2,LOOKUP(K806,'Udvaskning nøgletal'!$C$12:$C$60,'Udvaskning nøgletal'!$F$12:$F$60)+Markniveau!Y806*Markniveau!S806/100,IF(X806=3,LOOKUP(K806,'Udvaskning nøgletal'!$C$12:$C$60,'Udvaskning nøgletal'!G816:G864)+Markniveau!Y806*Markniveau!S806/100,"")))</f>
        <v>125.85383557148924</v>
      </c>
      <c r="AA806" s="10">
        <f t="shared" si="126"/>
        <v>922.50861473901614</v>
      </c>
      <c r="AB806" s="10">
        <f t="shared" si="125"/>
        <v>6.2926917785744623</v>
      </c>
      <c r="AC806" s="10">
        <f t="shared" si="127"/>
        <v>46.125430736950811</v>
      </c>
      <c r="AD806" s="10">
        <f>IF(AND(Q806&gt;0,Q806&lt;30,K806&lt;8),Markniveau!Z806*'Udvaskning nøgletal'!$I$12/100,IF(AND(Q806&gt;0,Q806&lt;30,K806=216),Markniveau!Z806*'Udvaskning nøgletal'!$I$34/100,Markniveau!Z806))</f>
        <v>125.85383557148924</v>
      </c>
      <c r="AE806" s="10">
        <f t="shared" si="133"/>
        <v>922.50861473901614</v>
      </c>
      <c r="AF806" s="10">
        <f t="shared" si="128"/>
        <v>6.2926917785744623</v>
      </c>
      <c r="AG806" s="10">
        <f t="shared" si="134"/>
        <v>46.125430736950811</v>
      </c>
      <c r="AH806" s="10" t="str">
        <f>IF(AND(Q806&gt;0,Q806&lt;30,K806=216),'Udvaskning nøgletal'!$C$42,IF(AND(Q806&gt;0,Q806&lt;30,K806&gt;7,K806&lt;17),'Udvaskning nøgletal'!$C$61,IF(AND(Q806&gt;0,Q806&lt;30,K806&lt;7),'Udvaskning nøgletal'!$C$62,"")))</f>
        <v/>
      </c>
      <c r="AI806" s="10">
        <f t="shared" si="130"/>
        <v>216</v>
      </c>
      <c r="AJ806" s="10">
        <f>IF($X806=1,LOOKUP(AI806,'Udvaskning nøgletal'!$C$12:$C$62,'Udvaskning nøgletal'!$E$12:$E$62)+Markniveau!$Y806*Markniveau!$S806/100,IF($X806=2,LOOKUP(AI806,'Udvaskning nøgletal'!$C$12:$C$62,'Udvaskning nøgletal'!$F$12:$F$62)+Markniveau!$Y806*Markniveau!$S806/100,IF($X806=3,LOOKUP(AI806,'Udvaskning nøgletal'!$C$12:$C$62,'Udvaskning nøgletal'!Q816:Q866)+Markniveau!$Y806*Markniveau!$S806/100,"")))</f>
        <v>125.85383557148924</v>
      </c>
      <c r="AK806" s="10">
        <f t="shared" si="129"/>
        <v>922.50861473901614</v>
      </c>
      <c r="AL806" s="10">
        <f t="shared" si="131"/>
        <v>6.2926917785744623</v>
      </c>
      <c r="AM806" s="10">
        <f t="shared" si="132"/>
        <v>46.125430736950811</v>
      </c>
    </row>
    <row r="807" spans="1:39" x14ac:dyDescent="0.25">
      <c r="A807" s="15">
        <v>27428010</v>
      </c>
      <c r="B807" s="15">
        <v>188.84</v>
      </c>
      <c r="C807" s="15">
        <v>65317</v>
      </c>
      <c r="D807" s="15">
        <v>109625</v>
      </c>
      <c r="E807" s="15" t="s">
        <v>652</v>
      </c>
      <c r="F807" s="15">
        <v>2011</v>
      </c>
      <c r="G807" s="15">
        <v>20110408</v>
      </c>
      <c r="H807" s="15">
        <v>96268</v>
      </c>
      <c r="I807" s="15">
        <v>9.6300000000000008</v>
      </c>
      <c r="J807" s="6" t="s">
        <v>69</v>
      </c>
      <c r="K807" s="15">
        <v>583</v>
      </c>
      <c r="L807" s="15" t="s">
        <v>154</v>
      </c>
      <c r="M807" s="15" t="s">
        <v>155</v>
      </c>
      <c r="N807" s="11" t="s">
        <v>1384</v>
      </c>
      <c r="O807" s="11" t="s">
        <v>28</v>
      </c>
      <c r="P807" s="11" t="s">
        <v>33</v>
      </c>
      <c r="Q807" s="15">
        <v>0</v>
      </c>
      <c r="R807" s="11" t="s">
        <v>1386</v>
      </c>
      <c r="S807" s="10">
        <v>171.21882938461999</v>
      </c>
      <c r="T807" s="15">
        <v>80</v>
      </c>
      <c r="U807" s="15">
        <v>1</v>
      </c>
      <c r="V807" s="15">
        <v>0</v>
      </c>
      <c r="W807" s="15">
        <v>0</v>
      </c>
      <c r="X807" s="15">
        <f>IF(O807='Udvaskning nøgletal'!$D$65,1,IF(O807='Udvaskning nøgletal'!$D$66,2,IF(O807='Udvaskning nøgletal'!$D$67,3,IF(O807='Udvaskning nøgletal'!$D$68,2,""))))</f>
        <v>1</v>
      </c>
      <c r="Y807" s="15">
        <f>LOOKUP(K807,'Udvaskning nøgletal'!$C$12:$C$60,'Udvaskning nøgletal'!$H$12:$H$60)</f>
        <v>0</v>
      </c>
      <c r="Z807" s="10">
        <f>IF(X807=1,LOOKUP(K807,'Udvaskning nøgletal'!$C$12:$C$60,'Udvaskning nøgletal'!$E$12:$E$60)+Markniveau!Y807*Markniveau!S807/100,IF(X807=2,LOOKUP(K807,'Udvaskning nøgletal'!$C$12:$C$60,'Udvaskning nøgletal'!$F$12:$F$60)+Markniveau!Y807*Markniveau!S807/100,IF(X807=3,LOOKUP(K807,'Udvaskning nøgletal'!$C$12:$C$60,'Udvaskning nøgletal'!G817:G865)+Markniveau!Y807*Markniveau!S807/100,"")))</f>
        <v>10</v>
      </c>
      <c r="AA807" s="10">
        <f t="shared" si="126"/>
        <v>96.300000000000011</v>
      </c>
      <c r="AB807" s="10" t="str">
        <f t="shared" si="125"/>
        <v/>
      </c>
      <c r="AC807" s="10" t="str">
        <f t="shared" si="127"/>
        <v/>
      </c>
      <c r="AD807" s="10">
        <f>IF(AND(Q807&gt;0,Q807&lt;30,K807&lt;8),Markniveau!Z807*'Udvaskning nøgletal'!$I$12/100,IF(AND(Q807&gt;0,Q807&lt;30,K807=216),Markniveau!Z807*'Udvaskning nøgletal'!$I$34/100,Markniveau!Z807))</f>
        <v>10</v>
      </c>
      <c r="AE807" s="10">
        <f t="shared" si="133"/>
        <v>96.300000000000011</v>
      </c>
      <c r="AF807" s="10" t="str">
        <f t="shared" si="128"/>
        <v/>
      </c>
      <c r="AG807" s="10" t="str">
        <f t="shared" si="134"/>
        <v/>
      </c>
      <c r="AH807" s="10" t="str">
        <f>IF(AND(Q807&gt;0,Q807&lt;30,K807=216),'Udvaskning nøgletal'!$C$42,IF(AND(Q807&gt;0,Q807&lt;30,K807&gt;7,K807&lt;17),'Udvaskning nøgletal'!$C$61,IF(AND(Q807&gt;0,Q807&lt;30,K807&lt;7),'Udvaskning nøgletal'!$C$62,"")))</f>
        <v/>
      </c>
      <c r="AI807" s="10">
        <f t="shared" si="130"/>
        <v>583</v>
      </c>
      <c r="AJ807" s="10">
        <f>IF($X807=1,LOOKUP(AI807,'Udvaskning nøgletal'!$C$12:$C$62,'Udvaskning nøgletal'!$E$12:$E$62)+Markniveau!$Y807*Markniveau!$S807/100,IF($X807=2,LOOKUP(AI807,'Udvaskning nøgletal'!$C$12:$C$62,'Udvaskning nøgletal'!$F$12:$F$62)+Markniveau!$Y807*Markniveau!$S807/100,IF($X807=3,LOOKUP(AI807,'Udvaskning nøgletal'!$C$12:$C$62,'Udvaskning nøgletal'!Q817:Q867)+Markniveau!$Y807*Markniveau!$S807/100,"")))</f>
        <v>10</v>
      </c>
      <c r="AK807" s="10">
        <f t="shared" si="129"/>
        <v>96.300000000000011</v>
      </c>
      <c r="AL807" s="10" t="str">
        <f t="shared" si="131"/>
        <v/>
      </c>
      <c r="AM807" s="10" t="str">
        <f t="shared" si="132"/>
        <v/>
      </c>
    </row>
    <row r="808" spans="1:39" x14ac:dyDescent="0.25">
      <c r="A808" s="15">
        <v>27428010</v>
      </c>
      <c r="B808" s="15">
        <v>188.84</v>
      </c>
      <c r="C808" s="15">
        <v>65318</v>
      </c>
      <c r="D808" s="15">
        <v>109625</v>
      </c>
      <c r="E808" s="15" t="s">
        <v>185</v>
      </c>
      <c r="F808" s="15">
        <v>2011</v>
      </c>
      <c r="G808" s="15">
        <v>20110408</v>
      </c>
      <c r="H808" s="15">
        <v>17473</v>
      </c>
      <c r="I808" s="15">
        <v>1.75</v>
      </c>
      <c r="J808" s="6" t="s">
        <v>1389</v>
      </c>
      <c r="K808" s="15">
        <v>583</v>
      </c>
      <c r="L808" s="15" t="s">
        <v>154</v>
      </c>
      <c r="M808" s="15" t="s">
        <v>155</v>
      </c>
      <c r="N808" s="11" t="s">
        <v>1384</v>
      </c>
      <c r="O808" s="11" t="s">
        <v>28</v>
      </c>
      <c r="P808" s="11" t="s">
        <v>33</v>
      </c>
      <c r="Q808" s="15">
        <v>0</v>
      </c>
      <c r="R808" s="11" t="s">
        <v>1386</v>
      </c>
      <c r="S808" s="10">
        <v>171.21882938461999</v>
      </c>
      <c r="T808" s="15">
        <v>80</v>
      </c>
      <c r="U808" s="15">
        <v>1</v>
      </c>
      <c r="V808" s="15">
        <v>0</v>
      </c>
      <c r="W808" s="15">
        <v>0</v>
      </c>
      <c r="X808" s="15">
        <f>IF(O808='Udvaskning nøgletal'!$D$65,1,IF(O808='Udvaskning nøgletal'!$D$66,2,IF(O808='Udvaskning nøgletal'!$D$67,3,IF(O808='Udvaskning nøgletal'!$D$68,2,""))))</f>
        <v>1</v>
      </c>
      <c r="Y808" s="15">
        <f>LOOKUP(K808,'Udvaskning nøgletal'!$C$12:$C$60,'Udvaskning nøgletal'!$H$12:$H$60)</f>
        <v>0</v>
      </c>
      <c r="Z808" s="10">
        <f>IF(X808=1,LOOKUP(K808,'Udvaskning nøgletal'!$C$12:$C$60,'Udvaskning nøgletal'!$E$12:$E$60)+Markniveau!Y808*Markniveau!S808/100,IF(X808=2,LOOKUP(K808,'Udvaskning nøgletal'!$C$12:$C$60,'Udvaskning nøgletal'!$F$12:$F$60)+Markniveau!Y808*Markniveau!S808/100,IF(X808=3,LOOKUP(K808,'Udvaskning nøgletal'!$C$12:$C$60,'Udvaskning nøgletal'!G818:G866)+Markniveau!Y808*Markniveau!S808/100,"")))</f>
        <v>10</v>
      </c>
      <c r="AA808" s="10">
        <f t="shared" si="126"/>
        <v>17.5</v>
      </c>
      <c r="AB808" s="10" t="str">
        <f t="shared" si="125"/>
        <v/>
      </c>
      <c r="AC808" s="10" t="str">
        <f t="shared" si="127"/>
        <v/>
      </c>
      <c r="AD808" s="10">
        <f>IF(AND(Q808&gt;0,Q808&lt;30,K808&lt;8),Markniveau!Z808*'Udvaskning nøgletal'!$I$12/100,IF(AND(Q808&gt;0,Q808&lt;30,K808=216),Markniveau!Z808*'Udvaskning nøgletal'!$I$34/100,Markniveau!Z808))</f>
        <v>10</v>
      </c>
      <c r="AE808" s="10">
        <f t="shared" si="133"/>
        <v>17.5</v>
      </c>
      <c r="AF808" s="10" t="str">
        <f t="shared" si="128"/>
        <v/>
      </c>
      <c r="AG808" s="10" t="str">
        <f t="shared" si="134"/>
        <v/>
      </c>
      <c r="AH808" s="10" t="str">
        <f>IF(AND(Q808&gt;0,Q808&lt;30,K808=216),'Udvaskning nøgletal'!$C$42,IF(AND(Q808&gt;0,Q808&lt;30,K808&gt;7,K808&lt;17),'Udvaskning nøgletal'!$C$61,IF(AND(Q808&gt;0,Q808&lt;30,K808&lt;7),'Udvaskning nøgletal'!$C$62,"")))</f>
        <v/>
      </c>
      <c r="AI808" s="10">
        <f t="shared" si="130"/>
        <v>583</v>
      </c>
      <c r="AJ808" s="10">
        <f>IF($X808=1,LOOKUP(AI808,'Udvaskning nøgletal'!$C$12:$C$62,'Udvaskning nøgletal'!$E$12:$E$62)+Markniveau!$Y808*Markniveau!$S808/100,IF($X808=2,LOOKUP(AI808,'Udvaskning nøgletal'!$C$12:$C$62,'Udvaskning nøgletal'!$F$12:$F$62)+Markniveau!$Y808*Markniveau!$S808/100,IF($X808=3,LOOKUP(AI808,'Udvaskning nøgletal'!$C$12:$C$62,'Udvaskning nøgletal'!Q818:Q868)+Markniveau!$Y808*Markniveau!$S808/100,"")))</f>
        <v>10</v>
      </c>
      <c r="AK808" s="10">
        <f t="shared" si="129"/>
        <v>17.5</v>
      </c>
      <c r="AL808" s="10" t="str">
        <f t="shared" si="131"/>
        <v/>
      </c>
      <c r="AM808" s="10" t="str">
        <f t="shared" si="132"/>
        <v/>
      </c>
    </row>
    <row r="809" spans="1:39" x14ac:dyDescent="0.25">
      <c r="A809" s="15">
        <v>27428010</v>
      </c>
      <c r="B809" s="15">
        <v>188.84</v>
      </c>
      <c r="C809" s="15">
        <v>65319</v>
      </c>
      <c r="D809" s="15">
        <v>109625</v>
      </c>
      <c r="E809" s="15" t="s">
        <v>185</v>
      </c>
      <c r="F809" s="15">
        <v>2011</v>
      </c>
      <c r="G809" s="15">
        <v>20110408</v>
      </c>
      <c r="H809" s="15">
        <v>153374</v>
      </c>
      <c r="I809" s="15">
        <v>15.34</v>
      </c>
      <c r="J809" s="6" t="s">
        <v>38</v>
      </c>
      <c r="K809" s="15">
        <v>583</v>
      </c>
      <c r="L809" s="15" t="s">
        <v>154</v>
      </c>
      <c r="M809" s="15" t="s">
        <v>155</v>
      </c>
      <c r="N809" s="11" t="s">
        <v>1384</v>
      </c>
      <c r="O809" s="11" t="s">
        <v>28</v>
      </c>
      <c r="P809" s="11" t="s">
        <v>33</v>
      </c>
      <c r="Q809" s="15">
        <v>0</v>
      </c>
      <c r="R809" s="11" t="s">
        <v>1386</v>
      </c>
      <c r="S809" s="10">
        <v>171.21882938461999</v>
      </c>
      <c r="T809" s="15">
        <v>80</v>
      </c>
      <c r="U809" s="15">
        <v>1</v>
      </c>
      <c r="V809" s="15">
        <v>0</v>
      </c>
      <c r="W809" s="15">
        <v>0</v>
      </c>
      <c r="X809" s="15">
        <f>IF(O809='Udvaskning nøgletal'!$D$65,1,IF(O809='Udvaskning nøgletal'!$D$66,2,IF(O809='Udvaskning nøgletal'!$D$67,3,IF(O809='Udvaskning nøgletal'!$D$68,2,""))))</f>
        <v>1</v>
      </c>
      <c r="Y809" s="15">
        <f>LOOKUP(K809,'Udvaskning nøgletal'!$C$12:$C$60,'Udvaskning nøgletal'!$H$12:$H$60)</f>
        <v>0</v>
      </c>
      <c r="Z809" s="10">
        <f>IF(X809=1,LOOKUP(K809,'Udvaskning nøgletal'!$C$12:$C$60,'Udvaskning nøgletal'!$E$12:$E$60)+Markniveau!Y809*Markniveau!S809/100,IF(X809=2,LOOKUP(K809,'Udvaskning nøgletal'!$C$12:$C$60,'Udvaskning nøgletal'!$F$12:$F$60)+Markniveau!Y809*Markniveau!S809/100,IF(X809=3,LOOKUP(K809,'Udvaskning nøgletal'!$C$12:$C$60,'Udvaskning nøgletal'!G819:G867)+Markniveau!Y809*Markniveau!S809/100,"")))</f>
        <v>10</v>
      </c>
      <c r="AA809" s="10">
        <f t="shared" si="126"/>
        <v>153.4</v>
      </c>
      <c r="AB809" s="10" t="str">
        <f t="shared" si="125"/>
        <v/>
      </c>
      <c r="AC809" s="10" t="str">
        <f t="shared" si="127"/>
        <v/>
      </c>
      <c r="AD809" s="10">
        <f>IF(AND(Q809&gt;0,Q809&lt;30,K809&lt;8),Markniveau!Z809*'Udvaskning nøgletal'!$I$12/100,IF(AND(Q809&gt;0,Q809&lt;30,K809=216),Markniveau!Z809*'Udvaskning nøgletal'!$I$34/100,Markniveau!Z809))</f>
        <v>10</v>
      </c>
      <c r="AE809" s="10">
        <f t="shared" si="133"/>
        <v>153.4</v>
      </c>
      <c r="AF809" s="10" t="str">
        <f t="shared" si="128"/>
        <v/>
      </c>
      <c r="AG809" s="10" t="str">
        <f t="shared" si="134"/>
        <v/>
      </c>
      <c r="AH809" s="10" t="str">
        <f>IF(AND(Q809&gt;0,Q809&lt;30,K809=216),'Udvaskning nøgletal'!$C$42,IF(AND(Q809&gt;0,Q809&lt;30,K809&gt;7,K809&lt;17),'Udvaskning nøgletal'!$C$61,IF(AND(Q809&gt;0,Q809&lt;30,K809&lt;7),'Udvaskning nøgletal'!$C$62,"")))</f>
        <v/>
      </c>
      <c r="AI809" s="10">
        <f t="shared" si="130"/>
        <v>583</v>
      </c>
      <c r="AJ809" s="10">
        <f>IF($X809=1,LOOKUP(AI809,'Udvaskning nøgletal'!$C$12:$C$62,'Udvaskning nøgletal'!$E$12:$E$62)+Markniveau!$Y809*Markniveau!$S809/100,IF($X809=2,LOOKUP(AI809,'Udvaskning nøgletal'!$C$12:$C$62,'Udvaskning nøgletal'!$F$12:$F$62)+Markniveau!$Y809*Markniveau!$S809/100,IF($X809=3,LOOKUP(AI809,'Udvaskning nøgletal'!$C$12:$C$62,'Udvaskning nøgletal'!Q819:Q869)+Markniveau!$Y809*Markniveau!$S809/100,"")))</f>
        <v>10</v>
      </c>
      <c r="AK809" s="10">
        <f t="shared" si="129"/>
        <v>153.4</v>
      </c>
      <c r="AL809" s="10" t="str">
        <f t="shared" si="131"/>
        <v/>
      </c>
      <c r="AM809" s="10" t="str">
        <f t="shared" si="132"/>
        <v/>
      </c>
    </row>
    <row r="810" spans="1:39" x14ac:dyDescent="0.25">
      <c r="A810" s="15">
        <v>27428010</v>
      </c>
      <c r="B810" s="15">
        <v>188.84</v>
      </c>
      <c r="C810" s="15">
        <v>65854</v>
      </c>
      <c r="D810" s="15">
        <v>109625</v>
      </c>
      <c r="E810" s="15" t="s">
        <v>185</v>
      </c>
      <c r="F810" s="15">
        <v>2011</v>
      </c>
      <c r="G810" s="15">
        <v>20110408</v>
      </c>
      <c r="H810" s="15">
        <v>16602</v>
      </c>
      <c r="I810" s="15">
        <v>1.66</v>
      </c>
      <c r="J810" s="6" t="s">
        <v>123</v>
      </c>
      <c r="K810" s="15">
        <v>583</v>
      </c>
      <c r="L810" s="15" t="s">
        <v>154</v>
      </c>
      <c r="M810" s="15" t="s">
        <v>155</v>
      </c>
      <c r="N810" s="11" t="s">
        <v>1384</v>
      </c>
      <c r="O810" s="11" t="s">
        <v>28</v>
      </c>
      <c r="P810" s="11" t="s">
        <v>33</v>
      </c>
      <c r="Q810" s="15">
        <v>0</v>
      </c>
      <c r="R810" s="11" t="s">
        <v>1386</v>
      </c>
      <c r="S810" s="10">
        <v>171.21882938461999</v>
      </c>
      <c r="T810" s="15">
        <v>80</v>
      </c>
      <c r="U810" s="15">
        <v>1</v>
      </c>
      <c r="V810" s="15">
        <v>0</v>
      </c>
      <c r="W810" s="15">
        <v>0</v>
      </c>
      <c r="X810" s="15">
        <f>IF(O810='Udvaskning nøgletal'!$D$65,1,IF(O810='Udvaskning nøgletal'!$D$66,2,IF(O810='Udvaskning nøgletal'!$D$67,3,IF(O810='Udvaskning nøgletal'!$D$68,2,""))))</f>
        <v>1</v>
      </c>
      <c r="Y810" s="15">
        <f>LOOKUP(K810,'Udvaskning nøgletal'!$C$12:$C$60,'Udvaskning nøgletal'!$H$12:$H$60)</f>
        <v>0</v>
      </c>
      <c r="Z810" s="10">
        <f>IF(X810=1,LOOKUP(K810,'Udvaskning nøgletal'!$C$12:$C$60,'Udvaskning nøgletal'!$E$12:$E$60)+Markniveau!Y810*Markniveau!S810/100,IF(X810=2,LOOKUP(K810,'Udvaskning nøgletal'!$C$12:$C$60,'Udvaskning nøgletal'!$F$12:$F$60)+Markniveau!Y810*Markniveau!S810/100,IF(X810=3,LOOKUP(K810,'Udvaskning nøgletal'!$C$12:$C$60,'Udvaskning nøgletal'!G820:G868)+Markniveau!Y810*Markniveau!S810/100,"")))</f>
        <v>10</v>
      </c>
      <c r="AA810" s="10">
        <f t="shared" si="126"/>
        <v>16.599999999999998</v>
      </c>
      <c r="AB810" s="10" t="str">
        <f t="shared" si="125"/>
        <v/>
      </c>
      <c r="AC810" s="10" t="str">
        <f t="shared" si="127"/>
        <v/>
      </c>
      <c r="AD810" s="10">
        <f>IF(AND(Q810&gt;0,Q810&lt;30,K810&lt;8),Markniveau!Z810*'Udvaskning nøgletal'!$I$12/100,IF(AND(Q810&gt;0,Q810&lt;30,K810=216),Markniveau!Z810*'Udvaskning nøgletal'!$I$34/100,Markniveau!Z810))</f>
        <v>10</v>
      </c>
      <c r="AE810" s="10">
        <f t="shared" si="133"/>
        <v>16.599999999999998</v>
      </c>
      <c r="AF810" s="10" t="str">
        <f t="shared" si="128"/>
        <v/>
      </c>
      <c r="AG810" s="10" t="str">
        <f t="shared" si="134"/>
        <v/>
      </c>
      <c r="AH810" s="10" t="str">
        <f>IF(AND(Q810&gt;0,Q810&lt;30,K810=216),'Udvaskning nøgletal'!$C$42,IF(AND(Q810&gt;0,Q810&lt;30,K810&gt;7,K810&lt;17),'Udvaskning nøgletal'!$C$61,IF(AND(Q810&gt;0,Q810&lt;30,K810&lt;7),'Udvaskning nøgletal'!$C$62,"")))</f>
        <v/>
      </c>
      <c r="AI810" s="10">
        <f t="shared" si="130"/>
        <v>583</v>
      </c>
      <c r="AJ810" s="10">
        <f>IF($X810=1,LOOKUP(AI810,'Udvaskning nøgletal'!$C$12:$C$62,'Udvaskning nøgletal'!$E$12:$E$62)+Markniveau!$Y810*Markniveau!$S810/100,IF($X810=2,LOOKUP(AI810,'Udvaskning nøgletal'!$C$12:$C$62,'Udvaskning nøgletal'!$F$12:$F$62)+Markniveau!$Y810*Markniveau!$S810/100,IF($X810=3,LOOKUP(AI810,'Udvaskning nøgletal'!$C$12:$C$62,'Udvaskning nøgletal'!Q820:Q870)+Markniveau!$Y810*Markniveau!$S810/100,"")))</f>
        <v>10</v>
      </c>
      <c r="AK810" s="10">
        <f t="shared" si="129"/>
        <v>16.599999999999998</v>
      </c>
      <c r="AL810" s="10" t="str">
        <f t="shared" si="131"/>
        <v/>
      </c>
      <c r="AM810" s="10" t="str">
        <f t="shared" si="132"/>
        <v/>
      </c>
    </row>
    <row r="811" spans="1:39" x14ac:dyDescent="0.25">
      <c r="A811" s="15">
        <v>27428010</v>
      </c>
      <c r="B811" s="15">
        <v>188.84</v>
      </c>
      <c r="C811" s="15">
        <v>65855</v>
      </c>
      <c r="D811" s="15">
        <v>109625</v>
      </c>
      <c r="E811" s="15" t="s">
        <v>185</v>
      </c>
      <c r="F811" s="15">
        <v>2011</v>
      </c>
      <c r="G811" s="15">
        <v>20110408</v>
      </c>
      <c r="H811" s="15">
        <v>36499</v>
      </c>
      <c r="I811" s="15">
        <v>3.65</v>
      </c>
      <c r="J811" s="6" t="s">
        <v>143</v>
      </c>
      <c r="K811" s="15">
        <v>583</v>
      </c>
      <c r="L811" s="15" t="s">
        <v>154</v>
      </c>
      <c r="M811" s="15" t="s">
        <v>155</v>
      </c>
      <c r="N811" s="11" t="s">
        <v>1384</v>
      </c>
      <c r="O811" s="11" t="s">
        <v>28</v>
      </c>
      <c r="P811" s="11" t="s">
        <v>33</v>
      </c>
      <c r="Q811" s="15">
        <v>0</v>
      </c>
      <c r="R811" s="11" t="s">
        <v>1386</v>
      </c>
      <c r="S811" s="10">
        <v>171.21882938461999</v>
      </c>
      <c r="T811" s="15">
        <v>80</v>
      </c>
      <c r="U811" s="15">
        <v>1</v>
      </c>
      <c r="V811" s="15">
        <v>0</v>
      </c>
      <c r="W811" s="15">
        <v>0</v>
      </c>
      <c r="X811" s="15">
        <f>IF(O811='Udvaskning nøgletal'!$D$65,1,IF(O811='Udvaskning nøgletal'!$D$66,2,IF(O811='Udvaskning nøgletal'!$D$67,3,IF(O811='Udvaskning nøgletal'!$D$68,2,""))))</f>
        <v>1</v>
      </c>
      <c r="Y811" s="15">
        <f>LOOKUP(K811,'Udvaskning nøgletal'!$C$12:$C$60,'Udvaskning nøgletal'!$H$12:$H$60)</f>
        <v>0</v>
      </c>
      <c r="Z811" s="10">
        <f>IF(X811=1,LOOKUP(K811,'Udvaskning nøgletal'!$C$12:$C$60,'Udvaskning nøgletal'!$E$12:$E$60)+Markniveau!Y811*Markniveau!S811/100,IF(X811=2,LOOKUP(K811,'Udvaskning nøgletal'!$C$12:$C$60,'Udvaskning nøgletal'!$F$12:$F$60)+Markniveau!Y811*Markniveau!S811/100,IF(X811=3,LOOKUP(K811,'Udvaskning nøgletal'!$C$12:$C$60,'Udvaskning nøgletal'!G821:G869)+Markniveau!Y811*Markniveau!S811/100,"")))</f>
        <v>10</v>
      </c>
      <c r="AA811" s="10">
        <f t="shared" si="126"/>
        <v>36.5</v>
      </c>
      <c r="AB811" s="10" t="str">
        <f t="shared" si="125"/>
        <v/>
      </c>
      <c r="AC811" s="10" t="str">
        <f t="shared" si="127"/>
        <v/>
      </c>
      <c r="AD811" s="10">
        <f>IF(AND(Q811&gt;0,Q811&lt;30,K811&lt;8),Markniveau!Z811*'Udvaskning nøgletal'!$I$12/100,IF(AND(Q811&gt;0,Q811&lt;30,K811=216),Markniveau!Z811*'Udvaskning nøgletal'!$I$34/100,Markniveau!Z811))</f>
        <v>10</v>
      </c>
      <c r="AE811" s="10">
        <f t="shared" si="133"/>
        <v>36.5</v>
      </c>
      <c r="AF811" s="10" t="str">
        <f t="shared" si="128"/>
        <v/>
      </c>
      <c r="AG811" s="10" t="str">
        <f t="shared" si="134"/>
        <v/>
      </c>
      <c r="AH811" s="10" t="str">
        <f>IF(AND(Q811&gt;0,Q811&lt;30,K811=216),'Udvaskning nøgletal'!$C$42,IF(AND(Q811&gt;0,Q811&lt;30,K811&gt;7,K811&lt;17),'Udvaskning nøgletal'!$C$61,IF(AND(Q811&gt;0,Q811&lt;30,K811&lt;7),'Udvaskning nøgletal'!$C$62,"")))</f>
        <v/>
      </c>
      <c r="AI811" s="10">
        <f t="shared" si="130"/>
        <v>583</v>
      </c>
      <c r="AJ811" s="10">
        <f>IF($X811=1,LOOKUP(AI811,'Udvaskning nøgletal'!$C$12:$C$62,'Udvaskning nøgletal'!$E$12:$E$62)+Markniveau!$Y811*Markniveau!$S811/100,IF($X811=2,LOOKUP(AI811,'Udvaskning nøgletal'!$C$12:$C$62,'Udvaskning nøgletal'!$F$12:$F$62)+Markniveau!$Y811*Markniveau!$S811/100,IF($X811=3,LOOKUP(AI811,'Udvaskning nøgletal'!$C$12:$C$62,'Udvaskning nøgletal'!Q821:Q871)+Markniveau!$Y811*Markniveau!$S811/100,"")))</f>
        <v>10</v>
      </c>
      <c r="AK811" s="10">
        <f t="shared" si="129"/>
        <v>36.5</v>
      </c>
      <c r="AL811" s="10" t="str">
        <f t="shared" si="131"/>
        <v/>
      </c>
      <c r="AM811" s="10" t="str">
        <f t="shared" si="132"/>
        <v/>
      </c>
    </row>
    <row r="812" spans="1:39" x14ac:dyDescent="0.25">
      <c r="A812" s="15">
        <v>27428010</v>
      </c>
      <c r="B812" s="15">
        <v>188.84</v>
      </c>
      <c r="C812" s="15">
        <v>65856</v>
      </c>
      <c r="D812" s="15">
        <v>109625</v>
      </c>
      <c r="E812" s="15" t="s">
        <v>185</v>
      </c>
      <c r="F812" s="15">
        <v>2011</v>
      </c>
      <c r="G812" s="15">
        <v>20110408</v>
      </c>
      <c r="H812" s="15">
        <v>80847</v>
      </c>
      <c r="I812" s="15">
        <v>8.08</v>
      </c>
      <c r="J812" s="6" t="s">
        <v>125</v>
      </c>
      <c r="K812" s="15">
        <v>583</v>
      </c>
      <c r="L812" s="15" t="s">
        <v>154</v>
      </c>
      <c r="M812" s="15" t="s">
        <v>155</v>
      </c>
      <c r="N812" s="11" t="s">
        <v>1384</v>
      </c>
      <c r="O812" s="11" t="s">
        <v>28</v>
      </c>
      <c r="P812" s="11" t="s">
        <v>33</v>
      </c>
      <c r="Q812" s="15">
        <v>0</v>
      </c>
      <c r="R812" s="11" t="s">
        <v>1386</v>
      </c>
      <c r="S812" s="10">
        <v>171.21882938461999</v>
      </c>
      <c r="T812" s="15">
        <v>80</v>
      </c>
      <c r="U812" s="15">
        <v>1</v>
      </c>
      <c r="V812" s="15">
        <v>0</v>
      </c>
      <c r="W812" s="15">
        <v>0</v>
      </c>
      <c r="X812" s="15">
        <f>IF(O812='Udvaskning nøgletal'!$D$65,1,IF(O812='Udvaskning nøgletal'!$D$66,2,IF(O812='Udvaskning nøgletal'!$D$67,3,IF(O812='Udvaskning nøgletal'!$D$68,2,""))))</f>
        <v>1</v>
      </c>
      <c r="Y812" s="15">
        <f>LOOKUP(K812,'Udvaskning nøgletal'!$C$12:$C$60,'Udvaskning nøgletal'!$H$12:$H$60)</f>
        <v>0</v>
      </c>
      <c r="Z812" s="10">
        <f>IF(X812=1,LOOKUP(K812,'Udvaskning nøgletal'!$C$12:$C$60,'Udvaskning nøgletal'!$E$12:$E$60)+Markniveau!Y812*Markniveau!S812/100,IF(X812=2,LOOKUP(K812,'Udvaskning nøgletal'!$C$12:$C$60,'Udvaskning nøgletal'!$F$12:$F$60)+Markniveau!Y812*Markniveau!S812/100,IF(X812=3,LOOKUP(K812,'Udvaskning nøgletal'!$C$12:$C$60,'Udvaskning nøgletal'!G822:G870)+Markniveau!Y812*Markniveau!S812/100,"")))</f>
        <v>10</v>
      </c>
      <c r="AA812" s="10">
        <f t="shared" si="126"/>
        <v>80.8</v>
      </c>
      <c r="AB812" s="10" t="str">
        <f t="shared" si="125"/>
        <v/>
      </c>
      <c r="AC812" s="10" t="str">
        <f t="shared" si="127"/>
        <v/>
      </c>
      <c r="AD812" s="10">
        <f>IF(AND(Q812&gt;0,Q812&lt;30,K812&lt;8),Markniveau!Z812*'Udvaskning nøgletal'!$I$12/100,IF(AND(Q812&gt;0,Q812&lt;30,K812=216),Markniveau!Z812*'Udvaskning nøgletal'!$I$34/100,Markniveau!Z812))</f>
        <v>10</v>
      </c>
      <c r="AE812" s="10">
        <f t="shared" si="133"/>
        <v>80.8</v>
      </c>
      <c r="AF812" s="10" t="str">
        <f t="shared" si="128"/>
        <v/>
      </c>
      <c r="AG812" s="10" t="str">
        <f t="shared" si="134"/>
        <v/>
      </c>
      <c r="AH812" s="10" t="str">
        <f>IF(AND(Q812&gt;0,Q812&lt;30,K812=216),'Udvaskning nøgletal'!$C$42,IF(AND(Q812&gt;0,Q812&lt;30,K812&gt;7,K812&lt;17),'Udvaskning nøgletal'!$C$61,IF(AND(Q812&gt;0,Q812&lt;30,K812&lt;7),'Udvaskning nøgletal'!$C$62,"")))</f>
        <v/>
      </c>
      <c r="AI812" s="10">
        <f t="shared" si="130"/>
        <v>583</v>
      </c>
      <c r="AJ812" s="10">
        <f>IF($X812=1,LOOKUP(AI812,'Udvaskning nøgletal'!$C$12:$C$62,'Udvaskning nøgletal'!$E$12:$E$62)+Markniveau!$Y812*Markniveau!$S812/100,IF($X812=2,LOOKUP(AI812,'Udvaskning nøgletal'!$C$12:$C$62,'Udvaskning nøgletal'!$F$12:$F$62)+Markniveau!$Y812*Markniveau!$S812/100,IF($X812=3,LOOKUP(AI812,'Udvaskning nøgletal'!$C$12:$C$62,'Udvaskning nøgletal'!Q822:Q872)+Markniveau!$Y812*Markniveau!$S812/100,"")))</f>
        <v>10</v>
      </c>
      <c r="AK812" s="10">
        <f t="shared" si="129"/>
        <v>80.8</v>
      </c>
      <c r="AL812" s="10" t="str">
        <f t="shared" si="131"/>
        <v/>
      </c>
      <c r="AM812" s="10" t="str">
        <f t="shared" si="132"/>
        <v/>
      </c>
    </row>
    <row r="813" spans="1:39" x14ac:dyDescent="0.25">
      <c r="A813" s="15">
        <v>27428010</v>
      </c>
      <c r="B813" s="15">
        <v>188.84</v>
      </c>
      <c r="C813" s="15">
        <v>65857</v>
      </c>
      <c r="D813" s="15">
        <v>109625</v>
      </c>
      <c r="E813" s="15" t="s">
        <v>185</v>
      </c>
      <c r="F813" s="15">
        <v>2011</v>
      </c>
      <c r="G813" s="15">
        <v>20110408</v>
      </c>
      <c r="H813" s="15">
        <v>32602</v>
      </c>
      <c r="I813" s="15">
        <v>3.26</v>
      </c>
      <c r="J813" s="6" t="s">
        <v>73</v>
      </c>
      <c r="K813" s="15">
        <v>583</v>
      </c>
      <c r="L813" s="15" t="s">
        <v>154</v>
      </c>
      <c r="M813" s="15" t="s">
        <v>155</v>
      </c>
      <c r="N813" s="11" t="s">
        <v>1384</v>
      </c>
      <c r="O813" s="11" t="s">
        <v>28</v>
      </c>
      <c r="P813" s="11" t="s">
        <v>33</v>
      </c>
      <c r="Q813" s="15">
        <v>0</v>
      </c>
      <c r="R813" s="11" t="s">
        <v>1386</v>
      </c>
      <c r="S813" s="10">
        <v>171.21882938461999</v>
      </c>
      <c r="T813" s="15">
        <v>80</v>
      </c>
      <c r="U813" s="15">
        <v>1</v>
      </c>
      <c r="V813" s="15">
        <v>0</v>
      </c>
      <c r="W813" s="15">
        <v>0</v>
      </c>
      <c r="X813" s="15">
        <f>IF(O813='Udvaskning nøgletal'!$D$65,1,IF(O813='Udvaskning nøgletal'!$D$66,2,IF(O813='Udvaskning nøgletal'!$D$67,3,IF(O813='Udvaskning nøgletal'!$D$68,2,""))))</f>
        <v>1</v>
      </c>
      <c r="Y813" s="15">
        <f>LOOKUP(K813,'Udvaskning nøgletal'!$C$12:$C$60,'Udvaskning nøgletal'!$H$12:$H$60)</f>
        <v>0</v>
      </c>
      <c r="Z813" s="10">
        <f>IF(X813=1,LOOKUP(K813,'Udvaskning nøgletal'!$C$12:$C$60,'Udvaskning nøgletal'!$E$12:$E$60)+Markniveau!Y813*Markniveau!S813/100,IF(X813=2,LOOKUP(K813,'Udvaskning nøgletal'!$C$12:$C$60,'Udvaskning nøgletal'!$F$12:$F$60)+Markniveau!Y813*Markniveau!S813/100,IF(X813=3,LOOKUP(K813,'Udvaskning nøgletal'!$C$12:$C$60,'Udvaskning nøgletal'!G823:G871)+Markniveau!Y813*Markniveau!S813/100,"")))</f>
        <v>10</v>
      </c>
      <c r="AA813" s="10">
        <f t="shared" si="126"/>
        <v>32.599999999999994</v>
      </c>
      <c r="AB813" s="10" t="str">
        <f t="shared" si="125"/>
        <v/>
      </c>
      <c r="AC813" s="10" t="str">
        <f t="shared" si="127"/>
        <v/>
      </c>
      <c r="AD813" s="10">
        <f>IF(AND(Q813&gt;0,Q813&lt;30,K813&lt;8),Markniveau!Z813*'Udvaskning nøgletal'!$I$12/100,IF(AND(Q813&gt;0,Q813&lt;30,K813=216),Markniveau!Z813*'Udvaskning nøgletal'!$I$34/100,Markniveau!Z813))</f>
        <v>10</v>
      </c>
      <c r="AE813" s="10">
        <f t="shared" si="133"/>
        <v>32.599999999999994</v>
      </c>
      <c r="AF813" s="10" t="str">
        <f t="shared" si="128"/>
        <v/>
      </c>
      <c r="AG813" s="10" t="str">
        <f t="shared" si="134"/>
        <v/>
      </c>
      <c r="AH813" s="10" t="str">
        <f>IF(AND(Q813&gt;0,Q813&lt;30,K813=216),'Udvaskning nøgletal'!$C$42,IF(AND(Q813&gt;0,Q813&lt;30,K813&gt;7,K813&lt;17),'Udvaskning nøgletal'!$C$61,IF(AND(Q813&gt;0,Q813&lt;30,K813&lt;7),'Udvaskning nøgletal'!$C$62,"")))</f>
        <v/>
      </c>
      <c r="AI813" s="10">
        <f t="shared" si="130"/>
        <v>583</v>
      </c>
      <c r="AJ813" s="10">
        <f>IF($X813=1,LOOKUP(AI813,'Udvaskning nøgletal'!$C$12:$C$62,'Udvaskning nøgletal'!$E$12:$E$62)+Markniveau!$Y813*Markniveau!$S813/100,IF($X813=2,LOOKUP(AI813,'Udvaskning nøgletal'!$C$12:$C$62,'Udvaskning nøgletal'!$F$12:$F$62)+Markniveau!$Y813*Markniveau!$S813/100,IF($X813=3,LOOKUP(AI813,'Udvaskning nøgletal'!$C$12:$C$62,'Udvaskning nøgletal'!Q823:Q873)+Markniveau!$Y813*Markniveau!$S813/100,"")))</f>
        <v>10</v>
      </c>
      <c r="AK813" s="10">
        <f t="shared" si="129"/>
        <v>32.599999999999994</v>
      </c>
      <c r="AL813" s="10" t="str">
        <f t="shared" si="131"/>
        <v/>
      </c>
      <c r="AM813" s="10" t="str">
        <f t="shared" si="132"/>
        <v/>
      </c>
    </row>
    <row r="814" spans="1:39" x14ac:dyDescent="0.25">
      <c r="A814" s="15">
        <v>27428010</v>
      </c>
      <c r="B814" s="15">
        <v>188.84</v>
      </c>
      <c r="C814" s="15">
        <v>65858</v>
      </c>
      <c r="D814" s="15">
        <v>109625</v>
      </c>
      <c r="E814" s="15" t="s">
        <v>653</v>
      </c>
      <c r="F814" s="15">
        <v>2011</v>
      </c>
      <c r="G814" s="15">
        <v>20110408</v>
      </c>
      <c r="H814" s="15">
        <v>60185</v>
      </c>
      <c r="I814" s="15">
        <v>6.02</v>
      </c>
      <c r="J814" s="6" t="s">
        <v>74</v>
      </c>
      <c r="K814" s="15">
        <v>311</v>
      </c>
      <c r="L814" s="15" t="s">
        <v>389</v>
      </c>
      <c r="M814" s="15" t="s">
        <v>13</v>
      </c>
      <c r="N814" s="11" t="s">
        <v>1384</v>
      </c>
      <c r="O814" s="11" t="s">
        <v>28</v>
      </c>
      <c r="P814" s="11" t="s">
        <v>33</v>
      </c>
      <c r="Q814" s="15">
        <v>0</v>
      </c>
      <c r="R814" s="11" t="s">
        <v>1386</v>
      </c>
      <c r="S814" s="10">
        <v>171.21882938461999</v>
      </c>
      <c r="T814" s="15">
        <v>80</v>
      </c>
      <c r="U814" s="15">
        <v>1</v>
      </c>
      <c r="V814" s="15">
        <v>0</v>
      </c>
      <c r="W814" s="15">
        <v>0</v>
      </c>
      <c r="X814" s="15">
        <f>IF(O814='Udvaskning nøgletal'!$D$65,1,IF(O814='Udvaskning nøgletal'!$D$66,2,IF(O814='Udvaskning nøgletal'!$D$67,3,IF(O814='Udvaskning nøgletal'!$D$68,2,""))))</f>
        <v>1</v>
      </c>
      <c r="Y814" s="15">
        <f>LOOKUP(K814,'Udvaskning nøgletal'!$C$12:$C$60,'Udvaskning nøgletal'!$H$12:$H$60)</f>
        <v>0</v>
      </c>
      <c r="Z814" s="10">
        <f>IF(X814=1,LOOKUP(K814,'Udvaskning nøgletal'!$C$12:$C$60,'Udvaskning nøgletal'!$E$12:$E$60)+Markniveau!Y814*Markniveau!S814/100,IF(X814=2,LOOKUP(K814,'Udvaskning nøgletal'!$C$12:$C$60,'Udvaskning nøgletal'!$F$12:$F$60)+Markniveau!Y814*Markniveau!S814/100,IF(X814=3,LOOKUP(K814,'Udvaskning nøgletal'!$C$12:$C$60,'Udvaskning nøgletal'!G824:G872)+Markniveau!Y814*Markniveau!S814/100,"")))</f>
        <v>10</v>
      </c>
      <c r="AA814" s="10">
        <f t="shared" si="126"/>
        <v>60.199999999999996</v>
      </c>
      <c r="AB814" s="10" t="str">
        <f t="shared" si="125"/>
        <v/>
      </c>
      <c r="AC814" s="10" t="str">
        <f t="shared" si="127"/>
        <v/>
      </c>
      <c r="AD814" s="10">
        <f>IF(AND(Q814&gt;0,Q814&lt;30,K814&lt;8),Markniveau!Z814*'Udvaskning nøgletal'!$I$12/100,IF(AND(Q814&gt;0,Q814&lt;30,K814=216),Markniveau!Z814*'Udvaskning nøgletal'!$I$34/100,Markniveau!Z814))</f>
        <v>10</v>
      </c>
      <c r="AE814" s="10">
        <f t="shared" si="133"/>
        <v>60.199999999999996</v>
      </c>
      <c r="AF814" s="10" t="str">
        <f t="shared" si="128"/>
        <v/>
      </c>
      <c r="AG814" s="10" t="str">
        <f t="shared" si="134"/>
        <v/>
      </c>
      <c r="AH814" s="10" t="str">
        <f>IF(AND(Q814&gt;0,Q814&lt;30,K814=216),'Udvaskning nøgletal'!$C$42,IF(AND(Q814&gt;0,Q814&lt;30,K814&gt;7,K814&lt;17),'Udvaskning nøgletal'!$C$61,IF(AND(Q814&gt;0,Q814&lt;30,K814&lt;7),'Udvaskning nøgletal'!$C$62,"")))</f>
        <v/>
      </c>
      <c r="AI814" s="10">
        <f t="shared" si="130"/>
        <v>311</v>
      </c>
      <c r="AJ814" s="10">
        <f>IF($X814=1,LOOKUP(AI814,'Udvaskning nøgletal'!$C$12:$C$62,'Udvaskning nøgletal'!$E$12:$E$62)+Markniveau!$Y814*Markniveau!$S814/100,IF($X814=2,LOOKUP(AI814,'Udvaskning nøgletal'!$C$12:$C$62,'Udvaskning nøgletal'!$F$12:$F$62)+Markniveau!$Y814*Markniveau!$S814/100,IF($X814=3,LOOKUP(AI814,'Udvaskning nøgletal'!$C$12:$C$62,'Udvaskning nøgletal'!Q824:Q874)+Markniveau!$Y814*Markniveau!$S814/100,"")))</f>
        <v>10</v>
      </c>
      <c r="AK814" s="10">
        <f t="shared" si="129"/>
        <v>60.199999999999996</v>
      </c>
      <c r="AL814" s="10" t="str">
        <f t="shared" si="131"/>
        <v/>
      </c>
      <c r="AM814" s="10" t="str">
        <f t="shared" si="132"/>
        <v/>
      </c>
    </row>
    <row r="815" spans="1:39" x14ac:dyDescent="0.25">
      <c r="A815" s="15">
        <v>27428010</v>
      </c>
      <c r="B815" s="15">
        <v>188.84</v>
      </c>
      <c r="C815" s="15">
        <v>65859</v>
      </c>
      <c r="D815" s="15">
        <v>109625</v>
      </c>
      <c r="E815" s="15" t="s">
        <v>185</v>
      </c>
      <c r="F815" s="15">
        <v>2011</v>
      </c>
      <c r="G815" s="15">
        <v>20110408</v>
      </c>
      <c r="H815" s="15">
        <v>24725</v>
      </c>
      <c r="I815" s="15">
        <v>2.4700000000000002</v>
      </c>
      <c r="J815" s="6" t="s">
        <v>89</v>
      </c>
      <c r="K815" s="15">
        <v>583</v>
      </c>
      <c r="L815" s="15" t="s">
        <v>154</v>
      </c>
      <c r="M815" s="15" t="s">
        <v>155</v>
      </c>
      <c r="N815" s="11" t="s">
        <v>1384</v>
      </c>
      <c r="O815" s="11" t="s">
        <v>28</v>
      </c>
      <c r="P815" s="11" t="s">
        <v>33</v>
      </c>
      <c r="Q815" s="15">
        <v>0</v>
      </c>
      <c r="R815" s="11" t="s">
        <v>1386</v>
      </c>
      <c r="S815" s="10">
        <v>171.21882938461999</v>
      </c>
      <c r="T815" s="15">
        <v>80</v>
      </c>
      <c r="U815" s="15">
        <v>1</v>
      </c>
      <c r="V815" s="15">
        <v>0</v>
      </c>
      <c r="W815" s="15">
        <v>0</v>
      </c>
      <c r="X815" s="15">
        <f>IF(O815='Udvaskning nøgletal'!$D$65,1,IF(O815='Udvaskning nøgletal'!$D$66,2,IF(O815='Udvaskning nøgletal'!$D$67,3,IF(O815='Udvaskning nøgletal'!$D$68,2,""))))</f>
        <v>1</v>
      </c>
      <c r="Y815" s="15">
        <f>LOOKUP(K815,'Udvaskning nøgletal'!$C$12:$C$60,'Udvaskning nøgletal'!$H$12:$H$60)</f>
        <v>0</v>
      </c>
      <c r="Z815" s="10">
        <f>IF(X815=1,LOOKUP(K815,'Udvaskning nøgletal'!$C$12:$C$60,'Udvaskning nøgletal'!$E$12:$E$60)+Markniveau!Y815*Markniveau!S815/100,IF(X815=2,LOOKUP(K815,'Udvaskning nøgletal'!$C$12:$C$60,'Udvaskning nøgletal'!$F$12:$F$60)+Markniveau!Y815*Markniveau!S815/100,IF(X815=3,LOOKUP(K815,'Udvaskning nøgletal'!$C$12:$C$60,'Udvaskning nøgletal'!G825:G873)+Markniveau!Y815*Markniveau!S815/100,"")))</f>
        <v>10</v>
      </c>
      <c r="AA815" s="10">
        <f t="shared" si="126"/>
        <v>24.700000000000003</v>
      </c>
      <c r="AB815" s="10" t="str">
        <f t="shared" si="125"/>
        <v/>
      </c>
      <c r="AC815" s="10" t="str">
        <f t="shared" si="127"/>
        <v/>
      </c>
      <c r="AD815" s="10">
        <f>IF(AND(Q815&gt;0,Q815&lt;30,K815&lt;8),Markniveau!Z815*'Udvaskning nøgletal'!$I$12/100,IF(AND(Q815&gt;0,Q815&lt;30,K815=216),Markniveau!Z815*'Udvaskning nøgletal'!$I$34/100,Markniveau!Z815))</f>
        <v>10</v>
      </c>
      <c r="AE815" s="10">
        <f t="shared" si="133"/>
        <v>24.700000000000003</v>
      </c>
      <c r="AF815" s="10" t="str">
        <f t="shared" si="128"/>
        <v/>
      </c>
      <c r="AG815" s="10" t="str">
        <f t="shared" si="134"/>
        <v/>
      </c>
      <c r="AH815" s="10" t="str">
        <f>IF(AND(Q815&gt;0,Q815&lt;30,K815=216),'Udvaskning nøgletal'!$C$42,IF(AND(Q815&gt;0,Q815&lt;30,K815&gt;7,K815&lt;17),'Udvaskning nøgletal'!$C$61,IF(AND(Q815&gt;0,Q815&lt;30,K815&lt;7),'Udvaskning nøgletal'!$C$62,"")))</f>
        <v/>
      </c>
      <c r="AI815" s="10">
        <f t="shared" si="130"/>
        <v>583</v>
      </c>
      <c r="AJ815" s="10">
        <f>IF($X815=1,LOOKUP(AI815,'Udvaskning nøgletal'!$C$12:$C$62,'Udvaskning nøgletal'!$E$12:$E$62)+Markniveau!$Y815*Markniveau!$S815/100,IF($X815=2,LOOKUP(AI815,'Udvaskning nøgletal'!$C$12:$C$62,'Udvaskning nøgletal'!$F$12:$F$62)+Markniveau!$Y815*Markniveau!$S815/100,IF($X815=3,LOOKUP(AI815,'Udvaskning nøgletal'!$C$12:$C$62,'Udvaskning nøgletal'!Q825:Q875)+Markniveau!$Y815*Markniveau!$S815/100,"")))</f>
        <v>10</v>
      </c>
      <c r="AK815" s="10">
        <f t="shared" si="129"/>
        <v>24.700000000000003</v>
      </c>
      <c r="AL815" s="10" t="str">
        <f t="shared" si="131"/>
        <v/>
      </c>
      <c r="AM815" s="10" t="str">
        <f t="shared" si="132"/>
        <v/>
      </c>
    </row>
    <row r="816" spans="1:39" x14ac:dyDescent="0.25">
      <c r="A816" s="15">
        <v>27428010</v>
      </c>
      <c r="B816" s="15">
        <v>188.84</v>
      </c>
      <c r="C816" s="15">
        <v>65860</v>
      </c>
      <c r="D816" s="15">
        <v>109625</v>
      </c>
      <c r="E816" s="15" t="s">
        <v>654</v>
      </c>
      <c r="F816" s="15">
        <v>2011</v>
      </c>
      <c r="G816" s="15">
        <v>20110408</v>
      </c>
      <c r="H816" s="15">
        <v>4145</v>
      </c>
      <c r="I816" s="15">
        <v>0.41</v>
      </c>
      <c r="J816" s="6" t="s">
        <v>397</v>
      </c>
      <c r="K816" s="15">
        <v>901</v>
      </c>
      <c r="L816" s="15" t="s">
        <v>80</v>
      </c>
      <c r="M816" s="15" t="s">
        <v>81</v>
      </c>
      <c r="N816" s="11" t="s">
        <v>1384</v>
      </c>
      <c r="O816" s="11" t="s">
        <v>28</v>
      </c>
      <c r="P816" s="11" t="s">
        <v>33</v>
      </c>
      <c r="Q816" s="15">
        <v>0</v>
      </c>
      <c r="R816" s="11" t="s">
        <v>1386</v>
      </c>
      <c r="S816" s="10">
        <v>171.21882938461999</v>
      </c>
      <c r="T816" s="15">
        <v>80</v>
      </c>
      <c r="U816" s="15">
        <v>1</v>
      </c>
      <c r="V816" s="15">
        <v>0</v>
      </c>
      <c r="W816" s="15">
        <v>0</v>
      </c>
      <c r="X816" s="15">
        <f>IF(O816='Udvaskning nøgletal'!$D$65,1,IF(O816='Udvaskning nøgletal'!$D$66,2,IF(O816='Udvaskning nøgletal'!$D$67,3,IF(O816='Udvaskning nøgletal'!$D$68,2,""))))</f>
        <v>1</v>
      </c>
      <c r="Y816" s="15">
        <f>LOOKUP(K816,'Udvaskning nøgletal'!$C$12:$C$60,'Udvaskning nøgletal'!$H$12:$H$60)</f>
        <v>0</v>
      </c>
      <c r="Z816" s="10">
        <f>IF(X816=1,LOOKUP(K816,'Udvaskning nøgletal'!$C$12:$C$60,'Udvaskning nøgletal'!$E$12:$E$60)+Markniveau!Y816*Markniveau!S816/100,IF(X816=2,LOOKUP(K816,'Udvaskning nøgletal'!$C$12:$C$60,'Udvaskning nøgletal'!$F$12:$F$60)+Markniveau!Y816*Markniveau!S816/100,IF(X816=3,LOOKUP(K816,'Udvaskning nøgletal'!$C$12:$C$60,'Udvaskning nøgletal'!G826:G874)+Markniveau!Y816*Markniveau!S816/100,"")))</f>
        <v>10</v>
      </c>
      <c r="AA816" s="10">
        <f t="shared" si="126"/>
        <v>4.0999999999999996</v>
      </c>
      <c r="AB816" s="10" t="str">
        <f t="shared" si="125"/>
        <v/>
      </c>
      <c r="AC816" s="10" t="str">
        <f t="shared" si="127"/>
        <v/>
      </c>
      <c r="AD816" s="10">
        <f>IF(AND(Q816&gt;0,Q816&lt;30,K816&lt;8),Markniveau!Z816*'Udvaskning nøgletal'!$I$12/100,IF(AND(Q816&gt;0,Q816&lt;30,K816=216),Markniveau!Z816*'Udvaskning nøgletal'!$I$34/100,Markniveau!Z816))</f>
        <v>10</v>
      </c>
      <c r="AE816" s="10">
        <f t="shared" si="133"/>
        <v>4.0999999999999996</v>
      </c>
      <c r="AF816" s="10" t="str">
        <f t="shared" si="128"/>
        <v/>
      </c>
      <c r="AG816" s="10" t="str">
        <f t="shared" si="134"/>
        <v/>
      </c>
      <c r="AH816" s="10" t="str">
        <f>IF(AND(Q816&gt;0,Q816&lt;30,K816=216),'Udvaskning nøgletal'!$C$42,IF(AND(Q816&gt;0,Q816&lt;30,K816&gt;7,K816&lt;17),'Udvaskning nøgletal'!$C$61,IF(AND(Q816&gt;0,Q816&lt;30,K816&lt;7),'Udvaskning nøgletal'!$C$62,"")))</f>
        <v/>
      </c>
      <c r="AI816" s="10">
        <f t="shared" si="130"/>
        <v>901</v>
      </c>
      <c r="AJ816" s="10">
        <f>IF($X816=1,LOOKUP(AI816,'Udvaskning nøgletal'!$C$12:$C$62,'Udvaskning nøgletal'!$E$12:$E$62)+Markniveau!$Y816*Markniveau!$S816/100,IF($X816=2,LOOKUP(AI816,'Udvaskning nøgletal'!$C$12:$C$62,'Udvaskning nøgletal'!$F$12:$F$62)+Markniveau!$Y816*Markniveau!$S816/100,IF($X816=3,LOOKUP(AI816,'Udvaskning nøgletal'!$C$12:$C$62,'Udvaskning nøgletal'!Q826:Q876)+Markniveau!$Y816*Markniveau!$S816/100,"")))</f>
        <v>10</v>
      </c>
      <c r="AK816" s="10">
        <f t="shared" si="129"/>
        <v>4.0999999999999996</v>
      </c>
      <c r="AL816" s="10" t="str">
        <f t="shared" si="131"/>
        <v/>
      </c>
      <c r="AM816" s="10" t="str">
        <f t="shared" si="132"/>
        <v/>
      </c>
    </row>
    <row r="817" spans="1:39" x14ac:dyDescent="0.25">
      <c r="A817" s="15">
        <v>27428010</v>
      </c>
      <c r="B817" s="15">
        <v>188.84</v>
      </c>
      <c r="C817" s="15">
        <v>69627</v>
      </c>
      <c r="D817" s="15">
        <v>109625</v>
      </c>
      <c r="E817" s="15" t="s">
        <v>489</v>
      </c>
      <c r="F817" s="15">
        <v>2011</v>
      </c>
      <c r="G817" s="15">
        <v>20110408</v>
      </c>
      <c r="H817" s="15">
        <v>111579</v>
      </c>
      <c r="I817" s="15">
        <v>11.16</v>
      </c>
      <c r="J817" s="6" t="s">
        <v>655</v>
      </c>
      <c r="K817" s="15">
        <v>216</v>
      </c>
      <c r="L817" s="15" t="s">
        <v>116</v>
      </c>
      <c r="M817" s="15" t="s">
        <v>5</v>
      </c>
      <c r="N817" s="11" t="s">
        <v>1406</v>
      </c>
      <c r="O817" s="11" t="s">
        <v>46</v>
      </c>
      <c r="P817" s="11" t="s">
        <v>29</v>
      </c>
      <c r="Q817" s="15">
        <v>95</v>
      </c>
      <c r="R817" s="11" t="s">
        <v>3</v>
      </c>
      <c r="S817" s="10">
        <v>171.21882938461999</v>
      </c>
      <c r="T817" s="15">
        <v>80</v>
      </c>
      <c r="U817" s="15">
        <v>1</v>
      </c>
      <c r="V817" s="15">
        <v>0</v>
      </c>
      <c r="W817" s="15">
        <v>0</v>
      </c>
      <c r="X817" s="15">
        <f>IF(O817='Udvaskning nøgletal'!$D$65,1,IF(O817='Udvaskning nøgletal'!$D$66,2,IF(O817='Udvaskning nøgletal'!$D$67,3,IF(O817='Udvaskning nøgletal'!$D$68,2,""))))</f>
        <v>2</v>
      </c>
      <c r="Y817" s="15">
        <f>LOOKUP(K817,'Udvaskning nøgletal'!$C$12:$C$60,'Udvaskning nøgletal'!$H$12:$H$60)</f>
        <v>0</v>
      </c>
      <c r="Z817" s="10">
        <f>IF(X817=1,LOOKUP(K817,'Udvaskning nøgletal'!$C$12:$C$60,'Udvaskning nøgletal'!$E$12:$E$60)+Markniveau!Y817*Markniveau!S817/100,IF(X817=2,LOOKUP(K817,'Udvaskning nøgletal'!$C$12:$C$60,'Udvaskning nøgletal'!$F$12:$F$60)+Markniveau!Y817*Markniveau!S817/100,IF(X817=3,LOOKUP(K817,'Udvaskning nøgletal'!$C$12:$C$60,'Udvaskning nøgletal'!G827:G875)+Markniveau!Y817*Markniveau!S817/100,"")))</f>
        <v>101.66744640811392</v>
      </c>
      <c r="AA817" s="10">
        <f t="shared" si="126"/>
        <v>1134.6087019145514</v>
      </c>
      <c r="AB817" s="10">
        <f t="shared" si="125"/>
        <v>5.0833723204056955</v>
      </c>
      <c r="AC817" s="10">
        <f t="shared" si="127"/>
        <v>56.730435095727564</v>
      </c>
      <c r="AD817" s="10">
        <f>IF(AND(Q817&gt;0,Q817&lt;30,K817&lt;8),Markniveau!Z817*'Udvaskning nøgletal'!$I$12/100,IF(AND(Q817&gt;0,Q817&lt;30,K817=216),Markniveau!Z817*'Udvaskning nøgletal'!$I$34/100,Markniveau!Z817))</f>
        <v>101.66744640811392</v>
      </c>
      <c r="AE817" s="10">
        <f t="shared" si="133"/>
        <v>1134.6087019145514</v>
      </c>
      <c r="AF817" s="10">
        <f t="shared" si="128"/>
        <v>5.0833723204056955</v>
      </c>
      <c r="AG817" s="10">
        <f t="shared" si="134"/>
        <v>56.730435095727564</v>
      </c>
      <c r="AH817" s="10" t="str">
        <f>IF(AND(Q817&gt;0,Q817&lt;30,K817=216),'Udvaskning nøgletal'!$C$42,IF(AND(Q817&gt;0,Q817&lt;30,K817&gt;7,K817&lt;17),'Udvaskning nøgletal'!$C$61,IF(AND(Q817&gt;0,Q817&lt;30,K817&lt;7),'Udvaskning nøgletal'!$C$62,"")))</f>
        <v/>
      </c>
      <c r="AI817" s="10">
        <f t="shared" si="130"/>
        <v>216</v>
      </c>
      <c r="AJ817" s="10">
        <f>IF($X817=1,LOOKUP(AI817,'Udvaskning nøgletal'!$C$12:$C$62,'Udvaskning nøgletal'!$E$12:$E$62)+Markniveau!$Y817*Markniveau!$S817/100,IF($X817=2,LOOKUP(AI817,'Udvaskning nøgletal'!$C$12:$C$62,'Udvaskning nøgletal'!$F$12:$F$62)+Markniveau!$Y817*Markniveau!$S817/100,IF($X817=3,LOOKUP(AI817,'Udvaskning nøgletal'!$C$12:$C$62,'Udvaskning nøgletal'!Q827:Q877)+Markniveau!$Y817*Markniveau!$S817/100,"")))</f>
        <v>101.66744640811392</v>
      </c>
      <c r="AK817" s="10">
        <f t="shared" si="129"/>
        <v>1134.6087019145514</v>
      </c>
      <c r="AL817" s="10">
        <f t="shared" si="131"/>
        <v>5.0833723204056955</v>
      </c>
      <c r="AM817" s="10">
        <f t="shared" si="132"/>
        <v>56.730435095727564</v>
      </c>
    </row>
    <row r="818" spans="1:39" x14ac:dyDescent="0.25">
      <c r="A818" s="15">
        <v>27428010</v>
      </c>
      <c r="B818" s="15">
        <v>188.84</v>
      </c>
      <c r="C818" s="15">
        <v>72873</v>
      </c>
      <c r="D818" s="15">
        <v>109625</v>
      </c>
      <c r="E818" s="15" t="s">
        <v>360</v>
      </c>
      <c r="F818" s="15">
        <v>2011</v>
      </c>
      <c r="G818" s="15">
        <v>20110408</v>
      </c>
      <c r="H818" s="15">
        <v>114321</v>
      </c>
      <c r="I818" s="15">
        <v>11.43</v>
      </c>
      <c r="J818" s="6" t="s">
        <v>35</v>
      </c>
      <c r="K818" s="15">
        <v>230</v>
      </c>
      <c r="L818" s="15" t="s">
        <v>120</v>
      </c>
      <c r="M818" s="15" t="s">
        <v>5</v>
      </c>
      <c r="N818" s="11" t="s">
        <v>1384</v>
      </c>
      <c r="O818" s="11" t="s">
        <v>28</v>
      </c>
      <c r="P818" s="11" t="s">
        <v>29</v>
      </c>
      <c r="Q818" s="15">
        <v>95</v>
      </c>
      <c r="R818" s="11" t="s">
        <v>3</v>
      </c>
      <c r="S818" s="10">
        <v>171.21882938461999</v>
      </c>
      <c r="T818" s="15">
        <v>80</v>
      </c>
      <c r="U818" s="15">
        <v>1</v>
      </c>
      <c r="V818" s="15">
        <v>0</v>
      </c>
      <c r="W818" s="15">
        <v>0</v>
      </c>
      <c r="X818" s="15">
        <f>IF(O818='Udvaskning nøgletal'!$D$65,1,IF(O818='Udvaskning nøgletal'!$D$66,2,IF(O818='Udvaskning nøgletal'!$D$67,3,IF(O818='Udvaskning nøgletal'!$D$68,2,""))))</f>
        <v>1</v>
      </c>
      <c r="Y818" s="15">
        <f>LOOKUP(K818,'Udvaskning nøgletal'!$C$12:$C$60,'Udvaskning nøgletal'!$H$12:$H$60)</f>
        <v>0</v>
      </c>
      <c r="Z818" s="10">
        <f>IF(X818=1,LOOKUP(K818,'Udvaskning nøgletal'!$C$12:$C$60,'Udvaskning nøgletal'!$E$12:$E$60)+Markniveau!Y818*Markniveau!S818/100,IF(X818=2,LOOKUP(K818,'Udvaskning nøgletal'!$C$12:$C$60,'Udvaskning nøgletal'!$F$12:$F$60)+Markniveau!Y818*Markniveau!S818/100,IF(X818=3,LOOKUP(K818,'Udvaskning nøgletal'!$C$12:$C$60,'Udvaskning nøgletal'!G828:G876)+Markniveau!Y818*Markniveau!S818/100,"")))</f>
        <v>38.620385460262987</v>
      </c>
      <c r="AA818" s="10">
        <f t="shared" si="126"/>
        <v>441.43100581080591</v>
      </c>
      <c r="AB818" s="10">
        <f t="shared" si="125"/>
        <v>1.9310192730131492</v>
      </c>
      <c r="AC818" s="10">
        <f t="shared" si="127"/>
        <v>22.071550290540294</v>
      </c>
      <c r="AD818" s="10">
        <f>IF(AND(Q818&gt;0,Q818&lt;30,K818&lt;8),Markniveau!Z818*'Udvaskning nøgletal'!$I$12/100,IF(AND(Q818&gt;0,Q818&lt;30,K818=216),Markniveau!Z818*'Udvaskning nøgletal'!$I$34/100,Markniveau!Z818))</f>
        <v>38.620385460262987</v>
      </c>
      <c r="AE818" s="10">
        <f t="shared" si="133"/>
        <v>441.43100581080591</v>
      </c>
      <c r="AF818" s="10">
        <f t="shared" si="128"/>
        <v>1.9310192730131492</v>
      </c>
      <c r="AG818" s="10">
        <f t="shared" si="134"/>
        <v>22.071550290540294</v>
      </c>
      <c r="AH818" s="10" t="str">
        <f>IF(AND(Q818&gt;0,Q818&lt;30,K818=216),'Udvaskning nøgletal'!$C$42,IF(AND(Q818&gt;0,Q818&lt;30,K818&gt;7,K818&lt;17),'Udvaskning nøgletal'!$C$61,IF(AND(Q818&gt;0,Q818&lt;30,K818&lt;7),'Udvaskning nøgletal'!$C$62,"")))</f>
        <v/>
      </c>
      <c r="AI818" s="10">
        <f t="shared" si="130"/>
        <v>230</v>
      </c>
      <c r="AJ818" s="10">
        <f>IF($X818=1,LOOKUP(AI818,'Udvaskning nøgletal'!$C$12:$C$62,'Udvaskning nøgletal'!$E$12:$E$62)+Markniveau!$Y818*Markniveau!$S818/100,IF($X818=2,LOOKUP(AI818,'Udvaskning nøgletal'!$C$12:$C$62,'Udvaskning nøgletal'!$F$12:$F$62)+Markniveau!$Y818*Markniveau!$S818/100,IF($X818=3,LOOKUP(AI818,'Udvaskning nøgletal'!$C$12:$C$62,'Udvaskning nøgletal'!Q828:Q878)+Markniveau!$Y818*Markniveau!$S818/100,"")))</f>
        <v>38.620385460262987</v>
      </c>
      <c r="AK818" s="10">
        <f t="shared" si="129"/>
        <v>441.43100581080591</v>
      </c>
      <c r="AL818" s="10">
        <f t="shared" si="131"/>
        <v>1.9310192730131492</v>
      </c>
      <c r="AM818" s="10">
        <f t="shared" si="132"/>
        <v>22.071550290540294</v>
      </c>
    </row>
    <row r="819" spans="1:39" x14ac:dyDescent="0.25">
      <c r="A819" s="15">
        <v>27428010</v>
      </c>
      <c r="B819" s="15">
        <v>188.84</v>
      </c>
      <c r="C819" s="15">
        <v>73033</v>
      </c>
      <c r="D819" s="15">
        <v>109625</v>
      </c>
      <c r="E819" s="15" t="s">
        <v>363</v>
      </c>
      <c r="F819" s="15">
        <v>2011</v>
      </c>
      <c r="G819" s="15">
        <v>20110408</v>
      </c>
      <c r="H819" s="15">
        <v>374653</v>
      </c>
      <c r="I819" s="15">
        <v>37.47</v>
      </c>
      <c r="J819" s="6" t="s">
        <v>61</v>
      </c>
      <c r="K819" s="15">
        <v>216</v>
      </c>
      <c r="L819" s="15" t="s">
        <v>116</v>
      </c>
      <c r="M819" s="15" t="s">
        <v>5</v>
      </c>
      <c r="N819" s="11" t="s">
        <v>1384</v>
      </c>
      <c r="O819" s="11" t="s">
        <v>28</v>
      </c>
      <c r="P819" s="11" t="s">
        <v>29</v>
      </c>
      <c r="Q819" s="15">
        <v>95</v>
      </c>
      <c r="R819" s="11" t="s">
        <v>3</v>
      </c>
      <c r="S819" s="10">
        <v>171.21882938461999</v>
      </c>
      <c r="T819" s="15">
        <v>80</v>
      </c>
      <c r="U819" s="15">
        <v>1</v>
      </c>
      <c r="V819" s="15">
        <v>0</v>
      </c>
      <c r="W819" s="15">
        <v>0</v>
      </c>
      <c r="X819" s="15">
        <f>IF(O819='Udvaskning nøgletal'!$D$65,1,IF(O819='Udvaskning nøgletal'!$D$66,2,IF(O819='Udvaskning nøgletal'!$D$67,3,IF(O819='Udvaskning nøgletal'!$D$68,2,""))))</f>
        <v>1</v>
      </c>
      <c r="Y819" s="15">
        <f>LOOKUP(K819,'Udvaskning nøgletal'!$C$12:$C$60,'Udvaskning nøgletal'!$H$12:$H$60)</f>
        <v>0</v>
      </c>
      <c r="Z819" s="10">
        <f>IF(X819=1,LOOKUP(K819,'Udvaskning nøgletal'!$C$12:$C$60,'Udvaskning nøgletal'!$E$12:$E$60)+Markniveau!Y819*Markniveau!S819/100,IF(X819=2,LOOKUP(K819,'Udvaskning nøgletal'!$C$12:$C$60,'Udvaskning nøgletal'!$F$12:$F$60)+Markniveau!Y819*Markniveau!S819/100,IF(X819=3,LOOKUP(K819,'Udvaskning nøgletal'!$C$12:$C$60,'Udvaskning nøgletal'!G829:G877)+Markniveau!Y819*Markniveau!S819/100,"")))</f>
        <v>125.85383557148924</v>
      </c>
      <c r="AA819" s="10">
        <f t="shared" si="126"/>
        <v>4715.7432188637022</v>
      </c>
      <c r="AB819" s="10">
        <f t="shared" si="125"/>
        <v>6.2926917785744623</v>
      </c>
      <c r="AC819" s="10">
        <f t="shared" si="127"/>
        <v>235.78716094318509</v>
      </c>
      <c r="AD819" s="10">
        <f>IF(AND(Q819&gt;0,Q819&lt;30,K819&lt;8),Markniveau!Z819*'Udvaskning nøgletal'!$I$12/100,IF(AND(Q819&gt;0,Q819&lt;30,K819=216),Markniveau!Z819*'Udvaskning nøgletal'!$I$34/100,Markniveau!Z819))</f>
        <v>125.85383557148924</v>
      </c>
      <c r="AE819" s="10">
        <f t="shared" si="133"/>
        <v>4715.7432188637022</v>
      </c>
      <c r="AF819" s="10">
        <f t="shared" si="128"/>
        <v>6.2926917785744623</v>
      </c>
      <c r="AG819" s="10">
        <f t="shared" si="134"/>
        <v>235.78716094318509</v>
      </c>
      <c r="AH819" s="10" t="str">
        <f>IF(AND(Q819&gt;0,Q819&lt;30,K819=216),'Udvaskning nøgletal'!$C$42,IF(AND(Q819&gt;0,Q819&lt;30,K819&gt;7,K819&lt;17),'Udvaskning nøgletal'!$C$61,IF(AND(Q819&gt;0,Q819&lt;30,K819&lt;7),'Udvaskning nøgletal'!$C$62,"")))</f>
        <v/>
      </c>
      <c r="AI819" s="10">
        <f t="shared" si="130"/>
        <v>216</v>
      </c>
      <c r="AJ819" s="10">
        <f>IF($X819=1,LOOKUP(AI819,'Udvaskning nøgletal'!$C$12:$C$62,'Udvaskning nøgletal'!$E$12:$E$62)+Markniveau!$Y819*Markniveau!$S819/100,IF($X819=2,LOOKUP(AI819,'Udvaskning nøgletal'!$C$12:$C$62,'Udvaskning nøgletal'!$F$12:$F$62)+Markniveau!$Y819*Markniveau!$S819/100,IF($X819=3,LOOKUP(AI819,'Udvaskning nøgletal'!$C$12:$C$62,'Udvaskning nøgletal'!Q829:Q879)+Markniveau!$Y819*Markniveau!$S819/100,"")))</f>
        <v>125.85383557148924</v>
      </c>
      <c r="AK819" s="10">
        <f t="shared" si="129"/>
        <v>4715.7432188637022</v>
      </c>
      <c r="AL819" s="10">
        <f t="shared" si="131"/>
        <v>6.2926917785744623</v>
      </c>
      <c r="AM819" s="10">
        <f t="shared" si="132"/>
        <v>235.78716094318509</v>
      </c>
    </row>
    <row r="820" spans="1:39" x14ac:dyDescent="0.25">
      <c r="A820" s="15">
        <v>27428010</v>
      </c>
      <c r="B820" s="15">
        <v>188.84</v>
      </c>
      <c r="C820" s="15">
        <v>73034</v>
      </c>
      <c r="D820" s="15">
        <v>109625</v>
      </c>
      <c r="E820" s="15" t="s">
        <v>656</v>
      </c>
      <c r="F820" s="15">
        <v>2011</v>
      </c>
      <c r="G820" s="15">
        <v>20110408</v>
      </c>
      <c r="H820" s="15">
        <v>70323</v>
      </c>
      <c r="I820" s="15">
        <v>7.03</v>
      </c>
      <c r="J820" s="6" t="s">
        <v>34</v>
      </c>
      <c r="K820" s="15">
        <v>216</v>
      </c>
      <c r="L820" s="15" t="s">
        <v>116</v>
      </c>
      <c r="M820" s="15" t="s">
        <v>5</v>
      </c>
      <c r="N820" s="11" t="s">
        <v>1406</v>
      </c>
      <c r="O820" s="11" t="s">
        <v>46</v>
      </c>
      <c r="P820" s="11" t="s">
        <v>29</v>
      </c>
      <c r="Q820" s="15">
        <v>95</v>
      </c>
      <c r="R820" s="11" t="s">
        <v>3</v>
      </c>
      <c r="S820" s="10">
        <v>171.21882938461999</v>
      </c>
      <c r="T820" s="15">
        <v>80</v>
      </c>
      <c r="U820" s="15">
        <v>1</v>
      </c>
      <c r="V820" s="15">
        <v>0</v>
      </c>
      <c r="W820" s="15">
        <v>0</v>
      </c>
      <c r="X820" s="15">
        <f>IF(O820='Udvaskning nøgletal'!$D$65,1,IF(O820='Udvaskning nøgletal'!$D$66,2,IF(O820='Udvaskning nøgletal'!$D$67,3,IF(O820='Udvaskning nøgletal'!$D$68,2,""))))</f>
        <v>2</v>
      </c>
      <c r="Y820" s="15">
        <f>LOOKUP(K820,'Udvaskning nøgletal'!$C$12:$C$60,'Udvaskning nøgletal'!$H$12:$H$60)</f>
        <v>0</v>
      </c>
      <c r="Z820" s="10">
        <f>IF(X820=1,LOOKUP(K820,'Udvaskning nøgletal'!$C$12:$C$60,'Udvaskning nøgletal'!$E$12:$E$60)+Markniveau!Y820*Markniveau!S820/100,IF(X820=2,LOOKUP(K820,'Udvaskning nøgletal'!$C$12:$C$60,'Udvaskning nøgletal'!$F$12:$F$60)+Markniveau!Y820*Markniveau!S820/100,IF(X820=3,LOOKUP(K820,'Udvaskning nøgletal'!$C$12:$C$60,'Udvaskning nøgletal'!G830:G878)+Markniveau!Y820*Markniveau!S820/100,"")))</f>
        <v>101.66744640811392</v>
      </c>
      <c r="AA820" s="10">
        <f t="shared" si="126"/>
        <v>714.72214824904086</v>
      </c>
      <c r="AB820" s="10">
        <f t="shared" si="125"/>
        <v>5.0833723204056955</v>
      </c>
      <c r="AC820" s="10">
        <f t="shared" si="127"/>
        <v>35.736107412452043</v>
      </c>
      <c r="AD820" s="10">
        <f>IF(AND(Q820&gt;0,Q820&lt;30,K820&lt;8),Markniveau!Z820*'Udvaskning nøgletal'!$I$12/100,IF(AND(Q820&gt;0,Q820&lt;30,K820=216),Markniveau!Z820*'Udvaskning nøgletal'!$I$34/100,Markniveau!Z820))</f>
        <v>101.66744640811392</v>
      </c>
      <c r="AE820" s="10">
        <f t="shared" si="133"/>
        <v>714.72214824904086</v>
      </c>
      <c r="AF820" s="10">
        <f t="shared" si="128"/>
        <v>5.0833723204056955</v>
      </c>
      <c r="AG820" s="10">
        <f t="shared" si="134"/>
        <v>35.736107412452043</v>
      </c>
      <c r="AH820" s="10" t="str">
        <f>IF(AND(Q820&gt;0,Q820&lt;30,K820=216),'Udvaskning nøgletal'!$C$42,IF(AND(Q820&gt;0,Q820&lt;30,K820&gt;7,K820&lt;17),'Udvaskning nøgletal'!$C$61,IF(AND(Q820&gt;0,Q820&lt;30,K820&lt;7),'Udvaskning nøgletal'!$C$62,"")))</f>
        <v/>
      </c>
      <c r="AI820" s="10">
        <f t="shared" si="130"/>
        <v>216</v>
      </c>
      <c r="AJ820" s="10">
        <f>IF($X820=1,LOOKUP(AI820,'Udvaskning nøgletal'!$C$12:$C$62,'Udvaskning nøgletal'!$E$12:$E$62)+Markniveau!$Y820*Markniveau!$S820/100,IF($X820=2,LOOKUP(AI820,'Udvaskning nøgletal'!$C$12:$C$62,'Udvaskning nøgletal'!$F$12:$F$62)+Markniveau!$Y820*Markniveau!$S820/100,IF($X820=3,LOOKUP(AI820,'Udvaskning nøgletal'!$C$12:$C$62,'Udvaskning nøgletal'!Q830:Q880)+Markniveau!$Y820*Markniveau!$S820/100,"")))</f>
        <v>101.66744640811392</v>
      </c>
      <c r="AK820" s="10">
        <f t="shared" si="129"/>
        <v>714.72214824904086</v>
      </c>
      <c r="AL820" s="10">
        <f t="shared" si="131"/>
        <v>5.0833723204056955</v>
      </c>
      <c r="AM820" s="10">
        <f t="shared" si="132"/>
        <v>35.736107412452043</v>
      </c>
    </row>
    <row r="821" spans="1:39" x14ac:dyDescent="0.25">
      <c r="A821" s="15">
        <v>27428010</v>
      </c>
      <c r="B821" s="15">
        <v>188.84</v>
      </c>
      <c r="C821" s="15">
        <v>77363</v>
      </c>
      <c r="D821" s="15">
        <v>109625</v>
      </c>
      <c r="E821" s="15" t="s">
        <v>490</v>
      </c>
      <c r="F821" s="15">
        <v>2011</v>
      </c>
      <c r="G821" s="15">
        <v>20110408</v>
      </c>
      <c r="H821" s="15">
        <v>14458</v>
      </c>
      <c r="I821" s="15">
        <v>1.45</v>
      </c>
      <c r="J821" s="6" t="s">
        <v>657</v>
      </c>
      <c r="K821" s="15">
        <v>216</v>
      </c>
      <c r="L821" s="15" t="s">
        <v>116</v>
      </c>
      <c r="M821" s="15" t="s">
        <v>5</v>
      </c>
      <c r="N821" s="11" t="s">
        <v>1384</v>
      </c>
      <c r="O821" s="11" t="s">
        <v>28</v>
      </c>
      <c r="P821" s="11" t="s">
        <v>29</v>
      </c>
      <c r="Q821" s="15">
        <v>95</v>
      </c>
      <c r="R821" s="11" t="s">
        <v>3</v>
      </c>
      <c r="S821" s="10">
        <v>171.21882938461999</v>
      </c>
      <c r="T821" s="15">
        <v>80</v>
      </c>
      <c r="U821" s="15">
        <v>1</v>
      </c>
      <c r="V821" s="15">
        <v>0</v>
      </c>
      <c r="W821" s="15">
        <v>0</v>
      </c>
      <c r="X821" s="15">
        <f>IF(O821='Udvaskning nøgletal'!$D$65,1,IF(O821='Udvaskning nøgletal'!$D$66,2,IF(O821='Udvaskning nøgletal'!$D$67,3,IF(O821='Udvaskning nøgletal'!$D$68,2,""))))</f>
        <v>1</v>
      </c>
      <c r="Y821" s="15">
        <f>LOOKUP(K821,'Udvaskning nøgletal'!$C$12:$C$60,'Udvaskning nøgletal'!$H$12:$H$60)</f>
        <v>0</v>
      </c>
      <c r="Z821" s="10">
        <f>IF(X821=1,LOOKUP(K821,'Udvaskning nøgletal'!$C$12:$C$60,'Udvaskning nøgletal'!$E$12:$E$60)+Markniveau!Y821*Markniveau!S821/100,IF(X821=2,LOOKUP(K821,'Udvaskning nøgletal'!$C$12:$C$60,'Udvaskning nøgletal'!$F$12:$F$60)+Markniveau!Y821*Markniveau!S821/100,IF(X821=3,LOOKUP(K821,'Udvaskning nøgletal'!$C$12:$C$60,'Udvaskning nøgletal'!G831:G879)+Markniveau!Y821*Markniveau!S821/100,"")))</f>
        <v>125.85383557148924</v>
      </c>
      <c r="AA821" s="10">
        <f t="shared" si="126"/>
        <v>182.4880615786594</v>
      </c>
      <c r="AB821" s="10">
        <f t="shared" si="125"/>
        <v>6.2926917785744623</v>
      </c>
      <c r="AC821" s="10">
        <f t="shared" si="127"/>
        <v>9.1244030789329695</v>
      </c>
      <c r="AD821" s="10">
        <f>IF(AND(Q821&gt;0,Q821&lt;30,K821&lt;8),Markniveau!Z821*'Udvaskning nøgletal'!$I$12/100,IF(AND(Q821&gt;0,Q821&lt;30,K821=216),Markniveau!Z821*'Udvaskning nøgletal'!$I$34/100,Markniveau!Z821))</f>
        <v>125.85383557148924</v>
      </c>
      <c r="AE821" s="10">
        <f t="shared" si="133"/>
        <v>182.4880615786594</v>
      </c>
      <c r="AF821" s="10">
        <f t="shared" si="128"/>
        <v>6.2926917785744623</v>
      </c>
      <c r="AG821" s="10">
        <f t="shared" si="134"/>
        <v>9.1244030789329695</v>
      </c>
      <c r="AH821" s="10" t="str">
        <f>IF(AND(Q821&gt;0,Q821&lt;30,K821=216),'Udvaskning nøgletal'!$C$42,IF(AND(Q821&gt;0,Q821&lt;30,K821&gt;7,K821&lt;17),'Udvaskning nøgletal'!$C$61,IF(AND(Q821&gt;0,Q821&lt;30,K821&lt;7),'Udvaskning nøgletal'!$C$62,"")))</f>
        <v/>
      </c>
      <c r="AI821" s="10">
        <f t="shared" si="130"/>
        <v>216</v>
      </c>
      <c r="AJ821" s="10">
        <f>IF($X821=1,LOOKUP(AI821,'Udvaskning nøgletal'!$C$12:$C$62,'Udvaskning nøgletal'!$E$12:$E$62)+Markniveau!$Y821*Markniveau!$S821/100,IF($X821=2,LOOKUP(AI821,'Udvaskning nøgletal'!$C$12:$C$62,'Udvaskning nøgletal'!$F$12:$F$62)+Markniveau!$Y821*Markniveau!$S821/100,IF($X821=3,LOOKUP(AI821,'Udvaskning nøgletal'!$C$12:$C$62,'Udvaskning nøgletal'!Q831:Q881)+Markniveau!$Y821*Markniveau!$S821/100,"")))</f>
        <v>125.85383557148924</v>
      </c>
      <c r="AK821" s="10">
        <f t="shared" si="129"/>
        <v>182.4880615786594</v>
      </c>
      <c r="AL821" s="10">
        <f t="shared" si="131"/>
        <v>6.2926917785744623</v>
      </c>
      <c r="AM821" s="10">
        <f t="shared" si="132"/>
        <v>9.1244030789329695</v>
      </c>
    </row>
    <row r="822" spans="1:39" x14ac:dyDescent="0.25">
      <c r="A822" s="15">
        <v>27428010</v>
      </c>
      <c r="B822" s="15">
        <v>188.84</v>
      </c>
      <c r="C822" s="15">
        <v>79839</v>
      </c>
      <c r="D822" s="15">
        <v>109625</v>
      </c>
      <c r="E822" s="15" t="s">
        <v>658</v>
      </c>
      <c r="F822" s="15">
        <v>2011</v>
      </c>
      <c r="G822" s="15">
        <v>20110408</v>
      </c>
      <c r="H822" s="15">
        <v>376685</v>
      </c>
      <c r="I822" s="15">
        <v>37.67</v>
      </c>
      <c r="J822" s="6" t="s">
        <v>93</v>
      </c>
      <c r="K822" s="15">
        <v>230</v>
      </c>
      <c r="L822" s="15" t="s">
        <v>120</v>
      </c>
      <c r="M822" s="15" t="s">
        <v>5</v>
      </c>
      <c r="N822" s="11" t="s">
        <v>1384</v>
      </c>
      <c r="O822" s="11" t="s">
        <v>28</v>
      </c>
      <c r="P822" s="11" t="s">
        <v>29</v>
      </c>
      <c r="Q822" s="15">
        <v>1</v>
      </c>
      <c r="R822" s="11" t="s">
        <v>11</v>
      </c>
      <c r="S822" s="10">
        <v>171.21882938461999</v>
      </c>
      <c r="T822" s="15">
        <v>80</v>
      </c>
      <c r="U822" s="15">
        <v>1</v>
      </c>
      <c r="V822" s="15">
        <v>0</v>
      </c>
      <c r="W822" s="15">
        <v>0</v>
      </c>
      <c r="X822" s="15">
        <f>IF(O822='Udvaskning nøgletal'!$D$65,1,IF(O822='Udvaskning nøgletal'!$D$66,2,IF(O822='Udvaskning nøgletal'!$D$67,3,IF(O822='Udvaskning nøgletal'!$D$68,2,""))))</f>
        <v>1</v>
      </c>
      <c r="Y822" s="15">
        <f>LOOKUP(K822,'Udvaskning nøgletal'!$C$12:$C$60,'Udvaskning nøgletal'!$H$12:$H$60)</f>
        <v>0</v>
      </c>
      <c r="Z822" s="10">
        <f>IF(X822=1,LOOKUP(K822,'Udvaskning nøgletal'!$C$12:$C$60,'Udvaskning nøgletal'!$E$12:$E$60)+Markniveau!Y822*Markniveau!S822/100,IF(X822=2,LOOKUP(K822,'Udvaskning nøgletal'!$C$12:$C$60,'Udvaskning nøgletal'!$F$12:$F$60)+Markniveau!Y822*Markniveau!S822/100,IF(X822=3,LOOKUP(K822,'Udvaskning nøgletal'!$C$12:$C$60,'Udvaskning nøgletal'!G832:G880)+Markniveau!Y822*Markniveau!S822/100,"")))</f>
        <v>38.620385460262987</v>
      </c>
      <c r="AA822" s="10">
        <f t="shared" si="126"/>
        <v>1454.8299202881069</v>
      </c>
      <c r="AB822" s="10">
        <f t="shared" si="125"/>
        <v>38.234181605660353</v>
      </c>
      <c r="AC822" s="10">
        <f t="shared" si="127"/>
        <v>1440.2816210852257</v>
      </c>
      <c r="AD822" s="10">
        <f>IF(AND(Q822&gt;0,Q822&lt;30,K822&lt;8),Markniveau!Z822*'Udvaskning nøgletal'!$I$12/100,IF(AND(Q822&gt;0,Q822&lt;30,K822=216),Markniveau!Z822*'Udvaskning nøgletal'!$I$34/100,Markniveau!Z822))</f>
        <v>38.620385460262987</v>
      </c>
      <c r="AE822" s="10">
        <f t="shared" si="133"/>
        <v>1454.8299202881069</v>
      </c>
      <c r="AF822" s="10">
        <f t="shared" si="128"/>
        <v>38.234181605660353</v>
      </c>
      <c r="AG822" s="10">
        <f t="shared" si="134"/>
        <v>1440.2816210852257</v>
      </c>
      <c r="AH822" s="10" t="str">
        <f>IF(AND(Q822&gt;0,Q822&lt;30,K822=216),'Udvaskning nøgletal'!$C$42,IF(AND(Q822&gt;0,Q822&lt;30,K822&gt;7,K822&lt;17),'Udvaskning nøgletal'!$C$61,IF(AND(Q822&gt;0,Q822&lt;30,K822&lt;7),'Udvaskning nøgletal'!$C$62,"")))</f>
        <v/>
      </c>
      <c r="AI822" s="10">
        <f t="shared" si="130"/>
        <v>230</v>
      </c>
      <c r="AJ822" s="10">
        <f>IF($X822=1,LOOKUP(AI822,'Udvaskning nøgletal'!$C$12:$C$62,'Udvaskning nøgletal'!$E$12:$E$62)+Markniveau!$Y822*Markniveau!$S822/100,IF($X822=2,LOOKUP(AI822,'Udvaskning nøgletal'!$C$12:$C$62,'Udvaskning nøgletal'!$F$12:$F$62)+Markniveau!$Y822*Markniveau!$S822/100,IF($X822=3,LOOKUP(AI822,'Udvaskning nøgletal'!$C$12:$C$62,'Udvaskning nøgletal'!Q832:Q882)+Markniveau!$Y822*Markniveau!$S822/100,"")))</f>
        <v>38.620385460262987</v>
      </c>
      <c r="AK822" s="10">
        <f t="shared" si="129"/>
        <v>1454.8299202881069</v>
      </c>
      <c r="AL822" s="10">
        <f t="shared" si="131"/>
        <v>38.234181605660353</v>
      </c>
      <c r="AM822" s="10">
        <f t="shared" si="132"/>
        <v>1440.2816210852257</v>
      </c>
    </row>
    <row r="823" spans="1:39" x14ac:dyDescent="0.25">
      <c r="A823" s="15">
        <v>27428010</v>
      </c>
      <c r="B823" s="15">
        <v>188.84</v>
      </c>
      <c r="C823" s="15">
        <v>102195</v>
      </c>
      <c r="D823" s="15">
        <v>109625</v>
      </c>
      <c r="E823" s="15" t="s">
        <v>214</v>
      </c>
      <c r="F823" s="15">
        <v>2011</v>
      </c>
      <c r="G823" s="15">
        <v>20110408</v>
      </c>
      <c r="H823" s="15">
        <v>58915</v>
      </c>
      <c r="I823" s="15">
        <v>5.89</v>
      </c>
      <c r="J823" s="6" t="s">
        <v>71</v>
      </c>
      <c r="K823" s="15">
        <v>230</v>
      </c>
      <c r="L823" s="15" t="s">
        <v>120</v>
      </c>
      <c r="M823" s="15" t="s">
        <v>5</v>
      </c>
      <c r="N823" s="11" t="s">
        <v>1384</v>
      </c>
      <c r="O823" s="11" t="s">
        <v>28</v>
      </c>
      <c r="P823" s="11" t="s">
        <v>29</v>
      </c>
      <c r="Q823" s="15">
        <v>25</v>
      </c>
      <c r="R823" s="11" t="s">
        <v>7</v>
      </c>
      <c r="S823" s="10">
        <v>171.21882938461999</v>
      </c>
      <c r="T823" s="15">
        <v>80</v>
      </c>
      <c r="U823" s="15">
        <v>1</v>
      </c>
      <c r="V823" s="15">
        <v>0</v>
      </c>
      <c r="W823" s="15">
        <v>0</v>
      </c>
      <c r="X823" s="15">
        <f>IF(O823='Udvaskning nøgletal'!$D$65,1,IF(O823='Udvaskning nøgletal'!$D$66,2,IF(O823='Udvaskning nøgletal'!$D$67,3,IF(O823='Udvaskning nøgletal'!$D$68,2,""))))</f>
        <v>1</v>
      </c>
      <c r="Y823" s="15">
        <f>LOOKUP(K823,'Udvaskning nøgletal'!$C$12:$C$60,'Udvaskning nøgletal'!$H$12:$H$60)</f>
        <v>0</v>
      </c>
      <c r="Z823" s="10">
        <f>IF(X823=1,LOOKUP(K823,'Udvaskning nøgletal'!$C$12:$C$60,'Udvaskning nøgletal'!$E$12:$E$60)+Markniveau!Y823*Markniveau!S823/100,IF(X823=2,LOOKUP(K823,'Udvaskning nøgletal'!$C$12:$C$60,'Udvaskning nøgletal'!$F$12:$F$60)+Markniveau!Y823*Markniveau!S823/100,IF(X823=3,LOOKUP(K823,'Udvaskning nøgletal'!$C$12:$C$60,'Udvaskning nøgletal'!G833:G881)+Markniveau!Y823*Markniveau!S823/100,"")))</f>
        <v>38.620385460262987</v>
      </c>
      <c r="AA823" s="10">
        <f t="shared" si="126"/>
        <v>227.47407036094899</v>
      </c>
      <c r="AB823" s="10">
        <f t="shared" si="125"/>
        <v>28.965289095197239</v>
      </c>
      <c r="AC823" s="10">
        <f t="shared" si="127"/>
        <v>170.60555277071174</v>
      </c>
      <c r="AD823" s="10">
        <f>IF(AND(Q823&gt;0,Q823&lt;30,K823&lt;8),Markniveau!Z823*'Udvaskning nøgletal'!$I$12/100,IF(AND(Q823&gt;0,Q823&lt;30,K823=216),Markniveau!Z823*'Udvaskning nøgletal'!$I$34/100,Markniveau!Z823))</f>
        <v>38.620385460262987</v>
      </c>
      <c r="AE823" s="10">
        <f t="shared" si="133"/>
        <v>227.47407036094899</v>
      </c>
      <c r="AF823" s="10">
        <f t="shared" si="128"/>
        <v>28.965289095197239</v>
      </c>
      <c r="AG823" s="10">
        <f t="shared" si="134"/>
        <v>170.60555277071174</v>
      </c>
      <c r="AH823" s="10" t="str">
        <f>IF(AND(Q823&gt;0,Q823&lt;30,K823=216),'Udvaskning nøgletal'!$C$42,IF(AND(Q823&gt;0,Q823&lt;30,K823&gt;7,K823&lt;17),'Udvaskning nøgletal'!$C$61,IF(AND(Q823&gt;0,Q823&lt;30,K823&lt;7),'Udvaskning nøgletal'!$C$62,"")))</f>
        <v/>
      </c>
      <c r="AI823" s="10">
        <f t="shared" si="130"/>
        <v>230</v>
      </c>
      <c r="AJ823" s="10">
        <f>IF($X823=1,LOOKUP(AI823,'Udvaskning nøgletal'!$C$12:$C$62,'Udvaskning nøgletal'!$E$12:$E$62)+Markniveau!$Y823*Markniveau!$S823/100,IF($X823=2,LOOKUP(AI823,'Udvaskning nøgletal'!$C$12:$C$62,'Udvaskning nøgletal'!$F$12:$F$62)+Markniveau!$Y823*Markniveau!$S823/100,IF($X823=3,LOOKUP(AI823,'Udvaskning nøgletal'!$C$12:$C$62,'Udvaskning nøgletal'!Q833:Q883)+Markniveau!$Y823*Markniveau!$S823/100,"")))</f>
        <v>38.620385460262987</v>
      </c>
      <c r="AK823" s="10">
        <f t="shared" si="129"/>
        <v>227.47407036094899</v>
      </c>
      <c r="AL823" s="10">
        <f t="shared" si="131"/>
        <v>28.965289095197239</v>
      </c>
      <c r="AM823" s="10">
        <f t="shared" si="132"/>
        <v>170.60555277071174</v>
      </c>
    </row>
    <row r="824" spans="1:39" x14ac:dyDescent="0.25">
      <c r="A824" s="15">
        <v>27428010</v>
      </c>
      <c r="B824" s="15">
        <v>188.84</v>
      </c>
      <c r="C824" s="15">
        <v>16042</v>
      </c>
      <c r="D824" s="15">
        <v>109625</v>
      </c>
      <c r="E824" s="15" t="s">
        <v>215</v>
      </c>
      <c r="F824" s="15">
        <v>2011</v>
      </c>
      <c r="G824" s="15">
        <v>20110408</v>
      </c>
      <c r="H824" s="15">
        <v>288972</v>
      </c>
      <c r="I824" s="15">
        <v>28.9</v>
      </c>
      <c r="J824" s="6" t="s">
        <v>141</v>
      </c>
      <c r="K824" s="15">
        <v>230</v>
      </c>
      <c r="L824" s="15" t="s">
        <v>120</v>
      </c>
      <c r="M824" s="15" t="s">
        <v>5</v>
      </c>
      <c r="N824" s="11" t="s">
        <v>1384</v>
      </c>
      <c r="O824" s="11" t="s">
        <v>28</v>
      </c>
      <c r="P824" s="11" t="s">
        <v>29</v>
      </c>
      <c r="Q824" s="15">
        <v>1</v>
      </c>
      <c r="R824" s="11" t="s">
        <v>11</v>
      </c>
      <c r="S824" s="10">
        <v>171.21882938461999</v>
      </c>
      <c r="T824" s="15">
        <v>80</v>
      </c>
      <c r="U824" s="15">
        <v>1</v>
      </c>
      <c r="V824" s="15">
        <v>0</v>
      </c>
      <c r="W824" s="15">
        <v>0</v>
      </c>
      <c r="X824" s="15">
        <f>IF(O824='Udvaskning nøgletal'!$D$65,1,IF(O824='Udvaskning nøgletal'!$D$66,2,IF(O824='Udvaskning nøgletal'!$D$67,3,IF(O824='Udvaskning nøgletal'!$D$68,2,""))))</f>
        <v>1</v>
      </c>
      <c r="Y824" s="15">
        <f>LOOKUP(K824,'Udvaskning nøgletal'!$C$12:$C$60,'Udvaskning nøgletal'!$H$12:$H$60)</f>
        <v>0</v>
      </c>
      <c r="Z824" s="10">
        <f>IF(X824=1,LOOKUP(K824,'Udvaskning nøgletal'!$C$12:$C$60,'Udvaskning nøgletal'!$E$12:$E$60)+Markniveau!Y824*Markniveau!S824/100,IF(X824=2,LOOKUP(K824,'Udvaskning nøgletal'!$C$12:$C$60,'Udvaskning nøgletal'!$F$12:$F$60)+Markniveau!Y824*Markniveau!S824/100,IF(X824=3,LOOKUP(K824,'Udvaskning nøgletal'!$C$12:$C$60,'Udvaskning nøgletal'!G834:G882)+Markniveau!Y824*Markniveau!S824/100,"")))</f>
        <v>38.620385460262987</v>
      </c>
      <c r="AA824" s="10">
        <f t="shared" si="126"/>
        <v>1116.1291398016003</v>
      </c>
      <c r="AB824" s="10">
        <f t="shared" si="125"/>
        <v>38.234181605660353</v>
      </c>
      <c r="AC824" s="10">
        <f t="shared" si="127"/>
        <v>1104.9678484035842</v>
      </c>
      <c r="AD824" s="10">
        <f>IF(AND(Q824&gt;0,Q824&lt;30,K824&lt;8),Markniveau!Z824*'Udvaskning nøgletal'!$I$12/100,IF(AND(Q824&gt;0,Q824&lt;30,K824=216),Markniveau!Z824*'Udvaskning nøgletal'!$I$34/100,Markniveau!Z824))</f>
        <v>38.620385460262987</v>
      </c>
      <c r="AE824" s="10">
        <f t="shared" si="133"/>
        <v>1116.1291398016003</v>
      </c>
      <c r="AF824" s="10">
        <f t="shared" si="128"/>
        <v>38.234181605660353</v>
      </c>
      <c r="AG824" s="10">
        <f t="shared" si="134"/>
        <v>1104.9678484035842</v>
      </c>
      <c r="AH824" s="10" t="str">
        <f>IF(AND(Q824&gt;0,Q824&lt;30,K824=216),'Udvaskning nøgletal'!$C$42,IF(AND(Q824&gt;0,Q824&lt;30,K824&gt;7,K824&lt;17),'Udvaskning nøgletal'!$C$61,IF(AND(Q824&gt;0,Q824&lt;30,K824&lt;7),'Udvaskning nøgletal'!$C$62,"")))</f>
        <v/>
      </c>
      <c r="AI824" s="10">
        <f t="shared" si="130"/>
        <v>230</v>
      </c>
      <c r="AJ824" s="10">
        <f>IF($X824=1,LOOKUP(AI824,'Udvaskning nøgletal'!$C$12:$C$62,'Udvaskning nøgletal'!$E$12:$E$62)+Markniveau!$Y824*Markniveau!$S824/100,IF($X824=2,LOOKUP(AI824,'Udvaskning nøgletal'!$C$12:$C$62,'Udvaskning nøgletal'!$F$12:$F$62)+Markniveau!$Y824*Markniveau!$S824/100,IF($X824=3,LOOKUP(AI824,'Udvaskning nøgletal'!$C$12:$C$62,'Udvaskning nøgletal'!Q834:Q884)+Markniveau!$Y824*Markniveau!$S824/100,"")))</f>
        <v>38.620385460262987</v>
      </c>
      <c r="AK824" s="10">
        <f t="shared" si="129"/>
        <v>1116.1291398016003</v>
      </c>
      <c r="AL824" s="10">
        <f t="shared" si="131"/>
        <v>38.234181605660353</v>
      </c>
      <c r="AM824" s="10">
        <f t="shared" si="132"/>
        <v>1104.9678484035842</v>
      </c>
    </row>
    <row r="825" spans="1:39" x14ac:dyDescent="0.25">
      <c r="A825" s="15">
        <v>27428010</v>
      </c>
      <c r="B825" s="15">
        <v>188.84</v>
      </c>
      <c r="C825" s="15">
        <v>19400</v>
      </c>
      <c r="D825" s="15">
        <v>109625</v>
      </c>
      <c r="E825" s="15" t="s">
        <v>659</v>
      </c>
      <c r="F825" s="15">
        <v>2011</v>
      </c>
      <c r="G825" s="15">
        <v>20110408</v>
      </c>
      <c r="H825" s="15">
        <v>405093</v>
      </c>
      <c r="I825" s="15">
        <v>40.51</v>
      </c>
      <c r="J825" s="6" t="s">
        <v>36</v>
      </c>
      <c r="K825" s="15">
        <v>230</v>
      </c>
      <c r="L825" s="15" t="s">
        <v>120</v>
      </c>
      <c r="M825" s="15" t="s">
        <v>5</v>
      </c>
      <c r="N825" s="11" t="s">
        <v>1406</v>
      </c>
      <c r="O825" s="11" t="s">
        <v>46</v>
      </c>
      <c r="P825" s="11" t="s">
        <v>29</v>
      </c>
      <c r="Q825" s="15">
        <v>1</v>
      </c>
      <c r="R825" s="11" t="s">
        <v>11</v>
      </c>
      <c r="S825" s="10">
        <v>171.21882938461999</v>
      </c>
      <c r="T825" s="15">
        <v>80</v>
      </c>
      <c r="U825" s="15">
        <v>1</v>
      </c>
      <c r="V825" s="15">
        <v>0</v>
      </c>
      <c r="W825" s="15">
        <v>0</v>
      </c>
      <c r="X825" s="15">
        <f>IF(O825='Udvaskning nøgletal'!$D$65,1,IF(O825='Udvaskning nøgletal'!$D$66,2,IF(O825='Udvaskning nøgletal'!$D$67,3,IF(O825='Udvaskning nøgletal'!$D$68,2,""))))</f>
        <v>2</v>
      </c>
      <c r="Y825" s="15">
        <f>LOOKUP(K825,'Udvaskning nøgletal'!$C$12:$C$60,'Udvaskning nøgletal'!$H$12:$H$60)</f>
        <v>0</v>
      </c>
      <c r="Z825" s="10">
        <f>IF(X825=1,LOOKUP(K825,'Udvaskning nøgletal'!$C$12:$C$60,'Udvaskning nøgletal'!$E$12:$E$60)+Markniveau!Y825*Markniveau!S825/100,IF(X825=2,LOOKUP(K825,'Udvaskning nøgletal'!$C$12:$C$60,'Udvaskning nøgletal'!$F$12:$F$60)+Markniveau!Y825*Markniveau!S825/100,IF(X825=3,LOOKUP(K825,'Udvaskning nøgletal'!$C$12:$C$60,'Udvaskning nøgletal'!G835:G883)+Markniveau!Y825*Markniveau!S825/100,"")))</f>
        <v>31.161328188970323</v>
      </c>
      <c r="AA825" s="10">
        <f t="shared" si="126"/>
        <v>1262.3454049351876</v>
      </c>
      <c r="AB825" s="10">
        <f t="shared" si="125"/>
        <v>30.849714907080621</v>
      </c>
      <c r="AC825" s="10">
        <f t="shared" si="127"/>
        <v>1249.7219508858359</v>
      </c>
      <c r="AD825" s="10">
        <f>IF(AND(Q825&gt;0,Q825&lt;30,K825&lt;8),Markniveau!Z825*'Udvaskning nøgletal'!$I$12/100,IF(AND(Q825&gt;0,Q825&lt;30,K825=216),Markniveau!Z825*'Udvaskning nøgletal'!$I$34/100,Markniveau!Z825))</f>
        <v>31.161328188970323</v>
      </c>
      <c r="AE825" s="10">
        <f t="shared" si="133"/>
        <v>1262.3454049351876</v>
      </c>
      <c r="AF825" s="10">
        <f t="shared" si="128"/>
        <v>30.849714907080621</v>
      </c>
      <c r="AG825" s="10">
        <f t="shared" si="134"/>
        <v>1249.7219508858359</v>
      </c>
      <c r="AH825" s="10" t="str">
        <f>IF(AND(Q825&gt;0,Q825&lt;30,K825=216),'Udvaskning nøgletal'!$C$42,IF(AND(Q825&gt;0,Q825&lt;30,K825&gt;7,K825&lt;17),'Udvaskning nøgletal'!$C$61,IF(AND(Q825&gt;0,Q825&lt;30,K825&lt;7),'Udvaskning nøgletal'!$C$62,"")))</f>
        <v/>
      </c>
      <c r="AI825" s="10">
        <f t="shared" si="130"/>
        <v>230</v>
      </c>
      <c r="AJ825" s="10">
        <f>IF($X825=1,LOOKUP(AI825,'Udvaskning nøgletal'!$C$12:$C$62,'Udvaskning nøgletal'!$E$12:$E$62)+Markniveau!$Y825*Markniveau!$S825/100,IF($X825=2,LOOKUP(AI825,'Udvaskning nøgletal'!$C$12:$C$62,'Udvaskning nøgletal'!$F$12:$F$62)+Markniveau!$Y825*Markniveau!$S825/100,IF($X825=3,LOOKUP(AI825,'Udvaskning nøgletal'!$C$12:$C$62,'Udvaskning nøgletal'!Q835:Q885)+Markniveau!$Y825*Markniveau!$S825/100,"")))</f>
        <v>31.161328188970323</v>
      </c>
      <c r="AK825" s="10">
        <f t="shared" si="129"/>
        <v>1262.3454049351876</v>
      </c>
      <c r="AL825" s="10">
        <f t="shared" si="131"/>
        <v>30.849714907080621</v>
      </c>
      <c r="AM825" s="10">
        <f t="shared" si="132"/>
        <v>1249.7219508858359</v>
      </c>
    </row>
    <row r="826" spans="1:39" x14ac:dyDescent="0.25">
      <c r="A826" s="15">
        <v>27542336</v>
      </c>
      <c r="B826" s="15">
        <v>25.4</v>
      </c>
      <c r="C826" s="15">
        <v>415560</v>
      </c>
      <c r="D826" s="15">
        <v>31563</v>
      </c>
      <c r="E826" s="15" t="s">
        <v>540</v>
      </c>
      <c r="F826" s="15">
        <v>2011</v>
      </c>
      <c r="G826" s="15">
        <v>20110225</v>
      </c>
      <c r="H826" s="15">
        <v>5492</v>
      </c>
      <c r="I826" s="15">
        <v>0.55000000000000004</v>
      </c>
      <c r="J826" s="6" t="s">
        <v>1474</v>
      </c>
      <c r="K826" s="15">
        <v>263</v>
      </c>
      <c r="L826" s="15" t="s">
        <v>39</v>
      </c>
      <c r="M826" s="15" t="s">
        <v>5</v>
      </c>
      <c r="N826" s="11" t="s">
        <v>1391</v>
      </c>
      <c r="O826" s="11" t="s">
        <v>46</v>
      </c>
      <c r="P826" s="11" t="s">
        <v>29</v>
      </c>
      <c r="Q826" s="15">
        <v>95</v>
      </c>
      <c r="R826" s="11" t="s">
        <v>3</v>
      </c>
      <c r="S826" s="10">
        <v>171.97360781208999</v>
      </c>
      <c r="T826" s="15">
        <v>80</v>
      </c>
      <c r="U826" s="15">
        <v>0</v>
      </c>
      <c r="V826" s="15">
        <v>1</v>
      </c>
      <c r="W826" s="15">
        <v>0</v>
      </c>
      <c r="X826" s="15">
        <f>IF(O826='Udvaskning nøgletal'!$D$65,1,IF(O826='Udvaskning nøgletal'!$D$66,2,IF(O826='Udvaskning nøgletal'!$D$67,3,IF(O826='Udvaskning nøgletal'!$D$68,2,""))))</f>
        <v>2</v>
      </c>
      <c r="Y826" s="15">
        <f>LOOKUP(K826,'Udvaskning nøgletal'!$C$12:$C$60,'Udvaskning nøgletal'!$H$12:$H$60)</f>
        <v>0</v>
      </c>
      <c r="Z826" s="10">
        <f>IF(X826=1,LOOKUP(K826,'Udvaskning nøgletal'!$C$12:$C$60,'Udvaskning nøgletal'!$E$12:$E$60)+Markniveau!Y826*Markniveau!S826/100,IF(X826=2,LOOKUP(K826,'Udvaskning nøgletal'!$C$12:$C$60,'Udvaskning nøgletal'!$F$12:$F$60)+Markniveau!Y826*Markniveau!S826/100,IF(X826=3,LOOKUP(K826,'Udvaskning nøgletal'!$C$12:$C$60,'Udvaskning nøgletal'!G836:G884)+Markniveau!Y826*Markniveau!S826/100,"")))</f>
        <v>27.331185321443094</v>
      </c>
      <c r="AA826" s="10">
        <f t="shared" si="126"/>
        <v>15.032151926793702</v>
      </c>
      <c r="AB826" s="10">
        <f t="shared" si="125"/>
        <v>1.3665592660721546</v>
      </c>
      <c r="AC826" s="10">
        <f t="shared" si="127"/>
        <v>0.7516075963396851</v>
      </c>
      <c r="AD826" s="10">
        <f>IF(AND(Q826&gt;0,Q826&lt;30,K826&lt;8),Markniveau!Z826*'Udvaskning nøgletal'!$I$12/100,IF(AND(Q826&gt;0,Q826&lt;30,K826=216),Markniveau!Z826*'Udvaskning nøgletal'!$I$34/100,Markniveau!Z826))</f>
        <v>27.331185321443094</v>
      </c>
      <c r="AE826" s="10">
        <f t="shared" si="133"/>
        <v>15.032151926793702</v>
      </c>
      <c r="AF826" s="10">
        <f t="shared" si="128"/>
        <v>1.3665592660721546</v>
      </c>
      <c r="AG826" s="10">
        <f t="shared" si="134"/>
        <v>0.7516075963396851</v>
      </c>
      <c r="AH826" s="10" t="str">
        <f>IF(AND(Q826&gt;0,Q826&lt;30,K826=216),'Udvaskning nøgletal'!$C$42,IF(AND(Q826&gt;0,Q826&lt;30,K826&gt;7,K826&lt;17),'Udvaskning nøgletal'!$C$61,IF(AND(Q826&gt;0,Q826&lt;30,K826&lt;7),'Udvaskning nøgletal'!$C$62,"")))</f>
        <v/>
      </c>
      <c r="AI826" s="10">
        <f t="shared" si="130"/>
        <v>263</v>
      </c>
      <c r="AJ826" s="10">
        <f>IF($X826=1,LOOKUP(AI826,'Udvaskning nøgletal'!$C$12:$C$62,'Udvaskning nøgletal'!$E$12:$E$62)+Markniveau!$Y826*Markniveau!$S826/100,IF($X826=2,LOOKUP(AI826,'Udvaskning nøgletal'!$C$12:$C$62,'Udvaskning nøgletal'!$F$12:$F$62)+Markniveau!$Y826*Markniveau!$S826/100,IF($X826=3,LOOKUP(AI826,'Udvaskning nøgletal'!$C$12:$C$62,'Udvaskning nøgletal'!Q836:Q886)+Markniveau!$Y826*Markniveau!$S826/100,"")))</f>
        <v>27.331185321443094</v>
      </c>
      <c r="AK826" s="10">
        <f t="shared" si="129"/>
        <v>15.032151926793702</v>
      </c>
      <c r="AL826" s="10">
        <f t="shared" si="131"/>
        <v>1.3665592660721546</v>
      </c>
      <c r="AM826" s="10">
        <f t="shared" si="132"/>
        <v>0.7516075963396851</v>
      </c>
    </row>
    <row r="827" spans="1:39" x14ac:dyDescent="0.25">
      <c r="A827" s="15">
        <v>27542336</v>
      </c>
      <c r="B827" s="15">
        <v>25.4</v>
      </c>
      <c r="C827" s="15">
        <v>419247</v>
      </c>
      <c r="D827" s="15">
        <v>31563</v>
      </c>
      <c r="E827" s="15" t="s">
        <v>660</v>
      </c>
      <c r="F827" s="15">
        <v>2011</v>
      </c>
      <c r="G827" s="15">
        <v>20110225</v>
      </c>
      <c r="H827" s="15">
        <v>4899</v>
      </c>
      <c r="I827" s="15">
        <v>0.49</v>
      </c>
      <c r="J827" s="6" t="s">
        <v>67</v>
      </c>
      <c r="K827" s="15">
        <v>260</v>
      </c>
      <c r="L827" s="15" t="s">
        <v>45</v>
      </c>
      <c r="M827" s="15" t="s">
        <v>5</v>
      </c>
      <c r="N827" s="11" t="s">
        <v>1384</v>
      </c>
      <c r="O827" s="11" t="s">
        <v>28</v>
      </c>
      <c r="P827" s="11" t="s">
        <v>29</v>
      </c>
      <c r="Q827" s="15">
        <v>95</v>
      </c>
      <c r="R827" s="11" t="s">
        <v>3</v>
      </c>
      <c r="S827" s="10">
        <v>171.97360781208999</v>
      </c>
      <c r="T827" s="15">
        <v>80</v>
      </c>
      <c r="U827" s="15">
        <v>0</v>
      </c>
      <c r="V827" s="15">
        <v>1</v>
      </c>
      <c r="W827" s="15">
        <v>0</v>
      </c>
      <c r="X827" s="15">
        <f>IF(O827='Udvaskning nøgletal'!$D$65,1,IF(O827='Udvaskning nøgletal'!$D$66,2,IF(O827='Udvaskning nøgletal'!$D$67,3,IF(O827='Udvaskning nøgletal'!$D$68,2,""))))</f>
        <v>1</v>
      </c>
      <c r="Y827" s="15">
        <f>LOOKUP(K827,'Udvaskning nøgletal'!$C$12:$C$60,'Udvaskning nøgletal'!$H$12:$H$60)</f>
        <v>0</v>
      </c>
      <c r="Z827" s="10">
        <f>IF(X827=1,LOOKUP(K827,'Udvaskning nøgletal'!$C$12:$C$60,'Udvaskning nøgletal'!$E$12:$E$60)+Markniveau!Y827*Markniveau!S827/100,IF(X827=2,LOOKUP(K827,'Udvaskning nøgletal'!$C$12:$C$60,'Udvaskning nøgletal'!$F$12:$F$60)+Markniveau!Y827*Markniveau!S827/100,IF(X827=3,LOOKUP(K827,'Udvaskning nøgletal'!$C$12:$C$60,'Udvaskning nøgletal'!G837:G885)+Markniveau!Y827*Markniveau!S827/100,"")))</f>
        <v>33.723295792149436</v>
      </c>
      <c r="AA827" s="10">
        <f t="shared" si="126"/>
        <v>16.524414938153225</v>
      </c>
      <c r="AB827" s="10">
        <f t="shared" si="125"/>
        <v>1.6861647896074716</v>
      </c>
      <c r="AC827" s="10">
        <f t="shared" si="127"/>
        <v>0.82622074690766112</v>
      </c>
      <c r="AD827" s="10">
        <f>IF(AND(Q827&gt;0,Q827&lt;30,K827&lt;8),Markniveau!Z827*'Udvaskning nøgletal'!$I$12/100,IF(AND(Q827&gt;0,Q827&lt;30,K827=216),Markniveau!Z827*'Udvaskning nøgletal'!$I$34/100,Markniveau!Z827))</f>
        <v>33.723295792149436</v>
      </c>
      <c r="AE827" s="10">
        <f t="shared" si="133"/>
        <v>16.524414938153225</v>
      </c>
      <c r="AF827" s="10">
        <f t="shared" si="128"/>
        <v>1.6861647896074716</v>
      </c>
      <c r="AG827" s="10">
        <f t="shared" si="134"/>
        <v>0.82622074690766112</v>
      </c>
      <c r="AH827" s="10" t="str">
        <f>IF(AND(Q827&gt;0,Q827&lt;30,K827=216),'Udvaskning nøgletal'!$C$42,IF(AND(Q827&gt;0,Q827&lt;30,K827&gt;7,K827&lt;17),'Udvaskning nøgletal'!$C$61,IF(AND(Q827&gt;0,Q827&lt;30,K827&lt;7),'Udvaskning nøgletal'!$C$62,"")))</f>
        <v/>
      </c>
      <c r="AI827" s="10">
        <f t="shared" si="130"/>
        <v>260</v>
      </c>
      <c r="AJ827" s="10">
        <f>IF($X827=1,LOOKUP(AI827,'Udvaskning nøgletal'!$C$12:$C$62,'Udvaskning nøgletal'!$E$12:$E$62)+Markniveau!$Y827*Markniveau!$S827/100,IF($X827=2,LOOKUP(AI827,'Udvaskning nøgletal'!$C$12:$C$62,'Udvaskning nøgletal'!$F$12:$F$62)+Markniveau!$Y827*Markniveau!$S827/100,IF($X827=3,LOOKUP(AI827,'Udvaskning nøgletal'!$C$12:$C$62,'Udvaskning nøgletal'!Q837:Q887)+Markniveau!$Y827*Markniveau!$S827/100,"")))</f>
        <v>33.723295792149436</v>
      </c>
      <c r="AK827" s="10">
        <f t="shared" si="129"/>
        <v>16.524414938153225</v>
      </c>
      <c r="AL827" s="10">
        <f t="shared" si="131"/>
        <v>1.6861647896074716</v>
      </c>
      <c r="AM827" s="10">
        <f t="shared" si="132"/>
        <v>0.82622074690766112</v>
      </c>
    </row>
    <row r="828" spans="1:39" x14ac:dyDescent="0.25">
      <c r="A828" s="15">
        <v>27542336</v>
      </c>
      <c r="B828" s="15">
        <v>25.4</v>
      </c>
      <c r="C828" s="15">
        <v>425346</v>
      </c>
      <c r="D828" s="15">
        <v>31563</v>
      </c>
      <c r="E828" s="15" t="s">
        <v>540</v>
      </c>
      <c r="F828" s="15">
        <v>2011</v>
      </c>
      <c r="G828" s="15">
        <v>20110225</v>
      </c>
      <c r="H828" s="15">
        <v>5692</v>
      </c>
      <c r="I828" s="15">
        <v>0.56999999999999995</v>
      </c>
      <c r="J828" s="6" t="s">
        <v>1476</v>
      </c>
      <c r="K828" s="15">
        <v>251</v>
      </c>
      <c r="L828" s="15" t="s">
        <v>355</v>
      </c>
      <c r="M828" s="15" t="s">
        <v>4</v>
      </c>
      <c r="N828" s="11" t="s">
        <v>1391</v>
      </c>
      <c r="O828" s="11" t="s">
        <v>46</v>
      </c>
      <c r="P828" s="11" t="s">
        <v>29</v>
      </c>
      <c r="Q828" s="15">
        <v>95</v>
      </c>
      <c r="R828" s="11" t="s">
        <v>3</v>
      </c>
      <c r="S828" s="10">
        <v>171.97360781208999</v>
      </c>
      <c r="T828" s="15">
        <v>80</v>
      </c>
      <c r="U828" s="15">
        <v>0</v>
      </c>
      <c r="V828" s="15">
        <v>1</v>
      </c>
      <c r="W828" s="15">
        <v>0</v>
      </c>
      <c r="X828" s="15">
        <f>IF(O828='Udvaskning nøgletal'!$D$65,1,IF(O828='Udvaskning nøgletal'!$D$66,2,IF(O828='Udvaskning nøgletal'!$D$67,3,IF(O828='Udvaskning nøgletal'!$D$68,2,""))))</f>
        <v>2</v>
      </c>
      <c r="Y828" s="15">
        <f>LOOKUP(K828,'Udvaskning nøgletal'!$C$12:$C$60,'Udvaskning nøgletal'!$H$12:$H$60)</f>
        <v>0</v>
      </c>
      <c r="Z828" s="10">
        <f>IF(X828=1,LOOKUP(K828,'Udvaskning nøgletal'!$C$12:$C$60,'Udvaskning nøgletal'!$E$12:$E$60)+Markniveau!Y828*Markniveau!S828/100,IF(X828=2,LOOKUP(K828,'Udvaskning nøgletal'!$C$12:$C$60,'Udvaskning nøgletal'!$F$12:$F$60)+Markniveau!Y828*Markniveau!S828/100,IF(X828=3,LOOKUP(K828,'Udvaskning nøgletal'!$C$12:$C$60,'Udvaskning nøgletal'!G838:G886)+Markniveau!Y828*Markniveau!S828/100,"")))</f>
        <v>21.2</v>
      </c>
      <c r="AA828" s="10">
        <f t="shared" si="126"/>
        <v>12.083999999999998</v>
      </c>
      <c r="AB828" s="10">
        <f t="shared" si="125"/>
        <v>1.06</v>
      </c>
      <c r="AC828" s="10">
        <f t="shared" si="127"/>
        <v>0.60419999999999996</v>
      </c>
      <c r="AD828" s="10">
        <f>IF(AND(Q828&gt;0,Q828&lt;30,K828&lt;8),Markniveau!Z828*'Udvaskning nøgletal'!$I$12/100,IF(AND(Q828&gt;0,Q828&lt;30,K828=216),Markniveau!Z828*'Udvaskning nøgletal'!$I$34/100,Markniveau!Z828))</f>
        <v>21.2</v>
      </c>
      <c r="AE828" s="10">
        <f t="shared" si="133"/>
        <v>12.083999999999998</v>
      </c>
      <c r="AF828" s="10">
        <f t="shared" si="128"/>
        <v>1.06</v>
      </c>
      <c r="AG828" s="10">
        <f t="shared" si="134"/>
        <v>0.60419999999999996</v>
      </c>
      <c r="AH828" s="10" t="str">
        <f>IF(AND(Q828&gt;0,Q828&lt;30,K828=216),'Udvaskning nøgletal'!$C$42,IF(AND(Q828&gt;0,Q828&lt;30,K828&gt;7,K828&lt;17),'Udvaskning nøgletal'!$C$61,IF(AND(Q828&gt;0,Q828&lt;30,K828&lt;7),'Udvaskning nøgletal'!$C$62,"")))</f>
        <v/>
      </c>
      <c r="AI828" s="10">
        <f t="shared" si="130"/>
        <v>251</v>
      </c>
      <c r="AJ828" s="10">
        <f>IF($X828=1,LOOKUP(AI828,'Udvaskning nøgletal'!$C$12:$C$62,'Udvaskning nøgletal'!$E$12:$E$62)+Markniveau!$Y828*Markniveau!$S828/100,IF($X828=2,LOOKUP(AI828,'Udvaskning nøgletal'!$C$12:$C$62,'Udvaskning nøgletal'!$F$12:$F$62)+Markniveau!$Y828*Markniveau!$S828/100,IF($X828=3,LOOKUP(AI828,'Udvaskning nøgletal'!$C$12:$C$62,'Udvaskning nøgletal'!Q838:Q888)+Markniveau!$Y828*Markniveau!$S828/100,"")))</f>
        <v>21.2</v>
      </c>
      <c r="AK828" s="10">
        <f t="shared" si="129"/>
        <v>12.083999999999998</v>
      </c>
      <c r="AL828" s="10">
        <f t="shared" si="131"/>
        <v>1.06</v>
      </c>
      <c r="AM828" s="10">
        <f t="shared" si="132"/>
        <v>0.60419999999999996</v>
      </c>
    </row>
    <row r="829" spans="1:39" x14ac:dyDescent="0.25">
      <c r="A829" s="15">
        <v>27542336</v>
      </c>
      <c r="B829" s="15">
        <v>25.4</v>
      </c>
      <c r="C829" s="15">
        <v>426045</v>
      </c>
      <c r="D829" s="15">
        <v>31563</v>
      </c>
      <c r="E829" s="15" t="s">
        <v>559</v>
      </c>
      <c r="F829" s="15">
        <v>2011</v>
      </c>
      <c r="G829" s="15">
        <v>20110225</v>
      </c>
      <c r="H829" s="15">
        <v>40385</v>
      </c>
      <c r="I829" s="15">
        <v>4.04</v>
      </c>
      <c r="J829" s="6" t="s">
        <v>37</v>
      </c>
      <c r="K829" s="15">
        <v>260</v>
      </c>
      <c r="L829" s="15" t="s">
        <v>45</v>
      </c>
      <c r="M829" s="15" t="s">
        <v>5</v>
      </c>
      <c r="N829" s="11" t="s">
        <v>1384</v>
      </c>
      <c r="O829" s="11" t="s">
        <v>28</v>
      </c>
      <c r="P829" s="11" t="s">
        <v>29</v>
      </c>
      <c r="Q829" s="15">
        <v>95</v>
      </c>
      <c r="R829" s="11" t="s">
        <v>3</v>
      </c>
      <c r="S829" s="10">
        <v>171.97360781208999</v>
      </c>
      <c r="T829" s="15">
        <v>80</v>
      </c>
      <c r="U829" s="15">
        <v>0</v>
      </c>
      <c r="V829" s="15">
        <v>1</v>
      </c>
      <c r="W829" s="15">
        <v>0</v>
      </c>
      <c r="X829" s="15">
        <f>IF(O829='Udvaskning nøgletal'!$D$65,1,IF(O829='Udvaskning nøgletal'!$D$66,2,IF(O829='Udvaskning nøgletal'!$D$67,3,IF(O829='Udvaskning nøgletal'!$D$68,2,""))))</f>
        <v>1</v>
      </c>
      <c r="Y829" s="15">
        <f>LOOKUP(K829,'Udvaskning nøgletal'!$C$12:$C$60,'Udvaskning nøgletal'!$H$12:$H$60)</f>
        <v>0</v>
      </c>
      <c r="Z829" s="10">
        <f>IF(X829=1,LOOKUP(K829,'Udvaskning nøgletal'!$C$12:$C$60,'Udvaskning nøgletal'!$E$12:$E$60)+Markniveau!Y829*Markniveau!S829/100,IF(X829=2,LOOKUP(K829,'Udvaskning nøgletal'!$C$12:$C$60,'Udvaskning nøgletal'!$F$12:$F$60)+Markniveau!Y829*Markniveau!S829/100,IF(X829=3,LOOKUP(K829,'Udvaskning nøgletal'!$C$12:$C$60,'Udvaskning nøgletal'!G839:G887)+Markniveau!Y829*Markniveau!S829/100,"")))</f>
        <v>33.723295792149436</v>
      </c>
      <c r="AA829" s="10">
        <f t="shared" si="126"/>
        <v>136.24211500028372</v>
      </c>
      <c r="AB829" s="10">
        <f t="shared" si="125"/>
        <v>1.6861647896074716</v>
      </c>
      <c r="AC829" s="10">
        <f t="shared" si="127"/>
        <v>6.8121057500141857</v>
      </c>
      <c r="AD829" s="10">
        <f>IF(AND(Q829&gt;0,Q829&lt;30,K829&lt;8),Markniveau!Z829*'Udvaskning nøgletal'!$I$12/100,IF(AND(Q829&gt;0,Q829&lt;30,K829=216),Markniveau!Z829*'Udvaskning nøgletal'!$I$34/100,Markniveau!Z829))</f>
        <v>33.723295792149436</v>
      </c>
      <c r="AE829" s="10">
        <f t="shared" si="133"/>
        <v>136.24211500028372</v>
      </c>
      <c r="AF829" s="10">
        <f t="shared" si="128"/>
        <v>1.6861647896074716</v>
      </c>
      <c r="AG829" s="10">
        <f t="shared" si="134"/>
        <v>6.8121057500141857</v>
      </c>
      <c r="AH829" s="10" t="str">
        <f>IF(AND(Q829&gt;0,Q829&lt;30,K829=216),'Udvaskning nøgletal'!$C$42,IF(AND(Q829&gt;0,Q829&lt;30,K829&gt;7,K829&lt;17),'Udvaskning nøgletal'!$C$61,IF(AND(Q829&gt;0,Q829&lt;30,K829&lt;7),'Udvaskning nøgletal'!$C$62,"")))</f>
        <v/>
      </c>
      <c r="AI829" s="10">
        <f t="shared" si="130"/>
        <v>260</v>
      </c>
      <c r="AJ829" s="10">
        <f>IF($X829=1,LOOKUP(AI829,'Udvaskning nøgletal'!$C$12:$C$62,'Udvaskning nøgletal'!$E$12:$E$62)+Markniveau!$Y829*Markniveau!$S829/100,IF($X829=2,LOOKUP(AI829,'Udvaskning nøgletal'!$C$12:$C$62,'Udvaskning nøgletal'!$F$12:$F$62)+Markniveau!$Y829*Markniveau!$S829/100,IF($X829=3,LOOKUP(AI829,'Udvaskning nøgletal'!$C$12:$C$62,'Udvaskning nøgletal'!Q839:Q889)+Markniveau!$Y829*Markniveau!$S829/100,"")))</f>
        <v>33.723295792149436</v>
      </c>
      <c r="AK829" s="10">
        <f t="shared" si="129"/>
        <v>136.24211500028372</v>
      </c>
      <c r="AL829" s="10">
        <f t="shared" si="131"/>
        <v>1.6861647896074716</v>
      </c>
      <c r="AM829" s="10">
        <f t="shared" si="132"/>
        <v>6.8121057500141857</v>
      </c>
    </row>
    <row r="830" spans="1:39" x14ac:dyDescent="0.25">
      <c r="A830" s="15">
        <v>27542336</v>
      </c>
      <c r="B830" s="15">
        <v>25.4</v>
      </c>
      <c r="C830" s="15">
        <v>426051</v>
      </c>
      <c r="D830" s="15">
        <v>31563</v>
      </c>
      <c r="E830" s="15" t="s">
        <v>559</v>
      </c>
      <c r="F830" s="15">
        <v>2011</v>
      </c>
      <c r="G830" s="15">
        <v>20110225</v>
      </c>
      <c r="H830" s="15">
        <v>32705</v>
      </c>
      <c r="I830" s="15">
        <v>3.27</v>
      </c>
      <c r="J830" s="6" t="s">
        <v>97</v>
      </c>
      <c r="K830" s="15">
        <v>260</v>
      </c>
      <c r="L830" s="15" t="s">
        <v>45</v>
      </c>
      <c r="M830" s="15" t="s">
        <v>5</v>
      </c>
      <c r="N830" s="11" t="s">
        <v>1384</v>
      </c>
      <c r="O830" s="11" t="s">
        <v>28</v>
      </c>
      <c r="P830" s="11" t="s">
        <v>29</v>
      </c>
      <c r="Q830" s="15">
        <v>95</v>
      </c>
      <c r="R830" s="11" t="s">
        <v>3</v>
      </c>
      <c r="S830" s="10">
        <v>171.97360781208999</v>
      </c>
      <c r="T830" s="15">
        <v>80</v>
      </c>
      <c r="U830" s="15">
        <v>0</v>
      </c>
      <c r="V830" s="15">
        <v>1</v>
      </c>
      <c r="W830" s="15">
        <v>0</v>
      </c>
      <c r="X830" s="15">
        <f>IF(O830='Udvaskning nøgletal'!$D$65,1,IF(O830='Udvaskning nøgletal'!$D$66,2,IF(O830='Udvaskning nøgletal'!$D$67,3,IF(O830='Udvaskning nøgletal'!$D$68,2,""))))</f>
        <v>1</v>
      </c>
      <c r="Y830" s="15">
        <f>LOOKUP(K830,'Udvaskning nøgletal'!$C$12:$C$60,'Udvaskning nøgletal'!$H$12:$H$60)</f>
        <v>0</v>
      </c>
      <c r="Z830" s="10">
        <f>IF(X830=1,LOOKUP(K830,'Udvaskning nøgletal'!$C$12:$C$60,'Udvaskning nøgletal'!$E$12:$E$60)+Markniveau!Y830*Markniveau!S830/100,IF(X830=2,LOOKUP(K830,'Udvaskning nøgletal'!$C$12:$C$60,'Udvaskning nøgletal'!$F$12:$F$60)+Markniveau!Y830*Markniveau!S830/100,IF(X830=3,LOOKUP(K830,'Udvaskning nøgletal'!$C$12:$C$60,'Udvaskning nøgletal'!G840:G888)+Markniveau!Y830*Markniveau!S830/100,"")))</f>
        <v>33.723295792149436</v>
      </c>
      <c r="AA830" s="10">
        <f t="shared" si="126"/>
        <v>110.27517724032866</v>
      </c>
      <c r="AB830" s="10">
        <f t="shared" si="125"/>
        <v>1.6861647896074716</v>
      </c>
      <c r="AC830" s="10">
        <f t="shared" si="127"/>
        <v>5.5137588620164326</v>
      </c>
      <c r="AD830" s="10">
        <f>IF(AND(Q830&gt;0,Q830&lt;30,K830&lt;8),Markniveau!Z830*'Udvaskning nøgletal'!$I$12/100,IF(AND(Q830&gt;0,Q830&lt;30,K830=216),Markniveau!Z830*'Udvaskning nøgletal'!$I$34/100,Markniveau!Z830))</f>
        <v>33.723295792149436</v>
      </c>
      <c r="AE830" s="10">
        <f t="shared" si="133"/>
        <v>110.27517724032866</v>
      </c>
      <c r="AF830" s="10">
        <f t="shared" si="128"/>
        <v>1.6861647896074716</v>
      </c>
      <c r="AG830" s="10">
        <f t="shared" si="134"/>
        <v>5.5137588620164326</v>
      </c>
      <c r="AH830" s="10" t="str">
        <f>IF(AND(Q830&gt;0,Q830&lt;30,K830=216),'Udvaskning nøgletal'!$C$42,IF(AND(Q830&gt;0,Q830&lt;30,K830&gt;7,K830&lt;17),'Udvaskning nøgletal'!$C$61,IF(AND(Q830&gt;0,Q830&lt;30,K830&lt;7),'Udvaskning nøgletal'!$C$62,"")))</f>
        <v/>
      </c>
      <c r="AI830" s="10">
        <f t="shared" si="130"/>
        <v>260</v>
      </c>
      <c r="AJ830" s="10">
        <f>IF($X830=1,LOOKUP(AI830,'Udvaskning nøgletal'!$C$12:$C$62,'Udvaskning nøgletal'!$E$12:$E$62)+Markniveau!$Y830*Markniveau!$S830/100,IF($X830=2,LOOKUP(AI830,'Udvaskning nøgletal'!$C$12:$C$62,'Udvaskning nøgletal'!$F$12:$F$62)+Markniveau!$Y830*Markniveau!$S830/100,IF($X830=3,LOOKUP(AI830,'Udvaskning nøgletal'!$C$12:$C$62,'Udvaskning nøgletal'!Q840:Q890)+Markniveau!$Y830*Markniveau!$S830/100,"")))</f>
        <v>33.723295792149436</v>
      </c>
      <c r="AK830" s="10">
        <f t="shared" si="129"/>
        <v>110.27517724032866</v>
      </c>
      <c r="AL830" s="10">
        <f t="shared" si="131"/>
        <v>1.6861647896074716</v>
      </c>
      <c r="AM830" s="10">
        <f t="shared" si="132"/>
        <v>5.5137588620164326</v>
      </c>
    </row>
    <row r="831" spans="1:39" x14ac:dyDescent="0.25">
      <c r="A831" s="15">
        <v>27542336</v>
      </c>
      <c r="B831" s="15">
        <v>25.4</v>
      </c>
      <c r="C831" s="15">
        <v>428801</v>
      </c>
      <c r="D831" s="15">
        <v>31563</v>
      </c>
      <c r="E831" s="15" t="s">
        <v>559</v>
      </c>
      <c r="F831" s="15">
        <v>2011</v>
      </c>
      <c r="G831" s="15">
        <v>20110225</v>
      </c>
      <c r="H831" s="15">
        <v>26229</v>
      </c>
      <c r="I831" s="15">
        <v>2.62</v>
      </c>
      <c r="J831" s="6" t="s">
        <v>1455</v>
      </c>
      <c r="K831" s="15">
        <v>230</v>
      </c>
      <c r="L831" s="15" t="s">
        <v>120</v>
      </c>
      <c r="M831" s="15" t="s">
        <v>5</v>
      </c>
      <c r="N831" s="11" t="s">
        <v>1384</v>
      </c>
      <c r="O831" s="11" t="s">
        <v>28</v>
      </c>
      <c r="P831" s="11" t="s">
        <v>29</v>
      </c>
      <c r="Q831" s="15">
        <v>95</v>
      </c>
      <c r="R831" s="11" t="s">
        <v>3</v>
      </c>
      <c r="S831" s="10">
        <v>171.97360781208999</v>
      </c>
      <c r="T831" s="15">
        <v>80</v>
      </c>
      <c r="U831" s="15">
        <v>0</v>
      </c>
      <c r="V831" s="15">
        <v>1</v>
      </c>
      <c r="W831" s="15">
        <v>0</v>
      </c>
      <c r="X831" s="15">
        <f>IF(O831='Udvaskning nøgletal'!$D$65,1,IF(O831='Udvaskning nøgletal'!$D$66,2,IF(O831='Udvaskning nøgletal'!$D$67,3,IF(O831='Udvaskning nøgletal'!$D$68,2,""))))</f>
        <v>1</v>
      </c>
      <c r="Y831" s="15">
        <f>LOOKUP(K831,'Udvaskning nøgletal'!$C$12:$C$60,'Udvaskning nøgletal'!$H$12:$H$60)</f>
        <v>0</v>
      </c>
      <c r="Z831" s="10">
        <f>IF(X831=1,LOOKUP(K831,'Udvaskning nøgletal'!$C$12:$C$60,'Udvaskning nøgletal'!$E$12:$E$60)+Markniveau!Y831*Markniveau!S831/100,IF(X831=2,LOOKUP(K831,'Udvaskning nøgletal'!$C$12:$C$60,'Udvaskning nøgletal'!$F$12:$F$60)+Markniveau!Y831*Markniveau!S831/100,IF(X831=3,LOOKUP(K831,'Udvaskning nøgletal'!$C$12:$C$60,'Udvaskning nøgletal'!G841:G889)+Markniveau!Y831*Markniveau!S831/100,"")))</f>
        <v>38.620385460262987</v>
      </c>
      <c r="AA831" s="10">
        <f t="shared" si="126"/>
        <v>101.18540990588903</v>
      </c>
      <c r="AB831" s="10">
        <f t="shared" si="125"/>
        <v>1.9310192730131492</v>
      </c>
      <c r="AC831" s="10">
        <f t="shared" si="127"/>
        <v>5.0592704952944514</v>
      </c>
      <c r="AD831" s="10">
        <f>IF(AND(Q831&gt;0,Q831&lt;30,K831&lt;8),Markniveau!Z831*'Udvaskning nøgletal'!$I$12/100,IF(AND(Q831&gt;0,Q831&lt;30,K831=216),Markniveau!Z831*'Udvaskning nøgletal'!$I$34/100,Markniveau!Z831))</f>
        <v>38.620385460262987</v>
      </c>
      <c r="AE831" s="10">
        <f t="shared" si="133"/>
        <v>101.18540990588903</v>
      </c>
      <c r="AF831" s="10">
        <f t="shared" si="128"/>
        <v>1.9310192730131492</v>
      </c>
      <c r="AG831" s="10">
        <f t="shared" si="134"/>
        <v>5.0592704952944514</v>
      </c>
      <c r="AH831" s="10" t="str">
        <f>IF(AND(Q831&gt;0,Q831&lt;30,K831=216),'Udvaskning nøgletal'!$C$42,IF(AND(Q831&gt;0,Q831&lt;30,K831&gt;7,K831&lt;17),'Udvaskning nøgletal'!$C$61,IF(AND(Q831&gt;0,Q831&lt;30,K831&lt;7),'Udvaskning nøgletal'!$C$62,"")))</f>
        <v/>
      </c>
      <c r="AI831" s="10">
        <f t="shared" si="130"/>
        <v>230</v>
      </c>
      <c r="AJ831" s="10">
        <f>IF($X831=1,LOOKUP(AI831,'Udvaskning nøgletal'!$C$12:$C$62,'Udvaskning nøgletal'!$E$12:$E$62)+Markniveau!$Y831*Markniveau!$S831/100,IF($X831=2,LOOKUP(AI831,'Udvaskning nøgletal'!$C$12:$C$62,'Udvaskning nøgletal'!$F$12:$F$62)+Markniveau!$Y831*Markniveau!$S831/100,IF($X831=3,LOOKUP(AI831,'Udvaskning nøgletal'!$C$12:$C$62,'Udvaskning nøgletal'!Q841:Q891)+Markniveau!$Y831*Markniveau!$S831/100,"")))</f>
        <v>38.620385460262987</v>
      </c>
      <c r="AK831" s="10">
        <f t="shared" si="129"/>
        <v>101.18540990588903</v>
      </c>
      <c r="AL831" s="10">
        <f t="shared" si="131"/>
        <v>1.9310192730131492</v>
      </c>
      <c r="AM831" s="10">
        <f t="shared" si="132"/>
        <v>5.0592704952944514</v>
      </c>
    </row>
    <row r="832" spans="1:39" x14ac:dyDescent="0.25">
      <c r="A832" s="15">
        <v>27542336</v>
      </c>
      <c r="B832" s="15">
        <v>25.4</v>
      </c>
      <c r="C832" s="15">
        <v>428802</v>
      </c>
      <c r="D832" s="15">
        <v>31563</v>
      </c>
      <c r="E832" s="15" t="s">
        <v>661</v>
      </c>
      <c r="F832" s="15">
        <v>2011</v>
      </c>
      <c r="G832" s="15">
        <v>20110225</v>
      </c>
      <c r="H832" s="15">
        <v>32009</v>
      </c>
      <c r="I832" s="15">
        <v>3.2</v>
      </c>
      <c r="J832" s="6" t="s">
        <v>61</v>
      </c>
      <c r="K832" s="15">
        <v>216</v>
      </c>
      <c r="L832" s="15" t="s">
        <v>116</v>
      </c>
      <c r="M832" s="15" t="s">
        <v>5</v>
      </c>
      <c r="N832" s="11" t="s">
        <v>1391</v>
      </c>
      <c r="O832" s="11" t="s">
        <v>46</v>
      </c>
      <c r="P832" s="11" t="s">
        <v>29</v>
      </c>
      <c r="Q832" s="15">
        <v>95</v>
      </c>
      <c r="R832" s="11" t="s">
        <v>3</v>
      </c>
      <c r="S832" s="10">
        <v>171.97360781208999</v>
      </c>
      <c r="T832" s="15">
        <v>80</v>
      </c>
      <c r="U832" s="15">
        <v>0</v>
      </c>
      <c r="V832" s="15">
        <v>1</v>
      </c>
      <c r="W832" s="15">
        <v>0</v>
      </c>
      <c r="X832" s="15">
        <f>IF(O832='Udvaskning nøgletal'!$D$65,1,IF(O832='Udvaskning nøgletal'!$D$66,2,IF(O832='Udvaskning nøgletal'!$D$67,3,IF(O832='Udvaskning nøgletal'!$D$68,2,""))))</f>
        <v>2</v>
      </c>
      <c r="Y832" s="15">
        <f>LOOKUP(K832,'Udvaskning nøgletal'!$C$12:$C$60,'Udvaskning nøgletal'!$H$12:$H$60)</f>
        <v>0</v>
      </c>
      <c r="Z832" s="10">
        <f>IF(X832=1,LOOKUP(K832,'Udvaskning nøgletal'!$C$12:$C$60,'Udvaskning nøgletal'!$E$12:$E$60)+Markniveau!Y832*Markniveau!S832/100,IF(X832=2,LOOKUP(K832,'Udvaskning nøgletal'!$C$12:$C$60,'Udvaskning nøgletal'!$F$12:$F$60)+Markniveau!Y832*Markniveau!S832/100,IF(X832=3,LOOKUP(K832,'Udvaskning nøgletal'!$C$12:$C$60,'Udvaskning nøgletal'!G842:G890)+Markniveau!Y832*Markniveau!S832/100,"")))</f>
        <v>101.66744640811392</v>
      </c>
      <c r="AA832" s="10">
        <f t="shared" si="126"/>
        <v>325.33582850596457</v>
      </c>
      <c r="AB832" s="10">
        <f t="shared" si="125"/>
        <v>5.0833723204056955</v>
      </c>
      <c r="AC832" s="10">
        <f t="shared" si="127"/>
        <v>16.266791425298226</v>
      </c>
      <c r="AD832" s="10">
        <f>IF(AND(Q832&gt;0,Q832&lt;30,K832&lt;8),Markniveau!Z832*'Udvaskning nøgletal'!$I$12/100,IF(AND(Q832&gt;0,Q832&lt;30,K832=216),Markniveau!Z832*'Udvaskning nøgletal'!$I$34/100,Markniveau!Z832))</f>
        <v>101.66744640811392</v>
      </c>
      <c r="AE832" s="10">
        <f t="shared" si="133"/>
        <v>325.33582850596457</v>
      </c>
      <c r="AF832" s="10">
        <f t="shared" si="128"/>
        <v>5.0833723204056955</v>
      </c>
      <c r="AG832" s="10">
        <f t="shared" si="134"/>
        <v>16.266791425298226</v>
      </c>
      <c r="AH832" s="10" t="str">
        <f>IF(AND(Q832&gt;0,Q832&lt;30,K832=216),'Udvaskning nøgletal'!$C$42,IF(AND(Q832&gt;0,Q832&lt;30,K832&gt;7,K832&lt;17),'Udvaskning nøgletal'!$C$61,IF(AND(Q832&gt;0,Q832&lt;30,K832&lt;7),'Udvaskning nøgletal'!$C$62,"")))</f>
        <v/>
      </c>
      <c r="AI832" s="10">
        <f t="shared" si="130"/>
        <v>216</v>
      </c>
      <c r="AJ832" s="10">
        <f>IF($X832=1,LOOKUP(AI832,'Udvaskning nøgletal'!$C$12:$C$62,'Udvaskning nøgletal'!$E$12:$E$62)+Markniveau!$Y832*Markniveau!$S832/100,IF($X832=2,LOOKUP(AI832,'Udvaskning nøgletal'!$C$12:$C$62,'Udvaskning nøgletal'!$F$12:$F$62)+Markniveau!$Y832*Markniveau!$S832/100,IF($X832=3,LOOKUP(AI832,'Udvaskning nøgletal'!$C$12:$C$62,'Udvaskning nøgletal'!Q842:Q892)+Markniveau!$Y832*Markniveau!$S832/100,"")))</f>
        <v>101.66744640811392</v>
      </c>
      <c r="AK832" s="10">
        <f t="shared" si="129"/>
        <v>325.33582850596457</v>
      </c>
      <c r="AL832" s="10">
        <f t="shared" si="131"/>
        <v>5.0833723204056955</v>
      </c>
      <c r="AM832" s="10">
        <f t="shared" si="132"/>
        <v>16.266791425298226</v>
      </c>
    </row>
    <row r="833" spans="1:39" x14ac:dyDescent="0.25">
      <c r="A833" s="15">
        <v>27542336</v>
      </c>
      <c r="B833" s="15">
        <v>25.4</v>
      </c>
      <c r="C833" s="15">
        <v>428803</v>
      </c>
      <c r="D833" s="15">
        <v>31563</v>
      </c>
      <c r="E833" s="15" t="s">
        <v>661</v>
      </c>
      <c r="F833" s="15">
        <v>2011</v>
      </c>
      <c r="G833" s="15">
        <v>20110225</v>
      </c>
      <c r="H833" s="15">
        <v>4778</v>
      </c>
      <c r="I833" s="15">
        <v>0.48</v>
      </c>
      <c r="J833" s="6" t="s">
        <v>1436</v>
      </c>
      <c r="K833" s="15">
        <v>252</v>
      </c>
      <c r="L833" s="15" t="s">
        <v>41</v>
      </c>
      <c r="M833" s="15" t="s">
        <v>4</v>
      </c>
      <c r="N833" s="11" t="s">
        <v>1384</v>
      </c>
      <c r="O833" s="11" t="s">
        <v>28</v>
      </c>
      <c r="P833" s="11" t="s">
        <v>29</v>
      </c>
      <c r="Q833" s="15">
        <v>95</v>
      </c>
      <c r="R833" s="11" t="s">
        <v>3</v>
      </c>
      <c r="S833" s="10">
        <v>171.97360781208999</v>
      </c>
      <c r="T833" s="15">
        <v>80</v>
      </c>
      <c r="U833" s="15">
        <v>0</v>
      </c>
      <c r="V833" s="15">
        <v>1</v>
      </c>
      <c r="W833" s="15">
        <v>0</v>
      </c>
      <c r="X833" s="15">
        <f>IF(O833='Udvaskning nøgletal'!$D$65,1,IF(O833='Udvaskning nøgletal'!$D$66,2,IF(O833='Udvaskning nøgletal'!$D$67,3,IF(O833='Udvaskning nøgletal'!$D$68,2,""))))</f>
        <v>1</v>
      </c>
      <c r="Y833" s="15">
        <f>LOOKUP(K833,'Udvaskning nøgletal'!$C$12:$C$60,'Udvaskning nøgletal'!$H$12:$H$60)</f>
        <v>0</v>
      </c>
      <c r="Z833" s="10">
        <f>IF(X833=1,LOOKUP(K833,'Udvaskning nøgletal'!$C$12:$C$60,'Udvaskning nøgletal'!$E$12:$E$60)+Markniveau!Y833*Markniveau!S833/100,IF(X833=2,LOOKUP(K833,'Udvaskning nøgletal'!$C$12:$C$60,'Udvaskning nøgletal'!$F$12:$F$60)+Markniveau!Y833*Markniveau!S833/100,IF(X833=3,LOOKUP(K833,'Udvaskning nøgletal'!$C$12:$C$60,'Udvaskning nøgletal'!G843:G891)+Markniveau!Y833*Markniveau!S833/100,"")))</f>
        <v>21.2</v>
      </c>
      <c r="AA833" s="10">
        <f t="shared" si="126"/>
        <v>10.176</v>
      </c>
      <c r="AB833" s="10">
        <f t="shared" si="125"/>
        <v>1.06</v>
      </c>
      <c r="AC833" s="10">
        <f t="shared" si="127"/>
        <v>0.50880000000000003</v>
      </c>
      <c r="AD833" s="10">
        <f>IF(AND(Q833&gt;0,Q833&lt;30,K833&lt;8),Markniveau!Z833*'Udvaskning nøgletal'!$I$12/100,IF(AND(Q833&gt;0,Q833&lt;30,K833=216),Markniveau!Z833*'Udvaskning nøgletal'!$I$34/100,Markniveau!Z833))</f>
        <v>21.2</v>
      </c>
      <c r="AE833" s="10">
        <f t="shared" si="133"/>
        <v>10.176</v>
      </c>
      <c r="AF833" s="10">
        <f t="shared" si="128"/>
        <v>1.06</v>
      </c>
      <c r="AG833" s="10">
        <f t="shared" si="134"/>
        <v>0.50880000000000003</v>
      </c>
      <c r="AH833" s="10" t="str">
        <f>IF(AND(Q833&gt;0,Q833&lt;30,K833=216),'Udvaskning nøgletal'!$C$42,IF(AND(Q833&gt;0,Q833&lt;30,K833&gt;7,K833&lt;17),'Udvaskning nøgletal'!$C$61,IF(AND(Q833&gt;0,Q833&lt;30,K833&lt;7),'Udvaskning nøgletal'!$C$62,"")))</f>
        <v/>
      </c>
      <c r="AI833" s="10">
        <f t="shared" si="130"/>
        <v>252</v>
      </c>
      <c r="AJ833" s="10">
        <f>IF($X833=1,LOOKUP(AI833,'Udvaskning nøgletal'!$C$12:$C$62,'Udvaskning nøgletal'!$E$12:$E$62)+Markniveau!$Y833*Markniveau!$S833/100,IF($X833=2,LOOKUP(AI833,'Udvaskning nøgletal'!$C$12:$C$62,'Udvaskning nøgletal'!$F$12:$F$62)+Markniveau!$Y833*Markniveau!$S833/100,IF($X833=3,LOOKUP(AI833,'Udvaskning nøgletal'!$C$12:$C$62,'Udvaskning nøgletal'!Q843:Q893)+Markniveau!$Y833*Markniveau!$S833/100,"")))</f>
        <v>21.2</v>
      </c>
      <c r="AK833" s="10">
        <f t="shared" si="129"/>
        <v>10.176</v>
      </c>
      <c r="AL833" s="10">
        <f t="shared" si="131"/>
        <v>1.06</v>
      </c>
      <c r="AM833" s="10">
        <f t="shared" si="132"/>
        <v>0.50880000000000003</v>
      </c>
    </row>
    <row r="834" spans="1:39" x14ac:dyDescent="0.25">
      <c r="A834" s="15">
        <v>27542336</v>
      </c>
      <c r="B834" s="15">
        <v>25.4</v>
      </c>
      <c r="C834" s="15">
        <v>429297</v>
      </c>
      <c r="D834" s="15">
        <v>31563</v>
      </c>
      <c r="E834" s="15" t="s">
        <v>105</v>
      </c>
      <c r="F834" s="15">
        <v>2011</v>
      </c>
      <c r="G834" s="15">
        <v>20110225</v>
      </c>
      <c r="H834" s="15">
        <v>15769</v>
      </c>
      <c r="I834" s="15">
        <v>1.58</v>
      </c>
      <c r="J834" s="6" t="s">
        <v>74</v>
      </c>
      <c r="K834" s="15">
        <v>260</v>
      </c>
      <c r="L834" s="15" t="s">
        <v>45</v>
      </c>
      <c r="M834" s="15" t="s">
        <v>5</v>
      </c>
      <c r="N834" s="11" t="s">
        <v>1384</v>
      </c>
      <c r="O834" s="11" t="s">
        <v>28</v>
      </c>
      <c r="P834" s="11" t="s">
        <v>29</v>
      </c>
      <c r="Q834" s="15">
        <v>1</v>
      </c>
      <c r="R834" s="11" t="s">
        <v>11</v>
      </c>
      <c r="S834" s="10">
        <v>171.97360781208999</v>
      </c>
      <c r="T834" s="15">
        <v>80</v>
      </c>
      <c r="U834" s="15">
        <v>0</v>
      </c>
      <c r="V834" s="15">
        <v>1</v>
      </c>
      <c r="W834" s="15">
        <v>0</v>
      </c>
      <c r="X834" s="15">
        <f>IF(O834='Udvaskning nøgletal'!$D$65,1,IF(O834='Udvaskning nøgletal'!$D$66,2,IF(O834='Udvaskning nøgletal'!$D$67,3,IF(O834='Udvaskning nøgletal'!$D$68,2,""))))</f>
        <v>1</v>
      </c>
      <c r="Y834" s="15">
        <f>LOOKUP(K834,'Udvaskning nøgletal'!$C$12:$C$60,'Udvaskning nøgletal'!$H$12:$H$60)</f>
        <v>0</v>
      </c>
      <c r="Z834" s="10">
        <f>IF(X834=1,LOOKUP(K834,'Udvaskning nøgletal'!$C$12:$C$60,'Udvaskning nøgletal'!$E$12:$E$60)+Markniveau!Y834*Markniveau!S834/100,IF(X834=2,LOOKUP(K834,'Udvaskning nøgletal'!$C$12:$C$60,'Udvaskning nøgletal'!$F$12:$F$60)+Markniveau!Y834*Markniveau!S834/100,IF(X834=3,LOOKUP(K834,'Udvaskning nøgletal'!$C$12:$C$60,'Udvaskning nøgletal'!G844:G892)+Markniveau!Y834*Markniveau!S834/100,"")))</f>
        <v>33.723295792149436</v>
      </c>
      <c r="AA834" s="10">
        <f t="shared" si="126"/>
        <v>53.282807351596112</v>
      </c>
      <c r="AB834" s="10">
        <f t="shared" ref="AB834:AB897" si="135">IF(Q834&gt;0,(100-Q834)*Z834/100,"")</f>
        <v>33.386062834227943</v>
      </c>
      <c r="AC834" s="10">
        <f t="shared" si="127"/>
        <v>52.749979278080154</v>
      </c>
      <c r="AD834" s="10">
        <f>IF(AND(Q834&gt;0,Q834&lt;30,K834&lt;8),Markniveau!Z834*'Udvaskning nøgletal'!$I$12/100,IF(AND(Q834&gt;0,Q834&lt;30,K834=216),Markniveau!Z834*'Udvaskning nøgletal'!$I$34/100,Markniveau!Z834))</f>
        <v>33.723295792149436</v>
      </c>
      <c r="AE834" s="10">
        <f t="shared" si="133"/>
        <v>53.282807351596112</v>
      </c>
      <c r="AF834" s="10">
        <f t="shared" si="128"/>
        <v>33.386062834227943</v>
      </c>
      <c r="AG834" s="10">
        <f t="shared" si="134"/>
        <v>52.749979278080154</v>
      </c>
      <c r="AH834" s="10" t="str">
        <f>IF(AND(Q834&gt;0,Q834&lt;30,K834=216),'Udvaskning nøgletal'!$C$42,IF(AND(Q834&gt;0,Q834&lt;30,K834&gt;7,K834&lt;17),'Udvaskning nøgletal'!$C$61,IF(AND(Q834&gt;0,Q834&lt;30,K834&lt;7),'Udvaskning nøgletal'!$C$62,"")))</f>
        <v/>
      </c>
      <c r="AI834" s="10">
        <f t="shared" si="130"/>
        <v>260</v>
      </c>
      <c r="AJ834" s="10">
        <f>IF($X834=1,LOOKUP(AI834,'Udvaskning nøgletal'!$C$12:$C$62,'Udvaskning nøgletal'!$E$12:$E$62)+Markniveau!$Y834*Markniveau!$S834/100,IF($X834=2,LOOKUP(AI834,'Udvaskning nøgletal'!$C$12:$C$62,'Udvaskning nøgletal'!$F$12:$F$62)+Markniveau!$Y834*Markniveau!$S834/100,IF($X834=3,LOOKUP(AI834,'Udvaskning nøgletal'!$C$12:$C$62,'Udvaskning nøgletal'!Q844:Q894)+Markniveau!$Y834*Markniveau!$S834/100,"")))</f>
        <v>33.723295792149436</v>
      </c>
      <c r="AK834" s="10">
        <f t="shared" si="129"/>
        <v>53.282807351596112</v>
      </c>
      <c r="AL834" s="10">
        <f t="shared" si="131"/>
        <v>33.386062834227943</v>
      </c>
      <c r="AM834" s="10">
        <f t="shared" si="132"/>
        <v>52.749979278080154</v>
      </c>
    </row>
    <row r="835" spans="1:39" x14ac:dyDescent="0.25">
      <c r="A835" s="15">
        <v>27542336</v>
      </c>
      <c r="B835" s="15">
        <v>25.4</v>
      </c>
      <c r="C835" s="15">
        <v>429298</v>
      </c>
      <c r="D835" s="15">
        <v>31563</v>
      </c>
      <c r="E835" s="15" t="s">
        <v>662</v>
      </c>
      <c r="F835" s="15">
        <v>2011</v>
      </c>
      <c r="G835" s="15">
        <v>20110225</v>
      </c>
      <c r="H835" s="15">
        <v>51033</v>
      </c>
      <c r="I835" s="15">
        <v>5.0999999999999996</v>
      </c>
      <c r="J835" s="6" t="s">
        <v>53</v>
      </c>
      <c r="K835" s="15">
        <v>11</v>
      </c>
      <c r="L835" s="15" t="s">
        <v>102</v>
      </c>
      <c r="M835" s="15" t="s">
        <v>5</v>
      </c>
      <c r="N835" s="11" t="s">
        <v>1384</v>
      </c>
      <c r="O835" s="11" t="s">
        <v>28</v>
      </c>
      <c r="P835" s="11" t="s">
        <v>33</v>
      </c>
      <c r="Q835" s="15">
        <v>0</v>
      </c>
      <c r="R835" s="11" t="s">
        <v>1386</v>
      </c>
      <c r="S835" s="10">
        <v>171.97360781208999</v>
      </c>
      <c r="T835" s="15">
        <v>80</v>
      </c>
      <c r="U835" s="15">
        <v>0</v>
      </c>
      <c r="V835" s="15">
        <v>1</v>
      </c>
      <c r="W835" s="15">
        <v>0</v>
      </c>
      <c r="X835" s="15">
        <f>IF(O835='Udvaskning nøgletal'!$D$65,1,IF(O835='Udvaskning nøgletal'!$D$66,2,IF(O835='Udvaskning nøgletal'!$D$67,3,IF(O835='Udvaskning nøgletal'!$D$68,2,""))))</f>
        <v>1</v>
      </c>
      <c r="Y835" s="15">
        <f>LOOKUP(K835,'Udvaskning nøgletal'!$C$12:$C$60,'Udvaskning nøgletal'!$H$12:$H$60)</f>
        <v>5</v>
      </c>
      <c r="Z835" s="10">
        <f>IF(X835=1,LOOKUP(K835,'Udvaskning nøgletal'!$C$12:$C$60,'Udvaskning nøgletal'!$E$12:$E$60)+Markniveau!Y835*Markniveau!S835/100,IF(X835=2,LOOKUP(K835,'Udvaskning nøgletal'!$C$12:$C$60,'Udvaskning nøgletal'!$F$12:$F$60)+Markniveau!Y835*Markniveau!S835/100,IF(X835=3,LOOKUP(K835,'Udvaskning nøgletal'!$C$12:$C$60,'Udvaskning nøgletal'!G845:G893)+Markniveau!Y835*Markniveau!S835/100,"")))</f>
        <v>73.258680390604496</v>
      </c>
      <c r="AA835" s="10">
        <f t="shared" ref="AA835:AA898" si="136">Z835*I835</f>
        <v>373.61926999208288</v>
      </c>
      <c r="AB835" s="10" t="str">
        <f t="shared" si="135"/>
        <v/>
      </c>
      <c r="AC835" s="10" t="str">
        <f t="shared" ref="AC835:AC898" si="137">IF(Q835&gt;0,AB835*I835,"")</f>
        <v/>
      </c>
      <c r="AD835" s="10">
        <f>IF(AND(Q835&gt;0,Q835&lt;30,K835&lt;8),Markniveau!Z835*'Udvaskning nøgletal'!$I$12/100,IF(AND(Q835&gt;0,Q835&lt;30,K835=216),Markniveau!Z835*'Udvaskning nøgletal'!$I$34/100,Markniveau!Z835))</f>
        <v>73.258680390604496</v>
      </c>
      <c r="AE835" s="10">
        <f t="shared" si="133"/>
        <v>373.61926999208288</v>
      </c>
      <c r="AF835" s="10" t="str">
        <f t="shared" ref="AF835:AF898" si="138">IF($Q835&gt;0,(100-$Q835)*$AD835/100,"")</f>
        <v/>
      </c>
      <c r="AG835" s="10" t="str">
        <f t="shared" si="134"/>
        <v/>
      </c>
      <c r="AH835" s="10" t="str">
        <f>IF(AND(Q835&gt;0,Q835&lt;30,K835=216),'Udvaskning nøgletal'!$C$42,IF(AND(Q835&gt;0,Q835&lt;30,K835&gt;7,K835&lt;17),'Udvaskning nøgletal'!$C$61,IF(AND(Q835&gt;0,Q835&lt;30,K835&lt;7),'Udvaskning nøgletal'!$C$62,"")))</f>
        <v/>
      </c>
      <c r="AI835" s="10">
        <f t="shared" si="130"/>
        <v>11</v>
      </c>
      <c r="AJ835" s="10">
        <f>IF($X835=1,LOOKUP(AI835,'Udvaskning nøgletal'!$C$12:$C$62,'Udvaskning nøgletal'!$E$12:$E$62)+Markniveau!$Y835*Markniveau!$S835/100,IF($X835=2,LOOKUP(AI835,'Udvaskning nøgletal'!$C$12:$C$62,'Udvaskning nøgletal'!$F$12:$F$62)+Markniveau!$Y835*Markniveau!$S835/100,IF($X835=3,LOOKUP(AI835,'Udvaskning nøgletal'!$C$12:$C$62,'Udvaskning nøgletal'!Q845:Q895)+Markniveau!$Y835*Markniveau!$S835/100,"")))</f>
        <v>73.258680390604496</v>
      </c>
      <c r="AK835" s="10">
        <f t="shared" ref="AK835:AK898" si="139">AJ835*$I835</f>
        <v>373.61926999208288</v>
      </c>
      <c r="AL835" s="10" t="str">
        <f t="shared" si="131"/>
        <v/>
      </c>
      <c r="AM835" s="10" t="str">
        <f t="shared" si="132"/>
        <v/>
      </c>
    </row>
    <row r="836" spans="1:39" x14ac:dyDescent="0.25">
      <c r="A836" s="15">
        <v>27542336</v>
      </c>
      <c r="B836" s="15">
        <v>25.4</v>
      </c>
      <c r="C836" s="15">
        <v>429299</v>
      </c>
      <c r="D836" s="15">
        <v>31563</v>
      </c>
      <c r="E836" s="15" t="s">
        <v>663</v>
      </c>
      <c r="F836" s="15">
        <v>2011</v>
      </c>
      <c r="G836" s="15">
        <v>20110225</v>
      </c>
      <c r="H836" s="15">
        <v>67002</v>
      </c>
      <c r="I836" s="15">
        <v>6.7</v>
      </c>
      <c r="J836" s="6" t="s">
        <v>91</v>
      </c>
      <c r="K836" s="15">
        <v>10</v>
      </c>
      <c r="L836" s="15" t="s">
        <v>107</v>
      </c>
      <c r="M836" s="15" t="s">
        <v>5</v>
      </c>
      <c r="N836" s="11" t="s">
        <v>1384</v>
      </c>
      <c r="O836" s="11" t="s">
        <v>28</v>
      </c>
      <c r="P836" s="11" t="s">
        <v>33</v>
      </c>
      <c r="Q836" s="15">
        <v>0</v>
      </c>
      <c r="R836" s="11" t="s">
        <v>1386</v>
      </c>
      <c r="S836" s="10">
        <v>171.97360781208999</v>
      </c>
      <c r="T836" s="15">
        <v>80</v>
      </c>
      <c r="U836" s="15">
        <v>0</v>
      </c>
      <c r="V836" s="15">
        <v>1</v>
      </c>
      <c r="W836" s="15">
        <v>0</v>
      </c>
      <c r="X836" s="15">
        <f>IF(O836='Udvaskning nøgletal'!$D$65,1,IF(O836='Udvaskning nøgletal'!$D$66,2,IF(O836='Udvaskning nøgletal'!$D$67,3,IF(O836='Udvaskning nøgletal'!$D$68,2,""))))</f>
        <v>1</v>
      </c>
      <c r="Y836" s="15">
        <f>LOOKUP(K836,'Udvaskning nøgletal'!$C$12:$C$60,'Udvaskning nøgletal'!$H$12:$H$60)</f>
        <v>5</v>
      </c>
      <c r="Z836" s="10">
        <f>IF(X836=1,LOOKUP(K836,'Udvaskning nøgletal'!$C$12:$C$60,'Udvaskning nøgletal'!$E$12:$E$60)+Markniveau!Y836*Markniveau!S836/100,IF(X836=2,LOOKUP(K836,'Udvaskning nøgletal'!$C$12:$C$60,'Udvaskning nøgletal'!$F$12:$F$60)+Markniveau!Y836*Markniveau!S836/100,IF(X836=3,LOOKUP(K836,'Udvaskning nøgletal'!$C$12:$C$60,'Udvaskning nøgletal'!G846:G894)+Markniveau!Y836*Markniveau!S836/100,"")))</f>
        <v>73.258680390604496</v>
      </c>
      <c r="AA836" s="10">
        <f t="shared" si="136"/>
        <v>490.83315861705012</v>
      </c>
      <c r="AB836" s="10" t="str">
        <f t="shared" si="135"/>
        <v/>
      </c>
      <c r="AC836" s="10" t="str">
        <f t="shared" si="137"/>
        <v/>
      </c>
      <c r="AD836" s="10">
        <f>IF(AND(Q836&gt;0,Q836&lt;30,K836&lt;8),Markniveau!Z836*'Udvaskning nøgletal'!$I$12/100,IF(AND(Q836&gt;0,Q836&lt;30,K836=216),Markniveau!Z836*'Udvaskning nøgletal'!$I$34/100,Markniveau!Z836))</f>
        <v>73.258680390604496</v>
      </c>
      <c r="AE836" s="10">
        <f t="shared" si="133"/>
        <v>490.83315861705012</v>
      </c>
      <c r="AF836" s="10" t="str">
        <f t="shared" si="138"/>
        <v/>
      </c>
      <c r="AG836" s="10" t="str">
        <f t="shared" si="134"/>
        <v/>
      </c>
      <c r="AH836" s="10" t="str">
        <f>IF(AND(Q836&gt;0,Q836&lt;30,K836=216),'Udvaskning nøgletal'!$C$42,IF(AND(Q836&gt;0,Q836&lt;30,K836&gt;7,K836&lt;17),'Udvaskning nøgletal'!$C$61,IF(AND(Q836&gt;0,Q836&lt;30,K836&lt;7),'Udvaskning nøgletal'!$C$62,"")))</f>
        <v/>
      </c>
      <c r="AI836" s="10">
        <f t="shared" si="130"/>
        <v>10</v>
      </c>
      <c r="AJ836" s="10">
        <f>IF($X836=1,LOOKUP(AI836,'Udvaskning nøgletal'!$C$12:$C$62,'Udvaskning nøgletal'!$E$12:$E$62)+Markniveau!$Y836*Markniveau!$S836/100,IF($X836=2,LOOKUP(AI836,'Udvaskning nøgletal'!$C$12:$C$62,'Udvaskning nøgletal'!$F$12:$F$62)+Markniveau!$Y836*Markniveau!$S836/100,IF($X836=3,LOOKUP(AI836,'Udvaskning nøgletal'!$C$12:$C$62,'Udvaskning nøgletal'!Q846:Q896)+Markniveau!$Y836*Markniveau!$S836/100,"")))</f>
        <v>73.258680390604496</v>
      </c>
      <c r="AK836" s="10">
        <f t="shared" si="139"/>
        <v>490.83315861705012</v>
      </c>
      <c r="AL836" s="10" t="str">
        <f t="shared" si="131"/>
        <v/>
      </c>
      <c r="AM836" s="10" t="str">
        <f t="shared" si="132"/>
        <v/>
      </c>
    </row>
    <row r="837" spans="1:39" x14ac:dyDescent="0.25">
      <c r="A837" s="15">
        <v>27542336</v>
      </c>
      <c r="B837" s="15">
        <v>25.4</v>
      </c>
      <c r="C837" s="15">
        <v>429300</v>
      </c>
      <c r="D837" s="15">
        <v>31563</v>
      </c>
      <c r="E837" s="15" t="s">
        <v>662</v>
      </c>
      <c r="F837" s="15">
        <v>2011</v>
      </c>
      <c r="G837" s="15">
        <v>20110225</v>
      </c>
      <c r="H837" s="15">
        <v>9785</v>
      </c>
      <c r="I837" s="15">
        <v>0.98</v>
      </c>
      <c r="J837" s="6" t="s">
        <v>87</v>
      </c>
      <c r="K837" s="15">
        <v>11</v>
      </c>
      <c r="L837" s="15" t="s">
        <v>102</v>
      </c>
      <c r="M837" s="15" t="s">
        <v>5</v>
      </c>
      <c r="N837" s="11" t="s">
        <v>1384</v>
      </c>
      <c r="O837" s="11" t="s">
        <v>28</v>
      </c>
      <c r="P837" s="11" t="s">
        <v>33</v>
      </c>
      <c r="Q837" s="15">
        <v>0</v>
      </c>
      <c r="R837" s="11" t="s">
        <v>1386</v>
      </c>
      <c r="S837" s="10">
        <v>171.97360781208999</v>
      </c>
      <c r="T837" s="15">
        <v>80</v>
      </c>
      <c r="U837" s="15">
        <v>0</v>
      </c>
      <c r="V837" s="15">
        <v>1</v>
      </c>
      <c r="W837" s="15">
        <v>0</v>
      </c>
      <c r="X837" s="15">
        <f>IF(O837='Udvaskning nøgletal'!$D$65,1,IF(O837='Udvaskning nøgletal'!$D$66,2,IF(O837='Udvaskning nøgletal'!$D$67,3,IF(O837='Udvaskning nøgletal'!$D$68,2,""))))</f>
        <v>1</v>
      </c>
      <c r="Y837" s="15">
        <f>LOOKUP(K837,'Udvaskning nøgletal'!$C$12:$C$60,'Udvaskning nøgletal'!$H$12:$H$60)</f>
        <v>5</v>
      </c>
      <c r="Z837" s="10">
        <f>IF(X837=1,LOOKUP(K837,'Udvaskning nøgletal'!$C$12:$C$60,'Udvaskning nøgletal'!$E$12:$E$60)+Markniveau!Y837*Markniveau!S837/100,IF(X837=2,LOOKUP(K837,'Udvaskning nøgletal'!$C$12:$C$60,'Udvaskning nøgletal'!$F$12:$F$60)+Markniveau!Y837*Markniveau!S837/100,IF(X837=3,LOOKUP(K837,'Udvaskning nøgletal'!$C$12:$C$60,'Udvaskning nøgletal'!G847:G895)+Markniveau!Y837*Markniveau!S837/100,"")))</f>
        <v>73.258680390604496</v>
      </c>
      <c r="AA837" s="10">
        <f t="shared" si="136"/>
        <v>71.793506782792406</v>
      </c>
      <c r="AB837" s="10" t="str">
        <f t="shared" si="135"/>
        <v/>
      </c>
      <c r="AC837" s="10" t="str">
        <f t="shared" si="137"/>
        <v/>
      </c>
      <c r="AD837" s="10">
        <f>IF(AND(Q837&gt;0,Q837&lt;30,K837&lt;8),Markniveau!Z837*'Udvaskning nøgletal'!$I$12/100,IF(AND(Q837&gt;0,Q837&lt;30,K837=216),Markniveau!Z837*'Udvaskning nøgletal'!$I$34/100,Markniveau!Z837))</f>
        <v>73.258680390604496</v>
      </c>
      <c r="AE837" s="10">
        <f t="shared" si="133"/>
        <v>71.793506782792406</v>
      </c>
      <c r="AF837" s="10" t="str">
        <f t="shared" si="138"/>
        <v/>
      </c>
      <c r="AG837" s="10" t="str">
        <f t="shared" si="134"/>
        <v/>
      </c>
      <c r="AH837" s="10" t="str">
        <f>IF(AND(Q837&gt;0,Q837&lt;30,K837=216),'Udvaskning nøgletal'!$C$42,IF(AND(Q837&gt;0,Q837&lt;30,K837&gt;7,K837&lt;17),'Udvaskning nøgletal'!$C$61,IF(AND(Q837&gt;0,Q837&lt;30,K837&lt;7),'Udvaskning nøgletal'!$C$62,"")))</f>
        <v/>
      </c>
      <c r="AI837" s="10">
        <f t="shared" si="130"/>
        <v>11</v>
      </c>
      <c r="AJ837" s="10">
        <f>IF($X837=1,LOOKUP(AI837,'Udvaskning nøgletal'!$C$12:$C$62,'Udvaskning nøgletal'!$E$12:$E$62)+Markniveau!$Y837*Markniveau!$S837/100,IF($X837=2,LOOKUP(AI837,'Udvaskning nøgletal'!$C$12:$C$62,'Udvaskning nøgletal'!$F$12:$F$62)+Markniveau!$Y837*Markniveau!$S837/100,IF($X837=3,LOOKUP(AI837,'Udvaskning nøgletal'!$C$12:$C$62,'Udvaskning nøgletal'!Q847:Q897)+Markniveau!$Y837*Markniveau!$S837/100,"")))</f>
        <v>73.258680390604496</v>
      </c>
      <c r="AK837" s="10">
        <f t="shared" si="139"/>
        <v>71.793506782792406</v>
      </c>
      <c r="AL837" s="10" t="str">
        <f t="shared" si="131"/>
        <v/>
      </c>
      <c r="AM837" s="10" t="str">
        <f t="shared" si="132"/>
        <v/>
      </c>
    </row>
    <row r="838" spans="1:39" x14ac:dyDescent="0.25">
      <c r="A838" s="15">
        <v>27542336</v>
      </c>
      <c r="B838" s="15">
        <v>25.4</v>
      </c>
      <c r="C838" s="15">
        <v>429301</v>
      </c>
      <c r="D838" s="15">
        <v>31563</v>
      </c>
      <c r="E838" s="15" t="s">
        <v>662</v>
      </c>
      <c r="F838" s="15">
        <v>2011</v>
      </c>
      <c r="G838" s="15">
        <v>20110225</v>
      </c>
      <c r="H838" s="15">
        <v>14530</v>
      </c>
      <c r="I838" s="15">
        <v>1.45</v>
      </c>
      <c r="J838" s="6" t="s">
        <v>92</v>
      </c>
      <c r="K838" s="15">
        <v>252</v>
      </c>
      <c r="L838" s="15" t="s">
        <v>41</v>
      </c>
      <c r="M838" s="15" t="s">
        <v>4</v>
      </c>
      <c r="N838" s="11" t="s">
        <v>1384</v>
      </c>
      <c r="O838" s="11" t="s">
        <v>28</v>
      </c>
      <c r="P838" s="11" t="s">
        <v>33</v>
      </c>
      <c r="Q838" s="15">
        <v>0</v>
      </c>
      <c r="R838" s="11" t="s">
        <v>1386</v>
      </c>
      <c r="S838" s="10">
        <v>171.97360781208999</v>
      </c>
      <c r="T838" s="15">
        <v>80</v>
      </c>
      <c r="U838" s="15">
        <v>0</v>
      </c>
      <c r="V838" s="15">
        <v>1</v>
      </c>
      <c r="W838" s="15">
        <v>0</v>
      </c>
      <c r="X838" s="15">
        <f>IF(O838='Udvaskning nøgletal'!$D$65,1,IF(O838='Udvaskning nøgletal'!$D$66,2,IF(O838='Udvaskning nøgletal'!$D$67,3,IF(O838='Udvaskning nøgletal'!$D$68,2,""))))</f>
        <v>1</v>
      </c>
      <c r="Y838" s="15">
        <f>LOOKUP(K838,'Udvaskning nøgletal'!$C$12:$C$60,'Udvaskning nøgletal'!$H$12:$H$60)</f>
        <v>0</v>
      </c>
      <c r="Z838" s="10">
        <f>IF(X838=1,LOOKUP(K838,'Udvaskning nøgletal'!$C$12:$C$60,'Udvaskning nøgletal'!$E$12:$E$60)+Markniveau!Y838*Markniveau!S838/100,IF(X838=2,LOOKUP(K838,'Udvaskning nøgletal'!$C$12:$C$60,'Udvaskning nøgletal'!$F$12:$F$60)+Markniveau!Y838*Markniveau!S838/100,IF(X838=3,LOOKUP(K838,'Udvaskning nøgletal'!$C$12:$C$60,'Udvaskning nøgletal'!G848:G896)+Markniveau!Y838*Markniveau!S838/100,"")))</f>
        <v>21.2</v>
      </c>
      <c r="AA838" s="10">
        <f t="shared" si="136"/>
        <v>30.74</v>
      </c>
      <c r="AB838" s="10" t="str">
        <f t="shared" si="135"/>
        <v/>
      </c>
      <c r="AC838" s="10" t="str">
        <f t="shared" si="137"/>
        <v/>
      </c>
      <c r="AD838" s="10">
        <f>IF(AND(Q838&gt;0,Q838&lt;30,K838&lt;8),Markniveau!Z838*'Udvaskning nøgletal'!$I$12/100,IF(AND(Q838&gt;0,Q838&lt;30,K838=216),Markniveau!Z838*'Udvaskning nøgletal'!$I$34/100,Markniveau!Z838))</f>
        <v>21.2</v>
      </c>
      <c r="AE838" s="10">
        <f t="shared" si="133"/>
        <v>30.74</v>
      </c>
      <c r="AF838" s="10" t="str">
        <f t="shared" si="138"/>
        <v/>
      </c>
      <c r="AG838" s="10" t="str">
        <f t="shared" si="134"/>
        <v/>
      </c>
      <c r="AH838" s="10" t="str">
        <f>IF(AND(Q838&gt;0,Q838&lt;30,K838=216),'Udvaskning nøgletal'!$C$42,IF(AND(Q838&gt;0,Q838&lt;30,K838&gt;7,K838&lt;17),'Udvaskning nøgletal'!$C$61,IF(AND(Q838&gt;0,Q838&lt;30,K838&lt;7),'Udvaskning nøgletal'!$C$62,"")))</f>
        <v/>
      </c>
      <c r="AI838" s="10">
        <f t="shared" si="130"/>
        <v>252</v>
      </c>
      <c r="AJ838" s="10">
        <f>IF($X838=1,LOOKUP(AI838,'Udvaskning nøgletal'!$C$12:$C$62,'Udvaskning nøgletal'!$E$12:$E$62)+Markniveau!$Y838*Markniveau!$S838/100,IF($X838=2,LOOKUP(AI838,'Udvaskning nøgletal'!$C$12:$C$62,'Udvaskning nøgletal'!$F$12:$F$62)+Markniveau!$Y838*Markniveau!$S838/100,IF($X838=3,LOOKUP(AI838,'Udvaskning nøgletal'!$C$12:$C$62,'Udvaskning nøgletal'!Q848:Q898)+Markniveau!$Y838*Markniveau!$S838/100,"")))</f>
        <v>21.2</v>
      </c>
      <c r="AK838" s="10">
        <f t="shared" si="139"/>
        <v>30.74</v>
      </c>
      <c r="AL838" s="10" t="str">
        <f t="shared" si="131"/>
        <v/>
      </c>
      <c r="AM838" s="10" t="str">
        <f t="shared" si="132"/>
        <v/>
      </c>
    </row>
    <row r="839" spans="1:39" x14ac:dyDescent="0.25">
      <c r="A839" s="15">
        <v>27542336</v>
      </c>
      <c r="B839" s="15">
        <v>25.4</v>
      </c>
      <c r="C839" s="15">
        <v>429302</v>
      </c>
      <c r="D839" s="15">
        <v>31563</v>
      </c>
      <c r="E839" s="15" t="s">
        <v>664</v>
      </c>
      <c r="F839" s="15">
        <v>2011</v>
      </c>
      <c r="G839" s="15">
        <v>20110225</v>
      </c>
      <c r="H839" s="15">
        <v>12507</v>
      </c>
      <c r="I839" s="15">
        <v>1.25</v>
      </c>
      <c r="J839" s="6" t="s">
        <v>86</v>
      </c>
      <c r="K839" s="15">
        <v>252</v>
      </c>
      <c r="L839" s="15" t="s">
        <v>41</v>
      </c>
      <c r="M839" s="15" t="s">
        <v>4</v>
      </c>
      <c r="N839" s="11" t="s">
        <v>1384</v>
      </c>
      <c r="O839" s="11" t="s">
        <v>28</v>
      </c>
      <c r="P839" s="11" t="s">
        <v>33</v>
      </c>
      <c r="Q839" s="15">
        <v>0</v>
      </c>
      <c r="R839" s="11" t="s">
        <v>1386</v>
      </c>
      <c r="S839" s="10">
        <v>171.97360781208999</v>
      </c>
      <c r="T839" s="15">
        <v>80</v>
      </c>
      <c r="U839" s="15">
        <v>0</v>
      </c>
      <c r="V839" s="15">
        <v>1</v>
      </c>
      <c r="W839" s="15">
        <v>0</v>
      </c>
      <c r="X839" s="15">
        <f>IF(O839='Udvaskning nøgletal'!$D$65,1,IF(O839='Udvaskning nøgletal'!$D$66,2,IF(O839='Udvaskning nøgletal'!$D$67,3,IF(O839='Udvaskning nøgletal'!$D$68,2,""))))</f>
        <v>1</v>
      </c>
      <c r="Y839" s="15">
        <f>LOOKUP(K839,'Udvaskning nøgletal'!$C$12:$C$60,'Udvaskning nøgletal'!$H$12:$H$60)</f>
        <v>0</v>
      </c>
      <c r="Z839" s="10">
        <f>IF(X839=1,LOOKUP(K839,'Udvaskning nøgletal'!$C$12:$C$60,'Udvaskning nøgletal'!$E$12:$E$60)+Markniveau!Y839*Markniveau!S839/100,IF(X839=2,LOOKUP(K839,'Udvaskning nøgletal'!$C$12:$C$60,'Udvaskning nøgletal'!$F$12:$F$60)+Markniveau!Y839*Markniveau!S839/100,IF(X839=3,LOOKUP(K839,'Udvaskning nøgletal'!$C$12:$C$60,'Udvaskning nøgletal'!G849:G897)+Markniveau!Y839*Markniveau!S839/100,"")))</f>
        <v>21.2</v>
      </c>
      <c r="AA839" s="10">
        <f t="shared" si="136"/>
        <v>26.5</v>
      </c>
      <c r="AB839" s="10" t="str">
        <f t="shared" si="135"/>
        <v/>
      </c>
      <c r="AC839" s="10" t="str">
        <f t="shared" si="137"/>
        <v/>
      </c>
      <c r="AD839" s="10">
        <f>IF(AND(Q839&gt;0,Q839&lt;30,K839&lt;8),Markniveau!Z839*'Udvaskning nøgletal'!$I$12/100,IF(AND(Q839&gt;0,Q839&lt;30,K839=216),Markniveau!Z839*'Udvaskning nøgletal'!$I$34/100,Markniveau!Z839))</f>
        <v>21.2</v>
      </c>
      <c r="AE839" s="10">
        <f t="shared" si="133"/>
        <v>26.5</v>
      </c>
      <c r="AF839" s="10" t="str">
        <f t="shared" si="138"/>
        <v/>
      </c>
      <c r="AG839" s="10" t="str">
        <f t="shared" si="134"/>
        <v/>
      </c>
      <c r="AH839" s="10" t="str">
        <f>IF(AND(Q839&gt;0,Q839&lt;30,K839=216),'Udvaskning nøgletal'!$C$42,IF(AND(Q839&gt;0,Q839&lt;30,K839&gt;7,K839&lt;17),'Udvaskning nøgletal'!$C$61,IF(AND(Q839&gt;0,Q839&lt;30,K839&lt;7),'Udvaskning nøgletal'!$C$62,"")))</f>
        <v/>
      </c>
      <c r="AI839" s="10">
        <f t="shared" si="130"/>
        <v>252</v>
      </c>
      <c r="AJ839" s="10">
        <f>IF($X839=1,LOOKUP(AI839,'Udvaskning nøgletal'!$C$12:$C$62,'Udvaskning nøgletal'!$E$12:$E$62)+Markniveau!$Y839*Markniveau!$S839/100,IF($X839=2,LOOKUP(AI839,'Udvaskning nøgletal'!$C$12:$C$62,'Udvaskning nøgletal'!$F$12:$F$62)+Markniveau!$Y839*Markniveau!$S839/100,IF($X839=3,LOOKUP(AI839,'Udvaskning nøgletal'!$C$12:$C$62,'Udvaskning nøgletal'!Q849:Q899)+Markniveau!$Y839*Markniveau!$S839/100,"")))</f>
        <v>21.2</v>
      </c>
      <c r="AK839" s="10">
        <f t="shared" si="139"/>
        <v>26.5</v>
      </c>
      <c r="AL839" s="10" t="str">
        <f t="shared" si="131"/>
        <v/>
      </c>
      <c r="AM839" s="10" t="str">
        <f t="shared" si="132"/>
        <v/>
      </c>
    </row>
    <row r="840" spans="1:39" x14ac:dyDescent="0.25">
      <c r="A840" s="15">
        <v>27542336</v>
      </c>
      <c r="B840" s="15">
        <v>25.4</v>
      </c>
      <c r="C840" s="15">
        <v>429303</v>
      </c>
      <c r="D840" s="15">
        <v>31563</v>
      </c>
      <c r="E840" s="15" t="s">
        <v>664</v>
      </c>
      <c r="F840" s="15">
        <v>2011</v>
      </c>
      <c r="G840" s="15">
        <v>20110225</v>
      </c>
      <c r="H840" s="15">
        <v>12573</v>
      </c>
      <c r="I840" s="15">
        <v>1.26</v>
      </c>
      <c r="J840" s="6" t="s">
        <v>58</v>
      </c>
      <c r="K840" s="15">
        <v>252</v>
      </c>
      <c r="L840" s="15" t="s">
        <v>41</v>
      </c>
      <c r="M840" s="15" t="s">
        <v>4</v>
      </c>
      <c r="N840" s="11" t="s">
        <v>1384</v>
      </c>
      <c r="O840" s="11" t="s">
        <v>28</v>
      </c>
      <c r="P840" s="11" t="s">
        <v>33</v>
      </c>
      <c r="Q840" s="15">
        <v>0</v>
      </c>
      <c r="R840" s="11" t="s">
        <v>1386</v>
      </c>
      <c r="S840" s="10">
        <v>171.97360781208999</v>
      </c>
      <c r="T840" s="15">
        <v>80</v>
      </c>
      <c r="U840" s="15">
        <v>0</v>
      </c>
      <c r="V840" s="15">
        <v>1</v>
      </c>
      <c r="W840" s="15">
        <v>0</v>
      </c>
      <c r="X840" s="15">
        <f>IF(O840='Udvaskning nøgletal'!$D$65,1,IF(O840='Udvaskning nøgletal'!$D$66,2,IF(O840='Udvaskning nøgletal'!$D$67,3,IF(O840='Udvaskning nøgletal'!$D$68,2,""))))</f>
        <v>1</v>
      </c>
      <c r="Y840" s="15">
        <f>LOOKUP(K840,'Udvaskning nøgletal'!$C$12:$C$60,'Udvaskning nøgletal'!$H$12:$H$60)</f>
        <v>0</v>
      </c>
      <c r="Z840" s="10">
        <f>IF(X840=1,LOOKUP(K840,'Udvaskning nøgletal'!$C$12:$C$60,'Udvaskning nøgletal'!$E$12:$E$60)+Markniveau!Y840*Markniveau!S840/100,IF(X840=2,LOOKUP(K840,'Udvaskning nøgletal'!$C$12:$C$60,'Udvaskning nøgletal'!$F$12:$F$60)+Markniveau!Y840*Markniveau!S840/100,IF(X840=3,LOOKUP(K840,'Udvaskning nøgletal'!$C$12:$C$60,'Udvaskning nøgletal'!G850:G898)+Markniveau!Y840*Markniveau!S840/100,"")))</f>
        <v>21.2</v>
      </c>
      <c r="AA840" s="10">
        <f t="shared" si="136"/>
        <v>26.712</v>
      </c>
      <c r="AB840" s="10" t="str">
        <f t="shared" si="135"/>
        <v/>
      </c>
      <c r="AC840" s="10" t="str">
        <f t="shared" si="137"/>
        <v/>
      </c>
      <c r="AD840" s="10">
        <f>IF(AND(Q840&gt;0,Q840&lt;30,K840&lt;8),Markniveau!Z840*'Udvaskning nøgletal'!$I$12/100,IF(AND(Q840&gt;0,Q840&lt;30,K840=216),Markniveau!Z840*'Udvaskning nøgletal'!$I$34/100,Markniveau!Z840))</f>
        <v>21.2</v>
      </c>
      <c r="AE840" s="10">
        <f t="shared" si="133"/>
        <v>26.712</v>
      </c>
      <c r="AF840" s="10" t="str">
        <f t="shared" si="138"/>
        <v/>
      </c>
      <c r="AG840" s="10" t="str">
        <f t="shared" si="134"/>
        <v/>
      </c>
      <c r="AH840" s="10" t="str">
        <f>IF(AND(Q840&gt;0,Q840&lt;30,K840=216),'Udvaskning nøgletal'!$C$42,IF(AND(Q840&gt;0,Q840&lt;30,K840&gt;7,K840&lt;17),'Udvaskning nøgletal'!$C$61,IF(AND(Q840&gt;0,Q840&lt;30,K840&lt;7),'Udvaskning nøgletal'!$C$62,"")))</f>
        <v/>
      </c>
      <c r="AI840" s="10">
        <f t="shared" ref="AI840:AI903" si="140">IF(SUM(AH840)&gt;0,AH840,K840)</f>
        <v>252</v>
      </c>
      <c r="AJ840" s="10">
        <f>IF($X840=1,LOOKUP(AI840,'Udvaskning nøgletal'!$C$12:$C$62,'Udvaskning nøgletal'!$E$12:$E$62)+Markniveau!$Y840*Markniveau!$S840/100,IF($X840=2,LOOKUP(AI840,'Udvaskning nøgletal'!$C$12:$C$62,'Udvaskning nøgletal'!$F$12:$F$62)+Markniveau!$Y840*Markniveau!$S840/100,IF($X840=3,LOOKUP(AI840,'Udvaskning nøgletal'!$C$12:$C$62,'Udvaskning nøgletal'!Q850:Q900)+Markniveau!$Y840*Markniveau!$S840/100,"")))</f>
        <v>21.2</v>
      </c>
      <c r="AK840" s="10">
        <f t="shared" si="139"/>
        <v>26.712</v>
      </c>
      <c r="AL840" s="10" t="str">
        <f t="shared" si="131"/>
        <v/>
      </c>
      <c r="AM840" s="10" t="str">
        <f t="shared" si="132"/>
        <v/>
      </c>
    </row>
    <row r="841" spans="1:39" x14ac:dyDescent="0.25">
      <c r="A841" s="15">
        <v>27542336</v>
      </c>
      <c r="B841" s="15">
        <v>25.4</v>
      </c>
      <c r="C841" s="15">
        <v>429804</v>
      </c>
      <c r="D841" s="15">
        <v>31563</v>
      </c>
      <c r="E841" s="15" t="s">
        <v>665</v>
      </c>
      <c r="F841" s="15">
        <v>2011</v>
      </c>
      <c r="G841" s="15">
        <v>20110225</v>
      </c>
      <c r="H841" s="15">
        <v>13730</v>
      </c>
      <c r="I841" s="15">
        <v>1.37</v>
      </c>
      <c r="J841" s="6" t="s">
        <v>34</v>
      </c>
      <c r="K841" s="15">
        <v>260</v>
      </c>
      <c r="L841" s="15" t="s">
        <v>45</v>
      </c>
      <c r="M841" s="15" t="s">
        <v>5</v>
      </c>
      <c r="N841" s="11" t="s">
        <v>1384</v>
      </c>
      <c r="O841" s="11" t="s">
        <v>28</v>
      </c>
      <c r="P841" s="11" t="s">
        <v>33</v>
      </c>
      <c r="Q841" s="15">
        <v>0</v>
      </c>
      <c r="R841" s="11" t="s">
        <v>1386</v>
      </c>
      <c r="S841" s="10">
        <v>171.97360781208999</v>
      </c>
      <c r="T841" s="15">
        <v>80</v>
      </c>
      <c r="U841" s="15">
        <v>0</v>
      </c>
      <c r="V841" s="15">
        <v>1</v>
      </c>
      <c r="W841" s="15">
        <v>0</v>
      </c>
      <c r="X841" s="15">
        <f>IF(O841='Udvaskning nøgletal'!$D$65,1,IF(O841='Udvaskning nøgletal'!$D$66,2,IF(O841='Udvaskning nøgletal'!$D$67,3,IF(O841='Udvaskning nøgletal'!$D$68,2,""))))</f>
        <v>1</v>
      </c>
      <c r="Y841" s="15">
        <f>LOOKUP(K841,'Udvaskning nøgletal'!$C$12:$C$60,'Udvaskning nøgletal'!$H$12:$H$60)</f>
        <v>0</v>
      </c>
      <c r="Z841" s="10">
        <f>IF(X841=1,LOOKUP(K841,'Udvaskning nøgletal'!$C$12:$C$60,'Udvaskning nøgletal'!$E$12:$E$60)+Markniveau!Y841*Markniveau!S841/100,IF(X841=2,LOOKUP(K841,'Udvaskning nøgletal'!$C$12:$C$60,'Udvaskning nøgletal'!$F$12:$F$60)+Markniveau!Y841*Markniveau!S841/100,IF(X841=3,LOOKUP(K841,'Udvaskning nøgletal'!$C$12:$C$60,'Udvaskning nøgletal'!G851:G899)+Markniveau!Y841*Markniveau!S841/100,"")))</f>
        <v>33.723295792149436</v>
      </c>
      <c r="AA841" s="10">
        <f t="shared" si="136"/>
        <v>46.200915235244729</v>
      </c>
      <c r="AB841" s="10" t="str">
        <f t="shared" si="135"/>
        <v/>
      </c>
      <c r="AC841" s="10" t="str">
        <f t="shared" si="137"/>
        <v/>
      </c>
      <c r="AD841" s="10">
        <f>IF(AND(Q841&gt;0,Q841&lt;30,K841&lt;8),Markniveau!Z841*'Udvaskning nøgletal'!$I$12/100,IF(AND(Q841&gt;0,Q841&lt;30,K841=216),Markniveau!Z841*'Udvaskning nøgletal'!$I$34/100,Markniveau!Z841))</f>
        <v>33.723295792149436</v>
      </c>
      <c r="AE841" s="10">
        <f t="shared" si="133"/>
        <v>46.200915235244729</v>
      </c>
      <c r="AF841" s="10" t="str">
        <f t="shared" si="138"/>
        <v/>
      </c>
      <c r="AG841" s="10" t="str">
        <f t="shared" si="134"/>
        <v/>
      </c>
      <c r="AH841" s="10" t="str">
        <f>IF(AND(Q841&gt;0,Q841&lt;30,K841=216),'Udvaskning nøgletal'!$C$42,IF(AND(Q841&gt;0,Q841&lt;30,K841&gt;7,K841&lt;17),'Udvaskning nøgletal'!$C$61,IF(AND(Q841&gt;0,Q841&lt;30,K841&lt;7),'Udvaskning nøgletal'!$C$62,"")))</f>
        <v/>
      </c>
      <c r="AI841" s="10">
        <f t="shared" si="140"/>
        <v>260</v>
      </c>
      <c r="AJ841" s="10">
        <f>IF($X841=1,LOOKUP(AI841,'Udvaskning nøgletal'!$C$12:$C$62,'Udvaskning nøgletal'!$E$12:$E$62)+Markniveau!$Y841*Markniveau!$S841/100,IF($X841=2,LOOKUP(AI841,'Udvaskning nøgletal'!$C$12:$C$62,'Udvaskning nøgletal'!$F$12:$F$62)+Markniveau!$Y841*Markniveau!$S841/100,IF($X841=3,LOOKUP(AI841,'Udvaskning nøgletal'!$C$12:$C$62,'Udvaskning nøgletal'!Q851:Q901)+Markniveau!$Y841*Markniveau!$S841/100,"")))</f>
        <v>33.723295792149436</v>
      </c>
      <c r="AK841" s="10">
        <f t="shared" si="139"/>
        <v>46.200915235244729</v>
      </c>
      <c r="AL841" s="10" t="str">
        <f t="shared" si="131"/>
        <v/>
      </c>
      <c r="AM841" s="10" t="str">
        <f t="shared" si="132"/>
        <v/>
      </c>
    </row>
    <row r="842" spans="1:39" x14ac:dyDescent="0.25">
      <c r="A842" s="15">
        <v>27542336</v>
      </c>
      <c r="B842" s="15">
        <v>25.4</v>
      </c>
      <c r="C842" s="15">
        <v>432508</v>
      </c>
      <c r="D842" s="15">
        <v>31563</v>
      </c>
      <c r="E842" s="15" t="s">
        <v>666</v>
      </c>
      <c r="F842" s="15">
        <v>2011</v>
      </c>
      <c r="G842" s="15">
        <v>20110225</v>
      </c>
      <c r="H842" s="15">
        <v>9144</v>
      </c>
      <c r="I842" s="15">
        <v>0.91</v>
      </c>
      <c r="J842" s="6" t="s">
        <v>55</v>
      </c>
      <c r="K842" s="15">
        <v>260</v>
      </c>
      <c r="L842" s="15" t="s">
        <v>45</v>
      </c>
      <c r="M842" s="15" t="s">
        <v>5</v>
      </c>
      <c r="N842" s="11" t="s">
        <v>1391</v>
      </c>
      <c r="O842" s="11" t="s">
        <v>46</v>
      </c>
      <c r="P842" s="11" t="s">
        <v>29</v>
      </c>
      <c r="Q842" s="15">
        <v>95</v>
      </c>
      <c r="R842" s="11" t="s">
        <v>3</v>
      </c>
      <c r="S842" s="10">
        <v>171.97360781208999</v>
      </c>
      <c r="T842" s="15">
        <v>80</v>
      </c>
      <c r="U842" s="15">
        <v>0</v>
      </c>
      <c r="V842" s="15">
        <v>1</v>
      </c>
      <c r="W842" s="15">
        <v>0</v>
      </c>
      <c r="X842" s="15">
        <f>IF(O842='Udvaskning nøgletal'!$D$65,1,IF(O842='Udvaskning nøgletal'!$D$66,2,IF(O842='Udvaskning nøgletal'!$D$67,3,IF(O842='Udvaskning nøgletal'!$D$68,2,""))))</f>
        <v>2</v>
      </c>
      <c r="Y842" s="15">
        <f>LOOKUP(K842,'Udvaskning nøgletal'!$C$12:$C$60,'Udvaskning nøgletal'!$H$12:$H$60)</f>
        <v>0</v>
      </c>
      <c r="Z842" s="10">
        <f>IF(X842=1,LOOKUP(K842,'Udvaskning nøgletal'!$C$12:$C$60,'Udvaskning nøgletal'!$E$12:$E$60)+Markniveau!Y842*Markniveau!S842/100,IF(X842=2,LOOKUP(K842,'Udvaskning nøgletal'!$C$12:$C$60,'Udvaskning nøgletal'!$F$12:$F$60)+Markniveau!Y842*Markniveau!S842/100,IF(X842=3,LOOKUP(K842,'Udvaskning nøgletal'!$C$12:$C$60,'Udvaskning nøgletal'!G852:G900)+Markniveau!Y842*Markniveau!S842/100,"")))</f>
        <v>27.331185321443094</v>
      </c>
      <c r="AA842" s="10">
        <f t="shared" si="136"/>
        <v>24.871378642513218</v>
      </c>
      <c r="AB842" s="10">
        <f t="shared" si="135"/>
        <v>1.3665592660721546</v>
      </c>
      <c r="AC842" s="10">
        <f t="shared" si="137"/>
        <v>1.2435689321256607</v>
      </c>
      <c r="AD842" s="10">
        <f>IF(AND(Q842&gt;0,Q842&lt;30,K842&lt;8),Markniveau!Z842*'Udvaskning nøgletal'!$I$12/100,IF(AND(Q842&gt;0,Q842&lt;30,K842=216),Markniveau!Z842*'Udvaskning nøgletal'!$I$34/100,Markniveau!Z842))</f>
        <v>27.331185321443094</v>
      </c>
      <c r="AE842" s="10">
        <f t="shared" si="133"/>
        <v>24.871378642513218</v>
      </c>
      <c r="AF842" s="10">
        <f t="shared" si="138"/>
        <v>1.3665592660721546</v>
      </c>
      <c r="AG842" s="10">
        <f t="shared" si="134"/>
        <v>1.2435689321256607</v>
      </c>
      <c r="AH842" s="10" t="str">
        <f>IF(AND(Q842&gt;0,Q842&lt;30,K842=216),'Udvaskning nøgletal'!$C$42,IF(AND(Q842&gt;0,Q842&lt;30,K842&gt;7,K842&lt;17),'Udvaskning nøgletal'!$C$61,IF(AND(Q842&gt;0,Q842&lt;30,K842&lt;7),'Udvaskning nøgletal'!$C$62,"")))</f>
        <v/>
      </c>
      <c r="AI842" s="10">
        <f t="shared" si="140"/>
        <v>260</v>
      </c>
      <c r="AJ842" s="10">
        <f>IF($X842=1,LOOKUP(AI842,'Udvaskning nøgletal'!$C$12:$C$62,'Udvaskning nøgletal'!$E$12:$E$62)+Markniveau!$Y842*Markniveau!$S842/100,IF($X842=2,LOOKUP(AI842,'Udvaskning nøgletal'!$C$12:$C$62,'Udvaskning nøgletal'!$F$12:$F$62)+Markniveau!$Y842*Markniveau!$S842/100,IF($X842=3,LOOKUP(AI842,'Udvaskning nøgletal'!$C$12:$C$62,'Udvaskning nøgletal'!Q852:Q902)+Markniveau!$Y842*Markniveau!$S842/100,"")))</f>
        <v>27.331185321443094</v>
      </c>
      <c r="AK842" s="10">
        <f t="shared" si="139"/>
        <v>24.871378642513218</v>
      </c>
      <c r="AL842" s="10">
        <f t="shared" si="131"/>
        <v>1.3665592660721546</v>
      </c>
      <c r="AM842" s="10">
        <f t="shared" si="132"/>
        <v>1.2435689321256607</v>
      </c>
    </row>
    <row r="843" spans="1:39" x14ac:dyDescent="0.25">
      <c r="A843" s="15">
        <v>27542336</v>
      </c>
      <c r="B843" s="15">
        <v>25.4</v>
      </c>
      <c r="C843" s="15">
        <v>448273</v>
      </c>
      <c r="D843" s="15">
        <v>31563</v>
      </c>
      <c r="E843" s="15" t="s">
        <v>540</v>
      </c>
      <c r="F843" s="15">
        <v>2011</v>
      </c>
      <c r="G843" s="15">
        <v>20110225</v>
      </c>
      <c r="H843" s="15">
        <v>7015</v>
      </c>
      <c r="I843" s="15">
        <v>0.7</v>
      </c>
      <c r="J843" s="6" t="s">
        <v>75</v>
      </c>
      <c r="K843" s="15">
        <v>263</v>
      </c>
      <c r="L843" s="15" t="s">
        <v>39</v>
      </c>
      <c r="M843" s="15" t="s">
        <v>5</v>
      </c>
      <c r="N843" s="11" t="s">
        <v>1391</v>
      </c>
      <c r="O843" s="11" t="s">
        <v>46</v>
      </c>
      <c r="P843" s="11" t="s">
        <v>29</v>
      </c>
      <c r="Q843" s="15">
        <v>95</v>
      </c>
      <c r="R843" s="11" t="s">
        <v>3</v>
      </c>
      <c r="S843" s="10">
        <v>171.97360781208999</v>
      </c>
      <c r="T843" s="15">
        <v>80</v>
      </c>
      <c r="U843" s="15">
        <v>0</v>
      </c>
      <c r="V843" s="15">
        <v>1</v>
      </c>
      <c r="W843" s="15">
        <v>0</v>
      </c>
      <c r="X843" s="15">
        <f>IF(O843='Udvaskning nøgletal'!$D$65,1,IF(O843='Udvaskning nøgletal'!$D$66,2,IF(O843='Udvaskning nøgletal'!$D$67,3,IF(O843='Udvaskning nøgletal'!$D$68,2,""))))</f>
        <v>2</v>
      </c>
      <c r="Y843" s="15">
        <f>LOOKUP(K843,'Udvaskning nøgletal'!$C$12:$C$60,'Udvaskning nøgletal'!$H$12:$H$60)</f>
        <v>0</v>
      </c>
      <c r="Z843" s="10">
        <f>IF(X843=1,LOOKUP(K843,'Udvaskning nøgletal'!$C$12:$C$60,'Udvaskning nøgletal'!$E$12:$E$60)+Markniveau!Y843*Markniveau!S843/100,IF(X843=2,LOOKUP(K843,'Udvaskning nøgletal'!$C$12:$C$60,'Udvaskning nøgletal'!$F$12:$F$60)+Markniveau!Y843*Markniveau!S843/100,IF(X843=3,LOOKUP(K843,'Udvaskning nøgletal'!$C$12:$C$60,'Udvaskning nøgletal'!G853:G901)+Markniveau!Y843*Markniveau!S843/100,"")))</f>
        <v>27.331185321443094</v>
      </c>
      <c r="AA843" s="10">
        <f t="shared" si="136"/>
        <v>19.131829725010164</v>
      </c>
      <c r="AB843" s="10">
        <f t="shared" si="135"/>
        <v>1.3665592660721546</v>
      </c>
      <c r="AC843" s="10">
        <f t="shared" si="137"/>
        <v>0.95659148625050816</v>
      </c>
      <c r="AD843" s="10">
        <f>IF(AND(Q843&gt;0,Q843&lt;30,K843&lt;8),Markniveau!Z843*'Udvaskning nøgletal'!$I$12/100,IF(AND(Q843&gt;0,Q843&lt;30,K843=216),Markniveau!Z843*'Udvaskning nøgletal'!$I$34/100,Markniveau!Z843))</f>
        <v>27.331185321443094</v>
      </c>
      <c r="AE843" s="10">
        <f t="shared" si="133"/>
        <v>19.131829725010164</v>
      </c>
      <c r="AF843" s="10">
        <f t="shared" si="138"/>
        <v>1.3665592660721546</v>
      </c>
      <c r="AG843" s="10">
        <f t="shared" si="134"/>
        <v>0.95659148625050816</v>
      </c>
      <c r="AH843" s="10" t="str">
        <f>IF(AND(Q843&gt;0,Q843&lt;30,K843=216),'Udvaskning nøgletal'!$C$42,IF(AND(Q843&gt;0,Q843&lt;30,K843&gt;7,K843&lt;17),'Udvaskning nøgletal'!$C$61,IF(AND(Q843&gt;0,Q843&lt;30,K843&lt;7),'Udvaskning nøgletal'!$C$62,"")))</f>
        <v/>
      </c>
      <c r="AI843" s="10">
        <f t="shared" si="140"/>
        <v>263</v>
      </c>
      <c r="AJ843" s="10">
        <f>IF($X843=1,LOOKUP(AI843,'Udvaskning nøgletal'!$C$12:$C$62,'Udvaskning nøgletal'!$E$12:$E$62)+Markniveau!$Y843*Markniveau!$S843/100,IF($X843=2,LOOKUP(AI843,'Udvaskning nøgletal'!$C$12:$C$62,'Udvaskning nøgletal'!$F$12:$F$62)+Markniveau!$Y843*Markniveau!$S843/100,IF($X843=3,LOOKUP(AI843,'Udvaskning nøgletal'!$C$12:$C$62,'Udvaskning nøgletal'!Q853:Q903)+Markniveau!$Y843*Markniveau!$S843/100,"")))</f>
        <v>27.331185321443094</v>
      </c>
      <c r="AK843" s="10">
        <f t="shared" si="139"/>
        <v>19.131829725010164</v>
      </c>
      <c r="AL843" s="10">
        <f t="shared" ref="AL843:AL906" si="141">IF($Q843&gt;0,(100-$Q843)*AJ843/100,"")</f>
        <v>1.3665592660721546</v>
      </c>
      <c r="AM843" s="10">
        <f t="shared" ref="AM843:AM906" si="142">IF($Q843&gt;0,(100-$Q843)*AJ843/100*I843,"")</f>
        <v>0.95659148625050816</v>
      </c>
    </row>
    <row r="844" spans="1:39" x14ac:dyDescent="0.25">
      <c r="A844" s="15">
        <v>27542336</v>
      </c>
      <c r="B844" s="15">
        <v>25.4</v>
      </c>
      <c r="C844" s="15">
        <v>449702</v>
      </c>
      <c r="D844" s="15">
        <v>31563</v>
      </c>
      <c r="E844" s="15" t="s">
        <v>540</v>
      </c>
      <c r="F844" s="15">
        <v>2011</v>
      </c>
      <c r="G844" s="15">
        <v>20110225</v>
      </c>
      <c r="H844" s="15">
        <v>6127</v>
      </c>
      <c r="I844" s="15">
        <v>0.61</v>
      </c>
      <c r="J844" s="6" t="s">
        <v>286</v>
      </c>
      <c r="K844" s="15">
        <v>251</v>
      </c>
      <c r="L844" s="15" t="s">
        <v>355</v>
      </c>
      <c r="M844" s="15" t="s">
        <v>4</v>
      </c>
      <c r="N844" s="11" t="s">
        <v>1391</v>
      </c>
      <c r="O844" s="11" t="s">
        <v>46</v>
      </c>
      <c r="P844" s="11" t="s">
        <v>29</v>
      </c>
      <c r="Q844" s="15">
        <v>95</v>
      </c>
      <c r="R844" s="11" t="s">
        <v>3</v>
      </c>
      <c r="S844" s="10">
        <v>171.97360781208999</v>
      </c>
      <c r="T844" s="15">
        <v>80</v>
      </c>
      <c r="U844" s="15">
        <v>0</v>
      </c>
      <c r="V844" s="15">
        <v>1</v>
      </c>
      <c r="W844" s="15">
        <v>0</v>
      </c>
      <c r="X844" s="15">
        <f>IF(O844='Udvaskning nøgletal'!$D$65,1,IF(O844='Udvaskning nøgletal'!$D$66,2,IF(O844='Udvaskning nøgletal'!$D$67,3,IF(O844='Udvaskning nøgletal'!$D$68,2,""))))</f>
        <v>2</v>
      </c>
      <c r="Y844" s="15">
        <f>LOOKUP(K844,'Udvaskning nøgletal'!$C$12:$C$60,'Udvaskning nøgletal'!$H$12:$H$60)</f>
        <v>0</v>
      </c>
      <c r="Z844" s="10">
        <f>IF(X844=1,LOOKUP(K844,'Udvaskning nøgletal'!$C$12:$C$60,'Udvaskning nøgletal'!$E$12:$E$60)+Markniveau!Y844*Markniveau!S844/100,IF(X844=2,LOOKUP(K844,'Udvaskning nøgletal'!$C$12:$C$60,'Udvaskning nøgletal'!$F$12:$F$60)+Markniveau!Y844*Markniveau!S844/100,IF(X844=3,LOOKUP(K844,'Udvaskning nøgletal'!$C$12:$C$60,'Udvaskning nøgletal'!G854:G902)+Markniveau!Y844*Markniveau!S844/100,"")))</f>
        <v>21.2</v>
      </c>
      <c r="AA844" s="10">
        <f t="shared" si="136"/>
        <v>12.931999999999999</v>
      </c>
      <c r="AB844" s="10">
        <f t="shared" si="135"/>
        <v>1.06</v>
      </c>
      <c r="AC844" s="10">
        <f t="shared" si="137"/>
        <v>0.64660000000000006</v>
      </c>
      <c r="AD844" s="10">
        <f>IF(AND(Q844&gt;0,Q844&lt;30,K844&lt;8),Markniveau!Z844*'Udvaskning nøgletal'!$I$12/100,IF(AND(Q844&gt;0,Q844&lt;30,K844=216),Markniveau!Z844*'Udvaskning nøgletal'!$I$34/100,Markniveau!Z844))</f>
        <v>21.2</v>
      </c>
      <c r="AE844" s="10">
        <f t="shared" si="133"/>
        <v>12.931999999999999</v>
      </c>
      <c r="AF844" s="10">
        <f t="shared" si="138"/>
        <v>1.06</v>
      </c>
      <c r="AG844" s="10">
        <f t="shared" si="134"/>
        <v>0.64660000000000006</v>
      </c>
      <c r="AH844" s="10" t="str">
        <f>IF(AND(Q844&gt;0,Q844&lt;30,K844=216),'Udvaskning nøgletal'!$C$42,IF(AND(Q844&gt;0,Q844&lt;30,K844&gt;7,K844&lt;17),'Udvaskning nøgletal'!$C$61,IF(AND(Q844&gt;0,Q844&lt;30,K844&lt;7),'Udvaskning nøgletal'!$C$62,"")))</f>
        <v/>
      </c>
      <c r="AI844" s="10">
        <f t="shared" si="140"/>
        <v>251</v>
      </c>
      <c r="AJ844" s="10">
        <f>IF($X844=1,LOOKUP(AI844,'Udvaskning nøgletal'!$C$12:$C$62,'Udvaskning nøgletal'!$E$12:$E$62)+Markniveau!$Y844*Markniveau!$S844/100,IF($X844=2,LOOKUP(AI844,'Udvaskning nøgletal'!$C$12:$C$62,'Udvaskning nøgletal'!$F$12:$F$62)+Markniveau!$Y844*Markniveau!$S844/100,IF($X844=3,LOOKUP(AI844,'Udvaskning nøgletal'!$C$12:$C$62,'Udvaskning nøgletal'!Q854:Q904)+Markniveau!$Y844*Markniveau!$S844/100,"")))</f>
        <v>21.2</v>
      </c>
      <c r="AK844" s="10">
        <f t="shared" si="139"/>
        <v>12.931999999999999</v>
      </c>
      <c r="AL844" s="10">
        <f t="shared" si="141"/>
        <v>1.06</v>
      </c>
      <c r="AM844" s="10">
        <f t="shared" si="142"/>
        <v>0.64660000000000006</v>
      </c>
    </row>
    <row r="845" spans="1:39" x14ac:dyDescent="0.25">
      <c r="A845" s="15">
        <v>27542336</v>
      </c>
      <c r="B845" s="15">
        <v>25.4</v>
      </c>
      <c r="C845" s="15">
        <v>459225</v>
      </c>
      <c r="D845" s="15">
        <v>31563</v>
      </c>
      <c r="E845" s="15" t="s">
        <v>661</v>
      </c>
      <c r="F845" s="15">
        <v>2011</v>
      </c>
      <c r="G845" s="15">
        <v>20110308</v>
      </c>
      <c r="H845" s="15">
        <v>34862</v>
      </c>
      <c r="I845" s="15">
        <v>3.49</v>
      </c>
      <c r="J845" s="6" t="s">
        <v>31</v>
      </c>
      <c r="K845" s="15">
        <v>216</v>
      </c>
      <c r="L845" s="15" t="s">
        <v>116</v>
      </c>
      <c r="M845" s="15" t="s">
        <v>5</v>
      </c>
      <c r="N845" s="11" t="s">
        <v>1384</v>
      </c>
      <c r="O845" s="11" t="s">
        <v>28</v>
      </c>
      <c r="P845" s="11" t="s">
        <v>29</v>
      </c>
      <c r="Q845" s="15">
        <v>95</v>
      </c>
      <c r="R845" s="11" t="s">
        <v>3</v>
      </c>
      <c r="S845" s="10">
        <v>171.97360781208999</v>
      </c>
      <c r="T845" s="15">
        <v>80</v>
      </c>
      <c r="U845" s="15">
        <v>0</v>
      </c>
      <c r="V845" s="15">
        <v>1</v>
      </c>
      <c r="W845" s="15">
        <v>0</v>
      </c>
      <c r="X845" s="15">
        <f>IF(O845='Udvaskning nøgletal'!$D$65,1,IF(O845='Udvaskning nøgletal'!$D$66,2,IF(O845='Udvaskning nøgletal'!$D$67,3,IF(O845='Udvaskning nøgletal'!$D$68,2,""))))</f>
        <v>1</v>
      </c>
      <c r="Y845" s="15">
        <f>LOOKUP(K845,'Udvaskning nøgletal'!$C$12:$C$60,'Udvaskning nøgletal'!$H$12:$H$60)</f>
        <v>0</v>
      </c>
      <c r="Z845" s="10">
        <f>IF(X845=1,LOOKUP(K845,'Udvaskning nøgletal'!$C$12:$C$60,'Udvaskning nøgletal'!$E$12:$E$60)+Markniveau!Y845*Markniveau!S845/100,IF(X845=2,LOOKUP(K845,'Udvaskning nøgletal'!$C$12:$C$60,'Udvaskning nøgletal'!$F$12:$F$60)+Markniveau!Y845*Markniveau!S845/100,IF(X845=3,LOOKUP(K845,'Udvaskning nøgletal'!$C$12:$C$60,'Udvaskning nøgletal'!G855:G903)+Markniveau!Y845*Markniveau!S845/100,"")))</f>
        <v>125.85383557148924</v>
      </c>
      <c r="AA845" s="10">
        <f t="shared" si="136"/>
        <v>439.22988614449747</v>
      </c>
      <c r="AB845" s="10">
        <f t="shared" si="135"/>
        <v>6.2926917785744623</v>
      </c>
      <c r="AC845" s="10">
        <f t="shared" si="137"/>
        <v>21.961494307224875</v>
      </c>
      <c r="AD845" s="10">
        <f>IF(AND(Q845&gt;0,Q845&lt;30,K845&lt;8),Markniveau!Z845*'Udvaskning nøgletal'!$I$12/100,IF(AND(Q845&gt;0,Q845&lt;30,K845=216),Markniveau!Z845*'Udvaskning nøgletal'!$I$34/100,Markniveau!Z845))</f>
        <v>125.85383557148924</v>
      </c>
      <c r="AE845" s="10">
        <f t="shared" si="133"/>
        <v>439.22988614449747</v>
      </c>
      <c r="AF845" s="10">
        <f t="shared" si="138"/>
        <v>6.2926917785744623</v>
      </c>
      <c r="AG845" s="10">
        <f t="shared" si="134"/>
        <v>21.961494307224875</v>
      </c>
      <c r="AH845" s="10" t="str">
        <f>IF(AND(Q845&gt;0,Q845&lt;30,K845=216),'Udvaskning nøgletal'!$C$42,IF(AND(Q845&gt;0,Q845&lt;30,K845&gt;7,K845&lt;17),'Udvaskning nøgletal'!$C$61,IF(AND(Q845&gt;0,Q845&lt;30,K845&lt;7),'Udvaskning nøgletal'!$C$62,"")))</f>
        <v/>
      </c>
      <c r="AI845" s="10">
        <f t="shared" si="140"/>
        <v>216</v>
      </c>
      <c r="AJ845" s="10">
        <f>IF($X845=1,LOOKUP(AI845,'Udvaskning nøgletal'!$C$12:$C$62,'Udvaskning nøgletal'!$E$12:$E$62)+Markniveau!$Y845*Markniveau!$S845/100,IF($X845=2,LOOKUP(AI845,'Udvaskning nøgletal'!$C$12:$C$62,'Udvaskning nøgletal'!$F$12:$F$62)+Markniveau!$Y845*Markniveau!$S845/100,IF($X845=3,LOOKUP(AI845,'Udvaskning nøgletal'!$C$12:$C$62,'Udvaskning nøgletal'!Q855:Q905)+Markniveau!$Y845*Markniveau!$S845/100,"")))</f>
        <v>125.85383557148924</v>
      </c>
      <c r="AK845" s="10">
        <f t="shared" si="139"/>
        <v>439.22988614449747</v>
      </c>
      <c r="AL845" s="10">
        <f t="shared" si="141"/>
        <v>6.2926917785744623</v>
      </c>
      <c r="AM845" s="10">
        <f t="shared" si="142"/>
        <v>21.961494307224875</v>
      </c>
    </row>
    <row r="846" spans="1:39" x14ac:dyDescent="0.25">
      <c r="A846" s="15">
        <v>27542336</v>
      </c>
      <c r="B846" s="15">
        <v>25.4</v>
      </c>
      <c r="C846" s="15">
        <v>479492</v>
      </c>
      <c r="D846" s="15">
        <v>31563</v>
      </c>
      <c r="E846" s="15" t="s">
        <v>661</v>
      </c>
      <c r="F846" s="15">
        <v>2011</v>
      </c>
      <c r="G846" s="15">
        <v>20110308</v>
      </c>
      <c r="H846" s="15">
        <v>20617</v>
      </c>
      <c r="I846" s="15">
        <v>2.06</v>
      </c>
      <c r="J846" s="6" t="s">
        <v>1410</v>
      </c>
      <c r="K846" s="15">
        <v>260</v>
      </c>
      <c r="L846" s="15" t="s">
        <v>45</v>
      </c>
      <c r="M846" s="15" t="s">
        <v>5</v>
      </c>
      <c r="N846" s="11" t="s">
        <v>1384</v>
      </c>
      <c r="O846" s="11" t="s">
        <v>28</v>
      </c>
      <c r="P846" s="11" t="s">
        <v>29</v>
      </c>
      <c r="Q846" s="15">
        <v>1</v>
      </c>
      <c r="R846" s="11" t="s">
        <v>11</v>
      </c>
      <c r="S846" s="10">
        <v>171.97360781208999</v>
      </c>
      <c r="T846" s="15">
        <v>80</v>
      </c>
      <c r="U846" s="15">
        <v>0</v>
      </c>
      <c r="V846" s="15">
        <v>1</v>
      </c>
      <c r="W846" s="15">
        <v>0</v>
      </c>
      <c r="X846" s="15">
        <f>IF(O846='Udvaskning nøgletal'!$D$65,1,IF(O846='Udvaskning nøgletal'!$D$66,2,IF(O846='Udvaskning nøgletal'!$D$67,3,IF(O846='Udvaskning nøgletal'!$D$68,2,""))))</f>
        <v>1</v>
      </c>
      <c r="Y846" s="15">
        <f>LOOKUP(K846,'Udvaskning nøgletal'!$C$12:$C$60,'Udvaskning nøgletal'!$H$12:$H$60)</f>
        <v>0</v>
      </c>
      <c r="Z846" s="10">
        <f>IF(X846=1,LOOKUP(K846,'Udvaskning nøgletal'!$C$12:$C$60,'Udvaskning nøgletal'!$E$12:$E$60)+Markniveau!Y846*Markniveau!S846/100,IF(X846=2,LOOKUP(K846,'Udvaskning nøgletal'!$C$12:$C$60,'Udvaskning nøgletal'!$F$12:$F$60)+Markniveau!Y846*Markniveau!S846/100,IF(X846=3,LOOKUP(K846,'Udvaskning nøgletal'!$C$12:$C$60,'Udvaskning nøgletal'!G856:G904)+Markniveau!Y846*Markniveau!S846/100,"")))</f>
        <v>33.723295792149436</v>
      </c>
      <c r="AA846" s="10">
        <f t="shared" si="136"/>
        <v>69.469989331827847</v>
      </c>
      <c r="AB846" s="10">
        <f t="shared" si="135"/>
        <v>33.386062834227943</v>
      </c>
      <c r="AC846" s="10">
        <f t="shared" si="137"/>
        <v>68.77528943850956</v>
      </c>
      <c r="AD846" s="10">
        <f>IF(AND(Q846&gt;0,Q846&lt;30,K846&lt;8),Markniveau!Z846*'Udvaskning nøgletal'!$I$12/100,IF(AND(Q846&gt;0,Q846&lt;30,K846=216),Markniveau!Z846*'Udvaskning nøgletal'!$I$34/100,Markniveau!Z846))</f>
        <v>33.723295792149436</v>
      </c>
      <c r="AE846" s="10">
        <f t="shared" si="133"/>
        <v>69.469989331827847</v>
      </c>
      <c r="AF846" s="10">
        <f t="shared" si="138"/>
        <v>33.386062834227943</v>
      </c>
      <c r="AG846" s="10">
        <f t="shared" si="134"/>
        <v>68.77528943850956</v>
      </c>
      <c r="AH846" s="10" t="str">
        <f>IF(AND(Q846&gt;0,Q846&lt;30,K846=216),'Udvaskning nøgletal'!$C$42,IF(AND(Q846&gt;0,Q846&lt;30,K846&gt;7,K846&lt;17),'Udvaskning nøgletal'!$C$61,IF(AND(Q846&gt;0,Q846&lt;30,K846&lt;7),'Udvaskning nøgletal'!$C$62,"")))</f>
        <v/>
      </c>
      <c r="AI846" s="10">
        <f t="shared" si="140"/>
        <v>260</v>
      </c>
      <c r="AJ846" s="10">
        <f>IF($X846=1,LOOKUP(AI846,'Udvaskning nøgletal'!$C$12:$C$62,'Udvaskning nøgletal'!$E$12:$E$62)+Markniveau!$Y846*Markniveau!$S846/100,IF($X846=2,LOOKUP(AI846,'Udvaskning nøgletal'!$C$12:$C$62,'Udvaskning nøgletal'!$F$12:$F$62)+Markniveau!$Y846*Markniveau!$S846/100,IF($X846=3,LOOKUP(AI846,'Udvaskning nøgletal'!$C$12:$C$62,'Udvaskning nøgletal'!Q856:Q906)+Markniveau!$Y846*Markniveau!$S846/100,"")))</f>
        <v>33.723295792149436</v>
      </c>
      <c r="AK846" s="10">
        <f t="shared" si="139"/>
        <v>69.469989331827847</v>
      </c>
      <c r="AL846" s="10">
        <f t="shared" si="141"/>
        <v>33.386062834227943</v>
      </c>
      <c r="AM846" s="10">
        <f t="shared" si="142"/>
        <v>68.77528943850956</v>
      </c>
    </row>
    <row r="847" spans="1:39" x14ac:dyDescent="0.25">
      <c r="A847" s="15">
        <v>27542336</v>
      </c>
      <c r="B847" s="15">
        <v>25.4</v>
      </c>
      <c r="C847" s="15">
        <v>364599</v>
      </c>
      <c r="D847" s="15">
        <v>31563</v>
      </c>
      <c r="E847" s="15" t="s">
        <v>667</v>
      </c>
      <c r="F847" s="15">
        <v>2011</v>
      </c>
      <c r="G847" s="15">
        <v>20110225</v>
      </c>
      <c r="H847" s="15">
        <v>32219</v>
      </c>
      <c r="I847" s="15">
        <v>3.22</v>
      </c>
      <c r="J847" s="6" t="s">
        <v>144</v>
      </c>
      <c r="K847" s="15">
        <v>901</v>
      </c>
      <c r="L847" s="15" t="s">
        <v>80</v>
      </c>
      <c r="M847" s="15" t="s">
        <v>81</v>
      </c>
      <c r="N847" s="11" t="s">
        <v>1384</v>
      </c>
      <c r="O847" s="11" t="s">
        <v>28</v>
      </c>
      <c r="P847" s="11" t="s">
        <v>33</v>
      </c>
      <c r="Q847" s="15">
        <v>0</v>
      </c>
      <c r="R847" s="11" t="s">
        <v>1386</v>
      </c>
      <c r="S847" s="10">
        <v>171.97360781208999</v>
      </c>
      <c r="T847" s="15">
        <v>80</v>
      </c>
      <c r="U847" s="15">
        <v>0</v>
      </c>
      <c r="V847" s="15">
        <v>1</v>
      </c>
      <c r="W847" s="15">
        <v>0</v>
      </c>
      <c r="X847" s="15">
        <f>IF(O847='Udvaskning nøgletal'!$D$65,1,IF(O847='Udvaskning nøgletal'!$D$66,2,IF(O847='Udvaskning nøgletal'!$D$67,3,IF(O847='Udvaskning nøgletal'!$D$68,2,""))))</f>
        <v>1</v>
      </c>
      <c r="Y847" s="15">
        <f>LOOKUP(K847,'Udvaskning nøgletal'!$C$12:$C$60,'Udvaskning nøgletal'!$H$12:$H$60)</f>
        <v>0</v>
      </c>
      <c r="Z847" s="10">
        <f>IF(X847=1,LOOKUP(K847,'Udvaskning nøgletal'!$C$12:$C$60,'Udvaskning nøgletal'!$E$12:$E$60)+Markniveau!Y847*Markniveau!S847/100,IF(X847=2,LOOKUP(K847,'Udvaskning nøgletal'!$C$12:$C$60,'Udvaskning nøgletal'!$F$12:$F$60)+Markniveau!Y847*Markniveau!S847/100,IF(X847=3,LOOKUP(K847,'Udvaskning nøgletal'!$C$12:$C$60,'Udvaskning nøgletal'!G857:G905)+Markniveau!Y847*Markniveau!S847/100,"")))</f>
        <v>10</v>
      </c>
      <c r="AA847" s="10">
        <f t="shared" si="136"/>
        <v>32.200000000000003</v>
      </c>
      <c r="AB847" s="10" t="str">
        <f t="shared" si="135"/>
        <v/>
      </c>
      <c r="AC847" s="10" t="str">
        <f t="shared" si="137"/>
        <v/>
      </c>
      <c r="AD847" s="10">
        <f>IF(AND(Q847&gt;0,Q847&lt;30,K847&lt;8),Markniveau!Z847*'Udvaskning nøgletal'!$I$12/100,IF(AND(Q847&gt;0,Q847&lt;30,K847=216),Markniveau!Z847*'Udvaskning nøgletal'!$I$34/100,Markniveau!Z847))</f>
        <v>10</v>
      </c>
      <c r="AE847" s="10">
        <f t="shared" si="133"/>
        <v>32.200000000000003</v>
      </c>
      <c r="AF847" s="10" t="str">
        <f t="shared" si="138"/>
        <v/>
      </c>
      <c r="AG847" s="10" t="str">
        <f t="shared" si="134"/>
        <v/>
      </c>
      <c r="AH847" s="10" t="str">
        <f>IF(AND(Q847&gt;0,Q847&lt;30,K847=216),'Udvaskning nøgletal'!$C$42,IF(AND(Q847&gt;0,Q847&lt;30,K847&gt;7,K847&lt;17),'Udvaskning nøgletal'!$C$61,IF(AND(Q847&gt;0,Q847&lt;30,K847&lt;7),'Udvaskning nøgletal'!$C$62,"")))</f>
        <v/>
      </c>
      <c r="AI847" s="10">
        <f t="shared" si="140"/>
        <v>901</v>
      </c>
      <c r="AJ847" s="10">
        <f>IF($X847=1,LOOKUP(AI847,'Udvaskning nøgletal'!$C$12:$C$62,'Udvaskning nøgletal'!$E$12:$E$62)+Markniveau!$Y847*Markniveau!$S847/100,IF($X847=2,LOOKUP(AI847,'Udvaskning nøgletal'!$C$12:$C$62,'Udvaskning nøgletal'!$F$12:$F$62)+Markniveau!$Y847*Markniveau!$S847/100,IF($X847=3,LOOKUP(AI847,'Udvaskning nøgletal'!$C$12:$C$62,'Udvaskning nøgletal'!Q857:Q907)+Markniveau!$Y847*Markniveau!$S847/100,"")))</f>
        <v>10</v>
      </c>
      <c r="AK847" s="10">
        <f t="shared" si="139"/>
        <v>32.200000000000003</v>
      </c>
      <c r="AL847" s="10" t="str">
        <f t="shared" si="141"/>
        <v/>
      </c>
      <c r="AM847" s="10" t="str">
        <f t="shared" si="142"/>
        <v/>
      </c>
    </row>
    <row r="848" spans="1:39" x14ac:dyDescent="0.25">
      <c r="A848" s="15">
        <v>27542336</v>
      </c>
      <c r="B848" s="15">
        <v>25.4</v>
      </c>
      <c r="C848" s="15">
        <v>364605</v>
      </c>
      <c r="D848" s="15">
        <v>31563</v>
      </c>
      <c r="E848" s="15" t="s">
        <v>105</v>
      </c>
      <c r="F848" s="15">
        <v>2011</v>
      </c>
      <c r="G848" s="15">
        <v>20110225</v>
      </c>
      <c r="H848" s="15">
        <v>8339</v>
      </c>
      <c r="I848" s="15">
        <v>0.83</v>
      </c>
      <c r="J848" s="6" t="s">
        <v>65</v>
      </c>
      <c r="K848" s="15">
        <v>230</v>
      </c>
      <c r="L848" s="15" t="s">
        <v>120</v>
      </c>
      <c r="M848" s="15" t="s">
        <v>5</v>
      </c>
      <c r="N848" s="11" t="s">
        <v>1384</v>
      </c>
      <c r="O848" s="11" t="s">
        <v>28</v>
      </c>
      <c r="P848" s="11" t="s">
        <v>29</v>
      </c>
      <c r="Q848" s="15">
        <v>95</v>
      </c>
      <c r="R848" s="11" t="s">
        <v>3</v>
      </c>
      <c r="S848" s="10">
        <v>171.97360781208999</v>
      </c>
      <c r="T848" s="15">
        <v>80</v>
      </c>
      <c r="U848" s="15">
        <v>0</v>
      </c>
      <c r="V848" s="15">
        <v>1</v>
      </c>
      <c r="W848" s="15">
        <v>0</v>
      </c>
      <c r="X848" s="15">
        <f>IF(O848='Udvaskning nøgletal'!$D$65,1,IF(O848='Udvaskning nøgletal'!$D$66,2,IF(O848='Udvaskning nøgletal'!$D$67,3,IF(O848='Udvaskning nøgletal'!$D$68,2,""))))</f>
        <v>1</v>
      </c>
      <c r="Y848" s="15">
        <f>LOOKUP(K848,'Udvaskning nøgletal'!$C$12:$C$60,'Udvaskning nøgletal'!$H$12:$H$60)</f>
        <v>0</v>
      </c>
      <c r="Z848" s="10">
        <f>IF(X848=1,LOOKUP(K848,'Udvaskning nøgletal'!$C$12:$C$60,'Udvaskning nøgletal'!$E$12:$E$60)+Markniveau!Y848*Markniveau!S848/100,IF(X848=2,LOOKUP(K848,'Udvaskning nøgletal'!$C$12:$C$60,'Udvaskning nøgletal'!$F$12:$F$60)+Markniveau!Y848*Markniveau!S848/100,IF(X848=3,LOOKUP(K848,'Udvaskning nøgletal'!$C$12:$C$60,'Udvaskning nøgletal'!G858:G906)+Markniveau!Y848*Markniveau!S848/100,"")))</f>
        <v>38.620385460262987</v>
      </c>
      <c r="AA848" s="10">
        <f t="shared" si="136"/>
        <v>32.054919932018279</v>
      </c>
      <c r="AB848" s="10">
        <f t="shared" si="135"/>
        <v>1.9310192730131492</v>
      </c>
      <c r="AC848" s="10">
        <f t="shared" si="137"/>
        <v>1.6027459966009139</v>
      </c>
      <c r="AD848" s="10">
        <f>IF(AND(Q848&gt;0,Q848&lt;30,K848&lt;8),Markniveau!Z848*'Udvaskning nøgletal'!$I$12/100,IF(AND(Q848&gt;0,Q848&lt;30,K848=216),Markniveau!Z848*'Udvaskning nøgletal'!$I$34/100,Markniveau!Z848))</f>
        <v>38.620385460262987</v>
      </c>
      <c r="AE848" s="10">
        <f t="shared" si="133"/>
        <v>32.054919932018279</v>
      </c>
      <c r="AF848" s="10">
        <f t="shared" si="138"/>
        <v>1.9310192730131492</v>
      </c>
      <c r="AG848" s="10">
        <f t="shared" si="134"/>
        <v>1.6027459966009139</v>
      </c>
      <c r="AH848" s="10" t="str">
        <f>IF(AND(Q848&gt;0,Q848&lt;30,K848=216),'Udvaskning nøgletal'!$C$42,IF(AND(Q848&gt;0,Q848&lt;30,K848&gt;7,K848&lt;17),'Udvaskning nøgletal'!$C$61,IF(AND(Q848&gt;0,Q848&lt;30,K848&lt;7),'Udvaskning nøgletal'!$C$62,"")))</f>
        <v/>
      </c>
      <c r="AI848" s="10">
        <f t="shared" si="140"/>
        <v>230</v>
      </c>
      <c r="AJ848" s="10">
        <f>IF($X848=1,LOOKUP(AI848,'Udvaskning nøgletal'!$C$12:$C$62,'Udvaskning nøgletal'!$E$12:$E$62)+Markniveau!$Y848*Markniveau!$S848/100,IF($X848=2,LOOKUP(AI848,'Udvaskning nøgletal'!$C$12:$C$62,'Udvaskning nøgletal'!$F$12:$F$62)+Markniveau!$Y848*Markniveau!$S848/100,IF($X848=3,LOOKUP(AI848,'Udvaskning nøgletal'!$C$12:$C$62,'Udvaskning nøgletal'!Q858:Q908)+Markniveau!$Y848*Markniveau!$S848/100,"")))</f>
        <v>38.620385460262987</v>
      </c>
      <c r="AK848" s="10">
        <f t="shared" si="139"/>
        <v>32.054919932018279</v>
      </c>
      <c r="AL848" s="10">
        <f t="shared" si="141"/>
        <v>1.9310192730131492</v>
      </c>
      <c r="AM848" s="10">
        <f t="shared" si="142"/>
        <v>1.6027459966009139</v>
      </c>
    </row>
    <row r="849" spans="1:39" x14ac:dyDescent="0.25">
      <c r="A849" s="15">
        <v>27798330</v>
      </c>
      <c r="B849" s="15">
        <v>41.92</v>
      </c>
      <c r="C849" s="15">
        <v>47311</v>
      </c>
      <c r="D849" s="15">
        <v>96106</v>
      </c>
      <c r="E849" s="15" t="s">
        <v>341</v>
      </c>
      <c r="F849" s="15">
        <v>2011</v>
      </c>
      <c r="G849" s="15">
        <v>20110407</v>
      </c>
      <c r="H849" s="15">
        <v>266212</v>
      </c>
      <c r="I849" s="15">
        <v>26.62</v>
      </c>
      <c r="J849" s="6" t="s">
        <v>55</v>
      </c>
      <c r="K849" s="15">
        <v>216</v>
      </c>
      <c r="L849" s="15" t="s">
        <v>116</v>
      </c>
      <c r="M849" s="15" t="s">
        <v>5</v>
      </c>
      <c r="N849" s="11" t="s">
        <v>1384</v>
      </c>
      <c r="O849" s="11" t="s">
        <v>28</v>
      </c>
      <c r="P849" s="11" t="s">
        <v>33</v>
      </c>
      <c r="Q849" s="15">
        <v>0</v>
      </c>
      <c r="R849" s="11" t="s">
        <v>1386</v>
      </c>
      <c r="S849" s="10">
        <v>151.42095954723999</v>
      </c>
      <c r="T849" s="15">
        <v>80</v>
      </c>
      <c r="U849" s="15">
        <v>0</v>
      </c>
      <c r="V849" s="15">
        <v>1</v>
      </c>
      <c r="W849" s="15">
        <v>0</v>
      </c>
      <c r="X849" s="15">
        <f>IF(O849='Udvaskning nøgletal'!$D$65,1,IF(O849='Udvaskning nøgletal'!$D$66,2,IF(O849='Udvaskning nøgletal'!$D$67,3,IF(O849='Udvaskning nøgletal'!$D$68,2,""))))</f>
        <v>1</v>
      </c>
      <c r="Y849" s="15">
        <f>LOOKUP(K849,'Udvaskning nøgletal'!$C$12:$C$60,'Udvaskning nøgletal'!$H$12:$H$60)</f>
        <v>0</v>
      </c>
      <c r="Z849" s="10">
        <f>IF(X849=1,LOOKUP(K849,'Udvaskning nøgletal'!$C$12:$C$60,'Udvaskning nøgletal'!$E$12:$E$60)+Markniveau!Y849*Markniveau!S849/100,IF(X849=2,LOOKUP(K849,'Udvaskning nøgletal'!$C$12:$C$60,'Udvaskning nøgletal'!$F$12:$F$60)+Markniveau!Y849*Markniveau!S849/100,IF(X849=3,LOOKUP(K849,'Udvaskning nøgletal'!$C$12:$C$60,'Udvaskning nøgletal'!G859:G907)+Markniveau!Y849*Markniveau!S849/100,"")))</f>
        <v>125.85383557148924</v>
      </c>
      <c r="AA849" s="10">
        <f t="shared" si="136"/>
        <v>3350.2291029130438</v>
      </c>
      <c r="AB849" s="10" t="str">
        <f t="shared" si="135"/>
        <v/>
      </c>
      <c r="AC849" s="10" t="str">
        <f t="shared" si="137"/>
        <v/>
      </c>
      <c r="AD849" s="10">
        <f>IF(AND(Q849&gt;0,Q849&lt;30,K849&lt;8),Markniveau!Z849*'Udvaskning nøgletal'!$I$12/100,IF(AND(Q849&gt;0,Q849&lt;30,K849=216),Markniveau!Z849*'Udvaskning nøgletal'!$I$34/100,Markniveau!Z849))</f>
        <v>125.85383557148924</v>
      </c>
      <c r="AE849" s="10">
        <f t="shared" ref="AE849:AE912" si="143">AD849*I849</f>
        <v>3350.2291029130438</v>
      </c>
      <c r="AF849" s="10" t="str">
        <f t="shared" si="138"/>
        <v/>
      </c>
      <c r="AG849" s="10" t="str">
        <f t="shared" ref="AG849:AG912" si="144">IF($Q849&gt;0,(100-$Q849)*$AD849/100*I849,"")</f>
        <v/>
      </c>
      <c r="AH849" s="10" t="str">
        <f>IF(AND(Q849&gt;0,Q849&lt;30,K849=216),'Udvaskning nøgletal'!$C$42,IF(AND(Q849&gt;0,Q849&lt;30,K849&gt;7,K849&lt;17),'Udvaskning nøgletal'!$C$61,IF(AND(Q849&gt;0,Q849&lt;30,K849&lt;7),'Udvaskning nøgletal'!$C$62,"")))</f>
        <v/>
      </c>
      <c r="AI849" s="10">
        <f t="shared" si="140"/>
        <v>216</v>
      </c>
      <c r="AJ849" s="10">
        <f>IF($X849=1,LOOKUP(AI849,'Udvaskning nøgletal'!$C$12:$C$62,'Udvaskning nøgletal'!$E$12:$E$62)+Markniveau!$Y849*Markniveau!$S849/100,IF($X849=2,LOOKUP(AI849,'Udvaskning nøgletal'!$C$12:$C$62,'Udvaskning nøgletal'!$F$12:$F$62)+Markniveau!$Y849*Markniveau!$S849/100,IF($X849=3,LOOKUP(AI849,'Udvaskning nøgletal'!$C$12:$C$62,'Udvaskning nøgletal'!Q859:Q909)+Markniveau!$Y849*Markniveau!$S849/100,"")))</f>
        <v>125.85383557148924</v>
      </c>
      <c r="AK849" s="10">
        <f t="shared" si="139"/>
        <v>3350.2291029130438</v>
      </c>
      <c r="AL849" s="10" t="str">
        <f t="shared" si="141"/>
        <v/>
      </c>
      <c r="AM849" s="10" t="str">
        <f t="shared" si="142"/>
        <v/>
      </c>
    </row>
    <row r="850" spans="1:39" x14ac:dyDescent="0.25">
      <c r="A850" s="15">
        <v>27798330</v>
      </c>
      <c r="B850" s="15">
        <v>41.92</v>
      </c>
      <c r="C850" s="15">
        <v>54193</v>
      </c>
      <c r="D850" s="15">
        <v>96106</v>
      </c>
      <c r="E850" s="15" t="s">
        <v>668</v>
      </c>
      <c r="F850" s="15">
        <v>2011</v>
      </c>
      <c r="G850" s="15">
        <v>20110410</v>
      </c>
      <c r="H850" s="15">
        <v>76369</v>
      </c>
      <c r="I850" s="15">
        <v>7.64</v>
      </c>
      <c r="J850" s="6" t="s">
        <v>134</v>
      </c>
      <c r="K850" s="15">
        <v>263</v>
      </c>
      <c r="L850" s="15" t="s">
        <v>39</v>
      </c>
      <c r="M850" s="15" t="s">
        <v>5</v>
      </c>
      <c r="N850" s="11" t="s">
        <v>1384</v>
      </c>
      <c r="O850" s="11" t="s">
        <v>28</v>
      </c>
      <c r="P850" s="11" t="s">
        <v>33</v>
      </c>
      <c r="Q850" s="15">
        <v>0</v>
      </c>
      <c r="R850" s="11" t="s">
        <v>1386</v>
      </c>
      <c r="S850" s="10">
        <v>151.42095954723999</v>
      </c>
      <c r="T850" s="15">
        <v>80</v>
      </c>
      <c r="U850" s="15">
        <v>0</v>
      </c>
      <c r="V850" s="15">
        <v>1</v>
      </c>
      <c r="W850" s="15">
        <v>0</v>
      </c>
      <c r="X850" s="15">
        <f>IF(O850='Udvaskning nøgletal'!$D$65,1,IF(O850='Udvaskning nøgletal'!$D$66,2,IF(O850='Udvaskning nøgletal'!$D$67,3,IF(O850='Udvaskning nøgletal'!$D$68,2,""))))</f>
        <v>1</v>
      </c>
      <c r="Y850" s="15">
        <f>LOOKUP(K850,'Udvaskning nøgletal'!$C$12:$C$60,'Udvaskning nøgletal'!$H$12:$H$60)</f>
        <v>0</v>
      </c>
      <c r="Z850" s="10">
        <f>IF(X850=1,LOOKUP(K850,'Udvaskning nøgletal'!$C$12:$C$60,'Udvaskning nøgletal'!$E$12:$E$60)+Markniveau!Y850*Markniveau!S850/100,IF(X850=2,LOOKUP(K850,'Udvaskning nøgletal'!$C$12:$C$60,'Udvaskning nøgletal'!$F$12:$F$60)+Markniveau!Y850*Markniveau!S850/100,IF(X850=3,LOOKUP(K850,'Udvaskning nøgletal'!$C$12:$C$60,'Udvaskning nøgletal'!G860:G908)+Markniveau!Y850*Markniveau!S850/100,"")))</f>
        <v>33.723295792149436</v>
      </c>
      <c r="AA850" s="10">
        <f t="shared" si="136"/>
        <v>257.6459798520217</v>
      </c>
      <c r="AB850" s="10" t="str">
        <f t="shared" si="135"/>
        <v/>
      </c>
      <c r="AC850" s="10" t="str">
        <f t="shared" si="137"/>
        <v/>
      </c>
      <c r="AD850" s="10">
        <f>IF(AND(Q850&gt;0,Q850&lt;30,K850&lt;8),Markniveau!Z850*'Udvaskning nøgletal'!$I$12/100,IF(AND(Q850&gt;0,Q850&lt;30,K850=216),Markniveau!Z850*'Udvaskning nøgletal'!$I$34/100,Markniveau!Z850))</f>
        <v>33.723295792149436</v>
      </c>
      <c r="AE850" s="10">
        <f t="shared" si="143"/>
        <v>257.6459798520217</v>
      </c>
      <c r="AF850" s="10" t="str">
        <f t="shared" si="138"/>
        <v/>
      </c>
      <c r="AG850" s="10" t="str">
        <f t="shared" si="144"/>
        <v/>
      </c>
      <c r="AH850" s="10" t="str">
        <f>IF(AND(Q850&gt;0,Q850&lt;30,K850=216),'Udvaskning nøgletal'!$C$42,IF(AND(Q850&gt;0,Q850&lt;30,K850&gt;7,K850&lt;17),'Udvaskning nøgletal'!$C$61,IF(AND(Q850&gt;0,Q850&lt;30,K850&lt;7),'Udvaskning nøgletal'!$C$62,"")))</f>
        <v/>
      </c>
      <c r="AI850" s="10">
        <f t="shared" si="140"/>
        <v>263</v>
      </c>
      <c r="AJ850" s="10">
        <f>IF($X850=1,LOOKUP(AI850,'Udvaskning nøgletal'!$C$12:$C$62,'Udvaskning nøgletal'!$E$12:$E$62)+Markniveau!$Y850*Markniveau!$S850/100,IF($X850=2,LOOKUP(AI850,'Udvaskning nøgletal'!$C$12:$C$62,'Udvaskning nøgletal'!$F$12:$F$62)+Markniveau!$Y850*Markniveau!$S850/100,IF($X850=3,LOOKUP(AI850,'Udvaskning nøgletal'!$C$12:$C$62,'Udvaskning nøgletal'!Q860:Q910)+Markniveau!$Y850*Markniveau!$S850/100,"")))</f>
        <v>33.723295792149436</v>
      </c>
      <c r="AK850" s="10">
        <f t="shared" si="139"/>
        <v>257.6459798520217</v>
      </c>
      <c r="AL850" s="10" t="str">
        <f t="shared" si="141"/>
        <v/>
      </c>
      <c r="AM850" s="10" t="str">
        <f t="shared" si="142"/>
        <v/>
      </c>
    </row>
    <row r="851" spans="1:39" x14ac:dyDescent="0.25">
      <c r="A851" s="15">
        <v>27798330</v>
      </c>
      <c r="B851" s="15">
        <v>41.92</v>
      </c>
      <c r="C851" s="15">
        <v>54326</v>
      </c>
      <c r="D851" s="15">
        <v>96106</v>
      </c>
      <c r="E851" s="15" t="s">
        <v>668</v>
      </c>
      <c r="F851" s="15">
        <v>2011</v>
      </c>
      <c r="G851" s="15">
        <v>20110410</v>
      </c>
      <c r="H851" s="15">
        <v>246137</v>
      </c>
      <c r="I851" s="15">
        <v>24.61</v>
      </c>
      <c r="J851" s="6" t="s">
        <v>53</v>
      </c>
      <c r="K851" s="15">
        <v>216</v>
      </c>
      <c r="L851" s="15" t="s">
        <v>116</v>
      </c>
      <c r="M851" s="15" t="s">
        <v>5</v>
      </c>
      <c r="N851" s="11" t="s">
        <v>1391</v>
      </c>
      <c r="O851" s="11" t="s">
        <v>46</v>
      </c>
      <c r="P851" s="11" t="s">
        <v>33</v>
      </c>
      <c r="Q851" s="15">
        <v>0</v>
      </c>
      <c r="R851" s="11" t="s">
        <v>1386</v>
      </c>
      <c r="S851" s="10">
        <v>151.42095954723999</v>
      </c>
      <c r="T851" s="15">
        <v>80</v>
      </c>
      <c r="U851" s="15">
        <v>0</v>
      </c>
      <c r="V851" s="15">
        <v>1</v>
      </c>
      <c r="W851" s="15">
        <v>0</v>
      </c>
      <c r="X851" s="15">
        <f>IF(O851='Udvaskning nøgletal'!$D$65,1,IF(O851='Udvaskning nøgletal'!$D$66,2,IF(O851='Udvaskning nøgletal'!$D$67,3,IF(O851='Udvaskning nøgletal'!$D$68,2,""))))</f>
        <v>2</v>
      </c>
      <c r="Y851" s="15">
        <f>LOOKUP(K851,'Udvaskning nøgletal'!$C$12:$C$60,'Udvaskning nøgletal'!$H$12:$H$60)</f>
        <v>0</v>
      </c>
      <c r="Z851" s="10">
        <f>IF(X851=1,LOOKUP(K851,'Udvaskning nøgletal'!$C$12:$C$60,'Udvaskning nøgletal'!$E$12:$E$60)+Markniveau!Y851*Markniveau!S851/100,IF(X851=2,LOOKUP(K851,'Udvaskning nøgletal'!$C$12:$C$60,'Udvaskning nøgletal'!$F$12:$F$60)+Markniveau!Y851*Markniveau!S851/100,IF(X851=3,LOOKUP(K851,'Udvaskning nøgletal'!$C$12:$C$60,'Udvaskning nøgletal'!G861:G909)+Markniveau!Y851*Markniveau!S851/100,"")))</f>
        <v>101.66744640811392</v>
      </c>
      <c r="AA851" s="10">
        <f t="shared" si="136"/>
        <v>2502.0358561036833</v>
      </c>
      <c r="AB851" s="10" t="str">
        <f t="shared" si="135"/>
        <v/>
      </c>
      <c r="AC851" s="10" t="str">
        <f t="shared" si="137"/>
        <v/>
      </c>
      <c r="AD851" s="10">
        <f>IF(AND(Q851&gt;0,Q851&lt;30,K851&lt;8),Markniveau!Z851*'Udvaskning nøgletal'!$I$12/100,IF(AND(Q851&gt;0,Q851&lt;30,K851=216),Markniveau!Z851*'Udvaskning nøgletal'!$I$34/100,Markniveau!Z851))</f>
        <v>101.66744640811392</v>
      </c>
      <c r="AE851" s="10">
        <f t="shared" si="143"/>
        <v>2502.0358561036833</v>
      </c>
      <c r="AF851" s="10" t="str">
        <f t="shared" si="138"/>
        <v/>
      </c>
      <c r="AG851" s="10" t="str">
        <f t="shared" si="144"/>
        <v/>
      </c>
      <c r="AH851" s="10" t="str">
        <f>IF(AND(Q851&gt;0,Q851&lt;30,K851=216),'Udvaskning nøgletal'!$C$42,IF(AND(Q851&gt;0,Q851&lt;30,K851&gt;7,K851&lt;17),'Udvaskning nøgletal'!$C$61,IF(AND(Q851&gt;0,Q851&lt;30,K851&lt;7),'Udvaskning nøgletal'!$C$62,"")))</f>
        <v/>
      </c>
      <c r="AI851" s="10">
        <f t="shared" si="140"/>
        <v>216</v>
      </c>
      <c r="AJ851" s="10">
        <f>IF($X851=1,LOOKUP(AI851,'Udvaskning nøgletal'!$C$12:$C$62,'Udvaskning nøgletal'!$E$12:$E$62)+Markniveau!$Y851*Markniveau!$S851/100,IF($X851=2,LOOKUP(AI851,'Udvaskning nøgletal'!$C$12:$C$62,'Udvaskning nøgletal'!$F$12:$F$62)+Markniveau!$Y851*Markniveau!$S851/100,IF($X851=3,LOOKUP(AI851,'Udvaskning nøgletal'!$C$12:$C$62,'Udvaskning nøgletal'!Q861:Q911)+Markniveau!$Y851*Markniveau!$S851/100,"")))</f>
        <v>101.66744640811392</v>
      </c>
      <c r="AK851" s="10">
        <f t="shared" si="139"/>
        <v>2502.0358561036833</v>
      </c>
      <c r="AL851" s="10" t="str">
        <f t="shared" si="141"/>
        <v/>
      </c>
      <c r="AM851" s="10" t="str">
        <f t="shared" si="142"/>
        <v/>
      </c>
    </row>
    <row r="852" spans="1:39" x14ac:dyDescent="0.25">
      <c r="A852" s="15">
        <v>27798330</v>
      </c>
      <c r="B852" s="15">
        <v>41.92</v>
      </c>
      <c r="C852" s="15">
        <v>57248</v>
      </c>
      <c r="D852" s="15">
        <v>96106</v>
      </c>
      <c r="E852" s="15" t="s">
        <v>335</v>
      </c>
      <c r="F852" s="15">
        <v>2011</v>
      </c>
      <c r="G852" s="15">
        <v>20110406</v>
      </c>
      <c r="H852" s="15">
        <v>20827</v>
      </c>
      <c r="I852" s="15">
        <v>2.08</v>
      </c>
      <c r="J852" s="6" t="s">
        <v>555</v>
      </c>
      <c r="K852" s="15">
        <v>252</v>
      </c>
      <c r="L852" s="15" t="s">
        <v>41</v>
      </c>
      <c r="M852" s="15" t="s">
        <v>4</v>
      </c>
      <c r="N852" s="11" t="s">
        <v>1384</v>
      </c>
      <c r="O852" s="11" t="s">
        <v>28</v>
      </c>
      <c r="P852" s="11" t="s">
        <v>29</v>
      </c>
      <c r="Q852" s="15">
        <v>95</v>
      </c>
      <c r="R852" s="11" t="s">
        <v>3</v>
      </c>
      <c r="S852" s="10">
        <v>151.42095954723999</v>
      </c>
      <c r="T852" s="15">
        <v>80</v>
      </c>
      <c r="U852" s="15">
        <v>0</v>
      </c>
      <c r="V852" s="15">
        <v>1</v>
      </c>
      <c r="W852" s="15">
        <v>0</v>
      </c>
      <c r="X852" s="15">
        <f>IF(O852='Udvaskning nøgletal'!$D$65,1,IF(O852='Udvaskning nøgletal'!$D$66,2,IF(O852='Udvaskning nøgletal'!$D$67,3,IF(O852='Udvaskning nøgletal'!$D$68,2,""))))</f>
        <v>1</v>
      </c>
      <c r="Y852" s="15">
        <f>LOOKUP(K852,'Udvaskning nøgletal'!$C$12:$C$60,'Udvaskning nøgletal'!$H$12:$H$60)</f>
        <v>0</v>
      </c>
      <c r="Z852" s="10">
        <f>IF(X852=1,LOOKUP(K852,'Udvaskning nøgletal'!$C$12:$C$60,'Udvaskning nøgletal'!$E$12:$E$60)+Markniveau!Y852*Markniveau!S852/100,IF(X852=2,LOOKUP(K852,'Udvaskning nøgletal'!$C$12:$C$60,'Udvaskning nøgletal'!$F$12:$F$60)+Markniveau!Y852*Markniveau!S852/100,IF(X852=3,LOOKUP(K852,'Udvaskning nøgletal'!$C$12:$C$60,'Udvaskning nøgletal'!G862:G910)+Markniveau!Y852*Markniveau!S852/100,"")))</f>
        <v>21.2</v>
      </c>
      <c r="AA852" s="10">
        <f t="shared" si="136"/>
        <v>44.095999999999997</v>
      </c>
      <c r="AB852" s="10">
        <f t="shared" si="135"/>
        <v>1.06</v>
      </c>
      <c r="AC852" s="10">
        <f t="shared" si="137"/>
        <v>2.2048000000000001</v>
      </c>
      <c r="AD852" s="10">
        <f>IF(AND(Q852&gt;0,Q852&lt;30,K852&lt;8),Markniveau!Z852*'Udvaskning nøgletal'!$I$12/100,IF(AND(Q852&gt;0,Q852&lt;30,K852=216),Markniveau!Z852*'Udvaskning nøgletal'!$I$34/100,Markniveau!Z852))</f>
        <v>21.2</v>
      </c>
      <c r="AE852" s="10">
        <f t="shared" si="143"/>
        <v>44.095999999999997</v>
      </c>
      <c r="AF852" s="10">
        <f t="shared" si="138"/>
        <v>1.06</v>
      </c>
      <c r="AG852" s="10">
        <f t="shared" si="144"/>
        <v>2.2048000000000001</v>
      </c>
      <c r="AH852" s="10" t="str">
        <f>IF(AND(Q852&gt;0,Q852&lt;30,K852=216),'Udvaskning nøgletal'!$C$42,IF(AND(Q852&gt;0,Q852&lt;30,K852&gt;7,K852&lt;17),'Udvaskning nøgletal'!$C$61,IF(AND(Q852&gt;0,Q852&lt;30,K852&lt;7),'Udvaskning nøgletal'!$C$62,"")))</f>
        <v/>
      </c>
      <c r="AI852" s="10">
        <f t="shared" si="140"/>
        <v>252</v>
      </c>
      <c r="AJ852" s="10">
        <f>IF($X852=1,LOOKUP(AI852,'Udvaskning nøgletal'!$C$12:$C$62,'Udvaskning nøgletal'!$E$12:$E$62)+Markniveau!$Y852*Markniveau!$S852/100,IF($X852=2,LOOKUP(AI852,'Udvaskning nøgletal'!$C$12:$C$62,'Udvaskning nøgletal'!$F$12:$F$62)+Markniveau!$Y852*Markniveau!$S852/100,IF($X852=3,LOOKUP(AI852,'Udvaskning nøgletal'!$C$12:$C$62,'Udvaskning nøgletal'!Q862:Q912)+Markniveau!$Y852*Markniveau!$S852/100,"")))</f>
        <v>21.2</v>
      </c>
      <c r="AK852" s="10">
        <f t="shared" si="139"/>
        <v>44.095999999999997</v>
      </c>
      <c r="AL852" s="10">
        <f t="shared" si="141"/>
        <v>1.06</v>
      </c>
      <c r="AM852" s="10">
        <f t="shared" si="142"/>
        <v>2.2048000000000001</v>
      </c>
    </row>
    <row r="853" spans="1:39" x14ac:dyDescent="0.25">
      <c r="A853" s="15">
        <v>27798330</v>
      </c>
      <c r="B853" s="15">
        <v>41.92</v>
      </c>
      <c r="C853" s="15">
        <v>60093</v>
      </c>
      <c r="D853" s="15">
        <v>96106</v>
      </c>
      <c r="E853" s="15" t="s">
        <v>669</v>
      </c>
      <c r="F853" s="15">
        <v>2011</v>
      </c>
      <c r="G853" s="15">
        <v>20110406</v>
      </c>
      <c r="H853" s="15">
        <v>12451</v>
      </c>
      <c r="I853" s="15">
        <v>1.25</v>
      </c>
      <c r="J853" s="6" t="s">
        <v>476</v>
      </c>
      <c r="K853" s="15">
        <v>263</v>
      </c>
      <c r="L853" s="15" t="s">
        <v>39</v>
      </c>
      <c r="M853" s="15" t="s">
        <v>5</v>
      </c>
      <c r="N853" s="11" t="s">
        <v>1391</v>
      </c>
      <c r="O853" s="11" t="s">
        <v>46</v>
      </c>
      <c r="P853" s="11" t="s">
        <v>33</v>
      </c>
      <c r="Q853" s="15">
        <v>0</v>
      </c>
      <c r="R853" s="11" t="s">
        <v>1386</v>
      </c>
      <c r="S853" s="10">
        <v>151.42095954723999</v>
      </c>
      <c r="T853" s="15">
        <v>80</v>
      </c>
      <c r="U853" s="15">
        <v>0</v>
      </c>
      <c r="V853" s="15">
        <v>1</v>
      </c>
      <c r="W853" s="15">
        <v>0</v>
      </c>
      <c r="X853" s="15">
        <f>IF(O853='Udvaskning nøgletal'!$D$65,1,IF(O853='Udvaskning nøgletal'!$D$66,2,IF(O853='Udvaskning nøgletal'!$D$67,3,IF(O853='Udvaskning nøgletal'!$D$68,2,""))))</f>
        <v>2</v>
      </c>
      <c r="Y853" s="15">
        <f>LOOKUP(K853,'Udvaskning nøgletal'!$C$12:$C$60,'Udvaskning nøgletal'!$H$12:$H$60)</f>
        <v>0</v>
      </c>
      <c r="Z853" s="10">
        <f>IF(X853=1,LOOKUP(K853,'Udvaskning nøgletal'!$C$12:$C$60,'Udvaskning nøgletal'!$E$12:$E$60)+Markniveau!Y853*Markniveau!S853/100,IF(X853=2,LOOKUP(K853,'Udvaskning nøgletal'!$C$12:$C$60,'Udvaskning nøgletal'!$F$12:$F$60)+Markniveau!Y853*Markniveau!S853/100,IF(X853=3,LOOKUP(K853,'Udvaskning nøgletal'!$C$12:$C$60,'Udvaskning nøgletal'!G863:G911)+Markniveau!Y853*Markniveau!S853/100,"")))</f>
        <v>27.331185321443094</v>
      </c>
      <c r="AA853" s="10">
        <f t="shared" si="136"/>
        <v>34.163981651803866</v>
      </c>
      <c r="AB853" s="10" t="str">
        <f t="shared" si="135"/>
        <v/>
      </c>
      <c r="AC853" s="10" t="str">
        <f t="shared" si="137"/>
        <v/>
      </c>
      <c r="AD853" s="10">
        <f>IF(AND(Q853&gt;0,Q853&lt;30,K853&lt;8),Markniveau!Z853*'Udvaskning nøgletal'!$I$12/100,IF(AND(Q853&gt;0,Q853&lt;30,K853=216),Markniveau!Z853*'Udvaskning nøgletal'!$I$34/100,Markniveau!Z853))</f>
        <v>27.331185321443094</v>
      </c>
      <c r="AE853" s="10">
        <f t="shared" si="143"/>
        <v>34.163981651803866</v>
      </c>
      <c r="AF853" s="10" t="str">
        <f t="shared" si="138"/>
        <v/>
      </c>
      <c r="AG853" s="10" t="str">
        <f t="shared" si="144"/>
        <v/>
      </c>
      <c r="AH853" s="10" t="str">
        <f>IF(AND(Q853&gt;0,Q853&lt;30,K853=216),'Udvaskning nøgletal'!$C$42,IF(AND(Q853&gt;0,Q853&lt;30,K853&gt;7,K853&lt;17),'Udvaskning nøgletal'!$C$61,IF(AND(Q853&gt;0,Q853&lt;30,K853&lt;7),'Udvaskning nøgletal'!$C$62,"")))</f>
        <v/>
      </c>
      <c r="AI853" s="10">
        <f t="shared" si="140"/>
        <v>263</v>
      </c>
      <c r="AJ853" s="10">
        <f>IF($X853=1,LOOKUP(AI853,'Udvaskning nøgletal'!$C$12:$C$62,'Udvaskning nøgletal'!$E$12:$E$62)+Markniveau!$Y853*Markniveau!$S853/100,IF($X853=2,LOOKUP(AI853,'Udvaskning nøgletal'!$C$12:$C$62,'Udvaskning nøgletal'!$F$12:$F$62)+Markniveau!$Y853*Markniveau!$S853/100,IF($X853=3,LOOKUP(AI853,'Udvaskning nøgletal'!$C$12:$C$62,'Udvaskning nøgletal'!Q863:Q913)+Markniveau!$Y853*Markniveau!$S853/100,"")))</f>
        <v>27.331185321443094</v>
      </c>
      <c r="AK853" s="10">
        <f t="shared" si="139"/>
        <v>34.163981651803866</v>
      </c>
      <c r="AL853" s="10" t="str">
        <f t="shared" si="141"/>
        <v/>
      </c>
      <c r="AM853" s="10" t="str">
        <f t="shared" si="142"/>
        <v/>
      </c>
    </row>
    <row r="854" spans="1:39" x14ac:dyDescent="0.25">
      <c r="A854" s="15">
        <v>27798330</v>
      </c>
      <c r="B854" s="15">
        <v>41.92</v>
      </c>
      <c r="C854" s="15">
        <v>60595</v>
      </c>
      <c r="D854" s="15">
        <v>96106</v>
      </c>
      <c r="E854" s="15" t="s">
        <v>670</v>
      </c>
      <c r="F854" s="15">
        <v>2011</v>
      </c>
      <c r="G854" s="15">
        <v>20110406</v>
      </c>
      <c r="H854" s="15">
        <v>121531</v>
      </c>
      <c r="I854" s="15">
        <v>12.15</v>
      </c>
      <c r="J854" s="6" t="s">
        <v>461</v>
      </c>
      <c r="K854" s="15">
        <v>260</v>
      </c>
      <c r="L854" s="15" t="s">
        <v>45</v>
      </c>
      <c r="M854" s="15" t="s">
        <v>5</v>
      </c>
      <c r="N854" s="11" t="s">
        <v>1391</v>
      </c>
      <c r="O854" s="11" t="s">
        <v>46</v>
      </c>
      <c r="P854" s="11" t="s">
        <v>33</v>
      </c>
      <c r="Q854" s="15">
        <v>0</v>
      </c>
      <c r="R854" s="11" t="s">
        <v>1386</v>
      </c>
      <c r="S854" s="10">
        <v>151.42095954723999</v>
      </c>
      <c r="T854" s="15">
        <v>80</v>
      </c>
      <c r="U854" s="15">
        <v>0</v>
      </c>
      <c r="V854" s="15">
        <v>1</v>
      </c>
      <c r="W854" s="15">
        <v>0</v>
      </c>
      <c r="X854" s="15">
        <f>IF(O854='Udvaskning nøgletal'!$D$65,1,IF(O854='Udvaskning nøgletal'!$D$66,2,IF(O854='Udvaskning nøgletal'!$D$67,3,IF(O854='Udvaskning nøgletal'!$D$68,2,""))))</f>
        <v>2</v>
      </c>
      <c r="Y854" s="15">
        <f>LOOKUP(K854,'Udvaskning nøgletal'!$C$12:$C$60,'Udvaskning nøgletal'!$H$12:$H$60)</f>
        <v>0</v>
      </c>
      <c r="Z854" s="10">
        <f>IF(X854=1,LOOKUP(K854,'Udvaskning nøgletal'!$C$12:$C$60,'Udvaskning nøgletal'!$E$12:$E$60)+Markniveau!Y854*Markniveau!S854/100,IF(X854=2,LOOKUP(K854,'Udvaskning nøgletal'!$C$12:$C$60,'Udvaskning nøgletal'!$F$12:$F$60)+Markniveau!Y854*Markniveau!S854/100,IF(X854=3,LOOKUP(K854,'Udvaskning nøgletal'!$C$12:$C$60,'Udvaskning nøgletal'!G864:G912)+Markniveau!Y854*Markniveau!S854/100,"")))</f>
        <v>27.331185321443094</v>
      </c>
      <c r="AA854" s="10">
        <f t="shared" si="136"/>
        <v>332.07390165553358</v>
      </c>
      <c r="AB854" s="10" t="str">
        <f t="shared" si="135"/>
        <v/>
      </c>
      <c r="AC854" s="10" t="str">
        <f t="shared" si="137"/>
        <v/>
      </c>
      <c r="AD854" s="10">
        <f>IF(AND(Q854&gt;0,Q854&lt;30,K854&lt;8),Markniveau!Z854*'Udvaskning nøgletal'!$I$12/100,IF(AND(Q854&gt;0,Q854&lt;30,K854=216),Markniveau!Z854*'Udvaskning nøgletal'!$I$34/100,Markniveau!Z854))</f>
        <v>27.331185321443094</v>
      </c>
      <c r="AE854" s="10">
        <f t="shared" si="143"/>
        <v>332.07390165553358</v>
      </c>
      <c r="AF854" s="10" t="str">
        <f t="shared" si="138"/>
        <v/>
      </c>
      <c r="AG854" s="10" t="str">
        <f t="shared" si="144"/>
        <v/>
      </c>
      <c r="AH854" s="10" t="str">
        <f>IF(AND(Q854&gt;0,Q854&lt;30,K854=216),'Udvaskning nøgletal'!$C$42,IF(AND(Q854&gt;0,Q854&lt;30,K854&gt;7,K854&lt;17),'Udvaskning nøgletal'!$C$61,IF(AND(Q854&gt;0,Q854&lt;30,K854&lt;7),'Udvaskning nøgletal'!$C$62,"")))</f>
        <v/>
      </c>
      <c r="AI854" s="10">
        <f t="shared" si="140"/>
        <v>260</v>
      </c>
      <c r="AJ854" s="10">
        <f>IF($X854=1,LOOKUP(AI854,'Udvaskning nøgletal'!$C$12:$C$62,'Udvaskning nøgletal'!$E$12:$E$62)+Markniveau!$Y854*Markniveau!$S854/100,IF($X854=2,LOOKUP(AI854,'Udvaskning nøgletal'!$C$12:$C$62,'Udvaskning nøgletal'!$F$12:$F$62)+Markniveau!$Y854*Markniveau!$S854/100,IF($X854=3,LOOKUP(AI854,'Udvaskning nøgletal'!$C$12:$C$62,'Udvaskning nøgletal'!Q864:Q914)+Markniveau!$Y854*Markniveau!$S854/100,"")))</f>
        <v>27.331185321443094</v>
      </c>
      <c r="AK854" s="10">
        <f t="shared" si="139"/>
        <v>332.07390165553358</v>
      </c>
      <c r="AL854" s="10" t="str">
        <f t="shared" si="141"/>
        <v/>
      </c>
      <c r="AM854" s="10" t="str">
        <f t="shared" si="142"/>
        <v/>
      </c>
    </row>
    <row r="855" spans="1:39" x14ac:dyDescent="0.25">
      <c r="A855" s="15">
        <v>27798330</v>
      </c>
      <c r="B855" s="15">
        <v>41.92</v>
      </c>
      <c r="C855" s="15">
        <v>60596</v>
      </c>
      <c r="D855" s="15">
        <v>96106</v>
      </c>
      <c r="E855" s="15" t="s">
        <v>671</v>
      </c>
      <c r="F855" s="15">
        <v>2011</v>
      </c>
      <c r="G855" s="15">
        <v>20110406</v>
      </c>
      <c r="H855" s="15">
        <v>156455</v>
      </c>
      <c r="I855" s="15">
        <v>15.65</v>
      </c>
      <c r="J855" s="6" t="s">
        <v>86</v>
      </c>
      <c r="K855" s="15">
        <v>260</v>
      </c>
      <c r="L855" s="15" t="s">
        <v>45</v>
      </c>
      <c r="M855" s="15" t="s">
        <v>5</v>
      </c>
      <c r="N855" s="11" t="s">
        <v>1391</v>
      </c>
      <c r="O855" s="11" t="s">
        <v>46</v>
      </c>
      <c r="P855" s="11" t="s">
        <v>33</v>
      </c>
      <c r="Q855" s="15">
        <v>0</v>
      </c>
      <c r="R855" s="11" t="s">
        <v>1386</v>
      </c>
      <c r="S855" s="10">
        <v>151.42095954723999</v>
      </c>
      <c r="T855" s="15">
        <v>80</v>
      </c>
      <c r="U855" s="15">
        <v>0</v>
      </c>
      <c r="V855" s="15">
        <v>1</v>
      </c>
      <c r="W855" s="15">
        <v>0</v>
      </c>
      <c r="X855" s="15">
        <f>IF(O855='Udvaskning nøgletal'!$D$65,1,IF(O855='Udvaskning nøgletal'!$D$66,2,IF(O855='Udvaskning nøgletal'!$D$67,3,IF(O855='Udvaskning nøgletal'!$D$68,2,""))))</f>
        <v>2</v>
      </c>
      <c r="Y855" s="15">
        <f>LOOKUP(K855,'Udvaskning nøgletal'!$C$12:$C$60,'Udvaskning nøgletal'!$H$12:$H$60)</f>
        <v>0</v>
      </c>
      <c r="Z855" s="10">
        <f>IF(X855=1,LOOKUP(K855,'Udvaskning nøgletal'!$C$12:$C$60,'Udvaskning nøgletal'!$E$12:$E$60)+Markniveau!Y855*Markniveau!S855/100,IF(X855=2,LOOKUP(K855,'Udvaskning nøgletal'!$C$12:$C$60,'Udvaskning nøgletal'!$F$12:$F$60)+Markniveau!Y855*Markniveau!S855/100,IF(X855=3,LOOKUP(K855,'Udvaskning nøgletal'!$C$12:$C$60,'Udvaskning nøgletal'!G865:G913)+Markniveau!Y855*Markniveau!S855/100,"")))</f>
        <v>27.331185321443094</v>
      </c>
      <c r="AA855" s="10">
        <f t="shared" si="136"/>
        <v>427.73305028058445</v>
      </c>
      <c r="AB855" s="10" t="str">
        <f t="shared" si="135"/>
        <v/>
      </c>
      <c r="AC855" s="10" t="str">
        <f t="shared" si="137"/>
        <v/>
      </c>
      <c r="AD855" s="10">
        <f>IF(AND(Q855&gt;0,Q855&lt;30,K855&lt;8),Markniveau!Z855*'Udvaskning nøgletal'!$I$12/100,IF(AND(Q855&gt;0,Q855&lt;30,K855=216),Markniveau!Z855*'Udvaskning nøgletal'!$I$34/100,Markniveau!Z855))</f>
        <v>27.331185321443094</v>
      </c>
      <c r="AE855" s="10">
        <f t="shared" si="143"/>
        <v>427.73305028058445</v>
      </c>
      <c r="AF855" s="10" t="str">
        <f t="shared" si="138"/>
        <v/>
      </c>
      <c r="AG855" s="10" t="str">
        <f t="shared" si="144"/>
        <v/>
      </c>
      <c r="AH855" s="10" t="str">
        <f>IF(AND(Q855&gt;0,Q855&lt;30,K855=216),'Udvaskning nøgletal'!$C$42,IF(AND(Q855&gt;0,Q855&lt;30,K855&gt;7,K855&lt;17),'Udvaskning nøgletal'!$C$61,IF(AND(Q855&gt;0,Q855&lt;30,K855&lt;7),'Udvaskning nøgletal'!$C$62,"")))</f>
        <v/>
      </c>
      <c r="AI855" s="10">
        <f t="shared" si="140"/>
        <v>260</v>
      </c>
      <c r="AJ855" s="10">
        <f>IF($X855=1,LOOKUP(AI855,'Udvaskning nøgletal'!$C$12:$C$62,'Udvaskning nøgletal'!$E$12:$E$62)+Markniveau!$Y855*Markniveau!$S855/100,IF($X855=2,LOOKUP(AI855,'Udvaskning nøgletal'!$C$12:$C$62,'Udvaskning nøgletal'!$F$12:$F$62)+Markniveau!$Y855*Markniveau!$S855/100,IF($X855=3,LOOKUP(AI855,'Udvaskning nøgletal'!$C$12:$C$62,'Udvaskning nøgletal'!Q865:Q915)+Markniveau!$Y855*Markniveau!$S855/100,"")))</f>
        <v>27.331185321443094</v>
      </c>
      <c r="AK855" s="10">
        <f t="shared" si="139"/>
        <v>427.73305028058445</v>
      </c>
      <c r="AL855" s="10" t="str">
        <f t="shared" si="141"/>
        <v/>
      </c>
      <c r="AM855" s="10" t="str">
        <f t="shared" si="142"/>
        <v/>
      </c>
    </row>
    <row r="856" spans="1:39" x14ac:dyDescent="0.25">
      <c r="A856" s="15">
        <v>27798330</v>
      </c>
      <c r="B856" s="15">
        <v>41.92</v>
      </c>
      <c r="C856" s="15">
        <v>60597</v>
      </c>
      <c r="D856" s="15">
        <v>96106</v>
      </c>
      <c r="E856" s="15" t="s">
        <v>672</v>
      </c>
      <c r="F856" s="15">
        <v>2011</v>
      </c>
      <c r="G856" s="15">
        <v>20110406</v>
      </c>
      <c r="H856" s="15">
        <v>7001</v>
      </c>
      <c r="I856" s="15">
        <v>0.7</v>
      </c>
      <c r="J856" s="6" t="s">
        <v>1437</v>
      </c>
      <c r="K856" s="15">
        <v>260</v>
      </c>
      <c r="L856" s="15" t="s">
        <v>45</v>
      </c>
      <c r="M856" s="15" t="s">
        <v>5</v>
      </c>
      <c r="N856" s="11" t="s">
        <v>1391</v>
      </c>
      <c r="O856" s="11" t="s">
        <v>46</v>
      </c>
      <c r="P856" s="11" t="s">
        <v>33</v>
      </c>
      <c r="Q856" s="15">
        <v>0</v>
      </c>
      <c r="R856" s="11" t="s">
        <v>1386</v>
      </c>
      <c r="S856" s="10">
        <v>151.42095954723999</v>
      </c>
      <c r="T856" s="15">
        <v>80</v>
      </c>
      <c r="U856" s="15">
        <v>0</v>
      </c>
      <c r="V856" s="15">
        <v>1</v>
      </c>
      <c r="W856" s="15">
        <v>0</v>
      </c>
      <c r="X856" s="15">
        <f>IF(O856='Udvaskning nøgletal'!$D$65,1,IF(O856='Udvaskning nøgletal'!$D$66,2,IF(O856='Udvaskning nøgletal'!$D$67,3,IF(O856='Udvaskning nøgletal'!$D$68,2,""))))</f>
        <v>2</v>
      </c>
      <c r="Y856" s="15">
        <f>LOOKUP(K856,'Udvaskning nøgletal'!$C$12:$C$60,'Udvaskning nøgletal'!$H$12:$H$60)</f>
        <v>0</v>
      </c>
      <c r="Z856" s="10">
        <f>IF(X856=1,LOOKUP(K856,'Udvaskning nøgletal'!$C$12:$C$60,'Udvaskning nøgletal'!$E$12:$E$60)+Markniveau!Y856*Markniveau!S856/100,IF(X856=2,LOOKUP(K856,'Udvaskning nøgletal'!$C$12:$C$60,'Udvaskning nøgletal'!$F$12:$F$60)+Markniveau!Y856*Markniveau!S856/100,IF(X856=3,LOOKUP(K856,'Udvaskning nøgletal'!$C$12:$C$60,'Udvaskning nøgletal'!G866:G914)+Markniveau!Y856*Markniveau!S856/100,"")))</f>
        <v>27.331185321443094</v>
      </c>
      <c r="AA856" s="10">
        <f t="shared" si="136"/>
        <v>19.131829725010164</v>
      </c>
      <c r="AB856" s="10" t="str">
        <f t="shared" si="135"/>
        <v/>
      </c>
      <c r="AC856" s="10" t="str">
        <f t="shared" si="137"/>
        <v/>
      </c>
      <c r="AD856" s="10">
        <f>IF(AND(Q856&gt;0,Q856&lt;30,K856&lt;8),Markniveau!Z856*'Udvaskning nøgletal'!$I$12/100,IF(AND(Q856&gt;0,Q856&lt;30,K856=216),Markniveau!Z856*'Udvaskning nøgletal'!$I$34/100,Markniveau!Z856))</f>
        <v>27.331185321443094</v>
      </c>
      <c r="AE856" s="10">
        <f t="shared" si="143"/>
        <v>19.131829725010164</v>
      </c>
      <c r="AF856" s="10" t="str">
        <f t="shared" si="138"/>
        <v/>
      </c>
      <c r="AG856" s="10" t="str">
        <f t="shared" si="144"/>
        <v/>
      </c>
      <c r="AH856" s="10" t="str">
        <f>IF(AND(Q856&gt;0,Q856&lt;30,K856=216),'Udvaskning nøgletal'!$C$42,IF(AND(Q856&gt;0,Q856&lt;30,K856&gt;7,K856&lt;17),'Udvaskning nøgletal'!$C$61,IF(AND(Q856&gt;0,Q856&lt;30,K856&lt;7),'Udvaskning nøgletal'!$C$62,"")))</f>
        <v/>
      </c>
      <c r="AI856" s="10">
        <f t="shared" si="140"/>
        <v>260</v>
      </c>
      <c r="AJ856" s="10">
        <f>IF($X856=1,LOOKUP(AI856,'Udvaskning nøgletal'!$C$12:$C$62,'Udvaskning nøgletal'!$E$12:$E$62)+Markniveau!$Y856*Markniveau!$S856/100,IF($X856=2,LOOKUP(AI856,'Udvaskning nøgletal'!$C$12:$C$62,'Udvaskning nøgletal'!$F$12:$F$62)+Markniveau!$Y856*Markniveau!$S856/100,IF($X856=3,LOOKUP(AI856,'Udvaskning nøgletal'!$C$12:$C$62,'Udvaskning nøgletal'!Q866:Q916)+Markniveau!$Y856*Markniveau!$S856/100,"")))</f>
        <v>27.331185321443094</v>
      </c>
      <c r="AK856" s="10">
        <f t="shared" si="139"/>
        <v>19.131829725010164</v>
      </c>
      <c r="AL856" s="10" t="str">
        <f t="shared" si="141"/>
        <v/>
      </c>
      <c r="AM856" s="10" t="str">
        <f t="shared" si="142"/>
        <v/>
      </c>
    </row>
    <row r="857" spans="1:39" x14ac:dyDescent="0.25">
      <c r="A857" s="15">
        <v>27798330</v>
      </c>
      <c r="B857" s="15">
        <v>41.92</v>
      </c>
      <c r="C857" s="15">
        <v>60598</v>
      </c>
      <c r="D857" s="15">
        <v>96106</v>
      </c>
      <c r="E857" s="15" t="s">
        <v>672</v>
      </c>
      <c r="F857" s="15">
        <v>2011</v>
      </c>
      <c r="G857" s="15">
        <v>20110406</v>
      </c>
      <c r="H857" s="15">
        <v>15176</v>
      </c>
      <c r="I857" s="15">
        <v>1.52</v>
      </c>
      <c r="J857" s="6" t="s">
        <v>1459</v>
      </c>
      <c r="K857" s="15">
        <v>1</v>
      </c>
      <c r="L857" s="15" t="s">
        <v>32</v>
      </c>
      <c r="M857" s="15" t="s">
        <v>5</v>
      </c>
      <c r="N857" s="11" t="s">
        <v>1391</v>
      </c>
      <c r="O857" s="11" t="s">
        <v>46</v>
      </c>
      <c r="P857" s="11" t="s">
        <v>33</v>
      </c>
      <c r="Q857" s="15">
        <v>0</v>
      </c>
      <c r="R857" s="11" t="s">
        <v>1386</v>
      </c>
      <c r="S857" s="10">
        <v>151.42095954723999</v>
      </c>
      <c r="T857" s="15">
        <v>80</v>
      </c>
      <c r="U857" s="15">
        <v>0</v>
      </c>
      <c r="V857" s="15">
        <v>1</v>
      </c>
      <c r="W857" s="15">
        <v>0</v>
      </c>
      <c r="X857" s="15">
        <f>IF(O857='Udvaskning nøgletal'!$D$65,1,IF(O857='Udvaskning nøgletal'!$D$66,2,IF(O857='Udvaskning nøgletal'!$D$67,3,IF(O857='Udvaskning nøgletal'!$D$68,2,""))))</f>
        <v>2</v>
      </c>
      <c r="Y857" s="15">
        <f>LOOKUP(K857,'Udvaskning nøgletal'!$C$12:$C$60,'Udvaskning nøgletal'!$H$12:$H$60)</f>
        <v>5</v>
      </c>
      <c r="Z857" s="10">
        <f>IF(X857=1,LOOKUP(K857,'Udvaskning nøgletal'!$C$12:$C$60,'Udvaskning nøgletal'!$E$12:$E$60)+Markniveau!Y857*Markniveau!S857/100,IF(X857=2,LOOKUP(K857,'Udvaskning nøgletal'!$C$12:$C$60,'Udvaskning nøgletal'!$F$12:$F$60)+Markniveau!Y857*Markniveau!S857/100,IF(X857=3,LOOKUP(K857,'Udvaskning nøgletal'!$C$12:$C$60,'Udvaskning nøgletal'!G867:G915)+Markniveau!Y857*Markniveau!S857/100,"")))</f>
        <v>58.451047977362002</v>
      </c>
      <c r="AA857" s="10">
        <f t="shared" si="136"/>
        <v>88.845592925590239</v>
      </c>
      <c r="AB857" s="10" t="str">
        <f t="shared" si="135"/>
        <v/>
      </c>
      <c r="AC857" s="10" t="str">
        <f t="shared" si="137"/>
        <v/>
      </c>
      <c r="AD857" s="10">
        <f>IF(AND(Q857&gt;0,Q857&lt;30,K857&lt;8),Markniveau!Z857*'Udvaskning nøgletal'!$I$12/100,IF(AND(Q857&gt;0,Q857&lt;30,K857=216),Markniveau!Z857*'Udvaskning nøgletal'!$I$34/100,Markniveau!Z857))</f>
        <v>58.451047977362002</v>
      </c>
      <c r="AE857" s="10">
        <f t="shared" si="143"/>
        <v>88.845592925590239</v>
      </c>
      <c r="AF857" s="10" t="str">
        <f t="shared" si="138"/>
        <v/>
      </c>
      <c r="AG857" s="10" t="str">
        <f t="shared" si="144"/>
        <v/>
      </c>
      <c r="AH857" s="10" t="str">
        <f>IF(AND(Q857&gt;0,Q857&lt;30,K857=216),'Udvaskning nøgletal'!$C$42,IF(AND(Q857&gt;0,Q857&lt;30,K857&gt;7,K857&lt;17),'Udvaskning nøgletal'!$C$61,IF(AND(Q857&gt;0,Q857&lt;30,K857&lt;7),'Udvaskning nøgletal'!$C$62,"")))</f>
        <v/>
      </c>
      <c r="AI857" s="10">
        <f t="shared" si="140"/>
        <v>1</v>
      </c>
      <c r="AJ857" s="10">
        <f>IF($X857=1,LOOKUP(AI857,'Udvaskning nøgletal'!$C$12:$C$62,'Udvaskning nøgletal'!$E$12:$E$62)+Markniveau!$Y857*Markniveau!$S857/100,IF($X857=2,LOOKUP(AI857,'Udvaskning nøgletal'!$C$12:$C$62,'Udvaskning nøgletal'!$F$12:$F$62)+Markniveau!$Y857*Markniveau!$S857/100,IF($X857=3,LOOKUP(AI857,'Udvaskning nøgletal'!$C$12:$C$62,'Udvaskning nøgletal'!Q867:Q917)+Markniveau!$Y857*Markniveau!$S857/100,"")))</f>
        <v>58.451047977362002</v>
      </c>
      <c r="AK857" s="10">
        <f t="shared" si="139"/>
        <v>88.845592925590239</v>
      </c>
      <c r="AL857" s="10" t="str">
        <f t="shared" si="141"/>
        <v/>
      </c>
      <c r="AM857" s="10" t="str">
        <f t="shared" si="142"/>
        <v/>
      </c>
    </row>
    <row r="858" spans="1:39" x14ac:dyDescent="0.25">
      <c r="A858" s="15">
        <v>27798330</v>
      </c>
      <c r="B858" s="15">
        <v>41.92</v>
      </c>
      <c r="C858" s="15">
        <v>60599</v>
      </c>
      <c r="D858" s="15">
        <v>96106</v>
      </c>
      <c r="E858" s="15" t="s">
        <v>672</v>
      </c>
      <c r="F858" s="15">
        <v>2011</v>
      </c>
      <c r="G858" s="15">
        <v>20110406</v>
      </c>
      <c r="H858" s="15">
        <v>45527</v>
      </c>
      <c r="I858" s="15">
        <v>4.55</v>
      </c>
      <c r="J858" s="6" t="s">
        <v>87</v>
      </c>
      <c r="K858" s="15">
        <v>11</v>
      </c>
      <c r="L858" s="15" t="s">
        <v>102</v>
      </c>
      <c r="M858" s="15" t="s">
        <v>5</v>
      </c>
      <c r="N858" s="11" t="s">
        <v>1391</v>
      </c>
      <c r="O858" s="11" t="s">
        <v>46</v>
      </c>
      <c r="P858" s="11" t="s">
        <v>33</v>
      </c>
      <c r="Q858" s="15">
        <v>0</v>
      </c>
      <c r="R858" s="11" t="s">
        <v>1386</v>
      </c>
      <c r="S858" s="10">
        <v>151.42095954723999</v>
      </c>
      <c r="T858" s="15">
        <v>80</v>
      </c>
      <c r="U858" s="15">
        <v>0</v>
      </c>
      <c r="V858" s="15">
        <v>1</v>
      </c>
      <c r="W858" s="15">
        <v>0</v>
      </c>
      <c r="X858" s="15">
        <f>IF(O858='Udvaskning nøgletal'!$D$65,1,IF(O858='Udvaskning nøgletal'!$D$66,2,IF(O858='Udvaskning nøgletal'!$D$67,3,IF(O858='Udvaskning nøgletal'!$D$68,2,""))))</f>
        <v>2</v>
      </c>
      <c r="Y858" s="15">
        <f>LOOKUP(K858,'Udvaskning nøgletal'!$C$12:$C$60,'Udvaskning nøgletal'!$H$12:$H$60)</f>
        <v>5</v>
      </c>
      <c r="Z858" s="10">
        <f>IF(X858=1,LOOKUP(K858,'Udvaskning nøgletal'!$C$12:$C$60,'Udvaskning nøgletal'!$E$12:$E$60)+Markniveau!Y858*Markniveau!S858/100,IF(X858=2,LOOKUP(K858,'Udvaskning nøgletal'!$C$12:$C$60,'Udvaskning nøgletal'!$F$12:$F$60)+Markniveau!Y858*Markniveau!S858/100,IF(X858=3,LOOKUP(K858,'Udvaskning nøgletal'!$C$12:$C$60,'Udvaskning nøgletal'!G868:G916)+Markniveau!Y858*Markniveau!S858/100,"")))</f>
        <v>58.451047977362002</v>
      </c>
      <c r="AA858" s="10">
        <f t="shared" si="136"/>
        <v>265.95226829699709</v>
      </c>
      <c r="AB858" s="10" t="str">
        <f t="shared" si="135"/>
        <v/>
      </c>
      <c r="AC858" s="10" t="str">
        <f t="shared" si="137"/>
        <v/>
      </c>
      <c r="AD858" s="10">
        <f>IF(AND(Q858&gt;0,Q858&lt;30,K858&lt;8),Markniveau!Z858*'Udvaskning nøgletal'!$I$12/100,IF(AND(Q858&gt;0,Q858&lt;30,K858=216),Markniveau!Z858*'Udvaskning nøgletal'!$I$34/100,Markniveau!Z858))</f>
        <v>58.451047977362002</v>
      </c>
      <c r="AE858" s="10">
        <f t="shared" si="143"/>
        <v>265.95226829699709</v>
      </c>
      <c r="AF858" s="10" t="str">
        <f t="shared" si="138"/>
        <v/>
      </c>
      <c r="AG858" s="10" t="str">
        <f t="shared" si="144"/>
        <v/>
      </c>
      <c r="AH858" s="10" t="str">
        <f>IF(AND(Q858&gt;0,Q858&lt;30,K858=216),'Udvaskning nøgletal'!$C$42,IF(AND(Q858&gt;0,Q858&lt;30,K858&gt;7,K858&lt;17),'Udvaskning nøgletal'!$C$61,IF(AND(Q858&gt;0,Q858&lt;30,K858&lt;7),'Udvaskning nøgletal'!$C$62,"")))</f>
        <v/>
      </c>
      <c r="AI858" s="10">
        <f t="shared" si="140"/>
        <v>11</v>
      </c>
      <c r="AJ858" s="10">
        <f>IF($X858=1,LOOKUP(AI858,'Udvaskning nøgletal'!$C$12:$C$62,'Udvaskning nøgletal'!$E$12:$E$62)+Markniveau!$Y858*Markniveau!$S858/100,IF($X858=2,LOOKUP(AI858,'Udvaskning nøgletal'!$C$12:$C$62,'Udvaskning nøgletal'!$F$12:$F$62)+Markniveau!$Y858*Markniveau!$S858/100,IF($X858=3,LOOKUP(AI858,'Udvaskning nøgletal'!$C$12:$C$62,'Udvaskning nøgletal'!Q868:Q918)+Markniveau!$Y858*Markniveau!$S858/100,"")))</f>
        <v>58.451047977362002</v>
      </c>
      <c r="AK858" s="10">
        <f t="shared" si="139"/>
        <v>265.95226829699709</v>
      </c>
      <c r="AL858" s="10" t="str">
        <f t="shared" si="141"/>
        <v/>
      </c>
      <c r="AM858" s="10" t="str">
        <f t="shared" si="142"/>
        <v/>
      </c>
    </row>
    <row r="859" spans="1:39" x14ac:dyDescent="0.25">
      <c r="A859" s="15">
        <v>27798330</v>
      </c>
      <c r="B859" s="15">
        <v>41.92</v>
      </c>
      <c r="C859" s="15">
        <v>61111</v>
      </c>
      <c r="D859" s="15">
        <v>96106</v>
      </c>
      <c r="E859" s="15" t="s">
        <v>673</v>
      </c>
      <c r="F859" s="15">
        <v>2011</v>
      </c>
      <c r="G859" s="15">
        <v>20110406</v>
      </c>
      <c r="H859" s="15">
        <v>4803</v>
      </c>
      <c r="I859" s="15">
        <v>0.48</v>
      </c>
      <c r="J859" s="6" t="s">
        <v>1484</v>
      </c>
      <c r="K859" s="15">
        <v>260</v>
      </c>
      <c r="L859" s="15" t="s">
        <v>45</v>
      </c>
      <c r="M859" s="15" t="s">
        <v>5</v>
      </c>
      <c r="N859" s="11" t="s">
        <v>1384</v>
      </c>
      <c r="O859" s="11" t="s">
        <v>28</v>
      </c>
      <c r="P859" s="11" t="s">
        <v>33</v>
      </c>
      <c r="Q859" s="15">
        <v>0</v>
      </c>
      <c r="R859" s="11" t="s">
        <v>1386</v>
      </c>
      <c r="S859" s="10">
        <v>151.42095954723999</v>
      </c>
      <c r="T859" s="15">
        <v>80</v>
      </c>
      <c r="U859" s="15">
        <v>0</v>
      </c>
      <c r="V859" s="15">
        <v>1</v>
      </c>
      <c r="W859" s="15">
        <v>0</v>
      </c>
      <c r="X859" s="15">
        <f>IF(O859='Udvaskning nøgletal'!$D$65,1,IF(O859='Udvaskning nøgletal'!$D$66,2,IF(O859='Udvaskning nøgletal'!$D$67,3,IF(O859='Udvaskning nøgletal'!$D$68,2,""))))</f>
        <v>1</v>
      </c>
      <c r="Y859" s="15">
        <f>LOOKUP(K859,'Udvaskning nøgletal'!$C$12:$C$60,'Udvaskning nøgletal'!$H$12:$H$60)</f>
        <v>0</v>
      </c>
      <c r="Z859" s="10">
        <f>IF(X859=1,LOOKUP(K859,'Udvaskning nøgletal'!$C$12:$C$60,'Udvaskning nøgletal'!$E$12:$E$60)+Markniveau!Y859*Markniveau!S859/100,IF(X859=2,LOOKUP(K859,'Udvaskning nøgletal'!$C$12:$C$60,'Udvaskning nøgletal'!$F$12:$F$60)+Markniveau!Y859*Markniveau!S859/100,IF(X859=3,LOOKUP(K859,'Udvaskning nøgletal'!$C$12:$C$60,'Udvaskning nøgletal'!G869:G917)+Markniveau!Y859*Markniveau!S859/100,"")))</f>
        <v>33.723295792149436</v>
      </c>
      <c r="AA859" s="10">
        <f t="shared" si="136"/>
        <v>16.187181980231728</v>
      </c>
      <c r="AB859" s="10" t="str">
        <f t="shared" si="135"/>
        <v/>
      </c>
      <c r="AC859" s="10" t="str">
        <f t="shared" si="137"/>
        <v/>
      </c>
      <c r="AD859" s="10">
        <f>IF(AND(Q859&gt;0,Q859&lt;30,K859&lt;8),Markniveau!Z859*'Udvaskning nøgletal'!$I$12/100,IF(AND(Q859&gt;0,Q859&lt;30,K859=216),Markniveau!Z859*'Udvaskning nøgletal'!$I$34/100,Markniveau!Z859))</f>
        <v>33.723295792149436</v>
      </c>
      <c r="AE859" s="10">
        <f t="shared" si="143"/>
        <v>16.187181980231728</v>
      </c>
      <c r="AF859" s="10" t="str">
        <f t="shared" si="138"/>
        <v/>
      </c>
      <c r="AG859" s="10" t="str">
        <f t="shared" si="144"/>
        <v/>
      </c>
      <c r="AH859" s="10" t="str">
        <f>IF(AND(Q859&gt;0,Q859&lt;30,K859=216),'Udvaskning nøgletal'!$C$42,IF(AND(Q859&gt;0,Q859&lt;30,K859&gt;7,K859&lt;17),'Udvaskning nøgletal'!$C$61,IF(AND(Q859&gt;0,Q859&lt;30,K859&lt;7),'Udvaskning nøgletal'!$C$62,"")))</f>
        <v/>
      </c>
      <c r="AI859" s="10">
        <f t="shared" si="140"/>
        <v>260</v>
      </c>
      <c r="AJ859" s="10">
        <f>IF($X859=1,LOOKUP(AI859,'Udvaskning nøgletal'!$C$12:$C$62,'Udvaskning nøgletal'!$E$12:$E$62)+Markniveau!$Y859*Markniveau!$S859/100,IF($X859=2,LOOKUP(AI859,'Udvaskning nøgletal'!$C$12:$C$62,'Udvaskning nøgletal'!$F$12:$F$62)+Markniveau!$Y859*Markniveau!$S859/100,IF($X859=3,LOOKUP(AI859,'Udvaskning nøgletal'!$C$12:$C$62,'Udvaskning nøgletal'!Q869:Q919)+Markniveau!$Y859*Markniveau!$S859/100,"")))</f>
        <v>33.723295792149436</v>
      </c>
      <c r="AK859" s="10">
        <f t="shared" si="139"/>
        <v>16.187181980231728</v>
      </c>
      <c r="AL859" s="10" t="str">
        <f t="shared" si="141"/>
        <v/>
      </c>
      <c r="AM859" s="10" t="str">
        <f t="shared" si="142"/>
        <v/>
      </c>
    </row>
    <row r="860" spans="1:39" x14ac:dyDescent="0.25">
      <c r="A860" s="15">
        <v>27798330</v>
      </c>
      <c r="B860" s="15">
        <v>41.92</v>
      </c>
      <c r="C860" s="15">
        <v>61112</v>
      </c>
      <c r="D860" s="15">
        <v>96106</v>
      </c>
      <c r="E860" s="15" t="s">
        <v>674</v>
      </c>
      <c r="F860" s="15">
        <v>2011</v>
      </c>
      <c r="G860" s="15">
        <v>20110406</v>
      </c>
      <c r="H860" s="15">
        <v>28766</v>
      </c>
      <c r="I860" s="15">
        <v>2.88</v>
      </c>
      <c r="J860" s="6" t="s">
        <v>38</v>
      </c>
      <c r="K860" s="15">
        <v>260</v>
      </c>
      <c r="L860" s="15" t="s">
        <v>45</v>
      </c>
      <c r="M860" s="15" t="s">
        <v>5</v>
      </c>
      <c r="N860" s="11" t="s">
        <v>1384</v>
      </c>
      <c r="O860" s="11" t="s">
        <v>28</v>
      </c>
      <c r="P860" s="11" t="s">
        <v>33</v>
      </c>
      <c r="Q860" s="15">
        <v>0</v>
      </c>
      <c r="R860" s="11" t="s">
        <v>1386</v>
      </c>
      <c r="S860" s="10">
        <v>151.42095954723999</v>
      </c>
      <c r="T860" s="15">
        <v>80</v>
      </c>
      <c r="U860" s="15">
        <v>0</v>
      </c>
      <c r="V860" s="15">
        <v>1</v>
      </c>
      <c r="W860" s="15">
        <v>0</v>
      </c>
      <c r="X860" s="15">
        <f>IF(O860='Udvaskning nøgletal'!$D$65,1,IF(O860='Udvaskning nøgletal'!$D$66,2,IF(O860='Udvaskning nøgletal'!$D$67,3,IF(O860='Udvaskning nøgletal'!$D$68,2,""))))</f>
        <v>1</v>
      </c>
      <c r="Y860" s="15">
        <f>LOOKUP(K860,'Udvaskning nøgletal'!$C$12:$C$60,'Udvaskning nøgletal'!$H$12:$H$60)</f>
        <v>0</v>
      </c>
      <c r="Z860" s="10">
        <f>IF(X860=1,LOOKUP(K860,'Udvaskning nøgletal'!$C$12:$C$60,'Udvaskning nøgletal'!$E$12:$E$60)+Markniveau!Y860*Markniveau!S860/100,IF(X860=2,LOOKUP(K860,'Udvaskning nøgletal'!$C$12:$C$60,'Udvaskning nøgletal'!$F$12:$F$60)+Markniveau!Y860*Markniveau!S860/100,IF(X860=3,LOOKUP(K860,'Udvaskning nøgletal'!$C$12:$C$60,'Udvaskning nøgletal'!G870:G918)+Markniveau!Y860*Markniveau!S860/100,"")))</f>
        <v>33.723295792149436</v>
      </c>
      <c r="AA860" s="10">
        <f t="shared" si="136"/>
        <v>97.123091881390366</v>
      </c>
      <c r="AB860" s="10" t="str">
        <f t="shared" si="135"/>
        <v/>
      </c>
      <c r="AC860" s="10" t="str">
        <f t="shared" si="137"/>
        <v/>
      </c>
      <c r="AD860" s="10">
        <f>IF(AND(Q860&gt;0,Q860&lt;30,K860&lt;8),Markniveau!Z860*'Udvaskning nøgletal'!$I$12/100,IF(AND(Q860&gt;0,Q860&lt;30,K860=216),Markniveau!Z860*'Udvaskning nøgletal'!$I$34/100,Markniveau!Z860))</f>
        <v>33.723295792149436</v>
      </c>
      <c r="AE860" s="10">
        <f t="shared" si="143"/>
        <v>97.123091881390366</v>
      </c>
      <c r="AF860" s="10" t="str">
        <f t="shared" si="138"/>
        <v/>
      </c>
      <c r="AG860" s="10" t="str">
        <f t="shared" si="144"/>
        <v/>
      </c>
      <c r="AH860" s="10" t="str">
        <f>IF(AND(Q860&gt;0,Q860&lt;30,K860=216),'Udvaskning nøgletal'!$C$42,IF(AND(Q860&gt;0,Q860&lt;30,K860&gt;7,K860&lt;17),'Udvaskning nøgletal'!$C$61,IF(AND(Q860&gt;0,Q860&lt;30,K860&lt;7),'Udvaskning nøgletal'!$C$62,"")))</f>
        <v/>
      </c>
      <c r="AI860" s="10">
        <f t="shared" si="140"/>
        <v>260</v>
      </c>
      <c r="AJ860" s="10">
        <f>IF($X860=1,LOOKUP(AI860,'Udvaskning nøgletal'!$C$12:$C$62,'Udvaskning nøgletal'!$E$12:$E$62)+Markniveau!$Y860*Markniveau!$S860/100,IF($X860=2,LOOKUP(AI860,'Udvaskning nøgletal'!$C$12:$C$62,'Udvaskning nøgletal'!$F$12:$F$62)+Markniveau!$Y860*Markniveau!$S860/100,IF($X860=3,LOOKUP(AI860,'Udvaskning nøgletal'!$C$12:$C$62,'Udvaskning nøgletal'!Q870:Q920)+Markniveau!$Y860*Markniveau!$S860/100,"")))</f>
        <v>33.723295792149436</v>
      </c>
      <c r="AK860" s="10">
        <f t="shared" si="139"/>
        <v>97.123091881390366</v>
      </c>
      <c r="AL860" s="10" t="str">
        <f t="shared" si="141"/>
        <v/>
      </c>
      <c r="AM860" s="10" t="str">
        <f t="shared" si="142"/>
        <v/>
      </c>
    </row>
    <row r="861" spans="1:39" x14ac:dyDescent="0.25">
      <c r="A861" s="15">
        <v>27798330</v>
      </c>
      <c r="B861" s="15">
        <v>41.92</v>
      </c>
      <c r="C861" s="15">
        <v>61113</v>
      </c>
      <c r="D861" s="15">
        <v>96106</v>
      </c>
      <c r="E861" s="15" t="s">
        <v>675</v>
      </c>
      <c r="F861" s="15">
        <v>2011</v>
      </c>
      <c r="G861" s="15">
        <v>20110406</v>
      </c>
      <c r="H861" s="15">
        <v>131353</v>
      </c>
      <c r="I861" s="15">
        <v>13.14</v>
      </c>
      <c r="J861" s="6" t="s">
        <v>1389</v>
      </c>
      <c r="K861" s="15">
        <v>260</v>
      </c>
      <c r="L861" s="15" t="s">
        <v>45</v>
      </c>
      <c r="M861" s="15" t="s">
        <v>5</v>
      </c>
      <c r="N861" s="11" t="s">
        <v>1384</v>
      </c>
      <c r="O861" s="11" t="s">
        <v>28</v>
      </c>
      <c r="P861" s="11" t="s">
        <v>33</v>
      </c>
      <c r="Q861" s="15">
        <v>0</v>
      </c>
      <c r="R861" s="11" t="s">
        <v>1386</v>
      </c>
      <c r="S861" s="10">
        <v>151.42095954723999</v>
      </c>
      <c r="T861" s="15">
        <v>80</v>
      </c>
      <c r="U861" s="15">
        <v>0</v>
      </c>
      <c r="V861" s="15">
        <v>1</v>
      </c>
      <c r="W861" s="15">
        <v>0</v>
      </c>
      <c r="X861" s="15">
        <f>IF(O861='Udvaskning nøgletal'!$D$65,1,IF(O861='Udvaskning nøgletal'!$D$66,2,IF(O861='Udvaskning nøgletal'!$D$67,3,IF(O861='Udvaskning nøgletal'!$D$68,2,""))))</f>
        <v>1</v>
      </c>
      <c r="Y861" s="15">
        <f>LOOKUP(K861,'Udvaskning nøgletal'!$C$12:$C$60,'Udvaskning nøgletal'!$H$12:$H$60)</f>
        <v>0</v>
      </c>
      <c r="Z861" s="10">
        <f>IF(X861=1,LOOKUP(K861,'Udvaskning nøgletal'!$C$12:$C$60,'Udvaskning nøgletal'!$E$12:$E$60)+Markniveau!Y861*Markniveau!S861/100,IF(X861=2,LOOKUP(K861,'Udvaskning nøgletal'!$C$12:$C$60,'Udvaskning nøgletal'!$F$12:$F$60)+Markniveau!Y861*Markniveau!S861/100,IF(X861=3,LOOKUP(K861,'Udvaskning nøgletal'!$C$12:$C$60,'Udvaskning nøgletal'!G871:G919)+Markniveau!Y861*Markniveau!S861/100,"")))</f>
        <v>33.723295792149436</v>
      </c>
      <c r="AA861" s="10">
        <f t="shared" si="136"/>
        <v>443.12410670884361</v>
      </c>
      <c r="AB861" s="10" t="str">
        <f t="shared" si="135"/>
        <v/>
      </c>
      <c r="AC861" s="10" t="str">
        <f t="shared" si="137"/>
        <v/>
      </c>
      <c r="AD861" s="10">
        <f>IF(AND(Q861&gt;0,Q861&lt;30,K861&lt;8),Markniveau!Z861*'Udvaskning nøgletal'!$I$12/100,IF(AND(Q861&gt;0,Q861&lt;30,K861=216),Markniveau!Z861*'Udvaskning nøgletal'!$I$34/100,Markniveau!Z861))</f>
        <v>33.723295792149436</v>
      </c>
      <c r="AE861" s="10">
        <f t="shared" si="143"/>
        <v>443.12410670884361</v>
      </c>
      <c r="AF861" s="10" t="str">
        <f t="shared" si="138"/>
        <v/>
      </c>
      <c r="AG861" s="10" t="str">
        <f t="shared" si="144"/>
        <v/>
      </c>
      <c r="AH861" s="10" t="str">
        <f>IF(AND(Q861&gt;0,Q861&lt;30,K861=216),'Udvaskning nøgletal'!$C$42,IF(AND(Q861&gt;0,Q861&lt;30,K861&gt;7,K861&lt;17),'Udvaskning nøgletal'!$C$61,IF(AND(Q861&gt;0,Q861&lt;30,K861&lt;7),'Udvaskning nøgletal'!$C$62,"")))</f>
        <v/>
      </c>
      <c r="AI861" s="10">
        <f t="shared" si="140"/>
        <v>260</v>
      </c>
      <c r="AJ861" s="10">
        <f>IF($X861=1,LOOKUP(AI861,'Udvaskning nøgletal'!$C$12:$C$62,'Udvaskning nøgletal'!$E$12:$E$62)+Markniveau!$Y861*Markniveau!$S861/100,IF($X861=2,LOOKUP(AI861,'Udvaskning nøgletal'!$C$12:$C$62,'Udvaskning nøgletal'!$F$12:$F$62)+Markniveau!$Y861*Markniveau!$S861/100,IF($X861=3,LOOKUP(AI861,'Udvaskning nøgletal'!$C$12:$C$62,'Udvaskning nøgletal'!Q871:Q921)+Markniveau!$Y861*Markniveau!$S861/100,"")))</f>
        <v>33.723295792149436</v>
      </c>
      <c r="AK861" s="10">
        <f t="shared" si="139"/>
        <v>443.12410670884361</v>
      </c>
      <c r="AL861" s="10" t="str">
        <f t="shared" si="141"/>
        <v/>
      </c>
      <c r="AM861" s="10" t="str">
        <f t="shared" si="142"/>
        <v/>
      </c>
    </row>
    <row r="862" spans="1:39" x14ac:dyDescent="0.25">
      <c r="A862" s="15">
        <v>27798330</v>
      </c>
      <c r="B862" s="15">
        <v>41.92</v>
      </c>
      <c r="C862" s="15">
        <v>61582</v>
      </c>
      <c r="D862" s="15">
        <v>96106</v>
      </c>
      <c r="E862" s="15" t="s">
        <v>342</v>
      </c>
      <c r="F862" s="15">
        <v>2011</v>
      </c>
      <c r="G862" s="15">
        <v>20110406</v>
      </c>
      <c r="H862" s="15">
        <v>8350</v>
      </c>
      <c r="I862" s="15">
        <v>0.84</v>
      </c>
      <c r="J862" s="6" t="s">
        <v>127</v>
      </c>
      <c r="K862" s="15">
        <v>260</v>
      </c>
      <c r="L862" s="15" t="s">
        <v>45</v>
      </c>
      <c r="M862" s="15" t="s">
        <v>5</v>
      </c>
      <c r="N862" s="11" t="s">
        <v>1384</v>
      </c>
      <c r="O862" s="11" t="s">
        <v>28</v>
      </c>
      <c r="P862" s="11" t="s">
        <v>33</v>
      </c>
      <c r="Q862" s="15">
        <v>0</v>
      </c>
      <c r="R862" s="11" t="s">
        <v>1386</v>
      </c>
      <c r="S862" s="10">
        <v>151.42095954723999</v>
      </c>
      <c r="T862" s="15">
        <v>80</v>
      </c>
      <c r="U862" s="15">
        <v>0</v>
      </c>
      <c r="V862" s="15">
        <v>1</v>
      </c>
      <c r="W862" s="15">
        <v>0</v>
      </c>
      <c r="X862" s="15">
        <f>IF(O862='Udvaskning nøgletal'!$D$65,1,IF(O862='Udvaskning nøgletal'!$D$66,2,IF(O862='Udvaskning nøgletal'!$D$67,3,IF(O862='Udvaskning nøgletal'!$D$68,2,""))))</f>
        <v>1</v>
      </c>
      <c r="Y862" s="15">
        <f>LOOKUP(K862,'Udvaskning nøgletal'!$C$12:$C$60,'Udvaskning nøgletal'!$H$12:$H$60)</f>
        <v>0</v>
      </c>
      <c r="Z862" s="10">
        <f>IF(X862=1,LOOKUP(K862,'Udvaskning nøgletal'!$C$12:$C$60,'Udvaskning nøgletal'!$E$12:$E$60)+Markniveau!Y862*Markniveau!S862/100,IF(X862=2,LOOKUP(K862,'Udvaskning nøgletal'!$C$12:$C$60,'Udvaskning nøgletal'!$F$12:$F$60)+Markniveau!Y862*Markniveau!S862/100,IF(X862=3,LOOKUP(K862,'Udvaskning nøgletal'!$C$12:$C$60,'Udvaskning nøgletal'!G872:G920)+Markniveau!Y862*Markniveau!S862/100,"")))</f>
        <v>33.723295792149436</v>
      </c>
      <c r="AA862" s="10">
        <f t="shared" si="136"/>
        <v>28.327568465405527</v>
      </c>
      <c r="AB862" s="10" t="str">
        <f t="shared" si="135"/>
        <v/>
      </c>
      <c r="AC862" s="10" t="str">
        <f t="shared" si="137"/>
        <v/>
      </c>
      <c r="AD862" s="10">
        <f>IF(AND(Q862&gt;0,Q862&lt;30,K862&lt;8),Markniveau!Z862*'Udvaskning nøgletal'!$I$12/100,IF(AND(Q862&gt;0,Q862&lt;30,K862=216),Markniveau!Z862*'Udvaskning nøgletal'!$I$34/100,Markniveau!Z862))</f>
        <v>33.723295792149436</v>
      </c>
      <c r="AE862" s="10">
        <f t="shared" si="143"/>
        <v>28.327568465405527</v>
      </c>
      <c r="AF862" s="10" t="str">
        <f t="shared" si="138"/>
        <v/>
      </c>
      <c r="AG862" s="10" t="str">
        <f t="shared" si="144"/>
        <v/>
      </c>
      <c r="AH862" s="10" t="str">
        <f>IF(AND(Q862&gt;0,Q862&lt;30,K862=216),'Udvaskning nøgletal'!$C$42,IF(AND(Q862&gt;0,Q862&lt;30,K862&gt;7,K862&lt;17),'Udvaskning nøgletal'!$C$61,IF(AND(Q862&gt;0,Q862&lt;30,K862&lt;7),'Udvaskning nøgletal'!$C$62,"")))</f>
        <v/>
      </c>
      <c r="AI862" s="10">
        <f t="shared" si="140"/>
        <v>260</v>
      </c>
      <c r="AJ862" s="10">
        <f>IF($X862=1,LOOKUP(AI862,'Udvaskning nøgletal'!$C$12:$C$62,'Udvaskning nøgletal'!$E$12:$E$62)+Markniveau!$Y862*Markniveau!$S862/100,IF($X862=2,LOOKUP(AI862,'Udvaskning nøgletal'!$C$12:$C$62,'Udvaskning nøgletal'!$F$12:$F$62)+Markniveau!$Y862*Markniveau!$S862/100,IF($X862=3,LOOKUP(AI862,'Udvaskning nøgletal'!$C$12:$C$62,'Udvaskning nøgletal'!Q872:Q922)+Markniveau!$Y862*Markniveau!$S862/100,"")))</f>
        <v>33.723295792149436</v>
      </c>
      <c r="AK862" s="10">
        <f t="shared" si="139"/>
        <v>28.327568465405527</v>
      </c>
      <c r="AL862" s="10" t="str">
        <f t="shared" si="141"/>
        <v/>
      </c>
      <c r="AM862" s="10" t="str">
        <f t="shared" si="142"/>
        <v/>
      </c>
    </row>
    <row r="863" spans="1:39" x14ac:dyDescent="0.25">
      <c r="A863" s="15">
        <v>27798330</v>
      </c>
      <c r="B863" s="15">
        <v>41.92</v>
      </c>
      <c r="C863" s="15">
        <v>61583</v>
      </c>
      <c r="D863" s="15">
        <v>96106</v>
      </c>
      <c r="E863" s="15" t="s">
        <v>676</v>
      </c>
      <c r="F863" s="15">
        <v>2011</v>
      </c>
      <c r="G863" s="15">
        <v>20110406</v>
      </c>
      <c r="H863" s="15">
        <v>75634</v>
      </c>
      <c r="I863" s="15">
        <v>7.56</v>
      </c>
      <c r="J863" s="6" t="s">
        <v>91</v>
      </c>
      <c r="K863" s="15">
        <v>260</v>
      </c>
      <c r="L863" s="15" t="s">
        <v>45</v>
      </c>
      <c r="M863" s="15" t="s">
        <v>5</v>
      </c>
      <c r="N863" s="11" t="s">
        <v>1384</v>
      </c>
      <c r="O863" s="11" t="s">
        <v>28</v>
      </c>
      <c r="P863" s="11" t="s">
        <v>33</v>
      </c>
      <c r="Q863" s="15">
        <v>0</v>
      </c>
      <c r="R863" s="11" t="s">
        <v>1386</v>
      </c>
      <c r="S863" s="10">
        <v>151.42095954723999</v>
      </c>
      <c r="T863" s="15">
        <v>80</v>
      </c>
      <c r="U863" s="15">
        <v>0</v>
      </c>
      <c r="V863" s="15">
        <v>1</v>
      </c>
      <c r="W863" s="15">
        <v>0</v>
      </c>
      <c r="X863" s="15">
        <f>IF(O863='Udvaskning nøgletal'!$D$65,1,IF(O863='Udvaskning nøgletal'!$D$66,2,IF(O863='Udvaskning nøgletal'!$D$67,3,IF(O863='Udvaskning nøgletal'!$D$68,2,""))))</f>
        <v>1</v>
      </c>
      <c r="Y863" s="15">
        <f>LOOKUP(K863,'Udvaskning nøgletal'!$C$12:$C$60,'Udvaskning nøgletal'!$H$12:$H$60)</f>
        <v>0</v>
      </c>
      <c r="Z863" s="10">
        <f>IF(X863=1,LOOKUP(K863,'Udvaskning nøgletal'!$C$12:$C$60,'Udvaskning nøgletal'!$E$12:$E$60)+Markniveau!Y863*Markniveau!S863/100,IF(X863=2,LOOKUP(K863,'Udvaskning nøgletal'!$C$12:$C$60,'Udvaskning nøgletal'!$F$12:$F$60)+Markniveau!Y863*Markniveau!S863/100,IF(X863=3,LOOKUP(K863,'Udvaskning nøgletal'!$C$12:$C$60,'Udvaskning nøgletal'!G873:G921)+Markniveau!Y863*Markniveau!S863/100,"")))</f>
        <v>33.723295792149436</v>
      </c>
      <c r="AA863" s="10">
        <f t="shared" si="136"/>
        <v>254.94811618864972</v>
      </c>
      <c r="AB863" s="10" t="str">
        <f t="shared" si="135"/>
        <v/>
      </c>
      <c r="AC863" s="10" t="str">
        <f t="shared" si="137"/>
        <v/>
      </c>
      <c r="AD863" s="10">
        <f>IF(AND(Q863&gt;0,Q863&lt;30,K863&lt;8),Markniveau!Z863*'Udvaskning nøgletal'!$I$12/100,IF(AND(Q863&gt;0,Q863&lt;30,K863=216),Markniveau!Z863*'Udvaskning nøgletal'!$I$34/100,Markniveau!Z863))</f>
        <v>33.723295792149436</v>
      </c>
      <c r="AE863" s="10">
        <f t="shared" si="143"/>
        <v>254.94811618864972</v>
      </c>
      <c r="AF863" s="10" t="str">
        <f t="shared" si="138"/>
        <v/>
      </c>
      <c r="AG863" s="10" t="str">
        <f t="shared" si="144"/>
        <v/>
      </c>
      <c r="AH863" s="10" t="str">
        <f>IF(AND(Q863&gt;0,Q863&lt;30,K863=216),'Udvaskning nøgletal'!$C$42,IF(AND(Q863&gt;0,Q863&lt;30,K863&gt;7,K863&lt;17),'Udvaskning nøgletal'!$C$61,IF(AND(Q863&gt;0,Q863&lt;30,K863&lt;7),'Udvaskning nøgletal'!$C$62,"")))</f>
        <v/>
      </c>
      <c r="AI863" s="10">
        <f t="shared" si="140"/>
        <v>260</v>
      </c>
      <c r="AJ863" s="10">
        <f>IF($X863=1,LOOKUP(AI863,'Udvaskning nøgletal'!$C$12:$C$62,'Udvaskning nøgletal'!$E$12:$E$62)+Markniveau!$Y863*Markniveau!$S863/100,IF($X863=2,LOOKUP(AI863,'Udvaskning nøgletal'!$C$12:$C$62,'Udvaskning nøgletal'!$F$12:$F$62)+Markniveau!$Y863*Markniveau!$S863/100,IF($X863=3,LOOKUP(AI863,'Udvaskning nøgletal'!$C$12:$C$62,'Udvaskning nøgletal'!Q873:Q923)+Markniveau!$Y863*Markniveau!$S863/100,"")))</f>
        <v>33.723295792149436</v>
      </c>
      <c r="AK863" s="10">
        <f t="shared" si="139"/>
        <v>254.94811618864972</v>
      </c>
      <c r="AL863" s="10" t="str">
        <f t="shared" si="141"/>
        <v/>
      </c>
      <c r="AM863" s="10" t="str">
        <f t="shared" si="142"/>
        <v/>
      </c>
    </row>
    <row r="864" spans="1:39" x14ac:dyDescent="0.25">
      <c r="A864" s="15">
        <v>27798330</v>
      </c>
      <c r="B864" s="15">
        <v>41.92</v>
      </c>
      <c r="C864" s="15">
        <v>61584</v>
      </c>
      <c r="D864" s="15">
        <v>96106</v>
      </c>
      <c r="E864" s="15" t="s">
        <v>677</v>
      </c>
      <c r="F864" s="15">
        <v>2011</v>
      </c>
      <c r="G864" s="15">
        <v>20110406</v>
      </c>
      <c r="H864" s="15">
        <v>73310</v>
      </c>
      <c r="I864" s="15">
        <v>7.33</v>
      </c>
      <c r="J864" s="6" t="s">
        <v>35</v>
      </c>
      <c r="K864" s="15">
        <v>11</v>
      </c>
      <c r="L864" s="15" t="s">
        <v>102</v>
      </c>
      <c r="M864" s="15" t="s">
        <v>5</v>
      </c>
      <c r="N864" s="11" t="s">
        <v>1384</v>
      </c>
      <c r="O864" s="11" t="s">
        <v>28</v>
      </c>
      <c r="P864" s="11" t="s">
        <v>33</v>
      </c>
      <c r="Q864" s="15">
        <v>0</v>
      </c>
      <c r="R864" s="11" t="s">
        <v>1386</v>
      </c>
      <c r="S864" s="10">
        <v>151.42095954723999</v>
      </c>
      <c r="T864" s="15">
        <v>80</v>
      </c>
      <c r="U864" s="15">
        <v>0</v>
      </c>
      <c r="V864" s="15">
        <v>1</v>
      </c>
      <c r="W864" s="15">
        <v>0</v>
      </c>
      <c r="X864" s="15">
        <f>IF(O864='Udvaskning nøgletal'!$D$65,1,IF(O864='Udvaskning nøgletal'!$D$66,2,IF(O864='Udvaskning nøgletal'!$D$67,3,IF(O864='Udvaskning nøgletal'!$D$68,2,""))))</f>
        <v>1</v>
      </c>
      <c r="Y864" s="15">
        <f>LOOKUP(K864,'Udvaskning nøgletal'!$C$12:$C$60,'Udvaskning nøgletal'!$H$12:$H$60)</f>
        <v>5</v>
      </c>
      <c r="Z864" s="10">
        <f>IF(X864=1,LOOKUP(K864,'Udvaskning nøgletal'!$C$12:$C$60,'Udvaskning nøgletal'!$E$12:$E$60)+Markniveau!Y864*Markniveau!S864/100,IF(X864=2,LOOKUP(K864,'Udvaskning nøgletal'!$C$12:$C$60,'Udvaskning nøgletal'!$F$12:$F$60)+Markniveau!Y864*Markniveau!S864/100,IF(X864=3,LOOKUP(K864,'Udvaskning nøgletal'!$C$12:$C$60,'Udvaskning nøgletal'!G874:G922)+Markniveau!Y864*Markniveau!S864/100,"")))</f>
        <v>72.231047977361996</v>
      </c>
      <c r="AA864" s="10">
        <f t="shared" si="136"/>
        <v>529.45358167406346</v>
      </c>
      <c r="AB864" s="10" t="str">
        <f t="shared" si="135"/>
        <v/>
      </c>
      <c r="AC864" s="10" t="str">
        <f t="shared" si="137"/>
        <v/>
      </c>
      <c r="AD864" s="10">
        <f>IF(AND(Q864&gt;0,Q864&lt;30,K864&lt;8),Markniveau!Z864*'Udvaskning nøgletal'!$I$12/100,IF(AND(Q864&gt;0,Q864&lt;30,K864=216),Markniveau!Z864*'Udvaskning nøgletal'!$I$34/100,Markniveau!Z864))</f>
        <v>72.231047977361996</v>
      </c>
      <c r="AE864" s="10">
        <f t="shared" si="143"/>
        <v>529.45358167406346</v>
      </c>
      <c r="AF864" s="10" t="str">
        <f t="shared" si="138"/>
        <v/>
      </c>
      <c r="AG864" s="10" t="str">
        <f t="shared" si="144"/>
        <v/>
      </c>
      <c r="AH864" s="10" t="str">
        <f>IF(AND(Q864&gt;0,Q864&lt;30,K864=216),'Udvaskning nøgletal'!$C$42,IF(AND(Q864&gt;0,Q864&lt;30,K864&gt;7,K864&lt;17),'Udvaskning nøgletal'!$C$61,IF(AND(Q864&gt;0,Q864&lt;30,K864&lt;7),'Udvaskning nøgletal'!$C$62,"")))</f>
        <v/>
      </c>
      <c r="AI864" s="10">
        <f t="shared" si="140"/>
        <v>11</v>
      </c>
      <c r="AJ864" s="10">
        <f>IF($X864=1,LOOKUP(AI864,'Udvaskning nøgletal'!$C$12:$C$62,'Udvaskning nøgletal'!$E$12:$E$62)+Markniveau!$Y864*Markniveau!$S864/100,IF($X864=2,LOOKUP(AI864,'Udvaskning nøgletal'!$C$12:$C$62,'Udvaskning nøgletal'!$F$12:$F$62)+Markniveau!$Y864*Markniveau!$S864/100,IF($X864=3,LOOKUP(AI864,'Udvaskning nøgletal'!$C$12:$C$62,'Udvaskning nøgletal'!Q874:Q924)+Markniveau!$Y864*Markniveau!$S864/100,"")))</f>
        <v>72.231047977361996</v>
      </c>
      <c r="AK864" s="10">
        <f t="shared" si="139"/>
        <v>529.45358167406346</v>
      </c>
      <c r="AL864" s="10" t="str">
        <f t="shared" si="141"/>
        <v/>
      </c>
      <c r="AM864" s="10" t="str">
        <f t="shared" si="142"/>
        <v/>
      </c>
    </row>
    <row r="865" spans="1:39" x14ac:dyDescent="0.25">
      <c r="A865" s="15">
        <v>27798330</v>
      </c>
      <c r="B865" s="15">
        <v>41.92</v>
      </c>
      <c r="C865" s="15">
        <v>61585</v>
      </c>
      <c r="D865" s="15">
        <v>96106</v>
      </c>
      <c r="E865" s="15" t="s">
        <v>677</v>
      </c>
      <c r="F865" s="15">
        <v>2011</v>
      </c>
      <c r="G865" s="15">
        <v>20110406</v>
      </c>
      <c r="H865" s="15">
        <v>11938</v>
      </c>
      <c r="I865" s="15">
        <v>1.19</v>
      </c>
      <c r="J865" s="6" t="s">
        <v>1461</v>
      </c>
      <c r="K865" s="15">
        <v>260</v>
      </c>
      <c r="L865" s="15" t="s">
        <v>45</v>
      </c>
      <c r="M865" s="15" t="s">
        <v>5</v>
      </c>
      <c r="N865" s="11" t="s">
        <v>1384</v>
      </c>
      <c r="O865" s="11" t="s">
        <v>28</v>
      </c>
      <c r="P865" s="11" t="s">
        <v>33</v>
      </c>
      <c r="Q865" s="15">
        <v>0</v>
      </c>
      <c r="R865" s="11" t="s">
        <v>1386</v>
      </c>
      <c r="S865" s="10">
        <v>151.42095954723999</v>
      </c>
      <c r="T865" s="15">
        <v>80</v>
      </c>
      <c r="U865" s="15">
        <v>0</v>
      </c>
      <c r="V865" s="15">
        <v>1</v>
      </c>
      <c r="W865" s="15">
        <v>0</v>
      </c>
      <c r="X865" s="15">
        <f>IF(O865='Udvaskning nøgletal'!$D$65,1,IF(O865='Udvaskning nøgletal'!$D$66,2,IF(O865='Udvaskning nøgletal'!$D$67,3,IF(O865='Udvaskning nøgletal'!$D$68,2,""))))</f>
        <v>1</v>
      </c>
      <c r="Y865" s="15">
        <f>LOOKUP(K865,'Udvaskning nøgletal'!$C$12:$C$60,'Udvaskning nøgletal'!$H$12:$H$60)</f>
        <v>0</v>
      </c>
      <c r="Z865" s="10">
        <f>IF(X865=1,LOOKUP(K865,'Udvaskning nøgletal'!$C$12:$C$60,'Udvaskning nøgletal'!$E$12:$E$60)+Markniveau!Y865*Markniveau!S865/100,IF(X865=2,LOOKUP(K865,'Udvaskning nøgletal'!$C$12:$C$60,'Udvaskning nøgletal'!$F$12:$F$60)+Markniveau!Y865*Markniveau!S865/100,IF(X865=3,LOOKUP(K865,'Udvaskning nøgletal'!$C$12:$C$60,'Udvaskning nøgletal'!G875:G923)+Markniveau!Y865*Markniveau!S865/100,"")))</f>
        <v>33.723295792149436</v>
      </c>
      <c r="AA865" s="10">
        <f t="shared" si="136"/>
        <v>40.130721992657826</v>
      </c>
      <c r="AB865" s="10" t="str">
        <f t="shared" si="135"/>
        <v/>
      </c>
      <c r="AC865" s="10" t="str">
        <f t="shared" si="137"/>
        <v/>
      </c>
      <c r="AD865" s="10">
        <f>IF(AND(Q865&gt;0,Q865&lt;30,K865&lt;8),Markniveau!Z865*'Udvaskning nøgletal'!$I$12/100,IF(AND(Q865&gt;0,Q865&lt;30,K865=216),Markniveau!Z865*'Udvaskning nøgletal'!$I$34/100,Markniveau!Z865))</f>
        <v>33.723295792149436</v>
      </c>
      <c r="AE865" s="10">
        <f t="shared" si="143"/>
        <v>40.130721992657826</v>
      </c>
      <c r="AF865" s="10" t="str">
        <f t="shared" si="138"/>
        <v/>
      </c>
      <c r="AG865" s="10" t="str">
        <f t="shared" si="144"/>
        <v/>
      </c>
      <c r="AH865" s="10" t="str">
        <f>IF(AND(Q865&gt;0,Q865&lt;30,K865=216),'Udvaskning nøgletal'!$C$42,IF(AND(Q865&gt;0,Q865&lt;30,K865&gt;7,K865&lt;17),'Udvaskning nøgletal'!$C$61,IF(AND(Q865&gt;0,Q865&lt;30,K865&lt;7),'Udvaskning nøgletal'!$C$62,"")))</f>
        <v/>
      </c>
      <c r="AI865" s="10">
        <f t="shared" si="140"/>
        <v>260</v>
      </c>
      <c r="AJ865" s="10">
        <f>IF($X865=1,LOOKUP(AI865,'Udvaskning nøgletal'!$C$12:$C$62,'Udvaskning nøgletal'!$E$12:$E$62)+Markniveau!$Y865*Markniveau!$S865/100,IF($X865=2,LOOKUP(AI865,'Udvaskning nøgletal'!$C$12:$C$62,'Udvaskning nøgletal'!$F$12:$F$62)+Markniveau!$Y865*Markniveau!$S865/100,IF($X865=3,LOOKUP(AI865,'Udvaskning nøgletal'!$C$12:$C$62,'Udvaskning nøgletal'!Q875:Q925)+Markniveau!$Y865*Markniveau!$S865/100,"")))</f>
        <v>33.723295792149436</v>
      </c>
      <c r="AK865" s="10">
        <f t="shared" si="139"/>
        <v>40.130721992657826</v>
      </c>
      <c r="AL865" s="10" t="str">
        <f t="shared" si="141"/>
        <v/>
      </c>
      <c r="AM865" s="10" t="str">
        <f t="shared" si="142"/>
        <v/>
      </c>
    </row>
    <row r="866" spans="1:39" x14ac:dyDescent="0.25">
      <c r="A866" s="15">
        <v>27798330</v>
      </c>
      <c r="B866" s="15">
        <v>41.92</v>
      </c>
      <c r="C866" s="15">
        <v>62107</v>
      </c>
      <c r="D866" s="15">
        <v>96106</v>
      </c>
      <c r="E866" s="15" t="s">
        <v>678</v>
      </c>
      <c r="F866" s="15">
        <v>2011</v>
      </c>
      <c r="G866" s="15">
        <v>20110406</v>
      </c>
      <c r="H866" s="15">
        <v>201814</v>
      </c>
      <c r="I866" s="15">
        <v>20.18</v>
      </c>
      <c r="J866" s="6" t="s">
        <v>79</v>
      </c>
      <c r="K866" s="15">
        <v>11</v>
      </c>
      <c r="L866" s="15" t="s">
        <v>102</v>
      </c>
      <c r="M866" s="15" t="s">
        <v>5</v>
      </c>
      <c r="N866" s="11" t="s">
        <v>1384</v>
      </c>
      <c r="O866" s="11" t="s">
        <v>28</v>
      </c>
      <c r="P866" s="11" t="s">
        <v>33</v>
      </c>
      <c r="Q866" s="15">
        <v>0</v>
      </c>
      <c r="R866" s="11" t="s">
        <v>1386</v>
      </c>
      <c r="S866" s="10">
        <v>151.42095954723999</v>
      </c>
      <c r="T866" s="15">
        <v>80</v>
      </c>
      <c r="U866" s="15">
        <v>0</v>
      </c>
      <c r="V866" s="15">
        <v>1</v>
      </c>
      <c r="W866" s="15">
        <v>0</v>
      </c>
      <c r="X866" s="15">
        <f>IF(O866='Udvaskning nøgletal'!$D$65,1,IF(O866='Udvaskning nøgletal'!$D$66,2,IF(O866='Udvaskning nøgletal'!$D$67,3,IF(O866='Udvaskning nøgletal'!$D$68,2,""))))</f>
        <v>1</v>
      </c>
      <c r="Y866" s="15">
        <f>LOOKUP(K866,'Udvaskning nøgletal'!$C$12:$C$60,'Udvaskning nøgletal'!$H$12:$H$60)</f>
        <v>5</v>
      </c>
      <c r="Z866" s="10">
        <f>IF(X866=1,LOOKUP(K866,'Udvaskning nøgletal'!$C$12:$C$60,'Udvaskning nøgletal'!$E$12:$E$60)+Markniveau!Y866*Markniveau!S866/100,IF(X866=2,LOOKUP(K866,'Udvaskning nøgletal'!$C$12:$C$60,'Udvaskning nøgletal'!$F$12:$F$60)+Markniveau!Y866*Markniveau!S866/100,IF(X866=3,LOOKUP(K866,'Udvaskning nøgletal'!$C$12:$C$60,'Udvaskning nøgletal'!G876:G924)+Markniveau!Y866*Markniveau!S866/100,"")))</f>
        <v>72.231047977361996</v>
      </c>
      <c r="AA866" s="10">
        <f t="shared" si="136"/>
        <v>1457.622548183165</v>
      </c>
      <c r="AB866" s="10" t="str">
        <f t="shared" si="135"/>
        <v/>
      </c>
      <c r="AC866" s="10" t="str">
        <f t="shared" si="137"/>
        <v/>
      </c>
      <c r="AD866" s="10">
        <f>IF(AND(Q866&gt;0,Q866&lt;30,K866&lt;8),Markniveau!Z866*'Udvaskning nøgletal'!$I$12/100,IF(AND(Q866&gt;0,Q866&lt;30,K866=216),Markniveau!Z866*'Udvaskning nøgletal'!$I$34/100,Markniveau!Z866))</f>
        <v>72.231047977361996</v>
      </c>
      <c r="AE866" s="10">
        <f t="shared" si="143"/>
        <v>1457.622548183165</v>
      </c>
      <c r="AF866" s="10" t="str">
        <f t="shared" si="138"/>
        <v/>
      </c>
      <c r="AG866" s="10" t="str">
        <f t="shared" si="144"/>
        <v/>
      </c>
      <c r="AH866" s="10" t="str">
        <f>IF(AND(Q866&gt;0,Q866&lt;30,K866=216),'Udvaskning nøgletal'!$C$42,IF(AND(Q866&gt;0,Q866&lt;30,K866&gt;7,K866&lt;17),'Udvaskning nøgletal'!$C$61,IF(AND(Q866&gt;0,Q866&lt;30,K866&lt;7),'Udvaskning nøgletal'!$C$62,"")))</f>
        <v/>
      </c>
      <c r="AI866" s="10">
        <f t="shared" si="140"/>
        <v>11</v>
      </c>
      <c r="AJ866" s="10">
        <f>IF($X866=1,LOOKUP(AI866,'Udvaskning nøgletal'!$C$12:$C$62,'Udvaskning nøgletal'!$E$12:$E$62)+Markniveau!$Y866*Markniveau!$S866/100,IF($X866=2,LOOKUP(AI866,'Udvaskning nøgletal'!$C$12:$C$62,'Udvaskning nøgletal'!$F$12:$F$62)+Markniveau!$Y866*Markniveau!$S866/100,IF($X866=3,LOOKUP(AI866,'Udvaskning nøgletal'!$C$12:$C$62,'Udvaskning nøgletal'!Q876:Q926)+Markniveau!$Y866*Markniveau!$S866/100,"")))</f>
        <v>72.231047977361996</v>
      </c>
      <c r="AK866" s="10">
        <f t="shared" si="139"/>
        <v>1457.622548183165</v>
      </c>
      <c r="AL866" s="10" t="str">
        <f t="shared" si="141"/>
        <v/>
      </c>
      <c r="AM866" s="10" t="str">
        <f t="shared" si="142"/>
        <v/>
      </c>
    </row>
    <row r="867" spans="1:39" x14ac:dyDescent="0.25">
      <c r="A867" s="15">
        <v>27798330</v>
      </c>
      <c r="B867" s="15">
        <v>41.92</v>
      </c>
      <c r="C867" s="15">
        <v>62108</v>
      </c>
      <c r="D867" s="15">
        <v>96106</v>
      </c>
      <c r="E867" s="15" t="s">
        <v>679</v>
      </c>
      <c r="F867" s="15">
        <v>2011</v>
      </c>
      <c r="G867" s="15">
        <v>20110406</v>
      </c>
      <c r="H867" s="15">
        <v>103594</v>
      </c>
      <c r="I867" s="15">
        <v>10.36</v>
      </c>
      <c r="J867" s="6" t="s">
        <v>34</v>
      </c>
      <c r="K867" s="15">
        <v>260</v>
      </c>
      <c r="L867" s="15" t="s">
        <v>45</v>
      </c>
      <c r="M867" s="15" t="s">
        <v>5</v>
      </c>
      <c r="N867" s="11" t="s">
        <v>1384</v>
      </c>
      <c r="O867" s="11" t="s">
        <v>28</v>
      </c>
      <c r="P867" s="11" t="s">
        <v>33</v>
      </c>
      <c r="Q867" s="15">
        <v>0</v>
      </c>
      <c r="R867" s="11" t="s">
        <v>1386</v>
      </c>
      <c r="S867" s="10">
        <v>151.42095954723999</v>
      </c>
      <c r="T867" s="15">
        <v>80</v>
      </c>
      <c r="U867" s="15">
        <v>0</v>
      </c>
      <c r="V867" s="15">
        <v>1</v>
      </c>
      <c r="W867" s="15">
        <v>0</v>
      </c>
      <c r="X867" s="15">
        <f>IF(O867='Udvaskning nøgletal'!$D$65,1,IF(O867='Udvaskning nøgletal'!$D$66,2,IF(O867='Udvaskning nøgletal'!$D$67,3,IF(O867='Udvaskning nøgletal'!$D$68,2,""))))</f>
        <v>1</v>
      </c>
      <c r="Y867" s="15">
        <f>LOOKUP(K867,'Udvaskning nøgletal'!$C$12:$C$60,'Udvaskning nøgletal'!$H$12:$H$60)</f>
        <v>0</v>
      </c>
      <c r="Z867" s="10">
        <f>IF(X867=1,LOOKUP(K867,'Udvaskning nøgletal'!$C$12:$C$60,'Udvaskning nøgletal'!$E$12:$E$60)+Markniveau!Y867*Markniveau!S867/100,IF(X867=2,LOOKUP(K867,'Udvaskning nøgletal'!$C$12:$C$60,'Udvaskning nøgletal'!$F$12:$F$60)+Markniveau!Y867*Markniveau!S867/100,IF(X867=3,LOOKUP(K867,'Udvaskning nøgletal'!$C$12:$C$60,'Udvaskning nøgletal'!G877:G925)+Markniveau!Y867*Markniveau!S867/100,"")))</f>
        <v>33.723295792149436</v>
      </c>
      <c r="AA867" s="10">
        <f t="shared" si="136"/>
        <v>349.37334440666814</v>
      </c>
      <c r="AB867" s="10" t="str">
        <f t="shared" si="135"/>
        <v/>
      </c>
      <c r="AC867" s="10" t="str">
        <f t="shared" si="137"/>
        <v/>
      </c>
      <c r="AD867" s="10">
        <f>IF(AND(Q867&gt;0,Q867&lt;30,K867&lt;8),Markniveau!Z867*'Udvaskning nøgletal'!$I$12/100,IF(AND(Q867&gt;0,Q867&lt;30,K867=216),Markniveau!Z867*'Udvaskning nøgletal'!$I$34/100,Markniveau!Z867))</f>
        <v>33.723295792149436</v>
      </c>
      <c r="AE867" s="10">
        <f t="shared" si="143"/>
        <v>349.37334440666814</v>
      </c>
      <c r="AF867" s="10" t="str">
        <f t="shared" si="138"/>
        <v/>
      </c>
      <c r="AG867" s="10" t="str">
        <f t="shared" si="144"/>
        <v/>
      </c>
      <c r="AH867" s="10" t="str">
        <f>IF(AND(Q867&gt;0,Q867&lt;30,K867=216),'Udvaskning nøgletal'!$C$42,IF(AND(Q867&gt;0,Q867&lt;30,K867&gt;7,K867&lt;17),'Udvaskning nøgletal'!$C$61,IF(AND(Q867&gt;0,Q867&lt;30,K867&lt;7),'Udvaskning nøgletal'!$C$62,"")))</f>
        <v/>
      </c>
      <c r="AI867" s="10">
        <f t="shared" si="140"/>
        <v>260</v>
      </c>
      <c r="AJ867" s="10">
        <f>IF($X867=1,LOOKUP(AI867,'Udvaskning nøgletal'!$C$12:$C$62,'Udvaskning nøgletal'!$E$12:$E$62)+Markniveau!$Y867*Markniveau!$S867/100,IF($X867=2,LOOKUP(AI867,'Udvaskning nøgletal'!$C$12:$C$62,'Udvaskning nøgletal'!$F$12:$F$62)+Markniveau!$Y867*Markniveau!$S867/100,IF($X867=3,LOOKUP(AI867,'Udvaskning nøgletal'!$C$12:$C$62,'Udvaskning nøgletal'!Q877:Q927)+Markniveau!$Y867*Markniveau!$S867/100,"")))</f>
        <v>33.723295792149436</v>
      </c>
      <c r="AK867" s="10">
        <f t="shared" si="139"/>
        <v>349.37334440666814</v>
      </c>
      <c r="AL867" s="10" t="str">
        <f t="shared" si="141"/>
        <v/>
      </c>
      <c r="AM867" s="10" t="str">
        <f t="shared" si="142"/>
        <v/>
      </c>
    </row>
    <row r="868" spans="1:39" x14ac:dyDescent="0.25">
      <c r="A868" s="15">
        <v>27798330</v>
      </c>
      <c r="B868" s="15">
        <v>41.92</v>
      </c>
      <c r="C868" s="15">
        <v>62109</v>
      </c>
      <c r="D868" s="15">
        <v>96106</v>
      </c>
      <c r="E868" s="15" t="s">
        <v>680</v>
      </c>
      <c r="F868" s="15">
        <v>2011</v>
      </c>
      <c r="G868" s="15">
        <v>20110406</v>
      </c>
      <c r="H868" s="15">
        <v>145559</v>
      </c>
      <c r="I868" s="15">
        <v>14.56</v>
      </c>
      <c r="J868" s="6" t="s">
        <v>61</v>
      </c>
      <c r="K868" s="15">
        <v>11</v>
      </c>
      <c r="L868" s="15" t="s">
        <v>102</v>
      </c>
      <c r="M868" s="15" t="s">
        <v>5</v>
      </c>
      <c r="N868" s="11" t="s">
        <v>1384</v>
      </c>
      <c r="O868" s="11" t="s">
        <v>28</v>
      </c>
      <c r="P868" s="11" t="s">
        <v>33</v>
      </c>
      <c r="Q868" s="15">
        <v>0</v>
      </c>
      <c r="R868" s="11" t="s">
        <v>1386</v>
      </c>
      <c r="S868" s="10">
        <v>151.42095954723999</v>
      </c>
      <c r="T868" s="15">
        <v>80</v>
      </c>
      <c r="U868" s="15">
        <v>0</v>
      </c>
      <c r="V868" s="15">
        <v>1</v>
      </c>
      <c r="W868" s="15">
        <v>0</v>
      </c>
      <c r="X868" s="15">
        <f>IF(O868='Udvaskning nøgletal'!$D$65,1,IF(O868='Udvaskning nøgletal'!$D$66,2,IF(O868='Udvaskning nøgletal'!$D$67,3,IF(O868='Udvaskning nøgletal'!$D$68,2,""))))</f>
        <v>1</v>
      </c>
      <c r="Y868" s="15">
        <f>LOOKUP(K868,'Udvaskning nøgletal'!$C$12:$C$60,'Udvaskning nøgletal'!$H$12:$H$60)</f>
        <v>5</v>
      </c>
      <c r="Z868" s="10">
        <f>IF(X868=1,LOOKUP(K868,'Udvaskning nøgletal'!$C$12:$C$60,'Udvaskning nøgletal'!$E$12:$E$60)+Markniveau!Y868*Markniveau!S868/100,IF(X868=2,LOOKUP(K868,'Udvaskning nøgletal'!$C$12:$C$60,'Udvaskning nøgletal'!$F$12:$F$60)+Markniveau!Y868*Markniveau!S868/100,IF(X868=3,LOOKUP(K868,'Udvaskning nøgletal'!$C$12:$C$60,'Udvaskning nøgletal'!G878:G926)+Markniveau!Y868*Markniveau!S868/100,"")))</f>
        <v>72.231047977361996</v>
      </c>
      <c r="AA868" s="10">
        <f t="shared" si="136"/>
        <v>1051.6840585503908</v>
      </c>
      <c r="AB868" s="10" t="str">
        <f t="shared" si="135"/>
        <v/>
      </c>
      <c r="AC868" s="10" t="str">
        <f t="shared" si="137"/>
        <v/>
      </c>
      <c r="AD868" s="10">
        <f>IF(AND(Q868&gt;0,Q868&lt;30,K868&lt;8),Markniveau!Z868*'Udvaskning nøgletal'!$I$12/100,IF(AND(Q868&gt;0,Q868&lt;30,K868=216),Markniveau!Z868*'Udvaskning nøgletal'!$I$34/100,Markniveau!Z868))</f>
        <v>72.231047977361996</v>
      </c>
      <c r="AE868" s="10">
        <f t="shared" si="143"/>
        <v>1051.6840585503908</v>
      </c>
      <c r="AF868" s="10" t="str">
        <f t="shared" si="138"/>
        <v/>
      </c>
      <c r="AG868" s="10" t="str">
        <f t="shared" si="144"/>
        <v/>
      </c>
      <c r="AH868" s="10" t="str">
        <f>IF(AND(Q868&gt;0,Q868&lt;30,K868=216),'Udvaskning nøgletal'!$C$42,IF(AND(Q868&gt;0,Q868&lt;30,K868&gt;7,K868&lt;17),'Udvaskning nøgletal'!$C$61,IF(AND(Q868&gt;0,Q868&lt;30,K868&lt;7),'Udvaskning nøgletal'!$C$62,"")))</f>
        <v/>
      </c>
      <c r="AI868" s="10">
        <f t="shared" si="140"/>
        <v>11</v>
      </c>
      <c r="AJ868" s="10">
        <f>IF($X868=1,LOOKUP(AI868,'Udvaskning nøgletal'!$C$12:$C$62,'Udvaskning nøgletal'!$E$12:$E$62)+Markniveau!$Y868*Markniveau!$S868/100,IF($X868=2,LOOKUP(AI868,'Udvaskning nøgletal'!$C$12:$C$62,'Udvaskning nøgletal'!$F$12:$F$62)+Markniveau!$Y868*Markniveau!$S868/100,IF($X868=3,LOOKUP(AI868,'Udvaskning nøgletal'!$C$12:$C$62,'Udvaskning nøgletal'!Q878:Q928)+Markniveau!$Y868*Markniveau!$S868/100,"")))</f>
        <v>72.231047977361996</v>
      </c>
      <c r="AK868" s="10">
        <f t="shared" si="139"/>
        <v>1051.6840585503908</v>
      </c>
      <c r="AL868" s="10" t="str">
        <f t="shared" si="141"/>
        <v/>
      </c>
      <c r="AM868" s="10" t="str">
        <f t="shared" si="142"/>
        <v/>
      </c>
    </row>
    <row r="869" spans="1:39" x14ac:dyDescent="0.25">
      <c r="A869" s="15">
        <v>27798330</v>
      </c>
      <c r="B869" s="15">
        <v>41.92</v>
      </c>
      <c r="C869" s="15">
        <v>62110</v>
      </c>
      <c r="D869" s="15">
        <v>96106</v>
      </c>
      <c r="E869" s="15" t="s">
        <v>635</v>
      </c>
      <c r="F869" s="15">
        <v>2011</v>
      </c>
      <c r="G869" s="15">
        <v>20110406</v>
      </c>
      <c r="H869" s="15">
        <v>59274</v>
      </c>
      <c r="I869" s="15">
        <v>5.93</v>
      </c>
      <c r="J869" s="6" t="s">
        <v>31</v>
      </c>
      <c r="K869" s="15">
        <v>11</v>
      </c>
      <c r="L869" s="15" t="s">
        <v>102</v>
      </c>
      <c r="M869" s="15" t="s">
        <v>5</v>
      </c>
      <c r="N869" s="11" t="s">
        <v>1384</v>
      </c>
      <c r="O869" s="11" t="s">
        <v>28</v>
      </c>
      <c r="P869" s="11" t="s">
        <v>33</v>
      </c>
      <c r="Q869" s="15">
        <v>0</v>
      </c>
      <c r="R869" s="11" t="s">
        <v>1386</v>
      </c>
      <c r="S869" s="10">
        <v>151.42095954723999</v>
      </c>
      <c r="T869" s="15">
        <v>80</v>
      </c>
      <c r="U869" s="15">
        <v>0</v>
      </c>
      <c r="V869" s="15">
        <v>1</v>
      </c>
      <c r="W869" s="15">
        <v>0</v>
      </c>
      <c r="X869" s="15">
        <f>IF(O869='Udvaskning nøgletal'!$D$65,1,IF(O869='Udvaskning nøgletal'!$D$66,2,IF(O869='Udvaskning nøgletal'!$D$67,3,IF(O869='Udvaskning nøgletal'!$D$68,2,""))))</f>
        <v>1</v>
      </c>
      <c r="Y869" s="15">
        <f>LOOKUP(K869,'Udvaskning nøgletal'!$C$12:$C$60,'Udvaskning nøgletal'!$H$12:$H$60)</f>
        <v>5</v>
      </c>
      <c r="Z869" s="10">
        <f>IF(X869=1,LOOKUP(K869,'Udvaskning nøgletal'!$C$12:$C$60,'Udvaskning nøgletal'!$E$12:$E$60)+Markniveau!Y869*Markniveau!S869/100,IF(X869=2,LOOKUP(K869,'Udvaskning nøgletal'!$C$12:$C$60,'Udvaskning nøgletal'!$F$12:$F$60)+Markniveau!Y869*Markniveau!S869/100,IF(X869=3,LOOKUP(K869,'Udvaskning nøgletal'!$C$12:$C$60,'Udvaskning nøgletal'!G879:G927)+Markniveau!Y869*Markniveau!S869/100,"")))</f>
        <v>72.231047977361996</v>
      </c>
      <c r="AA869" s="10">
        <f t="shared" si="136"/>
        <v>428.33011450575663</v>
      </c>
      <c r="AB869" s="10" t="str">
        <f t="shared" si="135"/>
        <v/>
      </c>
      <c r="AC869" s="10" t="str">
        <f t="shared" si="137"/>
        <v/>
      </c>
      <c r="AD869" s="10">
        <f>IF(AND(Q869&gt;0,Q869&lt;30,K869&lt;8),Markniveau!Z869*'Udvaskning nøgletal'!$I$12/100,IF(AND(Q869&gt;0,Q869&lt;30,K869=216),Markniveau!Z869*'Udvaskning nøgletal'!$I$34/100,Markniveau!Z869))</f>
        <v>72.231047977361996</v>
      </c>
      <c r="AE869" s="10">
        <f t="shared" si="143"/>
        <v>428.33011450575663</v>
      </c>
      <c r="AF869" s="10" t="str">
        <f t="shared" si="138"/>
        <v/>
      </c>
      <c r="AG869" s="10" t="str">
        <f t="shared" si="144"/>
        <v/>
      </c>
      <c r="AH869" s="10" t="str">
        <f>IF(AND(Q869&gt;0,Q869&lt;30,K869=216),'Udvaskning nøgletal'!$C$42,IF(AND(Q869&gt;0,Q869&lt;30,K869&gt;7,K869&lt;17),'Udvaskning nøgletal'!$C$61,IF(AND(Q869&gt;0,Q869&lt;30,K869&lt;7),'Udvaskning nøgletal'!$C$62,"")))</f>
        <v/>
      </c>
      <c r="AI869" s="10">
        <f t="shared" si="140"/>
        <v>11</v>
      </c>
      <c r="AJ869" s="10">
        <f>IF($X869=1,LOOKUP(AI869,'Udvaskning nøgletal'!$C$12:$C$62,'Udvaskning nøgletal'!$E$12:$E$62)+Markniveau!$Y869*Markniveau!$S869/100,IF($X869=2,LOOKUP(AI869,'Udvaskning nøgletal'!$C$12:$C$62,'Udvaskning nøgletal'!$F$12:$F$62)+Markniveau!$Y869*Markniveau!$S869/100,IF($X869=3,LOOKUP(AI869,'Udvaskning nøgletal'!$C$12:$C$62,'Udvaskning nøgletal'!Q879:Q929)+Markniveau!$Y869*Markniveau!$S869/100,"")))</f>
        <v>72.231047977361996</v>
      </c>
      <c r="AK869" s="10">
        <f t="shared" si="139"/>
        <v>428.33011450575663</v>
      </c>
      <c r="AL869" s="10" t="str">
        <f t="shared" si="141"/>
        <v/>
      </c>
      <c r="AM869" s="10" t="str">
        <f t="shared" si="142"/>
        <v/>
      </c>
    </row>
    <row r="870" spans="1:39" x14ac:dyDescent="0.25">
      <c r="A870" s="15">
        <v>27798330</v>
      </c>
      <c r="B870" s="15">
        <v>41.92</v>
      </c>
      <c r="C870" s="15">
        <v>62111</v>
      </c>
      <c r="D870" s="15">
        <v>96106</v>
      </c>
      <c r="E870" s="15" t="s">
        <v>681</v>
      </c>
      <c r="F870" s="15">
        <v>2011</v>
      </c>
      <c r="G870" s="15">
        <v>20110406</v>
      </c>
      <c r="H870" s="15">
        <v>34942</v>
      </c>
      <c r="I870" s="15">
        <v>3.49</v>
      </c>
      <c r="J870" s="6" t="s">
        <v>69</v>
      </c>
      <c r="K870" s="15">
        <v>11</v>
      </c>
      <c r="L870" s="15" t="s">
        <v>102</v>
      </c>
      <c r="M870" s="15" t="s">
        <v>5</v>
      </c>
      <c r="N870" s="11" t="s">
        <v>1384</v>
      </c>
      <c r="O870" s="11" t="s">
        <v>28</v>
      </c>
      <c r="P870" s="11" t="s">
        <v>33</v>
      </c>
      <c r="Q870" s="15">
        <v>0</v>
      </c>
      <c r="R870" s="11" t="s">
        <v>1386</v>
      </c>
      <c r="S870" s="10">
        <v>151.42095954723999</v>
      </c>
      <c r="T870" s="15">
        <v>80</v>
      </c>
      <c r="U870" s="15">
        <v>0</v>
      </c>
      <c r="V870" s="15">
        <v>1</v>
      </c>
      <c r="W870" s="15">
        <v>0</v>
      </c>
      <c r="X870" s="15">
        <f>IF(O870='Udvaskning nøgletal'!$D$65,1,IF(O870='Udvaskning nøgletal'!$D$66,2,IF(O870='Udvaskning nøgletal'!$D$67,3,IF(O870='Udvaskning nøgletal'!$D$68,2,""))))</f>
        <v>1</v>
      </c>
      <c r="Y870" s="15">
        <f>LOOKUP(K870,'Udvaskning nøgletal'!$C$12:$C$60,'Udvaskning nøgletal'!$H$12:$H$60)</f>
        <v>5</v>
      </c>
      <c r="Z870" s="10">
        <f>IF(X870=1,LOOKUP(K870,'Udvaskning nøgletal'!$C$12:$C$60,'Udvaskning nøgletal'!$E$12:$E$60)+Markniveau!Y870*Markniveau!S870/100,IF(X870=2,LOOKUP(K870,'Udvaskning nøgletal'!$C$12:$C$60,'Udvaskning nøgletal'!$F$12:$F$60)+Markniveau!Y870*Markniveau!S870/100,IF(X870=3,LOOKUP(K870,'Udvaskning nøgletal'!$C$12:$C$60,'Udvaskning nøgletal'!G880:G928)+Markniveau!Y870*Markniveau!S870/100,"")))</f>
        <v>72.231047977361996</v>
      </c>
      <c r="AA870" s="10">
        <f t="shared" si="136"/>
        <v>252.08635744099337</v>
      </c>
      <c r="AB870" s="10" t="str">
        <f t="shared" si="135"/>
        <v/>
      </c>
      <c r="AC870" s="10" t="str">
        <f t="shared" si="137"/>
        <v/>
      </c>
      <c r="AD870" s="10">
        <f>IF(AND(Q870&gt;0,Q870&lt;30,K870&lt;8),Markniveau!Z870*'Udvaskning nøgletal'!$I$12/100,IF(AND(Q870&gt;0,Q870&lt;30,K870=216),Markniveau!Z870*'Udvaskning nøgletal'!$I$34/100,Markniveau!Z870))</f>
        <v>72.231047977361996</v>
      </c>
      <c r="AE870" s="10">
        <f t="shared" si="143"/>
        <v>252.08635744099337</v>
      </c>
      <c r="AF870" s="10" t="str">
        <f t="shared" si="138"/>
        <v/>
      </c>
      <c r="AG870" s="10" t="str">
        <f t="shared" si="144"/>
        <v/>
      </c>
      <c r="AH870" s="10" t="str">
        <f>IF(AND(Q870&gt;0,Q870&lt;30,K870=216),'Udvaskning nøgletal'!$C$42,IF(AND(Q870&gt;0,Q870&lt;30,K870&gt;7,K870&lt;17),'Udvaskning nøgletal'!$C$61,IF(AND(Q870&gt;0,Q870&lt;30,K870&lt;7),'Udvaskning nøgletal'!$C$62,"")))</f>
        <v/>
      </c>
      <c r="AI870" s="10">
        <f t="shared" si="140"/>
        <v>11</v>
      </c>
      <c r="AJ870" s="10">
        <f>IF($X870=1,LOOKUP(AI870,'Udvaskning nøgletal'!$C$12:$C$62,'Udvaskning nøgletal'!$E$12:$E$62)+Markniveau!$Y870*Markniveau!$S870/100,IF($X870=2,LOOKUP(AI870,'Udvaskning nøgletal'!$C$12:$C$62,'Udvaskning nøgletal'!$F$12:$F$62)+Markniveau!$Y870*Markniveau!$S870/100,IF($X870=3,LOOKUP(AI870,'Udvaskning nøgletal'!$C$12:$C$62,'Udvaskning nøgletal'!Q880:Q930)+Markniveau!$Y870*Markniveau!$S870/100,"")))</f>
        <v>72.231047977361996</v>
      </c>
      <c r="AK870" s="10">
        <f t="shared" si="139"/>
        <v>252.08635744099337</v>
      </c>
      <c r="AL870" s="10" t="str">
        <f t="shared" si="141"/>
        <v/>
      </c>
      <c r="AM870" s="10" t="str">
        <f t="shared" si="142"/>
        <v/>
      </c>
    </row>
    <row r="871" spans="1:39" x14ac:dyDescent="0.25">
      <c r="A871" s="15">
        <v>27798330</v>
      </c>
      <c r="B871" s="15">
        <v>41.92</v>
      </c>
      <c r="C871" s="15">
        <v>62598</v>
      </c>
      <c r="D871" s="15">
        <v>96106</v>
      </c>
      <c r="E871" s="15" t="s">
        <v>261</v>
      </c>
      <c r="F871" s="15">
        <v>2011</v>
      </c>
      <c r="G871" s="15">
        <v>20110406</v>
      </c>
      <c r="H871" s="15">
        <v>180984</v>
      </c>
      <c r="I871" s="15">
        <v>18.100000000000001</v>
      </c>
      <c r="J871" s="6" t="s">
        <v>194</v>
      </c>
      <c r="K871" s="15">
        <v>2</v>
      </c>
      <c r="L871" s="15" t="s">
        <v>49</v>
      </c>
      <c r="M871" s="15" t="s">
        <v>5</v>
      </c>
      <c r="N871" s="11" t="s">
        <v>1384</v>
      </c>
      <c r="O871" s="11" t="s">
        <v>28</v>
      </c>
      <c r="P871" s="11" t="s">
        <v>29</v>
      </c>
      <c r="Q871" s="15">
        <v>95</v>
      </c>
      <c r="R871" s="11" t="s">
        <v>3</v>
      </c>
      <c r="S871" s="10">
        <v>151.42095954723999</v>
      </c>
      <c r="T871" s="15">
        <v>80</v>
      </c>
      <c r="U871" s="15">
        <v>0</v>
      </c>
      <c r="V871" s="15">
        <v>1</v>
      </c>
      <c r="W871" s="15">
        <v>0</v>
      </c>
      <c r="X871" s="15">
        <f>IF(O871='Udvaskning nøgletal'!$D$65,1,IF(O871='Udvaskning nøgletal'!$D$66,2,IF(O871='Udvaskning nøgletal'!$D$67,3,IF(O871='Udvaskning nøgletal'!$D$68,2,""))))</f>
        <v>1</v>
      </c>
      <c r="Y871" s="15">
        <f>LOOKUP(K871,'Udvaskning nøgletal'!$C$12:$C$60,'Udvaskning nøgletal'!$H$12:$H$60)</f>
        <v>5</v>
      </c>
      <c r="Z871" s="10">
        <f>IF(X871=1,LOOKUP(K871,'Udvaskning nøgletal'!$C$12:$C$60,'Udvaskning nøgletal'!$E$12:$E$60)+Markniveau!Y871*Markniveau!S871/100,IF(X871=2,LOOKUP(K871,'Udvaskning nøgletal'!$C$12:$C$60,'Udvaskning nøgletal'!$F$12:$F$60)+Markniveau!Y871*Markniveau!S871/100,IF(X871=3,LOOKUP(K871,'Udvaskning nøgletal'!$C$12:$C$60,'Udvaskning nøgletal'!G881:G929)+Markniveau!Y871*Markniveau!S871/100,"")))</f>
        <v>72.231047977361996</v>
      </c>
      <c r="AA871" s="10">
        <f t="shared" si="136"/>
        <v>1307.3819683902523</v>
      </c>
      <c r="AB871" s="10">
        <f t="shared" si="135"/>
        <v>3.6115523988680995</v>
      </c>
      <c r="AC871" s="10">
        <f t="shared" si="137"/>
        <v>65.369098419512611</v>
      </c>
      <c r="AD871" s="10">
        <f>IF(AND(Q871&gt;0,Q871&lt;30,K871&lt;8),Markniveau!Z871*'Udvaskning nøgletal'!$I$12/100,IF(AND(Q871&gt;0,Q871&lt;30,K871=216),Markniveau!Z871*'Udvaskning nøgletal'!$I$34/100,Markniveau!Z871))</f>
        <v>72.231047977361996</v>
      </c>
      <c r="AE871" s="10">
        <f t="shared" si="143"/>
        <v>1307.3819683902523</v>
      </c>
      <c r="AF871" s="10">
        <f t="shared" si="138"/>
        <v>3.6115523988680995</v>
      </c>
      <c r="AG871" s="10">
        <f t="shared" si="144"/>
        <v>65.369098419512611</v>
      </c>
      <c r="AH871" s="10" t="str">
        <f>IF(AND(Q871&gt;0,Q871&lt;30,K871=216),'Udvaskning nøgletal'!$C$42,IF(AND(Q871&gt;0,Q871&lt;30,K871&gt;7,K871&lt;17),'Udvaskning nøgletal'!$C$61,IF(AND(Q871&gt;0,Q871&lt;30,K871&lt;7),'Udvaskning nøgletal'!$C$62,"")))</f>
        <v/>
      </c>
      <c r="AI871" s="10">
        <f t="shared" si="140"/>
        <v>2</v>
      </c>
      <c r="AJ871" s="10">
        <f>IF($X871=1,LOOKUP(AI871,'Udvaskning nøgletal'!$C$12:$C$62,'Udvaskning nøgletal'!$E$12:$E$62)+Markniveau!$Y871*Markniveau!$S871/100,IF($X871=2,LOOKUP(AI871,'Udvaskning nøgletal'!$C$12:$C$62,'Udvaskning nøgletal'!$F$12:$F$62)+Markniveau!$Y871*Markniveau!$S871/100,IF($X871=3,LOOKUP(AI871,'Udvaskning nøgletal'!$C$12:$C$62,'Udvaskning nøgletal'!Q881:Q931)+Markniveau!$Y871*Markniveau!$S871/100,"")))</f>
        <v>72.231047977361996</v>
      </c>
      <c r="AK871" s="10">
        <f t="shared" si="139"/>
        <v>1307.3819683902523</v>
      </c>
      <c r="AL871" s="10">
        <f t="shared" si="141"/>
        <v>3.6115523988680995</v>
      </c>
      <c r="AM871" s="10">
        <f t="shared" si="142"/>
        <v>65.369098419512611</v>
      </c>
    </row>
    <row r="872" spans="1:39" x14ac:dyDescent="0.25">
      <c r="A872" s="15">
        <v>27798330</v>
      </c>
      <c r="B872" s="15">
        <v>41.92</v>
      </c>
      <c r="C872" s="15">
        <v>62599</v>
      </c>
      <c r="D872" s="15">
        <v>96106</v>
      </c>
      <c r="E872" s="15" t="s">
        <v>48</v>
      </c>
      <c r="F872" s="15">
        <v>2011</v>
      </c>
      <c r="G872" s="15">
        <v>20110406</v>
      </c>
      <c r="H872" s="15">
        <v>62662</v>
      </c>
      <c r="I872" s="15">
        <v>6.27</v>
      </c>
      <c r="J872" s="6" t="s">
        <v>545</v>
      </c>
      <c r="K872" s="15">
        <v>230</v>
      </c>
      <c r="L872" s="15" t="s">
        <v>120</v>
      </c>
      <c r="M872" s="15" t="s">
        <v>5</v>
      </c>
      <c r="N872" s="11" t="s">
        <v>1384</v>
      </c>
      <c r="O872" s="11" t="s">
        <v>28</v>
      </c>
      <c r="P872" s="11" t="s">
        <v>29</v>
      </c>
      <c r="Q872" s="15">
        <v>95</v>
      </c>
      <c r="R872" s="11" t="s">
        <v>3</v>
      </c>
      <c r="S872" s="10">
        <v>151.42095954723999</v>
      </c>
      <c r="T872" s="15">
        <v>80</v>
      </c>
      <c r="U872" s="15">
        <v>0</v>
      </c>
      <c r="V872" s="15">
        <v>1</v>
      </c>
      <c r="W872" s="15">
        <v>0</v>
      </c>
      <c r="X872" s="15">
        <f>IF(O872='Udvaskning nøgletal'!$D$65,1,IF(O872='Udvaskning nøgletal'!$D$66,2,IF(O872='Udvaskning nøgletal'!$D$67,3,IF(O872='Udvaskning nøgletal'!$D$68,2,""))))</f>
        <v>1</v>
      </c>
      <c r="Y872" s="15">
        <f>LOOKUP(K872,'Udvaskning nøgletal'!$C$12:$C$60,'Udvaskning nøgletal'!$H$12:$H$60)</f>
        <v>0</v>
      </c>
      <c r="Z872" s="10">
        <f>IF(X872=1,LOOKUP(K872,'Udvaskning nøgletal'!$C$12:$C$60,'Udvaskning nøgletal'!$E$12:$E$60)+Markniveau!Y872*Markniveau!S872/100,IF(X872=2,LOOKUP(K872,'Udvaskning nøgletal'!$C$12:$C$60,'Udvaskning nøgletal'!$F$12:$F$60)+Markniveau!Y872*Markniveau!S872/100,IF(X872=3,LOOKUP(K872,'Udvaskning nøgletal'!$C$12:$C$60,'Udvaskning nøgletal'!G882:G930)+Markniveau!Y872*Markniveau!S872/100,"")))</f>
        <v>38.620385460262987</v>
      </c>
      <c r="AA872" s="10">
        <f t="shared" si="136"/>
        <v>242.14981683584892</v>
      </c>
      <c r="AB872" s="10">
        <f t="shared" si="135"/>
        <v>1.9310192730131492</v>
      </c>
      <c r="AC872" s="10">
        <f t="shared" si="137"/>
        <v>12.107490841792444</v>
      </c>
      <c r="AD872" s="10">
        <f>IF(AND(Q872&gt;0,Q872&lt;30,K872&lt;8),Markniveau!Z872*'Udvaskning nøgletal'!$I$12/100,IF(AND(Q872&gt;0,Q872&lt;30,K872=216),Markniveau!Z872*'Udvaskning nøgletal'!$I$34/100,Markniveau!Z872))</f>
        <v>38.620385460262987</v>
      </c>
      <c r="AE872" s="10">
        <f t="shared" si="143"/>
        <v>242.14981683584892</v>
      </c>
      <c r="AF872" s="10">
        <f t="shared" si="138"/>
        <v>1.9310192730131492</v>
      </c>
      <c r="AG872" s="10">
        <f t="shared" si="144"/>
        <v>12.107490841792444</v>
      </c>
      <c r="AH872" s="10" t="str">
        <f>IF(AND(Q872&gt;0,Q872&lt;30,K872=216),'Udvaskning nøgletal'!$C$42,IF(AND(Q872&gt;0,Q872&lt;30,K872&gt;7,K872&lt;17),'Udvaskning nøgletal'!$C$61,IF(AND(Q872&gt;0,Q872&lt;30,K872&lt;7),'Udvaskning nøgletal'!$C$62,"")))</f>
        <v/>
      </c>
      <c r="AI872" s="10">
        <f t="shared" si="140"/>
        <v>230</v>
      </c>
      <c r="AJ872" s="10">
        <f>IF($X872=1,LOOKUP(AI872,'Udvaskning nøgletal'!$C$12:$C$62,'Udvaskning nøgletal'!$E$12:$E$62)+Markniveau!$Y872*Markniveau!$S872/100,IF($X872=2,LOOKUP(AI872,'Udvaskning nøgletal'!$C$12:$C$62,'Udvaskning nøgletal'!$F$12:$F$62)+Markniveau!$Y872*Markniveau!$S872/100,IF($X872=3,LOOKUP(AI872,'Udvaskning nøgletal'!$C$12:$C$62,'Udvaskning nøgletal'!Q882:Q932)+Markniveau!$Y872*Markniveau!$S872/100,"")))</f>
        <v>38.620385460262987</v>
      </c>
      <c r="AK872" s="10">
        <f t="shared" si="139"/>
        <v>242.14981683584892</v>
      </c>
      <c r="AL872" s="10">
        <f t="shared" si="141"/>
        <v>1.9310192730131492</v>
      </c>
      <c r="AM872" s="10">
        <f t="shared" si="142"/>
        <v>12.107490841792444</v>
      </c>
    </row>
    <row r="873" spans="1:39" x14ac:dyDescent="0.25">
      <c r="A873" s="15">
        <v>27798330</v>
      </c>
      <c r="B873" s="15">
        <v>41.92</v>
      </c>
      <c r="C873" s="15">
        <v>62600</v>
      </c>
      <c r="D873" s="15">
        <v>96106</v>
      </c>
      <c r="E873" s="15" t="s">
        <v>57</v>
      </c>
      <c r="F873" s="15">
        <v>2011</v>
      </c>
      <c r="G873" s="15">
        <v>20110406</v>
      </c>
      <c r="H873" s="15">
        <v>45991</v>
      </c>
      <c r="I873" s="15">
        <v>4.5999999999999996</v>
      </c>
      <c r="J873" s="6" t="s">
        <v>65</v>
      </c>
      <c r="K873" s="15">
        <v>263</v>
      </c>
      <c r="L873" s="15" t="s">
        <v>39</v>
      </c>
      <c r="M873" s="15" t="s">
        <v>5</v>
      </c>
      <c r="N873" s="11" t="s">
        <v>1384</v>
      </c>
      <c r="O873" s="11" t="s">
        <v>28</v>
      </c>
      <c r="P873" s="11" t="s">
        <v>33</v>
      </c>
      <c r="Q873" s="15">
        <v>0</v>
      </c>
      <c r="R873" s="11" t="s">
        <v>1386</v>
      </c>
      <c r="S873" s="10">
        <v>151.42095954723999</v>
      </c>
      <c r="T873" s="15">
        <v>80</v>
      </c>
      <c r="U873" s="15">
        <v>0</v>
      </c>
      <c r="V873" s="15">
        <v>1</v>
      </c>
      <c r="W873" s="15">
        <v>0</v>
      </c>
      <c r="X873" s="15">
        <f>IF(O873='Udvaskning nøgletal'!$D$65,1,IF(O873='Udvaskning nøgletal'!$D$66,2,IF(O873='Udvaskning nøgletal'!$D$67,3,IF(O873='Udvaskning nøgletal'!$D$68,2,""))))</f>
        <v>1</v>
      </c>
      <c r="Y873" s="15">
        <f>LOOKUP(K873,'Udvaskning nøgletal'!$C$12:$C$60,'Udvaskning nøgletal'!$H$12:$H$60)</f>
        <v>0</v>
      </c>
      <c r="Z873" s="10">
        <f>IF(X873=1,LOOKUP(K873,'Udvaskning nøgletal'!$C$12:$C$60,'Udvaskning nøgletal'!$E$12:$E$60)+Markniveau!Y873*Markniveau!S873/100,IF(X873=2,LOOKUP(K873,'Udvaskning nøgletal'!$C$12:$C$60,'Udvaskning nøgletal'!$F$12:$F$60)+Markniveau!Y873*Markniveau!S873/100,IF(X873=3,LOOKUP(K873,'Udvaskning nøgletal'!$C$12:$C$60,'Udvaskning nøgletal'!G883:G931)+Markniveau!Y873*Markniveau!S873/100,"")))</f>
        <v>33.723295792149436</v>
      </c>
      <c r="AA873" s="10">
        <f t="shared" si="136"/>
        <v>155.12716064388741</v>
      </c>
      <c r="AB873" s="10" t="str">
        <f t="shared" si="135"/>
        <v/>
      </c>
      <c r="AC873" s="10" t="str">
        <f t="shared" si="137"/>
        <v/>
      </c>
      <c r="AD873" s="10">
        <f>IF(AND(Q873&gt;0,Q873&lt;30,K873&lt;8),Markniveau!Z873*'Udvaskning nøgletal'!$I$12/100,IF(AND(Q873&gt;0,Q873&lt;30,K873=216),Markniveau!Z873*'Udvaskning nøgletal'!$I$34/100,Markniveau!Z873))</f>
        <v>33.723295792149436</v>
      </c>
      <c r="AE873" s="10">
        <f t="shared" si="143"/>
        <v>155.12716064388741</v>
      </c>
      <c r="AF873" s="10" t="str">
        <f t="shared" si="138"/>
        <v/>
      </c>
      <c r="AG873" s="10" t="str">
        <f t="shared" si="144"/>
        <v/>
      </c>
      <c r="AH873" s="10" t="str">
        <f>IF(AND(Q873&gt;0,Q873&lt;30,K873=216),'Udvaskning nøgletal'!$C$42,IF(AND(Q873&gt;0,Q873&lt;30,K873&gt;7,K873&lt;17),'Udvaskning nøgletal'!$C$61,IF(AND(Q873&gt;0,Q873&lt;30,K873&lt;7),'Udvaskning nøgletal'!$C$62,"")))</f>
        <v/>
      </c>
      <c r="AI873" s="10">
        <f t="shared" si="140"/>
        <v>263</v>
      </c>
      <c r="AJ873" s="10">
        <f>IF($X873=1,LOOKUP(AI873,'Udvaskning nøgletal'!$C$12:$C$62,'Udvaskning nøgletal'!$E$12:$E$62)+Markniveau!$Y873*Markniveau!$S873/100,IF($X873=2,LOOKUP(AI873,'Udvaskning nøgletal'!$C$12:$C$62,'Udvaskning nøgletal'!$F$12:$F$62)+Markniveau!$Y873*Markniveau!$S873/100,IF($X873=3,LOOKUP(AI873,'Udvaskning nøgletal'!$C$12:$C$62,'Udvaskning nøgletal'!Q883:Q933)+Markniveau!$Y873*Markniveau!$S873/100,"")))</f>
        <v>33.723295792149436</v>
      </c>
      <c r="AK873" s="10">
        <f t="shared" si="139"/>
        <v>155.12716064388741</v>
      </c>
      <c r="AL873" s="10" t="str">
        <f t="shared" si="141"/>
        <v/>
      </c>
      <c r="AM873" s="10" t="str">
        <f t="shared" si="142"/>
        <v/>
      </c>
    </row>
    <row r="874" spans="1:39" x14ac:dyDescent="0.25">
      <c r="A874" s="15">
        <v>27798330</v>
      </c>
      <c r="B874" s="15">
        <v>41.92</v>
      </c>
      <c r="C874" s="15">
        <v>63114</v>
      </c>
      <c r="D874" s="15">
        <v>96106</v>
      </c>
      <c r="E874" s="15" t="s">
        <v>57</v>
      </c>
      <c r="F874" s="15">
        <v>2011</v>
      </c>
      <c r="G874" s="15">
        <v>20110406</v>
      </c>
      <c r="H874" s="15">
        <v>17438</v>
      </c>
      <c r="I874" s="15">
        <v>1.74</v>
      </c>
      <c r="J874" s="6" t="s">
        <v>682</v>
      </c>
      <c r="K874" s="15">
        <v>263</v>
      </c>
      <c r="L874" s="15" t="s">
        <v>39</v>
      </c>
      <c r="M874" s="15" t="s">
        <v>5</v>
      </c>
      <c r="N874" s="11" t="s">
        <v>1384</v>
      </c>
      <c r="O874" s="11" t="s">
        <v>28</v>
      </c>
      <c r="P874" s="11" t="s">
        <v>33</v>
      </c>
      <c r="Q874" s="15">
        <v>0</v>
      </c>
      <c r="R874" s="11" t="s">
        <v>1386</v>
      </c>
      <c r="S874" s="10">
        <v>151.42095954723999</v>
      </c>
      <c r="T874" s="15">
        <v>80</v>
      </c>
      <c r="U874" s="15">
        <v>0</v>
      </c>
      <c r="V874" s="15">
        <v>1</v>
      </c>
      <c r="W874" s="15">
        <v>0</v>
      </c>
      <c r="X874" s="15">
        <f>IF(O874='Udvaskning nøgletal'!$D$65,1,IF(O874='Udvaskning nøgletal'!$D$66,2,IF(O874='Udvaskning nøgletal'!$D$67,3,IF(O874='Udvaskning nøgletal'!$D$68,2,""))))</f>
        <v>1</v>
      </c>
      <c r="Y874" s="15">
        <f>LOOKUP(K874,'Udvaskning nøgletal'!$C$12:$C$60,'Udvaskning nøgletal'!$H$12:$H$60)</f>
        <v>0</v>
      </c>
      <c r="Z874" s="10">
        <f>IF(X874=1,LOOKUP(K874,'Udvaskning nøgletal'!$C$12:$C$60,'Udvaskning nøgletal'!$E$12:$E$60)+Markniveau!Y874*Markniveau!S874/100,IF(X874=2,LOOKUP(K874,'Udvaskning nøgletal'!$C$12:$C$60,'Udvaskning nøgletal'!$F$12:$F$60)+Markniveau!Y874*Markniveau!S874/100,IF(X874=3,LOOKUP(K874,'Udvaskning nøgletal'!$C$12:$C$60,'Udvaskning nøgletal'!G884:G932)+Markniveau!Y874*Markniveau!S874/100,"")))</f>
        <v>33.723295792149436</v>
      </c>
      <c r="AA874" s="10">
        <f t="shared" si="136"/>
        <v>58.678534678340021</v>
      </c>
      <c r="AB874" s="10" t="str">
        <f t="shared" si="135"/>
        <v/>
      </c>
      <c r="AC874" s="10" t="str">
        <f t="shared" si="137"/>
        <v/>
      </c>
      <c r="AD874" s="10">
        <f>IF(AND(Q874&gt;0,Q874&lt;30,K874&lt;8),Markniveau!Z874*'Udvaskning nøgletal'!$I$12/100,IF(AND(Q874&gt;0,Q874&lt;30,K874=216),Markniveau!Z874*'Udvaskning nøgletal'!$I$34/100,Markniveau!Z874))</f>
        <v>33.723295792149436</v>
      </c>
      <c r="AE874" s="10">
        <f t="shared" si="143"/>
        <v>58.678534678340021</v>
      </c>
      <c r="AF874" s="10" t="str">
        <f t="shared" si="138"/>
        <v/>
      </c>
      <c r="AG874" s="10" t="str">
        <f t="shared" si="144"/>
        <v/>
      </c>
      <c r="AH874" s="10" t="str">
        <f>IF(AND(Q874&gt;0,Q874&lt;30,K874=216),'Udvaskning nøgletal'!$C$42,IF(AND(Q874&gt;0,Q874&lt;30,K874&gt;7,K874&lt;17),'Udvaskning nøgletal'!$C$61,IF(AND(Q874&gt;0,Q874&lt;30,K874&lt;7),'Udvaskning nøgletal'!$C$62,"")))</f>
        <v/>
      </c>
      <c r="AI874" s="10">
        <f t="shared" si="140"/>
        <v>263</v>
      </c>
      <c r="AJ874" s="10">
        <f>IF($X874=1,LOOKUP(AI874,'Udvaskning nøgletal'!$C$12:$C$62,'Udvaskning nøgletal'!$E$12:$E$62)+Markniveau!$Y874*Markniveau!$S874/100,IF($X874=2,LOOKUP(AI874,'Udvaskning nøgletal'!$C$12:$C$62,'Udvaskning nøgletal'!$F$12:$F$62)+Markniveau!$Y874*Markniveau!$S874/100,IF($X874=3,LOOKUP(AI874,'Udvaskning nøgletal'!$C$12:$C$62,'Udvaskning nøgletal'!Q884:Q934)+Markniveau!$Y874*Markniveau!$S874/100,"")))</f>
        <v>33.723295792149436</v>
      </c>
      <c r="AK874" s="10">
        <f t="shared" si="139"/>
        <v>58.678534678340021</v>
      </c>
      <c r="AL874" s="10" t="str">
        <f t="shared" si="141"/>
        <v/>
      </c>
      <c r="AM874" s="10" t="str">
        <f t="shared" si="142"/>
        <v/>
      </c>
    </row>
    <row r="875" spans="1:39" x14ac:dyDescent="0.25">
      <c r="A875" s="15">
        <v>27798330</v>
      </c>
      <c r="B875" s="15">
        <v>41.92</v>
      </c>
      <c r="C875" s="15">
        <v>63115</v>
      </c>
      <c r="D875" s="15">
        <v>96106</v>
      </c>
      <c r="E875" s="15" t="s">
        <v>638</v>
      </c>
      <c r="F875" s="15">
        <v>2011</v>
      </c>
      <c r="G875" s="15">
        <v>20110406</v>
      </c>
      <c r="H875" s="15">
        <v>16232</v>
      </c>
      <c r="I875" s="15">
        <v>1.62</v>
      </c>
      <c r="J875" s="6" t="s">
        <v>1415</v>
      </c>
      <c r="K875" s="15">
        <v>11</v>
      </c>
      <c r="L875" s="15" t="s">
        <v>102</v>
      </c>
      <c r="M875" s="15" t="s">
        <v>5</v>
      </c>
      <c r="N875" s="11" t="s">
        <v>1391</v>
      </c>
      <c r="O875" s="11" t="s">
        <v>46</v>
      </c>
      <c r="P875" s="11" t="s">
        <v>33</v>
      </c>
      <c r="Q875" s="15">
        <v>0</v>
      </c>
      <c r="R875" s="11" t="s">
        <v>1386</v>
      </c>
      <c r="S875" s="10">
        <v>151.42095954723999</v>
      </c>
      <c r="T875" s="15">
        <v>80</v>
      </c>
      <c r="U875" s="15">
        <v>0</v>
      </c>
      <c r="V875" s="15">
        <v>1</v>
      </c>
      <c r="W875" s="15">
        <v>0</v>
      </c>
      <c r="X875" s="15">
        <f>IF(O875='Udvaskning nøgletal'!$D$65,1,IF(O875='Udvaskning nøgletal'!$D$66,2,IF(O875='Udvaskning nøgletal'!$D$67,3,IF(O875='Udvaskning nøgletal'!$D$68,2,""))))</f>
        <v>2</v>
      </c>
      <c r="Y875" s="15">
        <f>LOOKUP(K875,'Udvaskning nøgletal'!$C$12:$C$60,'Udvaskning nøgletal'!$H$12:$H$60)</f>
        <v>5</v>
      </c>
      <c r="Z875" s="10">
        <f>IF(X875=1,LOOKUP(K875,'Udvaskning nøgletal'!$C$12:$C$60,'Udvaskning nøgletal'!$E$12:$E$60)+Markniveau!Y875*Markniveau!S875/100,IF(X875=2,LOOKUP(K875,'Udvaskning nøgletal'!$C$12:$C$60,'Udvaskning nøgletal'!$F$12:$F$60)+Markniveau!Y875*Markniveau!S875/100,IF(X875=3,LOOKUP(K875,'Udvaskning nøgletal'!$C$12:$C$60,'Udvaskning nøgletal'!G885:G933)+Markniveau!Y875*Markniveau!S875/100,"")))</f>
        <v>58.451047977362002</v>
      </c>
      <c r="AA875" s="10">
        <f t="shared" si="136"/>
        <v>94.690697723326451</v>
      </c>
      <c r="AB875" s="10" t="str">
        <f t="shared" si="135"/>
        <v/>
      </c>
      <c r="AC875" s="10" t="str">
        <f t="shared" si="137"/>
        <v/>
      </c>
      <c r="AD875" s="10">
        <f>IF(AND(Q875&gt;0,Q875&lt;30,K875&lt;8),Markniveau!Z875*'Udvaskning nøgletal'!$I$12/100,IF(AND(Q875&gt;0,Q875&lt;30,K875=216),Markniveau!Z875*'Udvaskning nøgletal'!$I$34/100,Markniveau!Z875))</f>
        <v>58.451047977362002</v>
      </c>
      <c r="AE875" s="10">
        <f t="shared" si="143"/>
        <v>94.690697723326451</v>
      </c>
      <c r="AF875" s="10" t="str">
        <f t="shared" si="138"/>
        <v/>
      </c>
      <c r="AG875" s="10" t="str">
        <f t="shared" si="144"/>
        <v/>
      </c>
      <c r="AH875" s="10" t="str">
        <f>IF(AND(Q875&gt;0,Q875&lt;30,K875=216),'Udvaskning nøgletal'!$C$42,IF(AND(Q875&gt;0,Q875&lt;30,K875&gt;7,K875&lt;17),'Udvaskning nøgletal'!$C$61,IF(AND(Q875&gt;0,Q875&lt;30,K875&lt;7),'Udvaskning nøgletal'!$C$62,"")))</f>
        <v/>
      </c>
      <c r="AI875" s="10">
        <f t="shared" si="140"/>
        <v>11</v>
      </c>
      <c r="AJ875" s="10">
        <f>IF($X875=1,LOOKUP(AI875,'Udvaskning nøgletal'!$C$12:$C$62,'Udvaskning nøgletal'!$E$12:$E$62)+Markniveau!$Y875*Markniveau!$S875/100,IF($X875=2,LOOKUP(AI875,'Udvaskning nøgletal'!$C$12:$C$62,'Udvaskning nøgletal'!$F$12:$F$62)+Markniveau!$Y875*Markniveau!$S875/100,IF($X875=3,LOOKUP(AI875,'Udvaskning nøgletal'!$C$12:$C$62,'Udvaskning nøgletal'!Q885:Q935)+Markniveau!$Y875*Markniveau!$S875/100,"")))</f>
        <v>58.451047977362002</v>
      </c>
      <c r="AK875" s="10">
        <f t="shared" si="139"/>
        <v>94.690697723326451</v>
      </c>
      <c r="AL875" s="10" t="str">
        <f t="shared" si="141"/>
        <v/>
      </c>
      <c r="AM875" s="10" t="str">
        <f t="shared" si="142"/>
        <v/>
      </c>
    </row>
    <row r="876" spans="1:39" x14ac:dyDescent="0.25">
      <c r="A876" s="15">
        <v>27798330</v>
      </c>
      <c r="B876" s="15">
        <v>41.92</v>
      </c>
      <c r="C876" s="15">
        <v>63117</v>
      </c>
      <c r="D876" s="15">
        <v>96106</v>
      </c>
      <c r="E876" s="15" t="s">
        <v>639</v>
      </c>
      <c r="F876" s="15">
        <v>2011</v>
      </c>
      <c r="G876" s="15">
        <v>20110406</v>
      </c>
      <c r="H876" s="15">
        <v>13571</v>
      </c>
      <c r="I876" s="15">
        <v>1.36</v>
      </c>
      <c r="J876" s="6" t="s">
        <v>136</v>
      </c>
      <c r="K876" s="15">
        <v>263</v>
      </c>
      <c r="L876" s="15" t="s">
        <v>39</v>
      </c>
      <c r="M876" s="15" t="s">
        <v>5</v>
      </c>
      <c r="N876" s="11" t="s">
        <v>1391</v>
      </c>
      <c r="O876" s="11" t="s">
        <v>46</v>
      </c>
      <c r="P876" s="11" t="s">
        <v>33</v>
      </c>
      <c r="Q876" s="15">
        <v>0</v>
      </c>
      <c r="R876" s="11" t="s">
        <v>1386</v>
      </c>
      <c r="S876" s="10">
        <v>151.42095954723999</v>
      </c>
      <c r="T876" s="15">
        <v>80</v>
      </c>
      <c r="U876" s="15">
        <v>0</v>
      </c>
      <c r="V876" s="15">
        <v>1</v>
      </c>
      <c r="W876" s="15">
        <v>0</v>
      </c>
      <c r="X876" s="15">
        <f>IF(O876='Udvaskning nøgletal'!$D$65,1,IF(O876='Udvaskning nøgletal'!$D$66,2,IF(O876='Udvaskning nøgletal'!$D$67,3,IF(O876='Udvaskning nøgletal'!$D$68,2,""))))</f>
        <v>2</v>
      </c>
      <c r="Y876" s="15">
        <f>LOOKUP(K876,'Udvaskning nøgletal'!$C$12:$C$60,'Udvaskning nøgletal'!$H$12:$H$60)</f>
        <v>0</v>
      </c>
      <c r="Z876" s="10">
        <f>IF(X876=1,LOOKUP(K876,'Udvaskning nøgletal'!$C$12:$C$60,'Udvaskning nøgletal'!$E$12:$E$60)+Markniveau!Y876*Markniveau!S876/100,IF(X876=2,LOOKUP(K876,'Udvaskning nøgletal'!$C$12:$C$60,'Udvaskning nøgletal'!$F$12:$F$60)+Markniveau!Y876*Markniveau!S876/100,IF(X876=3,LOOKUP(K876,'Udvaskning nøgletal'!$C$12:$C$60,'Udvaskning nøgletal'!G886:G934)+Markniveau!Y876*Markniveau!S876/100,"")))</f>
        <v>27.331185321443094</v>
      </c>
      <c r="AA876" s="10">
        <f t="shared" si="136"/>
        <v>37.170412037162613</v>
      </c>
      <c r="AB876" s="10" t="str">
        <f t="shared" si="135"/>
        <v/>
      </c>
      <c r="AC876" s="10" t="str">
        <f t="shared" si="137"/>
        <v/>
      </c>
      <c r="AD876" s="10">
        <f>IF(AND(Q876&gt;0,Q876&lt;30,K876&lt;8),Markniveau!Z876*'Udvaskning nøgletal'!$I$12/100,IF(AND(Q876&gt;0,Q876&lt;30,K876=216),Markniveau!Z876*'Udvaskning nøgletal'!$I$34/100,Markniveau!Z876))</f>
        <v>27.331185321443094</v>
      </c>
      <c r="AE876" s="10">
        <f t="shared" si="143"/>
        <v>37.170412037162613</v>
      </c>
      <c r="AF876" s="10" t="str">
        <f t="shared" si="138"/>
        <v/>
      </c>
      <c r="AG876" s="10" t="str">
        <f t="shared" si="144"/>
        <v/>
      </c>
      <c r="AH876" s="10" t="str">
        <f>IF(AND(Q876&gt;0,Q876&lt;30,K876=216),'Udvaskning nøgletal'!$C$42,IF(AND(Q876&gt;0,Q876&lt;30,K876&gt;7,K876&lt;17),'Udvaskning nøgletal'!$C$61,IF(AND(Q876&gt;0,Q876&lt;30,K876&lt;7),'Udvaskning nøgletal'!$C$62,"")))</f>
        <v/>
      </c>
      <c r="AI876" s="10">
        <f t="shared" si="140"/>
        <v>263</v>
      </c>
      <c r="AJ876" s="10">
        <f>IF($X876=1,LOOKUP(AI876,'Udvaskning nøgletal'!$C$12:$C$62,'Udvaskning nøgletal'!$E$12:$E$62)+Markniveau!$Y876*Markniveau!$S876/100,IF($X876=2,LOOKUP(AI876,'Udvaskning nøgletal'!$C$12:$C$62,'Udvaskning nøgletal'!$F$12:$F$62)+Markniveau!$Y876*Markniveau!$S876/100,IF($X876=3,LOOKUP(AI876,'Udvaskning nøgletal'!$C$12:$C$62,'Udvaskning nøgletal'!Q886:Q936)+Markniveau!$Y876*Markniveau!$S876/100,"")))</f>
        <v>27.331185321443094</v>
      </c>
      <c r="AK876" s="10">
        <f t="shared" si="139"/>
        <v>37.170412037162613</v>
      </c>
      <c r="AL876" s="10" t="str">
        <f t="shared" si="141"/>
        <v/>
      </c>
      <c r="AM876" s="10" t="str">
        <f t="shared" si="142"/>
        <v/>
      </c>
    </row>
    <row r="877" spans="1:39" x14ac:dyDescent="0.25">
      <c r="A877" s="15">
        <v>27798330</v>
      </c>
      <c r="B877" s="15">
        <v>41.92</v>
      </c>
      <c r="C877" s="15">
        <v>70320</v>
      </c>
      <c r="D877" s="15">
        <v>96106</v>
      </c>
      <c r="E877" s="15" t="s">
        <v>683</v>
      </c>
      <c r="F877" s="15">
        <v>2011</v>
      </c>
      <c r="G877" s="15">
        <v>20110406</v>
      </c>
      <c r="H877" s="15">
        <v>137018</v>
      </c>
      <c r="I877" s="15">
        <v>13.7</v>
      </c>
      <c r="J877" s="6" t="s">
        <v>472</v>
      </c>
      <c r="K877" s="15">
        <v>260</v>
      </c>
      <c r="L877" s="15" t="s">
        <v>45</v>
      </c>
      <c r="M877" s="15" t="s">
        <v>5</v>
      </c>
      <c r="N877" s="11" t="s">
        <v>1391</v>
      </c>
      <c r="O877" s="11" t="s">
        <v>46</v>
      </c>
      <c r="P877" s="11" t="s">
        <v>33</v>
      </c>
      <c r="Q877" s="15">
        <v>0</v>
      </c>
      <c r="R877" s="11" t="s">
        <v>1386</v>
      </c>
      <c r="S877" s="10">
        <v>151.42095954723999</v>
      </c>
      <c r="T877" s="15">
        <v>80</v>
      </c>
      <c r="U877" s="15">
        <v>0</v>
      </c>
      <c r="V877" s="15">
        <v>1</v>
      </c>
      <c r="W877" s="15">
        <v>0</v>
      </c>
      <c r="X877" s="15">
        <f>IF(O877='Udvaskning nøgletal'!$D$65,1,IF(O877='Udvaskning nøgletal'!$D$66,2,IF(O877='Udvaskning nøgletal'!$D$67,3,IF(O877='Udvaskning nøgletal'!$D$68,2,""))))</f>
        <v>2</v>
      </c>
      <c r="Y877" s="15">
        <f>LOOKUP(K877,'Udvaskning nøgletal'!$C$12:$C$60,'Udvaskning nøgletal'!$H$12:$H$60)</f>
        <v>0</v>
      </c>
      <c r="Z877" s="10">
        <f>IF(X877=1,LOOKUP(K877,'Udvaskning nøgletal'!$C$12:$C$60,'Udvaskning nøgletal'!$E$12:$E$60)+Markniveau!Y877*Markniveau!S877/100,IF(X877=2,LOOKUP(K877,'Udvaskning nøgletal'!$C$12:$C$60,'Udvaskning nøgletal'!$F$12:$F$60)+Markniveau!Y877*Markniveau!S877/100,IF(X877=3,LOOKUP(K877,'Udvaskning nøgletal'!$C$12:$C$60,'Udvaskning nøgletal'!G887:G935)+Markniveau!Y877*Markniveau!S877/100,"")))</f>
        <v>27.331185321443094</v>
      </c>
      <c r="AA877" s="10">
        <f t="shared" si="136"/>
        <v>374.43723890377038</v>
      </c>
      <c r="AB877" s="10" t="str">
        <f t="shared" si="135"/>
        <v/>
      </c>
      <c r="AC877" s="10" t="str">
        <f t="shared" si="137"/>
        <v/>
      </c>
      <c r="AD877" s="10">
        <f>IF(AND(Q877&gt;0,Q877&lt;30,K877&lt;8),Markniveau!Z877*'Udvaskning nøgletal'!$I$12/100,IF(AND(Q877&gt;0,Q877&lt;30,K877=216),Markniveau!Z877*'Udvaskning nøgletal'!$I$34/100,Markniveau!Z877))</f>
        <v>27.331185321443094</v>
      </c>
      <c r="AE877" s="10">
        <f t="shared" si="143"/>
        <v>374.43723890377038</v>
      </c>
      <c r="AF877" s="10" t="str">
        <f t="shared" si="138"/>
        <v/>
      </c>
      <c r="AG877" s="10" t="str">
        <f t="shared" si="144"/>
        <v/>
      </c>
      <c r="AH877" s="10" t="str">
        <f>IF(AND(Q877&gt;0,Q877&lt;30,K877=216),'Udvaskning nøgletal'!$C$42,IF(AND(Q877&gt;0,Q877&lt;30,K877&gt;7,K877&lt;17),'Udvaskning nøgletal'!$C$61,IF(AND(Q877&gt;0,Q877&lt;30,K877&lt;7),'Udvaskning nøgletal'!$C$62,"")))</f>
        <v/>
      </c>
      <c r="AI877" s="10">
        <f t="shared" si="140"/>
        <v>260</v>
      </c>
      <c r="AJ877" s="10">
        <f>IF($X877=1,LOOKUP(AI877,'Udvaskning nøgletal'!$C$12:$C$62,'Udvaskning nøgletal'!$E$12:$E$62)+Markniveau!$Y877*Markniveau!$S877/100,IF($X877=2,LOOKUP(AI877,'Udvaskning nøgletal'!$C$12:$C$62,'Udvaskning nøgletal'!$F$12:$F$62)+Markniveau!$Y877*Markniveau!$S877/100,IF($X877=3,LOOKUP(AI877,'Udvaskning nøgletal'!$C$12:$C$62,'Udvaskning nøgletal'!Q887:Q937)+Markniveau!$Y877*Markniveau!$S877/100,"")))</f>
        <v>27.331185321443094</v>
      </c>
      <c r="AK877" s="10">
        <f t="shared" si="139"/>
        <v>374.43723890377038</v>
      </c>
      <c r="AL877" s="10" t="str">
        <f t="shared" si="141"/>
        <v/>
      </c>
      <c r="AM877" s="10" t="str">
        <f t="shared" si="142"/>
        <v/>
      </c>
    </row>
    <row r="878" spans="1:39" x14ac:dyDescent="0.25">
      <c r="A878" s="15">
        <v>27798330</v>
      </c>
      <c r="B878" s="15">
        <v>41.92</v>
      </c>
      <c r="C878" s="15">
        <v>70322</v>
      </c>
      <c r="D878" s="15">
        <v>96106</v>
      </c>
      <c r="E878" s="15" t="s">
        <v>684</v>
      </c>
      <c r="F878" s="15">
        <v>2011</v>
      </c>
      <c r="G878" s="15">
        <v>20110406</v>
      </c>
      <c r="H878" s="15">
        <v>11130</v>
      </c>
      <c r="I878" s="15">
        <v>1.1100000000000001</v>
      </c>
      <c r="J878" s="6" t="s">
        <v>685</v>
      </c>
      <c r="K878" s="15">
        <v>11</v>
      </c>
      <c r="L878" s="15" t="s">
        <v>102</v>
      </c>
      <c r="M878" s="15" t="s">
        <v>5</v>
      </c>
      <c r="N878" s="11" t="s">
        <v>1391</v>
      </c>
      <c r="O878" s="11" t="s">
        <v>46</v>
      </c>
      <c r="P878" s="11" t="s">
        <v>33</v>
      </c>
      <c r="Q878" s="15">
        <v>0</v>
      </c>
      <c r="R878" s="11" t="s">
        <v>1386</v>
      </c>
      <c r="S878" s="10">
        <v>151.42095954723999</v>
      </c>
      <c r="T878" s="15">
        <v>80</v>
      </c>
      <c r="U878" s="15">
        <v>0</v>
      </c>
      <c r="V878" s="15">
        <v>1</v>
      </c>
      <c r="W878" s="15">
        <v>0</v>
      </c>
      <c r="X878" s="15">
        <f>IF(O878='Udvaskning nøgletal'!$D$65,1,IF(O878='Udvaskning nøgletal'!$D$66,2,IF(O878='Udvaskning nøgletal'!$D$67,3,IF(O878='Udvaskning nøgletal'!$D$68,2,""))))</f>
        <v>2</v>
      </c>
      <c r="Y878" s="15">
        <f>LOOKUP(K878,'Udvaskning nøgletal'!$C$12:$C$60,'Udvaskning nøgletal'!$H$12:$H$60)</f>
        <v>5</v>
      </c>
      <c r="Z878" s="10">
        <f>IF(X878=1,LOOKUP(K878,'Udvaskning nøgletal'!$C$12:$C$60,'Udvaskning nøgletal'!$E$12:$E$60)+Markniveau!Y878*Markniveau!S878/100,IF(X878=2,LOOKUP(K878,'Udvaskning nøgletal'!$C$12:$C$60,'Udvaskning nøgletal'!$F$12:$F$60)+Markniveau!Y878*Markniveau!S878/100,IF(X878=3,LOOKUP(K878,'Udvaskning nøgletal'!$C$12:$C$60,'Udvaskning nøgletal'!G888:G936)+Markniveau!Y878*Markniveau!S878/100,"")))</f>
        <v>58.451047977362002</v>
      </c>
      <c r="AA878" s="10">
        <f t="shared" si="136"/>
        <v>64.880663254871834</v>
      </c>
      <c r="AB878" s="10" t="str">
        <f t="shared" si="135"/>
        <v/>
      </c>
      <c r="AC878" s="10" t="str">
        <f t="shared" si="137"/>
        <v/>
      </c>
      <c r="AD878" s="10">
        <f>IF(AND(Q878&gt;0,Q878&lt;30,K878&lt;8),Markniveau!Z878*'Udvaskning nøgletal'!$I$12/100,IF(AND(Q878&gt;0,Q878&lt;30,K878=216),Markniveau!Z878*'Udvaskning nøgletal'!$I$34/100,Markniveau!Z878))</f>
        <v>58.451047977362002</v>
      </c>
      <c r="AE878" s="10">
        <f t="shared" si="143"/>
        <v>64.880663254871834</v>
      </c>
      <c r="AF878" s="10" t="str">
        <f t="shared" si="138"/>
        <v/>
      </c>
      <c r="AG878" s="10" t="str">
        <f t="shared" si="144"/>
        <v/>
      </c>
      <c r="AH878" s="10" t="str">
        <f>IF(AND(Q878&gt;0,Q878&lt;30,K878=216),'Udvaskning nøgletal'!$C$42,IF(AND(Q878&gt;0,Q878&lt;30,K878&gt;7,K878&lt;17),'Udvaskning nøgletal'!$C$61,IF(AND(Q878&gt;0,Q878&lt;30,K878&lt;7),'Udvaskning nøgletal'!$C$62,"")))</f>
        <v/>
      </c>
      <c r="AI878" s="10">
        <f t="shared" si="140"/>
        <v>11</v>
      </c>
      <c r="AJ878" s="10">
        <f>IF($X878=1,LOOKUP(AI878,'Udvaskning nøgletal'!$C$12:$C$62,'Udvaskning nøgletal'!$E$12:$E$62)+Markniveau!$Y878*Markniveau!$S878/100,IF($X878=2,LOOKUP(AI878,'Udvaskning nøgletal'!$C$12:$C$62,'Udvaskning nøgletal'!$F$12:$F$62)+Markniveau!$Y878*Markniveau!$S878/100,IF($X878=3,LOOKUP(AI878,'Udvaskning nøgletal'!$C$12:$C$62,'Udvaskning nøgletal'!Q888:Q938)+Markniveau!$Y878*Markniveau!$S878/100,"")))</f>
        <v>58.451047977362002</v>
      </c>
      <c r="AK878" s="10">
        <f t="shared" si="139"/>
        <v>64.880663254871834</v>
      </c>
      <c r="AL878" s="10" t="str">
        <f t="shared" si="141"/>
        <v/>
      </c>
      <c r="AM878" s="10" t="str">
        <f t="shared" si="142"/>
        <v/>
      </c>
    </row>
    <row r="879" spans="1:39" x14ac:dyDescent="0.25">
      <c r="A879" s="15">
        <v>27798330</v>
      </c>
      <c r="B879" s="15">
        <v>41.92</v>
      </c>
      <c r="C879" s="15">
        <v>70323</v>
      </c>
      <c r="D879" s="15">
        <v>96106</v>
      </c>
      <c r="E879" s="15" t="s">
        <v>686</v>
      </c>
      <c r="F879" s="15">
        <v>2011</v>
      </c>
      <c r="G879" s="15">
        <v>20110406</v>
      </c>
      <c r="H879" s="15">
        <v>30767</v>
      </c>
      <c r="I879" s="15">
        <v>3.08</v>
      </c>
      <c r="J879" s="6" t="s">
        <v>547</v>
      </c>
      <c r="K879" s="15">
        <v>11</v>
      </c>
      <c r="L879" s="15" t="s">
        <v>102</v>
      </c>
      <c r="M879" s="15" t="s">
        <v>5</v>
      </c>
      <c r="N879" s="11" t="s">
        <v>1391</v>
      </c>
      <c r="O879" s="11" t="s">
        <v>46</v>
      </c>
      <c r="P879" s="11" t="s">
        <v>33</v>
      </c>
      <c r="Q879" s="15">
        <v>0</v>
      </c>
      <c r="R879" s="11" t="s">
        <v>1386</v>
      </c>
      <c r="S879" s="10">
        <v>151.42095954723999</v>
      </c>
      <c r="T879" s="15">
        <v>80</v>
      </c>
      <c r="U879" s="15">
        <v>0</v>
      </c>
      <c r="V879" s="15">
        <v>1</v>
      </c>
      <c r="W879" s="15">
        <v>0</v>
      </c>
      <c r="X879" s="15">
        <f>IF(O879='Udvaskning nøgletal'!$D$65,1,IF(O879='Udvaskning nøgletal'!$D$66,2,IF(O879='Udvaskning nøgletal'!$D$67,3,IF(O879='Udvaskning nøgletal'!$D$68,2,""))))</f>
        <v>2</v>
      </c>
      <c r="Y879" s="15">
        <f>LOOKUP(K879,'Udvaskning nøgletal'!$C$12:$C$60,'Udvaskning nøgletal'!$H$12:$H$60)</f>
        <v>5</v>
      </c>
      <c r="Z879" s="10">
        <f>IF(X879=1,LOOKUP(K879,'Udvaskning nøgletal'!$C$12:$C$60,'Udvaskning nøgletal'!$E$12:$E$60)+Markniveau!Y879*Markniveau!S879/100,IF(X879=2,LOOKUP(K879,'Udvaskning nøgletal'!$C$12:$C$60,'Udvaskning nøgletal'!$F$12:$F$60)+Markniveau!Y879*Markniveau!S879/100,IF(X879=3,LOOKUP(K879,'Udvaskning nøgletal'!$C$12:$C$60,'Udvaskning nøgletal'!G889:G937)+Markniveau!Y879*Markniveau!S879/100,"")))</f>
        <v>58.451047977362002</v>
      </c>
      <c r="AA879" s="10">
        <f t="shared" si="136"/>
        <v>180.02922777027496</v>
      </c>
      <c r="AB879" s="10" t="str">
        <f t="shared" si="135"/>
        <v/>
      </c>
      <c r="AC879" s="10" t="str">
        <f t="shared" si="137"/>
        <v/>
      </c>
      <c r="AD879" s="10">
        <f>IF(AND(Q879&gt;0,Q879&lt;30,K879&lt;8),Markniveau!Z879*'Udvaskning nøgletal'!$I$12/100,IF(AND(Q879&gt;0,Q879&lt;30,K879=216),Markniveau!Z879*'Udvaskning nøgletal'!$I$34/100,Markniveau!Z879))</f>
        <v>58.451047977362002</v>
      </c>
      <c r="AE879" s="10">
        <f t="shared" si="143"/>
        <v>180.02922777027496</v>
      </c>
      <c r="AF879" s="10" t="str">
        <f t="shared" si="138"/>
        <v/>
      </c>
      <c r="AG879" s="10" t="str">
        <f t="shared" si="144"/>
        <v/>
      </c>
      <c r="AH879" s="10" t="str">
        <f>IF(AND(Q879&gt;0,Q879&lt;30,K879=216),'Udvaskning nøgletal'!$C$42,IF(AND(Q879&gt;0,Q879&lt;30,K879&gt;7,K879&lt;17),'Udvaskning nøgletal'!$C$61,IF(AND(Q879&gt;0,Q879&lt;30,K879&lt;7),'Udvaskning nøgletal'!$C$62,"")))</f>
        <v/>
      </c>
      <c r="AI879" s="10">
        <f t="shared" si="140"/>
        <v>11</v>
      </c>
      <c r="AJ879" s="10">
        <f>IF($X879=1,LOOKUP(AI879,'Udvaskning nøgletal'!$C$12:$C$62,'Udvaskning nøgletal'!$E$12:$E$62)+Markniveau!$Y879*Markniveau!$S879/100,IF($X879=2,LOOKUP(AI879,'Udvaskning nøgletal'!$C$12:$C$62,'Udvaskning nøgletal'!$F$12:$F$62)+Markniveau!$Y879*Markniveau!$S879/100,IF($X879=3,LOOKUP(AI879,'Udvaskning nøgletal'!$C$12:$C$62,'Udvaskning nøgletal'!Q889:Q939)+Markniveau!$Y879*Markniveau!$S879/100,"")))</f>
        <v>58.451047977362002</v>
      </c>
      <c r="AK879" s="10">
        <f t="shared" si="139"/>
        <v>180.02922777027496</v>
      </c>
      <c r="AL879" s="10" t="str">
        <f t="shared" si="141"/>
        <v/>
      </c>
      <c r="AM879" s="10" t="str">
        <f t="shared" si="142"/>
        <v/>
      </c>
    </row>
    <row r="880" spans="1:39" x14ac:dyDescent="0.25">
      <c r="A880" s="15">
        <v>27798330</v>
      </c>
      <c r="B880" s="15">
        <v>41.92</v>
      </c>
      <c r="C880" s="15">
        <v>70324</v>
      </c>
      <c r="D880" s="15">
        <v>96106</v>
      </c>
      <c r="E880" s="15" t="s">
        <v>686</v>
      </c>
      <c r="F880" s="15">
        <v>2011</v>
      </c>
      <c r="G880" s="15">
        <v>20110406</v>
      </c>
      <c r="H880" s="15">
        <v>12640</v>
      </c>
      <c r="I880" s="15">
        <v>1.26</v>
      </c>
      <c r="J880" s="6" t="s">
        <v>687</v>
      </c>
      <c r="K880" s="15">
        <v>252</v>
      </c>
      <c r="L880" s="15" t="s">
        <v>41</v>
      </c>
      <c r="M880" s="15" t="s">
        <v>4</v>
      </c>
      <c r="N880" s="11" t="s">
        <v>1391</v>
      </c>
      <c r="O880" s="11" t="s">
        <v>46</v>
      </c>
      <c r="P880" s="11" t="s">
        <v>33</v>
      </c>
      <c r="Q880" s="15">
        <v>0</v>
      </c>
      <c r="R880" s="11" t="s">
        <v>1386</v>
      </c>
      <c r="S880" s="10">
        <v>151.42095954723999</v>
      </c>
      <c r="T880" s="15">
        <v>80</v>
      </c>
      <c r="U880" s="15">
        <v>0</v>
      </c>
      <c r="V880" s="15">
        <v>1</v>
      </c>
      <c r="W880" s="15">
        <v>0</v>
      </c>
      <c r="X880" s="15">
        <f>IF(O880='Udvaskning nøgletal'!$D$65,1,IF(O880='Udvaskning nøgletal'!$D$66,2,IF(O880='Udvaskning nøgletal'!$D$67,3,IF(O880='Udvaskning nøgletal'!$D$68,2,""))))</f>
        <v>2</v>
      </c>
      <c r="Y880" s="15">
        <f>LOOKUP(K880,'Udvaskning nøgletal'!$C$12:$C$60,'Udvaskning nøgletal'!$H$12:$H$60)</f>
        <v>0</v>
      </c>
      <c r="Z880" s="10">
        <f>IF(X880=1,LOOKUP(K880,'Udvaskning nøgletal'!$C$12:$C$60,'Udvaskning nøgletal'!$E$12:$E$60)+Markniveau!Y880*Markniveau!S880/100,IF(X880=2,LOOKUP(K880,'Udvaskning nøgletal'!$C$12:$C$60,'Udvaskning nøgletal'!$F$12:$F$60)+Markniveau!Y880*Markniveau!S880/100,IF(X880=3,LOOKUP(K880,'Udvaskning nøgletal'!$C$12:$C$60,'Udvaskning nøgletal'!G890:G938)+Markniveau!Y880*Markniveau!S880/100,"")))</f>
        <v>21.2</v>
      </c>
      <c r="AA880" s="10">
        <f t="shared" si="136"/>
        <v>26.712</v>
      </c>
      <c r="AB880" s="10" t="str">
        <f t="shared" si="135"/>
        <v/>
      </c>
      <c r="AC880" s="10" t="str">
        <f t="shared" si="137"/>
        <v/>
      </c>
      <c r="AD880" s="10">
        <f>IF(AND(Q880&gt;0,Q880&lt;30,K880&lt;8),Markniveau!Z880*'Udvaskning nøgletal'!$I$12/100,IF(AND(Q880&gt;0,Q880&lt;30,K880=216),Markniveau!Z880*'Udvaskning nøgletal'!$I$34/100,Markniveau!Z880))</f>
        <v>21.2</v>
      </c>
      <c r="AE880" s="10">
        <f t="shared" si="143"/>
        <v>26.712</v>
      </c>
      <c r="AF880" s="10" t="str">
        <f t="shared" si="138"/>
        <v/>
      </c>
      <c r="AG880" s="10" t="str">
        <f t="shared" si="144"/>
        <v/>
      </c>
      <c r="AH880" s="10" t="str">
        <f>IF(AND(Q880&gt;0,Q880&lt;30,K880=216),'Udvaskning nøgletal'!$C$42,IF(AND(Q880&gt;0,Q880&lt;30,K880&gt;7,K880&lt;17),'Udvaskning nøgletal'!$C$61,IF(AND(Q880&gt;0,Q880&lt;30,K880&lt;7),'Udvaskning nøgletal'!$C$62,"")))</f>
        <v/>
      </c>
      <c r="AI880" s="10">
        <f t="shared" si="140"/>
        <v>252</v>
      </c>
      <c r="AJ880" s="10">
        <f>IF($X880=1,LOOKUP(AI880,'Udvaskning nøgletal'!$C$12:$C$62,'Udvaskning nøgletal'!$E$12:$E$62)+Markniveau!$Y880*Markniveau!$S880/100,IF($X880=2,LOOKUP(AI880,'Udvaskning nøgletal'!$C$12:$C$62,'Udvaskning nøgletal'!$F$12:$F$62)+Markniveau!$Y880*Markniveau!$S880/100,IF($X880=3,LOOKUP(AI880,'Udvaskning nøgletal'!$C$12:$C$62,'Udvaskning nøgletal'!Q890:Q940)+Markniveau!$Y880*Markniveau!$S880/100,"")))</f>
        <v>21.2</v>
      </c>
      <c r="AK880" s="10">
        <f t="shared" si="139"/>
        <v>26.712</v>
      </c>
      <c r="AL880" s="10" t="str">
        <f t="shared" si="141"/>
        <v/>
      </c>
      <c r="AM880" s="10" t="str">
        <f t="shared" si="142"/>
        <v/>
      </c>
    </row>
    <row r="881" spans="1:39" x14ac:dyDescent="0.25">
      <c r="A881" s="15">
        <v>27798330</v>
      </c>
      <c r="B881" s="15">
        <v>41.92</v>
      </c>
      <c r="C881" s="15">
        <v>70824</v>
      </c>
      <c r="D881" s="15">
        <v>96106</v>
      </c>
      <c r="E881" s="15" t="s">
        <v>686</v>
      </c>
      <c r="F881" s="15">
        <v>2011</v>
      </c>
      <c r="G881" s="15">
        <v>20110406</v>
      </c>
      <c r="H881" s="15">
        <v>53343</v>
      </c>
      <c r="I881" s="15">
        <v>5.33</v>
      </c>
      <c r="J881" s="6" t="s">
        <v>558</v>
      </c>
      <c r="K881" s="15">
        <v>11</v>
      </c>
      <c r="L881" s="15" t="s">
        <v>102</v>
      </c>
      <c r="M881" s="15" t="s">
        <v>5</v>
      </c>
      <c r="N881" s="11" t="s">
        <v>1391</v>
      </c>
      <c r="O881" s="11" t="s">
        <v>46</v>
      </c>
      <c r="P881" s="11" t="s">
        <v>33</v>
      </c>
      <c r="Q881" s="15">
        <v>0</v>
      </c>
      <c r="R881" s="11" t="s">
        <v>1386</v>
      </c>
      <c r="S881" s="10">
        <v>151.42095954723999</v>
      </c>
      <c r="T881" s="15">
        <v>80</v>
      </c>
      <c r="U881" s="15">
        <v>0</v>
      </c>
      <c r="V881" s="15">
        <v>1</v>
      </c>
      <c r="W881" s="15">
        <v>0</v>
      </c>
      <c r="X881" s="15">
        <f>IF(O881='Udvaskning nøgletal'!$D$65,1,IF(O881='Udvaskning nøgletal'!$D$66,2,IF(O881='Udvaskning nøgletal'!$D$67,3,IF(O881='Udvaskning nøgletal'!$D$68,2,""))))</f>
        <v>2</v>
      </c>
      <c r="Y881" s="15">
        <f>LOOKUP(K881,'Udvaskning nøgletal'!$C$12:$C$60,'Udvaskning nøgletal'!$H$12:$H$60)</f>
        <v>5</v>
      </c>
      <c r="Z881" s="10">
        <f>IF(X881=1,LOOKUP(K881,'Udvaskning nøgletal'!$C$12:$C$60,'Udvaskning nøgletal'!$E$12:$E$60)+Markniveau!Y881*Markniveau!S881/100,IF(X881=2,LOOKUP(K881,'Udvaskning nøgletal'!$C$12:$C$60,'Udvaskning nøgletal'!$F$12:$F$60)+Markniveau!Y881*Markniveau!S881/100,IF(X881=3,LOOKUP(K881,'Udvaskning nøgletal'!$C$12:$C$60,'Udvaskning nøgletal'!G891:G939)+Markniveau!Y881*Markniveau!S881/100,"")))</f>
        <v>58.451047977362002</v>
      </c>
      <c r="AA881" s="10">
        <f t="shared" si="136"/>
        <v>311.54408571933948</v>
      </c>
      <c r="AB881" s="10" t="str">
        <f t="shared" si="135"/>
        <v/>
      </c>
      <c r="AC881" s="10" t="str">
        <f t="shared" si="137"/>
        <v/>
      </c>
      <c r="AD881" s="10">
        <f>IF(AND(Q881&gt;0,Q881&lt;30,K881&lt;8),Markniveau!Z881*'Udvaskning nøgletal'!$I$12/100,IF(AND(Q881&gt;0,Q881&lt;30,K881=216),Markniveau!Z881*'Udvaskning nøgletal'!$I$34/100,Markniveau!Z881))</f>
        <v>58.451047977362002</v>
      </c>
      <c r="AE881" s="10">
        <f t="shared" si="143"/>
        <v>311.54408571933948</v>
      </c>
      <c r="AF881" s="10" t="str">
        <f t="shared" si="138"/>
        <v/>
      </c>
      <c r="AG881" s="10" t="str">
        <f t="shared" si="144"/>
        <v/>
      </c>
      <c r="AH881" s="10" t="str">
        <f>IF(AND(Q881&gt;0,Q881&lt;30,K881=216),'Udvaskning nøgletal'!$C$42,IF(AND(Q881&gt;0,Q881&lt;30,K881&gt;7,K881&lt;17),'Udvaskning nøgletal'!$C$61,IF(AND(Q881&gt;0,Q881&lt;30,K881&lt;7),'Udvaskning nøgletal'!$C$62,"")))</f>
        <v/>
      </c>
      <c r="AI881" s="10">
        <f t="shared" si="140"/>
        <v>11</v>
      </c>
      <c r="AJ881" s="10">
        <f>IF($X881=1,LOOKUP(AI881,'Udvaskning nøgletal'!$C$12:$C$62,'Udvaskning nøgletal'!$E$12:$E$62)+Markniveau!$Y881*Markniveau!$S881/100,IF($X881=2,LOOKUP(AI881,'Udvaskning nøgletal'!$C$12:$C$62,'Udvaskning nøgletal'!$F$12:$F$62)+Markniveau!$Y881*Markniveau!$S881/100,IF($X881=3,LOOKUP(AI881,'Udvaskning nøgletal'!$C$12:$C$62,'Udvaskning nøgletal'!Q891:Q941)+Markniveau!$Y881*Markniveau!$S881/100,"")))</f>
        <v>58.451047977362002</v>
      </c>
      <c r="AK881" s="10">
        <f t="shared" si="139"/>
        <v>311.54408571933948</v>
      </c>
      <c r="AL881" s="10" t="str">
        <f t="shared" si="141"/>
        <v/>
      </c>
      <c r="AM881" s="10" t="str">
        <f t="shared" si="142"/>
        <v/>
      </c>
    </row>
    <row r="882" spans="1:39" x14ac:dyDescent="0.25">
      <c r="A882" s="15">
        <v>27798330</v>
      </c>
      <c r="B882" s="15">
        <v>41.92</v>
      </c>
      <c r="C882" s="15">
        <v>70826</v>
      </c>
      <c r="D882" s="15">
        <v>96106</v>
      </c>
      <c r="E882" s="15" t="s">
        <v>688</v>
      </c>
      <c r="F882" s="15">
        <v>2011</v>
      </c>
      <c r="G882" s="15">
        <v>20110406</v>
      </c>
      <c r="H882" s="15">
        <v>44929</v>
      </c>
      <c r="I882" s="15">
        <v>4.49</v>
      </c>
      <c r="J882" s="6" t="s">
        <v>164</v>
      </c>
      <c r="K882" s="15">
        <v>260</v>
      </c>
      <c r="L882" s="15" t="s">
        <v>45</v>
      </c>
      <c r="M882" s="15" t="s">
        <v>5</v>
      </c>
      <c r="N882" s="11" t="s">
        <v>1391</v>
      </c>
      <c r="O882" s="11" t="s">
        <v>46</v>
      </c>
      <c r="P882" s="11" t="s">
        <v>33</v>
      </c>
      <c r="Q882" s="15">
        <v>0</v>
      </c>
      <c r="R882" s="11" t="s">
        <v>1386</v>
      </c>
      <c r="S882" s="10">
        <v>151.42095954723999</v>
      </c>
      <c r="T882" s="15">
        <v>80</v>
      </c>
      <c r="U882" s="15">
        <v>0</v>
      </c>
      <c r="V882" s="15">
        <v>1</v>
      </c>
      <c r="W882" s="15">
        <v>0</v>
      </c>
      <c r="X882" s="15">
        <f>IF(O882='Udvaskning nøgletal'!$D$65,1,IF(O882='Udvaskning nøgletal'!$D$66,2,IF(O882='Udvaskning nøgletal'!$D$67,3,IF(O882='Udvaskning nøgletal'!$D$68,2,""))))</f>
        <v>2</v>
      </c>
      <c r="Y882" s="15">
        <f>LOOKUP(K882,'Udvaskning nøgletal'!$C$12:$C$60,'Udvaskning nøgletal'!$H$12:$H$60)</f>
        <v>0</v>
      </c>
      <c r="Z882" s="10">
        <f>IF(X882=1,LOOKUP(K882,'Udvaskning nøgletal'!$C$12:$C$60,'Udvaskning nøgletal'!$E$12:$E$60)+Markniveau!Y882*Markniveau!S882/100,IF(X882=2,LOOKUP(K882,'Udvaskning nøgletal'!$C$12:$C$60,'Udvaskning nøgletal'!$F$12:$F$60)+Markniveau!Y882*Markniveau!S882/100,IF(X882=3,LOOKUP(K882,'Udvaskning nøgletal'!$C$12:$C$60,'Udvaskning nøgletal'!G892:G940)+Markniveau!Y882*Markniveau!S882/100,"")))</f>
        <v>27.331185321443094</v>
      </c>
      <c r="AA882" s="10">
        <f t="shared" si="136"/>
        <v>122.7170220932795</v>
      </c>
      <c r="AB882" s="10" t="str">
        <f t="shared" si="135"/>
        <v/>
      </c>
      <c r="AC882" s="10" t="str">
        <f t="shared" si="137"/>
        <v/>
      </c>
      <c r="AD882" s="10">
        <f>IF(AND(Q882&gt;0,Q882&lt;30,K882&lt;8),Markniveau!Z882*'Udvaskning nøgletal'!$I$12/100,IF(AND(Q882&gt;0,Q882&lt;30,K882=216),Markniveau!Z882*'Udvaskning nøgletal'!$I$34/100,Markniveau!Z882))</f>
        <v>27.331185321443094</v>
      </c>
      <c r="AE882" s="10">
        <f t="shared" si="143"/>
        <v>122.7170220932795</v>
      </c>
      <c r="AF882" s="10" t="str">
        <f t="shared" si="138"/>
        <v/>
      </c>
      <c r="AG882" s="10" t="str">
        <f t="shared" si="144"/>
        <v/>
      </c>
      <c r="AH882" s="10" t="str">
        <f>IF(AND(Q882&gt;0,Q882&lt;30,K882=216),'Udvaskning nøgletal'!$C$42,IF(AND(Q882&gt;0,Q882&lt;30,K882&gt;7,K882&lt;17),'Udvaskning nøgletal'!$C$61,IF(AND(Q882&gt;0,Q882&lt;30,K882&lt;7),'Udvaskning nøgletal'!$C$62,"")))</f>
        <v/>
      </c>
      <c r="AI882" s="10">
        <f t="shared" si="140"/>
        <v>260</v>
      </c>
      <c r="AJ882" s="10">
        <f>IF($X882=1,LOOKUP(AI882,'Udvaskning nøgletal'!$C$12:$C$62,'Udvaskning nøgletal'!$E$12:$E$62)+Markniveau!$Y882*Markniveau!$S882/100,IF($X882=2,LOOKUP(AI882,'Udvaskning nøgletal'!$C$12:$C$62,'Udvaskning nøgletal'!$F$12:$F$62)+Markniveau!$Y882*Markniveau!$S882/100,IF($X882=3,LOOKUP(AI882,'Udvaskning nøgletal'!$C$12:$C$62,'Udvaskning nøgletal'!Q892:Q942)+Markniveau!$Y882*Markniveau!$S882/100,"")))</f>
        <v>27.331185321443094</v>
      </c>
      <c r="AK882" s="10">
        <f t="shared" si="139"/>
        <v>122.7170220932795</v>
      </c>
      <c r="AL882" s="10" t="str">
        <f t="shared" si="141"/>
        <v/>
      </c>
      <c r="AM882" s="10" t="str">
        <f t="shared" si="142"/>
        <v/>
      </c>
    </row>
    <row r="883" spans="1:39" x14ac:dyDescent="0.25">
      <c r="A883" s="15">
        <v>27798330</v>
      </c>
      <c r="B883" s="15">
        <v>41.92</v>
      </c>
      <c r="C883" s="15">
        <v>70827</v>
      </c>
      <c r="D883" s="15">
        <v>96106</v>
      </c>
      <c r="E883" s="15" t="s">
        <v>689</v>
      </c>
      <c r="F883" s="15">
        <v>2011</v>
      </c>
      <c r="G883" s="15">
        <v>20110406</v>
      </c>
      <c r="H883" s="15">
        <v>6537</v>
      </c>
      <c r="I883" s="15">
        <v>0.65</v>
      </c>
      <c r="J883" s="6" t="s">
        <v>137</v>
      </c>
      <c r="K883" s="15">
        <v>260</v>
      </c>
      <c r="L883" s="15" t="s">
        <v>45</v>
      </c>
      <c r="M883" s="15" t="s">
        <v>5</v>
      </c>
      <c r="N883" s="11" t="s">
        <v>1391</v>
      </c>
      <c r="O883" s="11" t="s">
        <v>46</v>
      </c>
      <c r="P883" s="11" t="s">
        <v>33</v>
      </c>
      <c r="Q883" s="15">
        <v>0</v>
      </c>
      <c r="R883" s="11" t="s">
        <v>1386</v>
      </c>
      <c r="S883" s="10">
        <v>151.42095954723999</v>
      </c>
      <c r="T883" s="15">
        <v>80</v>
      </c>
      <c r="U883" s="15">
        <v>0</v>
      </c>
      <c r="V883" s="15">
        <v>1</v>
      </c>
      <c r="W883" s="15">
        <v>0</v>
      </c>
      <c r="X883" s="15">
        <f>IF(O883='Udvaskning nøgletal'!$D$65,1,IF(O883='Udvaskning nøgletal'!$D$66,2,IF(O883='Udvaskning nøgletal'!$D$67,3,IF(O883='Udvaskning nøgletal'!$D$68,2,""))))</f>
        <v>2</v>
      </c>
      <c r="Y883" s="15">
        <f>LOOKUP(K883,'Udvaskning nøgletal'!$C$12:$C$60,'Udvaskning nøgletal'!$H$12:$H$60)</f>
        <v>0</v>
      </c>
      <c r="Z883" s="10">
        <f>IF(X883=1,LOOKUP(K883,'Udvaskning nøgletal'!$C$12:$C$60,'Udvaskning nøgletal'!$E$12:$E$60)+Markniveau!Y883*Markniveau!S883/100,IF(X883=2,LOOKUP(K883,'Udvaskning nøgletal'!$C$12:$C$60,'Udvaskning nøgletal'!$F$12:$F$60)+Markniveau!Y883*Markniveau!S883/100,IF(X883=3,LOOKUP(K883,'Udvaskning nøgletal'!$C$12:$C$60,'Udvaskning nøgletal'!G893:G941)+Markniveau!Y883*Markniveau!S883/100,"")))</f>
        <v>27.331185321443094</v>
      </c>
      <c r="AA883" s="10">
        <f t="shared" si="136"/>
        <v>17.765270458938012</v>
      </c>
      <c r="AB883" s="10" t="str">
        <f t="shared" si="135"/>
        <v/>
      </c>
      <c r="AC883" s="10" t="str">
        <f t="shared" si="137"/>
        <v/>
      </c>
      <c r="AD883" s="10">
        <f>IF(AND(Q883&gt;0,Q883&lt;30,K883&lt;8),Markniveau!Z883*'Udvaskning nøgletal'!$I$12/100,IF(AND(Q883&gt;0,Q883&lt;30,K883=216),Markniveau!Z883*'Udvaskning nøgletal'!$I$34/100,Markniveau!Z883))</f>
        <v>27.331185321443094</v>
      </c>
      <c r="AE883" s="10">
        <f t="shared" si="143"/>
        <v>17.765270458938012</v>
      </c>
      <c r="AF883" s="10" t="str">
        <f t="shared" si="138"/>
        <v/>
      </c>
      <c r="AG883" s="10" t="str">
        <f t="shared" si="144"/>
        <v/>
      </c>
      <c r="AH883" s="10" t="str">
        <f>IF(AND(Q883&gt;0,Q883&lt;30,K883=216),'Udvaskning nøgletal'!$C$42,IF(AND(Q883&gt;0,Q883&lt;30,K883&gt;7,K883&lt;17),'Udvaskning nøgletal'!$C$61,IF(AND(Q883&gt;0,Q883&lt;30,K883&lt;7),'Udvaskning nøgletal'!$C$62,"")))</f>
        <v/>
      </c>
      <c r="AI883" s="10">
        <f t="shared" si="140"/>
        <v>260</v>
      </c>
      <c r="AJ883" s="10">
        <f>IF($X883=1,LOOKUP(AI883,'Udvaskning nøgletal'!$C$12:$C$62,'Udvaskning nøgletal'!$E$12:$E$62)+Markniveau!$Y883*Markniveau!$S883/100,IF($X883=2,LOOKUP(AI883,'Udvaskning nøgletal'!$C$12:$C$62,'Udvaskning nøgletal'!$F$12:$F$62)+Markniveau!$Y883*Markniveau!$S883/100,IF($X883=3,LOOKUP(AI883,'Udvaskning nøgletal'!$C$12:$C$62,'Udvaskning nøgletal'!Q893:Q943)+Markniveau!$Y883*Markniveau!$S883/100,"")))</f>
        <v>27.331185321443094</v>
      </c>
      <c r="AK883" s="10">
        <f t="shared" si="139"/>
        <v>17.765270458938012</v>
      </c>
      <c r="AL883" s="10" t="str">
        <f t="shared" si="141"/>
        <v/>
      </c>
      <c r="AM883" s="10" t="str">
        <f t="shared" si="142"/>
        <v/>
      </c>
    </row>
    <row r="884" spans="1:39" x14ac:dyDescent="0.25">
      <c r="A884" s="15">
        <v>27798330</v>
      </c>
      <c r="B884" s="15">
        <v>41.92</v>
      </c>
      <c r="C884" s="15">
        <v>70828</v>
      </c>
      <c r="D884" s="15">
        <v>96106</v>
      </c>
      <c r="E884" s="15" t="s">
        <v>671</v>
      </c>
      <c r="F884" s="15">
        <v>2011</v>
      </c>
      <c r="G884" s="15">
        <v>20110406</v>
      </c>
      <c r="H884" s="15">
        <v>15345</v>
      </c>
      <c r="I884" s="15">
        <v>1.53</v>
      </c>
      <c r="J884" s="6" t="s">
        <v>1517</v>
      </c>
      <c r="K884" s="15">
        <v>252</v>
      </c>
      <c r="L884" s="15" t="s">
        <v>41</v>
      </c>
      <c r="M884" s="15" t="s">
        <v>4</v>
      </c>
      <c r="N884" s="11" t="s">
        <v>1391</v>
      </c>
      <c r="O884" s="11" t="s">
        <v>46</v>
      </c>
      <c r="P884" s="11" t="s">
        <v>33</v>
      </c>
      <c r="Q884" s="15">
        <v>0</v>
      </c>
      <c r="R884" s="11" t="s">
        <v>1386</v>
      </c>
      <c r="S884" s="10">
        <v>151.42095954723999</v>
      </c>
      <c r="T884" s="15">
        <v>80</v>
      </c>
      <c r="U884" s="15">
        <v>0</v>
      </c>
      <c r="V884" s="15">
        <v>1</v>
      </c>
      <c r="W884" s="15">
        <v>0</v>
      </c>
      <c r="X884" s="15">
        <f>IF(O884='Udvaskning nøgletal'!$D$65,1,IF(O884='Udvaskning nøgletal'!$D$66,2,IF(O884='Udvaskning nøgletal'!$D$67,3,IF(O884='Udvaskning nøgletal'!$D$68,2,""))))</f>
        <v>2</v>
      </c>
      <c r="Y884" s="15">
        <f>LOOKUP(K884,'Udvaskning nøgletal'!$C$12:$C$60,'Udvaskning nøgletal'!$H$12:$H$60)</f>
        <v>0</v>
      </c>
      <c r="Z884" s="10">
        <f>IF(X884=1,LOOKUP(K884,'Udvaskning nøgletal'!$C$12:$C$60,'Udvaskning nøgletal'!$E$12:$E$60)+Markniveau!Y884*Markniveau!S884/100,IF(X884=2,LOOKUP(K884,'Udvaskning nøgletal'!$C$12:$C$60,'Udvaskning nøgletal'!$F$12:$F$60)+Markniveau!Y884*Markniveau!S884/100,IF(X884=3,LOOKUP(K884,'Udvaskning nøgletal'!$C$12:$C$60,'Udvaskning nøgletal'!G894:G942)+Markniveau!Y884*Markniveau!S884/100,"")))</f>
        <v>21.2</v>
      </c>
      <c r="AA884" s="10">
        <f t="shared" si="136"/>
        <v>32.436</v>
      </c>
      <c r="AB884" s="10" t="str">
        <f t="shared" si="135"/>
        <v/>
      </c>
      <c r="AC884" s="10" t="str">
        <f t="shared" si="137"/>
        <v/>
      </c>
      <c r="AD884" s="10">
        <f>IF(AND(Q884&gt;0,Q884&lt;30,K884&lt;8),Markniveau!Z884*'Udvaskning nøgletal'!$I$12/100,IF(AND(Q884&gt;0,Q884&lt;30,K884=216),Markniveau!Z884*'Udvaskning nøgletal'!$I$34/100,Markniveau!Z884))</f>
        <v>21.2</v>
      </c>
      <c r="AE884" s="10">
        <f t="shared" si="143"/>
        <v>32.436</v>
      </c>
      <c r="AF884" s="10" t="str">
        <f t="shared" si="138"/>
        <v/>
      </c>
      <c r="AG884" s="10" t="str">
        <f t="shared" si="144"/>
        <v/>
      </c>
      <c r="AH884" s="10" t="str">
        <f>IF(AND(Q884&gt;0,Q884&lt;30,K884=216),'Udvaskning nøgletal'!$C$42,IF(AND(Q884&gt;0,Q884&lt;30,K884&gt;7,K884&lt;17),'Udvaskning nøgletal'!$C$61,IF(AND(Q884&gt;0,Q884&lt;30,K884&lt;7),'Udvaskning nøgletal'!$C$62,"")))</f>
        <v/>
      </c>
      <c r="AI884" s="10">
        <f t="shared" si="140"/>
        <v>252</v>
      </c>
      <c r="AJ884" s="10">
        <f>IF($X884=1,LOOKUP(AI884,'Udvaskning nøgletal'!$C$12:$C$62,'Udvaskning nøgletal'!$E$12:$E$62)+Markniveau!$Y884*Markniveau!$S884/100,IF($X884=2,LOOKUP(AI884,'Udvaskning nøgletal'!$C$12:$C$62,'Udvaskning nøgletal'!$F$12:$F$62)+Markniveau!$Y884*Markniveau!$S884/100,IF($X884=3,LOOKUP(AI884,'Udvaskning nøgletal'!$C$12:$C$62,'Udvaskning nøgletal'!Q894:Q944)+Markniveau!$Y884*Markniveau!$S884/100,"")))</f>
        <v>21.2</v>
      </c>
      <c r="AK884" s="10">
        <f t="shared" si="139"/>
        <v>32.436</v>
      </c>
      <c r="AL884" s="10" t="str">
        <f t="shared" si="141"/>
        <v/>
      </c>
      <c r="AM884" s="10" t="str">
        <f t="shared" si="142"/>
        <v/>
      </c>
    </row>
    <row r="885" spans="1:39" x14ac:dyDescent="0.25">
      <c r="A885" s="15">
        <v>27798330</v>
      </c>
      <c r="B885" s="15">
        <v>41.92</v>
      </c>
      <c r="C885" s="15">
        <v>70829</v>
      </c>
      <c r="D885" s="15">
        <v>96106</v>
      </c>
      <c r="E885" s="15" t="s">
        <v>671</v>
      </c>
      <c r="F885" s="15">
        <v>2011</v>
      </c>
      <c r="G885" s="15">
        <v>20110406</v>
      </c>
      <c r="H885" s="15">
        <v>11495</v>
      </c>
      <c r="I885" s="15">
        <v>1.1499999999999999</v>
      </c>
      <c r="J885" s="6" t="s">
        <v>690</v>
      </c>
      <c r="K885" s="15">
        <v>263</v>
      </c>
      <c r="L885" s="15" t="s">
        <v>39</v>
      </c>
      <c r="M885" s="15" t="s">
        <v>5</v>
      </c>
      <c r="N885" s="11" t="s">
        <v>1391</v>
      </c>
      <c r="O885" s="11" t="s">
        <v>46</v>
      </c>
      <c r="P885" s="11" t="s">
        <v>33</v>
      </c>
      <c r="Q885" s="15">
        <v>0</v>
      </c>
      <c r="R885" s="11" t="s">
        <v>1386</v>
      </c>
      <c r="S885" s="10">
        <v>151.42095954723999</v>
      </c>
      <c r="T885" s="15">
        <v>80</v>
      </c>
      <c r="U885" s="15">
        <v>0</v>
      </c>
      <c r="V885" s="15">
        <v>1</v>
      </c>
      <c r="W885" s="15">
        <v>0</v>
      </c>
      <c r="X885" s="15">
        <f>IF(O885='Udvaskning nøgletal'!$D$65,1,IF(O885='Udvaskning nøgletal'!$D$66,2,IF(O885='Udvaskning nøgletal'!$D$67,3,IF(O885='Udvaskning nøgletal'!$D$68,2,""))))</f>
        <v>2</v>
      </c>
      <c r="Y885" s="15">
        <f>LOOKUP(K885,'Udvaskning nøgletal'!$C$12:$C$60,'Udvaskning nøgletal'!$H$12:$H$60)</f>
        <v>0</v>
      </c>
      <c r="Z885" s="10">
        <f>IF(X885=1,LOOKUP(K885,'Udvaskning nøgletal'!$C$12:$C$60,'Udvaskning nøgletal'!$E$12:$E$60)+Markniveau!Y885*Markniveau!S885/100,IF(X885=2,LOOKUP(K885,'Udvaskning nøgletal'!$C$12:$C$60,'Udvaskning nøgletal'!$F$12:$F$60)+Markniveau!Y885*Markniveau!S885/100,IF(X885=3,LOOKUP(K885,'Udvaskning nøgletal'!$C$12:$C$60,'Udvaskning nøgletal'!G895:G943)+Markniveau!Y885*Markniveau!S885/100,"")))</f>
        <v>27.331185321443094</v>
      </c>
      <c r="AA885" s="10">
        <f t="shared" si="136"/>
        <v>31.430863119659556</v>
      </c>
      <c r="AB885" s="10" t="str">
        <f t="shared" si="135"/>
        <v/>
      </c>
      <c r="AC885" s="10" t="str">
        <f t="shared" si="137"/>
        <v/>
      </c>
      <c r="AD885" s="10">
        <f>IF(AND(Q885&gt;0,Q885&lt;30,K885&lt;8),Markniveau!Z885*'Udvaskning nøgletal'!$I$12/100,IF(AND(Q885&gt;0,Q885&lt;30,K885=216),Markniveau!Z885*'Udvaskning nøgletal'!$I$34/100,Markniveau!Z885))</f>
        <v>27.331185321443094</v>
      </c>
      <c r="AE885" s="10">
        <f t="shared" si="143"/>
        <v>31.430863119659556</v>
      </c>
      <c r="AF885" s="10" t="str">
        <f t="shared" si="138"/>
        <v/>
      </c>
      <c r="AG885" s="10" t="str">
        <f t="shared" si="144"/>
        <v/>
      </c>
      <c r="AH885" s="10" t="str">
        <f>IF(AND(Q885&gt;0,Q885&lt;30,K885=216),'Udvaskning nøgletal'!$C$42,IF(AND(Q885&gt;0,Q885&lt;30,K885&gt;7,K885&lt;17),'Udvaskning nøgletal'!$C$61,IF(AND(Q885&gt;0,Q885&lt;30,K885&lt;7),'Udvaskning nøgletal'!$C$62,"")))</f>
        <v/>
      </c>
      <c r="AI885" s="10">
        <f t="shared" si="140"/>
        <v>263</v>
      </c>
      <c r="AJ885" s="10">
        <f>IF($X885=1,LOOKUP(AI885,'Udvaskning nøgletal'!$C$12:$C$62,'Udvaskning nøgletal'!$E$12:$E$62)+Markniveau!$Y885*Markniveau!$S885/100,IF($X885=2,LOOKUP(AI885,'Udvaskning nøgletal'!$C$12:$C$62,'Udvaskning nøgletal'!$F$12:$F$62)+Markniveau!$Y885*Markniveau!$S885/100,IF($X885=3,LOOKUP(AI885,'Udvaskning nøgletal'!$C$12:$C$62,'Udvaskning nøgletal'!Q895:Q945)+Markniveau!$Y885*Markniveau!$S885/100,"")))</f>
        <v>27.331185321443094</v>
      </c>
      <c r="AK885" s="10">
        <f t="shared" si="139"/>
        <v>31.430863119659556</v>
      </c>
      <c r="AL885" s="10" t="str">
        <f t="shared" si="141"/>
        <v/>
      </c>
      <c r="AM885" s="10" t="str">
        <f t="shared" si="142"/>
        <v/>
      </c>
    </row>
    <row r="886" spans="1:39" x14ac:dyDescent="0.25">
      <c r="A886" s="15">
        <v>27798330</v>
      </c>
      <c r="B886" s="15">
        <v>41.92</v>
      </c>
      <c r="C886" s="15">
        <v>70830</v>
      </c>
      <c r="D886" s="15">
        <v>96106</v>
      </c>
      <c r="E886" s="15" t="s">
        <v>671</v>
      </c>
      <c r="F886" s="15">
        <v>2011</v>
      </c>
      <c r="G886" s="15">
        <v>20110406</v>
      </c>
      <c r="H886" s="15">
        <v>340721</v>
      </c>
      <c r="I886" s="15">
        <v>34.07</v>
      </c>
      <c r="J886" s="6" t="s">
        <v>454</v>
      </c>
      <c r="K886" s="15">
        <v>263</v>
      </c>
      <c r="L886" s="15" t="s">
        <v>39</v>
      </c>
      <c r="M886" s="15" t="s">
        <v>5</v>
      </c>
      <c r="N886" s="11" t="s">
        <v>1391</v>
      </c>
      <c r="O886" s="11" t="s">
        <v>46</v>
      </c>
      <c r="P886" s="11" t="s">
        <v>33</v>
      </c>
      <c r="Q886" s="15">
        <v>0</v>
      </c>
      <c r="R886" s="11" t="s">
        <v>1386</v>
      </c>
      <c r="S886" s="10">
        <v>151.42095954723999</v>
      </c>
      <c r="T886" s="15">
        <v>80</v>
      </c>
      <c r="U886" s="15">
        <v>0</v>
      </c>
      <c r="V886" s="15">
        <v>1</v>
      </c>
      <c r="W886" s="15">
        <v>0</v>
      </c>
      <c r="X886" s="15">
        <f>IF(O886='Udvaskning nøgletal'!$D$65,1,IF(O886='Udvaskning nøgletal'!$D$66,2,IF(O886='Udvaskning nøgletal'!$D$67,3,IF(O886='Udvaskning nøgletal'!$D$68,2,""))))</f>
        <v>2</v>
      </c>
      <c r="Y886" s="15">
        <f>LOOKUP(K886,'Udvaskning nøgletal'!$C$12:$C$60,'Udvaskning nøgletal'!$H$12:$H$60)</f>
        <v>0</v>
      </c>
      <c r="Z886" s="10">
        <f>IF(X886=1,LOOKUP(K886,'Udvaskning nøgletal'!$C$12:$C$60,'Udvaskning nøgletal'!$E$12:$E$60)+Markniveau!Y886*Markniveau!S886/100,IF(X886=2,LOOKUP(K886,'Udvaskning nøgletal'!$C$12:$C$60,'Udvaskning nøgletal'!$F$12:$F$60)+Markniveau!Y886*Markniveau!S886/100,IF(X886=3,LOOKUP(K886,'Udvaskning nøgletal'!$C$12:$C$60,'Udvaskning nøgletal'!G896:G944)+Markniveau!Y886*Markniveau!S886/100,"")))</f>
        <v>27.331185321443094</v>
      </c>
      <c r="AA886" s="10">
        <f t="shared" si="136"/>
        <v>931.17348390156621</v>
      </c>
      <c r="AB886" s="10" t="str">
        <f t="shared" si="135"/>
        <v/>
      </c>
      <c r="AC886" s="10" t="str">
        <f t="shared" si="137"/>
        <v/>
      </c>
      <c r="AD886" s="10">
        <f>IF(AND(Q886&gt;0,Q886&lt;30,K886&lt;8),Markniveau!Z886*'Udvaskning nøgletal'!$I$12/100,IF(AND(Q886&gt;0,Q886&lt;30,K886=216),Markniveau!Z886*'Udvaskning nøgletal'!$I$34/100,Markniveau!Z886))</f>
        <v>27.331185321443094</v>
      </c>
      <c r="AE886" s="10">
        <f t="shared" si="143"/>
        <v>931.17348390156621</v>
      </c>
      <c r="AF886" s="10" t="str">
        <f t="shared" si="138"/>
        <v/>
      </c>
      <c r="AG886" s="10" t="str">
        <f t="shared" si="144"/>
        <v/>
      </c>
      <c r="AH886" s="10" t="str">
        <f>IF(AND(Q886&gt;0,Q886&lt;30,K886=216),'Udvaskning nøgletal'!$C$42,IF(AND(Q886&gt;0,Q886&lt;30,K886&gt;7,K886&lt;17),'Udvaskning nøgletal'!$C$61,IF(AND(Q886&gt;0,Q886&lt;30,K886&lt;7),'Udvaskning nøgletal'!$C$62,"")))</f>
        <v/>
      </c>
      <c r="AI886" s="10">
        <f t="shared" si="140"/>
        <v>263</v>
      </c>
      <c r="AJ886" s="10">
        <f>IF($X886=1,LOOKUP(AI886,'Udvaskning nøgletal'!$C$12:$C$62,'Udvaskning nøgletal'!$E$12:$E$62)+Markniveau!$Y886*Markniveau!$S886/100,IF($X886=2,LOOKUP(AI886,'Udvaskning nøgletal'!$C$12:$C$62,'Udvaskning nøgletal'!$F$12:$F$62)+Markniveau!$Y886*Markniveau!$S886/100,IF($X886=3,LOOKUP(AI886,'Udvaskning nøgletal'!$C$12:$C$62,'Udvaskning nøgletal'!Q896:Q946)+Markniveau!$Y886*Markniveau!$S886/100,"")))</f>
        <v>27.331185321443094</v>
      </c>
      <c r="AK886" s="10">
        <f t="shared" si="139"/>
        <v>931.17348390156621</v>
      </c>
      <c r="AL886" s="10" t="str">
        <f t="shared" si="141"/>
        <v/>
      </c>
      <c r="AM886" s="10" t="str">
        <f t="shared" si="142"/>
        <v/>
      </c>
    </row>
    <row r="887" spans="1:39" x14ac:dyDescent="0.25">
      <c r="A887" s="15">
        <v>27798330</v>
      </c>
      <c r="B887" s="15">
        <v>41.92</v>
      </c>
      <c r="C887" s="15">
        <v>80375</v>
      </c>
      <c r="D887" s="15">
        <v>96106</v>
      </c>
      <c r="E887" s="15" t="s">
        <v>668</v>
      </c>
      <c r="F887" s="15">
        <v>2011</v>
      </c>
      <c r="G887" s="15">
        <v>20110410</v>
      </c>
      <c r="H887" s="15">
        <v>3623</v>
      </c>
      <c r="I887" s="15">
        <v>0.36</v>
      </c>
      <c r="J887" s="6" t="s">
        <v>450</v>
      </c>
      <c r="K887" s="15">
        <v>252</v>
      </c>
      <c r="L887" s="15" t="s">
        <v>41</v>
      </c>
      <c r="M887" s="15" t="s">
        <v>4</v>
      </c>
      <c r="N887" s="11" t="s">
        <v>1391</v>
      </c>
      <c r="O887" s="11" t="s">
        <v>46</v>
      </c>
      <c r="P887" s="11" t="s">
        <v>33</v>
      </c>
      <c r="Q887" s="15">
        <v>40</v>
      </c>
      <c r="R887" s="11" t="s">
        <v>6</v>
      </c>
      <c r="S887" s="10">
        <v>151.42095954723999</v>
      </c>
      <c r="T887" s="15">
        <v>80</v>
      </c>
      <c r="U887" s="15">
        <v>0</v>
      </c>
      <c r="V887" s="15">
        <v>1</v>
      </c>
      <c r="W887" s="15">
        <v>0</v>
      </c>
      <c r="X887" s="15">
        <f>IF(O887='Udvaskning nøgletal'!$D$65,1,IF(O887='Udvaskning nøgletal'!$D$66,2,IF(O887='Udvaskning nøgletal'!$D$67,3,IF(O887='Udvaskning nøgletal'!$D$68,2,""))))</f>
        <v>2</v>
      </c>
      <c r="Y887" s="15">
        <f>LOOKUP(K887,'Udvaskning nøgletal'!$C$12:$C$60,'Udvaskning nøgletal'!$H$12:$H$60)</f>
        <v>0</v>
      </c>
      <c r="Z887" s="10">
        <f>IF(X887=1,LOOKUP(K887,'Udvaskning nøgletal'!$C$12:$C$60,'Udvaskning nøgletal'!$E$12:$E$60)+Markniveau!Y887*Markniveau!S887/100,IF(X887=2,LOOKUP(K887,'Udvaskning nøgletal'!$C$12:$C$60,'Udvaskning nøgletal'!$F$12:$F$60)+Markniveau!Y887*Markniveau!S887/100,IF(X887=3,LOOKUP(K887,'Udvaskning nøgletal'!$C$12:$C$60,'Udvaskning nøgletal'!G897:G945)+Markniveau!Y887*Markniveau!S887/100,"")))</f>
        <v>21.2</v>
      </c>
      <c r="AA887" s="10">
        <f t="shared" si="136"/>
        <v>7.6319999999999997</v>
      </c>
      <c r="AB887" s="10">
        <f t="shared" si="135"/>
        <v>12.72</v>
      </c>
      <c r="AC887" s="10">
        <f t="shared" si="137"/>
        <v>4.5792000000000002</v>
      </c>
      <c r="AD887" s="10">
        <f>IF(AND(Q887&gt;0,Q887&lt;30,K887&lt;8),Markniveau!Z887*'Udvaskning nøgletal'!$I$12/100,IF(AND(Q887&gt;0,Q887&lt;30,K887=216),Markniveau!Z887*'Udvaskning nøgletal'!$I$34/100,Markniveau!Z887))</f>
        <v>21.2</v>
      </c>
      <c r="AE887" s="10">
        <f t="shared" si="143"/>
        <v>7.6319999999999997</v>
      </c>
      <c r="AF887" s="10">
        <f t="shared" si="138"/>
        <v>12.72</v>
      </c>
      <c r="AG887" s="10">
        <f t="shared" si="144"/>
        <v>4.5792000000000002</v>
      </c>
      <c r="AH887" s="10" t="str">
        <f>IF(AND(Q887&gt;0,Q887&lt;30,K887=216),'Udvaskning nøgletal'!$C$42,IF(AND(Q887&gt;0,Q887&lt;30,K887&gt;7,K887&lt;17),'Udvaskning nøgletal'!$C$61,IF(AND(Q887&gt;0,Q887&lt;30,K887&lt;7),'Udvaskning nøgletal'!$C$62,"")))</f>
        <v/>
      </c>
      <c r="AI887" s="10">
        <f t="shared" si="140"/>
        <v>252</v>
      </c>
      <c r="AJ887" s="10">
        <f>IF($X887=1,LOOKUP(AI887,'Udvaskning nøgletal'!$C$12:$C$62,'Udvaskning nøgletal'!$E$12:$E$62)+Markniveau!$Y887*Markniveau!$S887/100,IF($X887=2,LOOKUP(AI887,'Udvaskning nøgletal'!$C$12:$C$62,'Udvaskning nøgletal'!$F$12:$F$62)+Markniveau!$Y887*Markniveau!$S887/100,IF($X887=3,LOOKUP(AI887,'Udvaskning nøgletal'!$C$12:$C$62,'Udvaskning nøgletal'!Q897:Q947)+Markniveau!$Y887*Markniveau!$S887/100,"")))</f>
        <v>21.2</v>
      </c>
      <c r="AK887" s="10">
        <f t="shared" si="139"/>
        <v>7.6319999999999997</v>
      </c>
      <c r="AL887" s="10">
        <f t="shared" si="141"/>
        <v>12.72</v>
      </c>
      <c r="AM887" s="10">
        <f t="shared" si="142"/>
        <v>4.5792000000000002</v>
      </c>
    </row>
    <row r="888" spans="1:39" x14ac:dyDescent="0.25">
      <c r="A888" s="15">
        <v>27798330</v>
      </c>
      <c r="B888" s="15">
        <v>41.92</v>
      </c>
      <c r="C888" s="15">
        <v>433387</v>
      </c>
      <c r="D888" s="15">
        <v>96106</v>
      </c>
      <c r="E888" s="15" t="s">
        <v>668</v>
      </c>
      <c r="F888" s="15">
        <v>2011</v>
      </c>
      <c r="G888" s="15">
        <v>20110410</v>
      </c>
      <c r="H888" s="15">
        <v>29376</v>
      </c>
      <c r="I888" s="15">
        <v>2.94</v>
      </c>
      <c r="J888" s="6" t="s">
        <v>691</v>
      </c>
      <c r="K888" s="15">
        <v>230</v>
      </c>
      <c r="L888" s="15" t="s">
        <v>120</v>
      </c>
      <c r="M888" s="15" t="s">
        <v>5</v>
      </c>
      <c r="N888" s="11" t="s">
        <v>1391</v>
      </c>
      <c r="O888" s="11" t="s">
        <v>46</v>
      </c>
      <c r="P888" s="11" t="s">
        <v>33</v>
      </c>
      <c r="Q888" s="15">
        <v>40</v>
      </c>
      <c r="R888" s="11" t="s">
        <v>6</v>
      </c>
      <c r="S888" s="10">
        <v>151.42095954723999</v>
      </c>
      <c r="T888" s="15">
        <v>80</v>
      </c>
      <c r="U888" s="15">
        <v>0</v>
      </c>
      <c r="V888" s="15">
        <v>1</v>
      </c>
      <c r="W888" s="15">
        <v>0</v>
      </c>
      <c r="X888" s="15">
        <f>IF(O888='Udvaskning nøgletal'!$D$65,1,IF(O888='Udvaskning nøgletal'!$D$66,2,IF(O888='Udvaskning nøgletal'!$D$67,3,IF(O888='Udvaskning nøgletal'!$D$68,2,""))))</f>
        <v>2</v>
      </c>
      <c r="Y888" s="15">
        <f>LOOKUP(K888,'Udvaskning nøgletal'!$C$12:$C$60,'Udvaskning nøgletal'!$H$12:$H$60)</f>
        <v>0</v>
      </c>
      <c r="Z888" s="10">
        <f>IF(X888=1,LOOKUP(K888,'Udvaskning nøgletal'!$C$12:$C$60,'Udvaskning nøgletal'!$E$12:$E$60)+Markniveau!Y888*Markniveau!S888/100,IF(X888=2,LOOKUP(K888,'Udvaskning nøgletal'!$C$12:$C$60,'Udvaskning nøgletal'!$F$12:$F$60)+Markniveau!Y888*Markniveau!S888/100,IF(X888=3,LOOKUP(K888,'Udvaskning nøgletal'!$C$12:$C$60,'Udvaskning nøgletal'!G898:G946)+Markniveau!Y888*Markniveau!S888/100,"")))</f>
        <v>31.161328188970323</v>
      </c>
      <c r="AA888" s="10">
        <f t="shared" si="136"/>
        <v>91.614304875572742</v>
      </c>
      <c r="AB888" s="10">
        <f t="shared" si="135"/>
        <v>18.696796913382194</v>
      </c>
      <c r="AC888" s="10">
        <f t="shared" si="137"/>
        <v>54.968582925343647</v>
      </c>
      <c r="AD888" s="10">
        <f>IF(AND(Q888&gt;0,Q888&lt;30,K888&lt;8),Markniveau!Z888*'Udvaskning nøgletal'!$I$12/100,IF(AND(Q888&gt;0,Q888&lt;30,K888=216),Markniveau!Z888*'Udvaskning nøgletal'!$I$34/100,Markniveau!Z888))</f>
        <v>31.161328188970323</v>
      </c>
      <c r="AE888" s="10">
        <f t="shared" si="143"/>
        <v>91.614304875572742</v>
      </c>
      <c r="AF888" s="10">
        <f t="shared" si="138"/>
        <v>18.696796913382194</v>
      </c>
      <c r="AG888" s="10">
        <f t="shared" si="144"/>
        <v>54.968582925343647</v>
      </c>
      <c r="AH888" s="10" t="str">
        <f>IF(AND(Q888&gt;0,Q888&lt;30,K888=216),'Udvaskning nøgletal'!$C$42,IF(AND(Q888&gt;0,Q888&lt;30,K888&gt;7,K888&lt;17),'Udvaskning nøgletal'!$C$61,IF(AND(Q888&gt;0,Q888&lt;30,K888&lt;7),'Udvaskning nøgletal'!$C$62,"")))</f>
        <v/>
      </c>
      <c r="AI888" s="10">
        <f t="shared" si="140"/>
        <v>230</v>
      </c>
      <c r="AJ888" s="10">
        <f>IF($X888=1,LOOKUP(AI888,'Udvaskning nøgletal'!$C$12:$C$62,'Udvaskning nøgletal'!$E$12:$E$62)+Markniveau!$Y888*Markniveau!$S888/100,IF($X888=2,LOOKUP(AI888,'Udvaskning nøgletal'!$C$12:$C$62,'Udvaskning nøgletal'!$F$12:$F$62)+Markniveau!$Y888*Markniveau!$S888/100,IF($X888=3,LOOKUP(AI888,'Udvaskning nøgletal'!$C$12:$C$62,'Udvaskning nøgletal'!Q898:Q948)+Markniveau!$Y888*Markniveau!$S888/100,"")))</f>
        <v>31.161328188970323</v>
      </c>
      <c r="AK888" s="10">
        <f t="shared" si="139"/>
        <v>91.614304875572742</v>
      </c>
      <c r="AL888" s="10">
        <f t="shared" si="141"/>
        <v>18.696796913382194</v>
      </c>
      <c r="AM888" s="10">
        <f t="shared" si="142"/>
        <v>54.968582925343647</v>
      </c>
    </row>
    <row r="889" spans="1:39" x14ac:dyDescent="0.25">
      <c r="A889" s="15">
        <v>27798330</v>
      </c>
      <c r="B889" s="15">
        <v>41.92</v>
      </c>
      <c r="C889" s="15">
        <v>10309</v>
      </c>
      <c r="D889" s="15">
        <v>96106</v>
      </c>
      <c r="E889" s="15" t="s">
        <v>335</v>
      </c>
      <c r="F889" s="15">
        <v>2011</v>
      </c>
      <c r="G889" s="15">
        <v>20110406</v>
      </c>
      <c r="H889" s="15">
        <v>154715</v>
      </c>
      <c r="I889" s="15">
        <v>15.47</v>
      </c>
      <c r="J889" s="6" t="s">
        <v>301</v>
      </c>
      <c r="K889" s="15">
        <v>260</v>
      </c>
      <c r="L889" s="15" t="s">
        <v>45</v>
      </c>
      <c r="M889" s="15" t="s">
        <v>5</v>
      </c>
      <c r="N889" s="11" t="s">
        <v>1384</v>
      </c>
      <c r="O889" s="11" t="s">
        <v>28</v>
      </c>
      <c r="P889" s="11" t="s">
        <v>29</v>
      </c>
      <c r="Q889" s="15">
        <v>95</v>
      </c>
      <c r="R889" s="11" t="s">
        <v>3</v>
      </c>
      <c r="S889" s="10">
        <v>151.42095954723999</v>
      </c>
      <c r="T889" s="15">
        <v>80</v>
      </c>
      <c r="U889" s="15">
        <v>0</v>
      </c>
      <c r="V889" s="15">
        <v>1</v>
      </c>
      <c r="W889" s="15">
        <v>0</v>
      </c>
      <c r="X889" s="15">
        <f>IF(O889='Udvaskning nøgletal'!$D$65,1,IF(O889='Udvaskning nøgletal'!$D$66,2,IF(O889='Udvaskning nøgletal'!$D$67,3,IF(O889='Udvaskning nøgletal'!$D$68,2,""))))</f>
        <v>1</v>
      </c>
      <c r="Y889" s="15">
        <f>LOOKUP(K889,'Udvaskning nøgletal'!$C$12:$C$60,'Udvaskning nøgletal'!$H$12:$H$60)</f>
        <v>0</v>
      </c>
      <c r="Z889" s="10">
        <f>IF(X889=1,LOOKUP(K889,'Udvaskning nøgletal'!$C$12:$C$60,'Udvaskning nøgletal'!$E$12:$E$60)+Markniveau!Y889*Markniveau!S889/100,IF(X889=2,LOOKUP(K889,'Udvaskning nøgletal'!$C$12:$C$60,'Udvaskning nøgletal'!$F$12:$F$60)+Markniveau!Y889*Markniveau!S889/100,IF(X889=3,LOOKUP(K889,'Udvaskning nøgletal'!$C$12:$C$60,'Udvaskning nøgletal'!G899:G947)+Markniveau!Y889*Markniveau!S889/100,"")))</f>
        <v>33.723295792149436</v>
      </c>
      <c r="AA889" s="10">
        <f t="shared" si="136"/>
        <v>521.69938590455183</v>
      </c>
      <c r="AB889" s="10">
        <f t="shared" si="135"/>
        <v>1.6861647896074716</v>
      </c>
      <c r="AC889" s="10">
        <f t="shared" si="137"/>
        <v>26.084969295227587</v>
      </c>
      <c r="AD889" s="10">
        <f>IF(AND(Q889&gt;0,Q889&lt;30,K889&lt;8),Markniveau!Z889*'Udvaskning nøgletal'!$I$12/100,IF(AND(Q889&gt;0,Q889&lt;30,K889=216),Markniveau!Z889*'Udvaskning nøgletal'!$I$34/100,Markniveau!Z889))</f>
        <v>33.723295792149436</v>
      </c>
      <c r="AE889" s="10">
        <f t="shared" si="143"/>
        <v>521.69938590455183</v>
      </c>
      <c r="AF889" s="10">
        <f t="shared" si="138"/>
        <v>1.6861647896074716</v>
      </c>
      <c r="AG889" s="10">
        <f t="shared" si="144"/>
        <v>26.084969295227587</v>
      </c>
      <c r="AH889" s="10" t="str">
        <f>IF(AND(Q889&gt;0,Q889&lt;30,K889=216),'Udvaskning nøgletal'!$C$42,IF(AND(Q889&gt;0,Q889&lt;30,K889&gt;7,K889&lt;17),'Udvaskning nøgletal'!$C$61,IF(AND(Q889&gt;0,Q889&lt;30,K889&lt;7),'Udvaskning nøgletal'!$C$62,"")))</f>
        <v/>
      </c>
      <c r="AI889" s="10">
        <f t="shared" si="140"/>
        <v>260</v>
      </c>
      <c r="AJ889" s="10">
        <f>IF($X889=1,LOOKUP(AI889,'Udvaskning nøgletal'!$C$12:$C$62,'Udvaskning nøgletal'!$E$12:$E$62)+Markniveau!$Y889*Markniveau!$S889/100,IF($X889=2,LOOKUP(AI889,'Udvaskning nøgletal'!$C$12:$C$62,'Udvaskning nøgletal'!$F$12:$F$62)+Markniveau!$Y889*Markniveau!$S889/100,IF($X889=3,LOOKUP(AI889,'Udvaskning nøgletal'!$C$12:$C$62,'Udvaskning nøgletal'!Q899:Q949)+Markniveau!$Y889*Markniveau!$S889/100,"")))</f>
        <v>33.723295792149436</v>
      </c>
      <c r="AK889" s="10">
        <f t="shared" si="139"/>
        <v>521.69938590455183</v>
      </c>
      <c r="AL889" s="10">
        <f t="shared" si="141"/>
        <v>1.6861647896074716</v>
      </c>
      <c r="AM889" s="10">
        <f t="shared" si="142"/>
        <v>26.084969295227587</v>
      </c>
    </row>
    <row r="890" spans="1:39" x14ac:dyDescent="0.25">
      <c r="A890" s="15">
        <v>27798330</v>
      </c>
      <c r="B890" s="15">
        <v>41.92</v>
      </c>
      <c r="C890" s="15">
        <v>34902</v>
      </c>
      <c r="D890" s="15">
        <v>96106</v>
      </c>
      <c r="E890" s="15" t="s">
        <v>639</v>
      </c>
      <c r="F890" s="15">
        <v>2011</v>
      </c>
      <c r="G890" s="15">
        <v>20110407</v>
      </c>
      <c r="H890" s="15">
        <v>126661</v>
      </c>
      <c r="I890" s="15">
        <v>12.67</v>
      </c>
      <c r="J890" s="6" t="s">
        <v>138</v>
      </c>
      <c r="K890" s="15">
        <v>216</v>
      </c>
      <c r="L890" s="15" t="s">
        <v>116</v>
      </c>
      <c r="M890" s="15" t="s">
        <v>5</v>
      </c>
      <c r="N890" s="11" t="s">
        <v>1384</v>
      </c>
      <c r="O890" s="11" t="s">
        <v>28</v>
      </c>
      <c r="P890" s="11" t="s">
        <v>33</v>
      </c>
      <c r="Q890" s="15">
        <v>0</v>
      </c>
      <c r="R890" s="11" t="s">
        <v>1386</v>
      </c>
      <c r="S890" s="10">
        <v>151.42095954723999</v>
      </c>
      <c r="T890" s="15">
        <v>80</v>
      </c>
      <c r="U890" s="15">
        <v>0</v>
      </c>
      <c r="V890" s="15">
        <v>1</v>
      </c>
      <c r="W890" s="15">
        <v>0</v>
      </c>
      <c r="X890" s="15">
        <f>IF(O890='Udvaskning nøgletal'!$D$65,1,IF(O890='Udvaskning nøgletal'!$D$66,2,IF(O890='Udvaskning nøgletal'!$D$67,3,IF(O890='Udvaskning nøgletal'!$D$68,2,""))))</f>
        <v>1</v>
      </c>
      <c r="Y890" s="15">
        <f>LOOKUP(K890,'Udvaskning nøgletal'!$C$12:$C$60,'Udvaskning nøgletal'!$H$12:$H$60)</f>
        <v>0</v>
      </c>
      <c r="Z890" s="10">
        <f>IF(X890=1,LOOKUP(K890,'Udvaskning nøgletal'!$C$12:$C$60,'Udvaskning nøgletal'!$E$12:$E$60)+Markniveau!Y890*Markniveau!S890/100,IF(X890=2,LOOKUP(K890,'Udvaskning nøgletal'!$C$12:$C$60,'Udvaskning nøgletal'!$F$12:$F$60)+Markniveau!Y890*Markniveau!S890/100,IF(X890=3,LOOKUP(K890,'Udvaskning nøgletal'!$C$12:$C$60,'Udvaskning nøgletal'!G900:G948)+Markniveau!Y890*Markniveau!S890/100,"")))</f>
        <v>125.85383557148924</v>
      </c>
      <c r="AA890" s="10">
        <f t="shared" si="136"/>
        <v>1594.5680966907687</v>
      </c>
      <c r="AB890" s="10" t="str">
        <f t="shared" si="135"/>
        <v/>
      </c>
      <c r="AC890" s="10" t="str">
        <f t="shared" si="137"/>
        <v/>
      </c>
      <c r="AD890" s="10">
        <f>IF(AND(Q890&gt;0,Q890&lt;30,K890&lt;8),Markniveau!Z890*'Udvaskning nøgletal'!$I$12/100,IF(AND(Q890&gt;0,Q890&lt;30,K890=216),Markniveau!Z890*'Udvaskning nøgletal'!$I$34/100,Markniveau!Z890))</f>
        <v>125.85383557148924</v>
      </c>
      <c r="AE890" s="10">
        <f t="shared" si="143"/>
        <v>1594.5680966907687</v>
      </c>
      <c r="AF890" s="10" t="str">
        <f t="shared" si="138"/>
        <v/>
      </c>
      <c r="AG890" s="10" t="str">
        <f t="shared" si="144"/>
        <v/>
      </c>
      <c r="AH890" s="10" t="str">
        <f>IF(AND(Q890&gt;0,Q890&lt;30,K890=216),'Udvaskning nøgletal'!$C$42,IF(AND(Q890&gt;0,Q890&lt;30,K890&gt;7,K890&lt;17),'Udvaskning nøgletal'!$C$61,IF(AND(Q890&gt;0,Q890&lt;30,K890&lt;7),'Udvaskning nøgletal'!$C$62,"")))</f>
        <v/>
      </c>
      <c r="AI890" s="10">
        <f t="shared" si="140"/>
        <v>216</v>
      </c>
      <c r="AJ890" s="10">
        <f>IF($X890=1,LOOKUP(AI890,'Udvaskning nøgletal'!$C$12:$C$62,'Udvaskning nøgletal'!$E$12:$E$62)+Markniveau!$Y890*Markniveau!$S890/100,IF($X890=2,LOOKUP(AI890,'Udvaskning nøgletal'!$C$12:$C$62,'Udvaskning nøgletal'!$F$12:$F$62)+Markniveau!$Y890*Markniveau!$S890/100,IF($X890=3,LOOKUP(AI890,'Udvaskning nøgletal'!$C$12:$C$62,'Udvaskning nøgletal'!Q900:Q950)+Markniveau!$Y890*Markniveau!$S890/100,"")))</f>
        <v>125.85383557148924</v>
      </c>
      <c r="AK890" s="10">
        <f t="shared" si="139"/>
        <v>1594.5680966907687</v>
      </c>
      <c r="AL890" s="10" t="str">
        <f t="shared" si="141"/>
        <v/>
      </c>
      <c r="AM890" s="10" t="str">
        <f t="shared" si="142"/>
        <v/>
      </c>
    </row>
    <row r="891" spans="1:39" x14ac:dyDescent="0.25">
      <c r="A891" s="15">
        <v>27837719</v>
      </c>
      <c r="B891" s="15">
        <v>9.75</v>
      </c>
      <c r="C891" s="15">
        <v>246210</v>
      </c>
      <c r="D891" s="15">
        <v>98339</v>
      </c>
      <c r="E891" s="15" t="s">
        <v>692</v>
      </c>
      <c r="F891" s="15">
        <v>2011</v>
      </c>
      <c r="G891" s="15">
        <v>20110428</v>
      </c>
      <c r="H891" s="15">
        <v>8303</v>
      </c>
      <c r="I891" s="15">
        <v>0.83</v>
      </c>
      <c r="J891" s="6" t="s">
        <v>37</v>
      </c>
      <c r="K891" s="15">
        <v>1</v>
      </c>
      <c r="L891" s="15" t="s">
        <v>32</v>
      </c>
      <c r="M891" s="15" t="s">
        <v>5</v>
      </c>
      <c r="N891" s="11" t="s">
        <v>1406</v>
      </c>
      <c r="O891" s="11" t="s">
        <v>46</v>
      </c>
      <c r="P891" s="11" t="s">
        <v>29</v>
      </c>
      <c r="Q891" s="15">
        <v>95</v>
      </c>
      <c r="R891" s="11" t="s">
        <v>3</v>
      </c>
      <c r="S891" s="10">
        <v>22.976470588234999</v>
      </c>
      <c r="T891" s="15">
        <v>80</v>
      </c>
      <c r="U891" s="15">
        <v>0</v>
      </c>
      <c r="V891" s="15">
        <v>0</v>
      </c>
      <c r="W891" s="15">
        <v>0</v>
      </c>
      <c r="X891" s="15">
        <f>IF(O891='Udvaskning nøgletal'!$D$65,1,IF(O891='Udvaskning nøgletal'!$D$66,2,IF(O891='Udvaskning nøgletal'!$D$67,3,IF(O891='Udvaskning nøgletal'!$D$68,2,""))))</f>
        <v>2</v>
      </c>
      <c r="Y891" s="15">
        <f>LOOKUP(K891,'Udvaskning nøgletal'!$C$12:$C$60,'Udvaskning nøgletal'!$H$12:$H$60)</f>
        <v>5</v>
      </c>
      <c r="Z891" s="10">
        <f>IF(X891=1,LOOKUP(K891,'Udvaskning nøgletal'!$C$12:$C$60,'Udvaskning nøgletal'!$E$12:$E$60)+Markniveau!Y891*Markniveau!S891/100,IF(X891=2,LOOKUP(K891,'Udvaskning nøgletal'!$C$12:$C$60,'Udvaskning nøgletal'!$F$12:$F$60)+Markniveau!Y891*Markniveau!S891/100,IF(X891=3,LOOKUP(K891,'Udvaskning nøgletal'!$C$12:$C$60,'Udvaskning nøgletal'!G901:G949)+Markniveau!Y891*Markniveau!S891/100,"")))</f>
        <v>52.028823529411753</v>
      </c>
      <c r="AA891" s="10">
        <f t="shared" si="136"/>
        <v>43.18392352941175</v>
      </c>
      <c r="AB891" s="10">
        <f t="shared" si="135"/>
        <v>2.6014411764705874</v>
      </c>
      <c r="AC891" s="10">
        <f t="shared" si="137"/>
        <v>2.1591961764705876</v>
      </c>
      <c r="AD891" s="10">
        <f>IF(AND(Q891&gt;0,Q891&lt;30,K891&lt;8),Markniveau!Z891*'Udvaskning nøgletal'!$I$12/100,IF(AND(Q891&gt;0,Q891&lt;30,K891=216),Markniveau!Z891*'Udvaskning nøgletal'!$I$34/100,Markniveau!Z891))</f>
        <v>52.028823529411753</v>
      </c>
      <c r="AE891" s="10">
        <f t="shared" si="143"/>
        <v>43.18392352941175</v>
      </c>
      <c r="AF891" s="10">
        <f t="shared" si="138"/>
        <v>2.6014411764705874</v>
      </c>
      <c r="AG891" s="10">
        <f t="shared" si="144"/>
        <v>2.1591961764705876</v>
      </c>
      <c r="AH891" s="10" t="str">
        <f>IF(AND(Q891&gt;0,Q891&lt;30,K891=216),'Udvaskning nøgletal'!$C$42,IF(AND(Q891&gt;0,Q891&lt;30,K891&gt;7,K891&lt;17),'Udvaskning nøgletal'!$C$61,IF(AND(Q891&gt;0,Q891&lt;30,K891&lt;7),'Udvaskning nøgletal'!$C$62,"")))</f>
        <v/>
      </c>
      <c r="AI891" s="10">
        <f t="shared" si="140"/>
        <v>1</v>
      </c>
      <c r="AJ891" s="10">
        <f>IF($X891=1,LOOKUP(AI891,'Udvaskning nøgletal'!$C$12:$C$62,'Udvaskning nøgletal'!$E$12:$E$62)+Markniveau!$Y891*Markniveau!$S891/100,IF($X891=2,LOOKUP(AI891,'Udvaskning nøgletal'!$C$12:$C$62,'Udvaskning nøgletal'!$F$12:$F$62)+Markniveau!$Y891*Markniveau!$S891/100,IF($X891=3,LOOKUP(AI891,'Udvaskning nøgletal'!$C$12:$C$62,'Udvaskning nøgletal'!Q901:Q951)+Markniveau!$Y891*Markniveau!$S891/100,"")))</f>
        <v>52.028823529411753</v>
      </c>
      <c r="AK891" s="10">
        <f t="shared" si="139"/>
        <v>43.18392352941175</v>
      </c>
      <c r="AL891" s="10">
        <f t="shared" si="141"/>
        <v>2.6014411764705874</v>
      </c>
      <c r="AM891" s="10">
        <f t="shared" si="142"/>
        <v>2.1591961764705876</v>
      </c>
    </row>
    <row r="892" spans="1:39" x14ac:dyDescent="0.25">
      <c r="A892" s="15">
        <v>27837719</v>
      </c>
      <c r="B892" s="15">
        <v>9.75</v>
      </c>
      <c r="C892" s="15">
        <v>246211</v>
      </c>
      <c r="D892" s="15">
        <v>98339</v>
      </c>
      <c r="E892" s="15" t="s">
        <v>692</v>
      </c>
      <c r="F892" s="15">
        <v>2011</v>
      </c>
      <c r="G892" s="15">
        <v>20110428</v>
      </c>
      <c r="H892" s="15">
        <v>23673</v>
      </c>
      <c r="I892" s="15">
        <v>2.37</v>
      </c>
      <c r="J892" s="6" t="s">
        <v>97</v>
      </c>
      <c r="K892" s="15">
        <v>1</v>
      </c>
      <c r="L892" s="15" t="s">
        <v>32</v>
      </c>
      <c r="M892" s="15" t="s">
        <v>5</v>
      </c>
      <c r="N892" s="11" t="s">
        <v>1406</v>
      </c>
      <c r="O892" s="11" t="s">
        <v>46</v>
      </c>
      <c r="P892" s="11" t="s">
        <v>29</v>
      </c>
      <c r="Q892" s="15">
        <v>95</v>
      </c>
      <c r="R892" s="11" t="s">
        <v>3</v>
      </c>
      <c r="S892" s="10">
        <v>22.976470588234999</v>
      </c>
      <c r="T892" s="15">
        <v>80</v>
      </c>
      <c r="U892" s="15">
        <v>0</v>
      </c>
      <c r="V892" s="15">
        <v>0</v>
      </c>
      <c r="W892" s="15">
        <v>0</v>
      </c>
      <c r="X892" s="15">
        <f>IF(O892='Udvaskning nøgletal'!$D$65,1,IF(O892='Udvaskning nøgletal'!$D$66,2,IF(O892='Udvaskning nøgletal'!$D$67,3,IF(O892='Udvaskning nøgletal'!$D$68,2,""))))</f>
        <v>2</v>
      </c>
      <c r="Y892" s="15">
        <f>LOOKUP(K892,'Udvaskning nøgletal'!$C$12:$C$60,'Udvaskning nøgletal'!$H$12:$H$60)</f>
        <v>5</v>
      </c>
      <c r="Z892" s="10">
        <f>IF(X892=1,LOOKUP(K892,'Udvaskning nøgletal'!$C$12:$C$60,'Udvaskning nøgletal'!$E$12:$E$60)+Markniveau!Y892*Markniveau!S892/100,IF(X892=2,LOOKUP(K892,'Udvaskning nøgletal'!$C$12:$C$60,'Udvaskning nøgletal'!$F$12:$F$60)+Markniveau!Y892*Markniveau!S892/100,IF(X892=3,LOOKUP(K892,'Udvaskning nøgletal'!$C$12:$C$60,'Udvaskning nøgletal'!G902:G950)+Markniveau!Y892*Markniveau!S892/100,"")))</f>
        <v>52.028823529411753</v>
      </c>
      <c r="AA892" s="10">
        <f t="shared" si="136"/>
        <v>123.30831176470586</v>
      </c>
      <c r="AB892" s="10">
        <f t="shared" si="135"/>
        <v>2.6014411764705874</v>
      </c>
      <c r="AC892" s="10">
        <f t="shared" si="137"/>
        <v>6.1654155882352919</v>
      </c>
      <c r="AD892" s="10">
        <f>IF(AND(Q892&gt;0,Q892&lt;30,K892&lt;8),Markniveau!Z892*'Udvaskning nøgletal'!$I$12/100,IF(AND(Q892&gt;0,Q892&lt;30,K892=216),Markniveau!Z892*'Udvaskning nøgletal'!$I$34/100,Markniveau!Z892))</f>
        <v>52.028823529411753</v>
      </c>
      <c r="AE892" s="10">
        <f t="shared" si="143"/>
        <v>123.30831176470586</v>
      </c>
      <c r="AF892" s="10">
        <f t="shared" si="138"/>
        <v>2.6014411764705874</v>
      </c>
      <c r="AG892" s="10">
        <f t="shared" si="144"/>
        <v>6.1654155882352919</v>
      </c>
      <c r="AH892" s="10" t="str">
        <f>IF(AND(Q892&gt;0,Q892&lt;30,K892=216),'Udvaskning nøgletal'!$C$42,IF(AND(Q892&gt;0,Q892&lt;30,K892&gt;7,K892&lt;17),'Udvaskning nøgletal'!$C$61,IF(AND(Q892&gt;0,Q892&lt;30,K892&lt;7),'Udvaskning nøgletal'!$C$62,"")))</f>
        <v/>
      </c>
      <c r="AI892" s="10">
        <f t="shared" si="140"/>
        <v>1</v>
      </c>
      <c r="AJ892" s="10">
        <f>IF($X892=1,LOOKUP(AI892,'Udvaskning nøgletal'!$C$12:$C$62,'Udvaskning nøgletal'!$E$12:$E$62)+Markniveau!$Y892*Markniveau!$S892/100,IF($X892=2,LOOKUP(AI892,'Udvaskning nøgletal'!$C$12:$C$62,'Udvaskning nøgletal'!$F$12:$F$62)+Markniveau!$Y892*Markniveau!$S892/100,IF($X892=3,LOOKUP(AI892,'Udvaskning nøgletal'!$C$12:$C$62,'Udvaskning nøgletal'!Q902:Q952)+Markniveau!$Y892*Markniveau!$S892/100,"")))</f>
        <v>52.028823529411753</v>
      </c>
      <c r="AK892" s="10">
        <f t="shared" si="139"/>
        <v>123.30831176470586</v>
      </c>
      <c r="AL892" s="10">
        <f t="shared" si="141"/>
        <v>2.6014411764705874</v>
      </c>
      <c r="AM892" s="10">
        <f t="shared" si="142"/>
        <v>6.1654155882352919</v>
      </c>
    </row>
    <row r="893" spans="1:39" x14ac:dyDescent="0.25">
      <c r="A893" s="15">
        <v>27837719</v>
      </c>
      <c r="B893" s="15">
        <v>9.75</v>
      </c>
      <c r="C893" s="15">
        <v>407110</v>
      </c>
      <c r="D893" s="15">
        <v>98339</v>
      </c>
      <c r="E893" s="15" t="s">
        <v>693</v>
      </c>
      <c r="F893" s="15">
        <v>2011</v>
      </c>
      <c r="G893" s="15">
        <v>20110428</v>
      </c>
      <c r="H893" s="15">
        <v>7369</v>
      </c>
      <c r="I893" s="15">
        <v>0.74</v>
      </c>
      <c r="J893" s="6" t="s">
        <v>69</v>
      </c>
      <c r="K893" s="15">
        <v>252</v>
      </c>
      <c r="L893" s="15" t="s">
        <v>41</v>
      </c>
      <c r="M893" s="15" t="s">
        <v>4</v>
      </c>
      <c r="N893" s="11" t="s">
        <v>1391</v>
      </c>
      <c r="O893" s="11" t="s">
        <v>46</v>
      </c>
      <c r="P893" s="11" t="s">
        <v>29</v>
      </c>
      <c r="Q893" s="15">
        <v>95</v>
      </c>
      <c r="R893" s="11" t="s">
        <v>3</v>
      </c>
      <c r="S893" s="10">
        <v>22.976470588234999</v>
      </c>
      <c r="T893" s="15">
        <v>80</v>
      </c>
      <c r="U893" s="15">
        <v>0</v>
      </c>
      <c r="V893" s="15">
        <v>0</v>
      </c>
      <c r="W893" s="15">
        <v>0</v>
      </c>
      <c r="X893" s="15">
        <f>IF(O893='Udvaskning nøgletal'!$D$65,1,IF(O893='Udvaskning nøgletal'!$D$66,2,IF(O893='Udvaskning nøgletal'!$D$67,3,IF(O893='Udvaskning nøgletal'!$D$68,2,""))))</f>
        <v>2</v>
      </c>
      <c r="Y893" s="15">
        <f>LOOKUP(K893,'Udvaskning nøgletal'!$C$12:$C$60,'Udvaskning nøgletal'!$H$12:$H$60)</f>
        <v>0</v>
      </c>
      <c r="Z893" s="10">
        <f>IF(X893=1,LOOKUP(K893,'Udvaskning nøgletal'!$C$12:$C$60,'Udvaskning nøgletal'!$E$12:$E$60)+Markniveau!Y893*Markniveau!S893/100,IF(X893=2,LOOKUP(K893,'Udvaskning nøgletal'!$C$12:$C$60,'Udvaskning nøgletal'!$F$12:$F$60)+Markniveau!Y893*Markniveau!S893/100,IF(X893=3,LOOKUP(K893,'Udvaskning nøgletal'!$C$12:$C$60,'Udvaskning nøgletal'!G903:G951)+Markniveau!Y893*Markniveau!S893/100,"")))</f>
        <v>21.2</v>
      </c>
      <c r="AA893" s="10">
        <f t="shared" si="136"/>
        <v>15.687999999999999</v>
      </c>
      <c r="AB893" s="10">
        <f t="shared" si="135"/>
        <v>1.06</v>
      </c>
      <c r="AC893" s="10">
        <f t="shared" si="137"/>
        <v>0.78439999999999999</v>
      </c>
      <c r="AD893" s="10">
        <f>IF(AND(Q893&gt;0,Q893&lt;30,K893&lt;8),Markniveau!Z893*'Udvaskning nøgletal'!$I$12/100,IF(AND(Q893&gt;0,Q893&lt;30,K893=216),Markniveau!Z893*'Udvaskning nøgletal'!$I$34/100,Markniveau!Z893))</f>
        <v>21.2</v>
      </c>
      <c r="AE893" s="10">
        <f t="shared" si="143"/>
        <v>15.687999999999999</v>
      </c>
      <c r="AF893" s="10">
        <f t="shared" si="138"/>
        <v>1.06</v>
      </c>
      <c r="AG893" s="10">
        <f t="shared" si="144"/>
        <v>0.78439999999999999</v>
      </c>
      <c r="AH893" s="10" t="str">
        <f>IF(AND(Q893&gt;0,Q893&lt;30,K893=216),'Udvaskning nøgletal'!$C$42,IF(AND(Q893&gt;0,Q893&lt;30,K893&gt;7,K893&lt;17),'Udvaskning nøgletal'!$C$61,IF(AND(Q893&gt;0,Q893&lt;30,K893&lt;7),'Udvaskning nøgletal'!$C$62,"")))</f>
        <v/>
      </c>
      <c r="AI893" s="10">
        <f t="shared" si="140"/>
        <v>252</v>
      </c>
      <c r="AJ893" s="10">
        <f>IF($X893=1,LOOKUP(AI893,'Udvaskning nøgletal'!$C$12:$C$62,'Udvaskning nøgletal'!$E$12:$E$62)+Markniveau!$Y893*Markniveau!$S893/100,IF($X893=2,LOOKUP(AI893,'Udvaskning nøgletal'!$C$12:$C$62,'Udvaskning nøgletal'!$F$12:$F$62)+Markniveau!$Y893*Markniveau!$S893/100,IF($X893=3,LOOKUP(AI893,'Udvaskning nøgletal'!$C$12:$C$62,'Udvaskning nøgletal'!Q903:Q953)+Markniveau!$Y893*Markniveau!$S893/100,"")))</f>
        <v>21.2</v>
      </c>
      <c r="AK893" s="10">
        <f t="shared" si="139"/>
        <v>15.687999999999999</v>
      </c>
      <c r="AL893" s="10">
        <f t="shared" si="141"/>
        <v>1.06</v>
      </c>
      <c r="AM893" s="10">
        <f t="shared" si="142"/>
        <v>0.78439999999999999</v>
      </c>
    </row>
    <row r="894" spans="1:39" x14ac:dyDescent="0.25">
      <c r="A894" s="15">
        <v>27837719</v>
      </c>
      <c r="B894" s="15">
        <v>9.75</v>
      </c>
      <c r="C894" s="15">
        <v>408063</v>
      </c>
      <c r="D894" s="15">
        <v>98339</v>
      </c>
      <c r="E894" s="15" t="s">
        <v>694</v>
      </c>
      <c r="F894" s="15">
        <v>2011</v>
      </c>
      <c r="G894" s="15">
        <v>20110428</v>
      </c>
      <c r="H894" s="15">
        <v>5053</v>
      </c>
      <c r="I894" s="15">
        <v>0.51</v>
      </c>
      <c r="J894" s="6" t="s">
        <v>61</v>
      </c>
      <c r="K894" s="15">
        <v>583</v>
      </c>
      <c r="L894" s="15" t="s">
        <v>154</v>
      </c>
      <c r="M894" s="15" t="s">
        <v>155</v>
      </c>
      <c r="N894" s="11" t="s">
        <v>1391</v>
      </c>
      <c r="O894" s="11" t="s">
        <v>46</v>
      </c>
      <c r="P894" s="11" t="s">
        <v>29</v>
      </c>
      <c r="Q894" s="15">
        <v>95</v>
      </c>
      <c r="R894" s="11" t="s">
        <v>3</v>
      </c>
      <c r="S894" s="10">
        <v>22.976470588234999</v>
      </c>
      <c r="T894" s="15">
        <v>80</v>
      </c>
      <c r="U894" s="15">
        <v>0</v>
      </c>
      <c r="V894" s="15">
        <v>0</v>
      </c>
      <c r="W894" s="15">
        <v>0</v>
      </c>
      <c r="X894" s="15">
        <f>IF(O894='Udvaskning nøgletal'!$D$65,1,IF(O894='Udvaskning nøgletal'!$D$66,2,IF(O894='Udvaskning nøgletal'!$D$67,3,IF(O894='Udvaskning nøgletal'!$D$68,2,""))))</f>
        <v>2</v>
      </c>
      <c r="Y894" s="15">
        <f>LOOKUP(K894,'Udvaskning nøgletal'!$C$12:$C$60,'Udvaskning nøgletal'!$H$12:$H$60)</f>
        <v>0</v>
      </c>
      <c r="Z894" s="10">
        <f>IF(X894=1,LOOKUP(K894,'Udvaskning nøgletal'!$C$12:$C$60,'Udvaskning nøgletal'!$E$12:$E$60)+Markniveau!Y894*Markniveau!S894/100,IF(X894=2,LOOKUP(K894,'Udvaskning nøgletal'!$C$12:$C$60,'Udvaskning nøgletal'!$F$12:$F$60)+Markniveau!Y894*Markniveau!S894/100,IF(X894=3,LOOKUP(K894,'Udvaskning nøgletal'!$C$12:$C$60,'Udvaskning nøgletal'!G904:G952)+Markniveau!Y894*Markniveau!S894/100,"")))</f>
        <v>10</v>
      </c>
      <c r="AA894" s="10">
        <f t="shared" si="136"/>
        <v>5.0999999999999996</v>
      </c>
      <c r="AB894" s="10">
        <f t="shared" si="135"/>
        <v>0.5</v>
      </c>
      <c r="AC894" s="10">
        <f t="shared" si="137"/>
        <v>0.255</v>
      </c>
      <c r="AD894" s="10">
        <f>IF(AND(Q894&gt;0,Q894&lt;30,K894&lt;8),Markniveau!Z894*'Udvaskning nøgletal'!$I$12/100,IF(AND(Q894&gt;0,Q894&lt;30,K894=216),Markniveau!Z894*'Udvaskning nøgletal'!$I$34/100,Markniveau!Z894))</f>
        <v>10</v>
      </c>
      <c r="AE894" s="10">
        <f t="shared" si="143"/>
        <v>5.0999999999999996</v>
      </c>
      <c r="AF894" s="10">
        <f t="shared" si="138"/>
        <v>0.5</v>
      </c>
      <c r="AG894" s="10">
        <f t="shared" si="144"/>
        <v>0.255</v>
      </c>
      <c r="AH894" s="10" t="str">
        <f>IF(AND(Q894&gt;0,Q894&lt;30,K894=216),'Udvaskning nøgletal'!$C$42,IF(AND(Q894&gt;0,Q894&lt;30,K894&gt;7,K894&lt;17),'Udvaskning nøgletal'!$C$61,IF(AND(Q894&gt;0,Q894&lt;30,K894&lt;7),'Udvaskning nøgletal'!$C$62,"")))</f>
        <v/>
      </c>
      <c r="AI894" s="10">
        <f t="shared" si="140"/>
        <v>583</v>
      </c>
      <c r="AJ894" s="10">
        <f>IF($X894=1,LOOKUP(AI894,'Udvaskning nøgletal'!$C$12:$C$62,'Udvaskning nøgletal'!$E$12:$E$62)+Markniveau!$Y894*Markniveau!$S894/100,IF($X894=2,LOOKUP(AI894,'Udvaskning nøgletal'!$C$12:$C$62,'Udvaskning nøgletal'!$F$12:$F$62)+Markniveau!$Y894*Markniveau!$S894/100,IF($X894=3,LOOKUP(AI894,'Udvaskning nøgletal'!$C$12:$C$62,'Udvaskning nøgletal'!Q904:Q954)+Markniveau!$Y894*Markniveau!$S894/100,"")))</f>
        <v>10</v>
      </c>
      <c r="AK894" s="10">
        <f t="shared" si="139"/>
        <v>5.0999999999999996</v>
      </c>
      <c r="AL894" s="10">
        <f t="shared" si="141"/>
        <v>0.5</v>
      </c>
      <c r="AM894" s="10">
        <f t="shared" si="142"/>
        <v>0.255</v>
      </c>
    </row>
    <row r="895" spans="1:39" x14ac:dyDescent="0.25">
      <c r="A895" s="15">
        <v>27837719</v>
      </c>
      <c r="B895" s="15">
        <v>9.75</v>
      </c>
      <c r="C895" s="15">
        <v>408064</v>
      </c>
      <c r="D895" s="15">
        <v>98339</v>
      </c>
      <c r="E895" s="15" t="s">
        <v>695</v>
      </c>
      <c r="F895" s="15">
        <v>2011</v>
      </c>
      <c r="G895" s="15">
        <v>20110428</v>
      </c>
      <c r="H895" s="15">
        <v>36572</v>
      </c>
      <c r="I895" s="15">
        <v>3.66</v>
      </c>
      <c r="J895" s="6" t="s">
        <v>31</v>
      </c>
      <c r="K895" s="15">
        <v>1</v>
      </c>
      <c r="L895" s="15" t="s">
        <v>32</v>
      </c>
      <c r="M895" s="15" t="s">
        <v>5</v>
      </c>
      <c r="N895" s="11" t="s">
        <v>1406</v>
      </c>
      <c r="O895" s="11" t="s">
        <v>46</v>
      </c>
      <c r="P895" s="11" t="s">
        <v>29</v>
      </c>
      <c r="Q895" s="15">
        <v>95</v>
      </c>
      <c r="R895" s="11" t="s">
        <v>3</v>
      </c>
      <c r="S895" s="10">
        <v>22.976470588234999</v>
      </c>
      <c r="T895" s="15">
        <v>80</v>
      </c>
      <c r="U895" s="15">
        <v>0</v>
      </c>
      <c r="V895" s="15">
        <v>0</v>
      </c>
      <c r="W895" s="15">
        <v>0</v>
      </c>
      <c r="X895" s="15">
        <f>IF(O895='Udvaskning nøgletal'!$D$65,1,IF(O895='Udvaskning nøgletal'!$D$66,2,IF(O895='Udvaskning nøgletal'!$D$67,3,IF(O895='Udvaskning nøgletal'!$D$68,2,""))))</f>
        <v>2</v>
      </c>
      <c r="Y895" s="15">
        <f>LOOKUP(K895,'Udvaskning nøgletal'!$C$12:$C$60,'Udvaskning nøgletal'!$H$12:$H$60)</f>
        <v>5</v>
      </c>
      <c r="Z895" s="10">
        <f>IF(X895=1,LOOKUP(K895,'Udvaskning nøgletal'!$C$12:$C$60,'Udvaskning nøgletal'!$E$12:$E$60)+Markniveau!Y895*Markniveau!S895/100,IF(X895=2,LOOKUP(K895,'Udvaskning nøgletal'!$C$12:$C$60,'Udvaskning nøgletal'!$F$12:$F$60)+Markniveau!Y895*Markniveau!S895/100,IF(X895=3,LOOKUP(K895,'Udvaskning nøgletal'!$C$12:$C$60,'Udvaskning nøgletal'!G905:G953)+Markniveau!Y895*Markniveau!S895/100,"")))</f>
        <v>52.028823529411753</v>
      </c>
      <c r="AA895" s="10">
        <f t="shared" si="136"/>
        <v>190.42549411764702</v>
      </c>
      <c r="AB895" s="10">
        <f t="shared" si="135"/>
        <v>2.6014411764705874</v>
      </c>
      <c r="AC895" s="10">
        <f t="shared" si="137"/>
        <v>9.5212747058823499</v>
      </c>
      <c r="AD895" s="10">
        <f>IF(AND(Q895&gt;0,Q895&lt;30,K895&lt;8),Markniveau!Z895*'Udvaskning nøgletal'!$I$12/100,IF(AND(Q895&gt;0,Q895&lt;30,K895=216),Markniveau!Z895*'Udvaskning nøgletal'!$I$34/100,Markniveau!Z895))</f>
        <v>52.028823529411753</v>
      </c>
      <c r="AE895" s="10">
        <f t="shared" si="143"/>
        <v>190.42549411764702</v>
      </c>
      <c r="AF895" s="10">
        <f t="shared" si="138"/>
        <v>2.6014411764705874</v>
      </c>
      <c r="AG895" s="10">
        <f t="shared" si="144"/>
        <v>9.5212747058823499</v>
      </c>
      <c r="AH895" s="10" t="str">
        <f>IF(AND(Q895&gt;0,Q895&lt;30,K895=216),'Udvaskning nøgletal'!$C$42,IF(AND(Q895&gt;0,Q895&lt;30,K895&gt;7,K895&lt;17),'Udvaskning nøgletal'!$C$61,IF(AND(Q895&gt;0,Q895&lt;30,K895&lt;7),'Udvaskning nøgletal'!$C$62,"")))</f>
        <v/>
      </c>
      <c r="AI895" s="10">
        <f t="shared" si="140"/>
        <v>1</v>
      </c>
      <c r="AJ895" s="10">
        <f>IF($X895=1,LOOKUP(AI895,'Udvaskning nøgletal'!$C$12:$C$62,'Udvaskning nøgletal'!$E$12:$E$62)+Markniveau!$Y895*Markniveau!$S895/100,IF($X895=2,LOOKUP(AI895,'Udvaskning nøgletal'!$C$12:$C$62,'Udvaskning nøgletal'!$F$12:$F$62)+Markniveau!$Y895*Markniveau!$S895/100,IF($X895=3,LOOKUP(AI895,'Udvaskning nøgletal'!$C$12:$C$62,'Udvaskning nøgletal'!Q905:Q955)+Markniveau!$Y895*Markniveau!$S895/100,"")))</f>
        <v>52.028823529411753</v>
      </c>
      <c r="AK895" s="10">
        <f t="shared" si="139"/>
        <v>190.42549411764702</v>
      </c>
      <c r="AL895" s="10">
        <f t="shared" si="141"/>
        <v>2.6014411764705874</v>
      </c>
      <c r="AM895" s="10">
        <f t="shared" si="142"/>
        <v>9.5212747058823499</v>
      </c>
    </row>
    <row r="896" spans="1:39" x14ac:dyDescent="0.25">
      <c r="A896" s="15">
        <v>27837719</v>
      </c>
      <c r="B896" s="15">
        <v>9.75</v>
      </c>
      <c r="C896" s="15">
        <v>234598</v>
      </c>
      <c r="D896" s="15">
        <v>98339</v>
      </c>
      <c r="E896" s="15" t="s">
        <v>695</v>
      </c>
      <c r="F896" s="15">
        <v>2011</v>
      </c>
      <c r="G896" s="15">
        <v>20110428</v>
      </c>
      <c r="H896" s="15">
        <v>6482</v>
      </c>
      <c r="I896" s="15">
        <v>0.65</v>
      </c>
      <c r="J896" s="6" t="s">
        <v>1410</v>
      </c>
      <c r="K896" s="15">
        <v>260</v>
      </c>
      <c r="L896" s="15" t="s">
        <v>45</v>
      </c>
      <c r="M896" s="15" t="s">
        <v>5</v>
      </c>
      <c r="N896" s="11" t="s">
        <v>1406</v>
      </c>
      <c r="O896" s="11" t="s">
        <v>46</v>
      </c>
      <c r="P896" s="11" t="s">
        <v>29</v>
      </c>
      <c r="Q896" s="15">
        <v>95</v>
      </c>
      <c r="R896" s="11" t="s">
        <v>3</v>
      </c>
      <c r="S896" s="10">
        <v>22.976470588234999</v>
      </c>
      <c r="T896" s="15">
        <v>80</v>
      </c>
      <c r="U896" s="15">
        <v>0</v>
      </c>
      <c r="V896" s="15">
        <v>0</v>
      </c>
      <c r="W896" s="15">
        <v>0</v>
      </c>
      <c r="X896" s="15">
        <f>IF(O896='Udvaskning nøgletal'!$D$65,1,IF(O896='Udvaskning nøgletal'!$D$66,2,IF(O896='Udvaskning nøgletal'!$D$67,3,IF(O896='Udvaskning nøgletal'!$D$68,2,""))))</f>
        <v>2</v>
      </c>
      <c r="Y896" s="15">
        <f>LOOKUP(K896,'Udvaskning nøgletal'!$C$12:$C$60,'Udvaskning nøgletal'!$H$12:$H$60)</f>
        <v>0</v>
      </c>
      <c r="Z896" s="10">
        <f>IF(X896=1,LOOKUP(K896,'Udvaskning nøgletal'!$C$12:$C$60,'Udvaskning nøgletal'!$E$12:$E$60)+Markniveau!Y896*Markniveau!S896/100,IF(X896=2,LOOKUP(K896,'Udvaskning nøgletal'!$C$12:$C$60,'Udvaskning nøgletal'!$F$12:$F$60)+Markniveau!Y896*Markniveau!S896/100,IF(X896=3,LOOKUP(K896,'Udvaskning nøgletal'!$C$12:$C$60,'Udvaskning nøgletal'!G906:G954)+Markniveau!Y896*Markniveau!S896/100,"")))</f>
        <v>27.331185321443094</v>
      </c>
      <c r="AA896" s="10">
        <f t="shared" si="136"/>
        <v>17.765270458938012</v>
      </c>
      <c r="AB896" s="10">
        <f t="shared" si="135"/>
        <v>1.3665592660721546</v>
      </c>
      <c r="AC896" s="10">
        <f t="shared" si="137"/>
        <v>0.88826352294690047</v>
      </c>
      <c r="AD896" s="10">
        <f>IF(AND(Q896&gt;0,Q896&lt;30,K896&lt;8),Markniveau!Z896*'Udvaskning nøgletal'!$I$12/100,IF(AND(Q896&gt;0,Q896&lt;30,K896=216),Markniveau!Z896*'Udvaskning nøgletal'!$I$34/100,Markniveau!Z896))</f>
        <v>27.331185321443094</v>
      </c>
      <c r="AE896" s="10">
        <f t="shared" si="143"/>
        <v>17.765270458938012</v>
      </c>
      <c r="AF896" s="10">
        <f t="shared" si="138"/>
        <v>1.3665592660721546</v>
      </c>
      <c r="AG896" s="10">
        <f t="shared" si="144"/>
        <v>0.88826352294690047</v>
      </c>
      <c r="AH896" s="10" t="str">
        <f>IF(AND(Q896&gt;0,Q896&lt;30,K896=216),'Udvaskning nøgletal'!$C$42,IF(AND(Q896&gt;0,Q896&lt;30,K896&gt;7,K896&lt;17),'Udvaskning nøgletal'!$C$61,IF(AND(Q896&gt;0,Q896&lt;30,K896&lt;7),'Udvaskning nøgletal'!$C$62,"")))</f>
        <v/>
      </c>
      <c r="AI896" s="10">
        <f t="shared" si="140"/>
        <v>260</v>
      </c>
      <c r="AJ896" s="10">
        <f>IF($X896=1,LOOKUP(AI896,'Udvaskning nøgletal'!$C$12:$C$62,'Udvaskning nøgletal'!$E$12:$E$62)+Markniveau!$Y896*Markniveau!$S896/100,IF($X896=2,LOOKUP(AI896,'Udvaskning nøgletal'!$C$12:$C$62,'Udvaskning nøgletal'!$F$12:$F$62)+Markniveau!$Y896*Markniveau!$S896/100,IF($X896=3,LOOKUP(AI896,'Udvaskning nøgletal'!$C$12:$C$62,'Udvaskning nøgletal'!Q906:Q956)+Markniveau!$Y896*Markniveau!$S896/100,"")))</f>
        <v>27.331185321443094</v>
      </c>
      <c r="AK896" s="10">
        <f t="shared" si="139"/>
        <v>17.765270458938012</v>
      </c>
      <c r="AL896" s="10">
        <f t="shared" si="141"/>
        <v>1.3665592660721546</v>
      </c>
      <c r="AM896" s="10">
        <f t="shared" si="142"/>
        <v>0.88826352294690047</v>
      </c>
    </row>
    <row r="897" spans="1:39" x14ac:dyDescent="0.25">
      <c r="A897" s="15">
        <v>27837719</v>
      </c>
      <c r="B897" s="15">
        <v>9.75</v>
      </c>
      <c r="C897" s="15">
        <v>246209</v>
      </c>
      <c r="D897" s="15">
        <v>98339</v>
      </c>
      <c r="E897" s="15" t="s">
        <v>695</v>
      </c>
      <c r="F897" s="15">
        <v>2011</v>
      </c>
      <c r="G897" s="15">
        <v>20110428</v>
      </c>
      <c r="H897" s="15">
        <v>9935</v>
      </c>
      <c r="I897" s="15">
        <v>0.99</v>
      </c>
      <c r="J897" s="6" t="s">
        <v>34</v>
      </c>
      <c r="K897" s="15">
        <v>1</v>
      </c>
      <c r="L897" s="15" t="s">
        <v>32</v>
      </c>
      <c r="M897" s="15" t="s">
        <v>5</v>
      </c>
      <c r="N897" s="11" t="s">
        <v>1391</v>
      </c>
      <c r="O897" s="11" t="s">
        <v>46</v>
      </c>
      <c r="P897" s="11" t="s">
        <v>29</v>
      </c>
      <c r="Q897" s="15">
        <v>95</v>
      </c>
      <c r="R897" s="11" t="s">
        <v>3</v>
      </c>
      <c r="S897" s="10">
        <v>22.976470588234999</v>
      </c>
      <c r="T897" s="15">
        <v>80</v>
      </c>
      <c r="U897" s="15">
        <v>0</v>
      </c>
      <c r="V897" s="15">
        <v>0</v>
      </c>
      <c r="W897" s="15">
        <v>0</v>
      </c>
      <c r="X897" s="15">
        <f>IF(O897='Udvaskning nøgletal'!$D$65,1,IF(O897='Udvaskning nøgletal'!$D$66,2,IF(O897='Udvaskning nøgletal'!$D$67,3,IF(O897='Udvaskning nøgletal'!$D$68,2,""))))</f>
        <v>2</v>
      </c>
      <c r="Y897" s="15">
        <f>LOOKUP(K897,'Udvaskning nøgletal'!$C$12:$C$60,'Udvaskning nøgletal'!$H$12:$H$60)</f>
        <v>5</v>
      </c>
      <c r="Z897" s="10">
        <f>IF(X897=1,LOOKUP(K897,'Udvaskning nøgletal'!$C$12:$C$60,'Udvaskning nøgletal'!$E$12:$E$60)+Markniveau!Y897*Markniveau!S897/100,IF(X897=2,LOOKUP(K897,'Udvaskning nøgletal'!$C$12:$C$60,'Udvaskning nøgletal'!$F$12:$F$60)+Markniveau!Y897*Markniveau!S897/100,IF(X897=3,LOOKUP(K897,'Udvaskning nøgletal'!$C$12:$C$60,'Udvaskning nøgletal'!G907:G955)+Markniveau!Y897*Markniveau!S897/100,"")))</f>
        <v>52.028823529411753</v>
      </c>
      <c r="AA897" s="10">
        <f t="shared" si="136"/>
        <v>51.508535294117635</v>
      </c>
      <c r="AB897" s="10">
        <f t="shared" si="135"/>
        <v>2.6014411764705874</v>
      </c>
      <c r="AC897" s="10">
        <f t="shared" si="137"/>
        <v>2.5754267647058815</v>
      </c>
      <c r="AD897" s="10">
        <f>IF(AND(Q897&gt;0,Q897&lt;30,K897&lt;8),Markniveau!Z897*'Udvaskning nøgletal'!$I$12/100,IF(AND(Q897&gt;0,Q897&lt;30,K897=216),Markniveau!Z897*'Udvaskning nøgletal'!$I$34/100,Markniveau!Z897))</f>
        <v>52.028823529411753</v>
      </c>
      <c r="AE897" s="10">
        <f t="shared" si="143"/>
        <v>51.508535294117635</v>
      </c>
      <c r="AF897" s="10">
        <f t="shared" si="138"/>
        <v>2.6014411764705874</v>
      </c>
      <c r="AG897" s="10">
        <f t="shared" si="144"/>
        <v>2.5754267647058815</v>
      </c>
      <c r="AH897" s="10" t="str">
        <f>IF(AND(Q897&gt;0,Q897&lt;30,K897=216),'Udvaskning nøgletal'!$C$42,IF(AND(Q897&gt;0,Q897&lt;30,K897&gt;7,K897&lt;17),'Udvaskning nøgletal'!$C$61,IF(AND(Q897&gt;0,Q897&lt;30,K897&lt;7),'Udvaskning nøgletal'!$C$62,"")))</f>
        <v/>
      </c>
      <c r="AI897" s="10">
        <f t="shared" si="140"/>
        <v>1</v>
      </c>
      <c r="AJ897" s="10">
        <f>IF($X897=1,LOOKUP(AI897,'Udvaskning nøgletal'!$C$12:$C$62,'Udvaskning nøgletal'!$E$12:$E$62)+Markniveau!$Y897*Markniveau!$S897/100,IF($X897=2,LOOKUP(AI897,'Udvaskning nøgletal'!$C$12:$C$62,'Udvaskning nøgletal'!$F$12:$F$62)+Markniveau!$Y897*Markniveau!$S897/100,IF($X897=3,LOOKUP(AI897,'Udvaskning nøgletal'!$C$12:$C$62,'Udvaskning nøgletal'!Q907:Q957)+Markniveau!$Y897*Markniveau!$S897/100,"")))</f>
        <v>52.028823529411753</v>
      </c>
      <c r="AK897" s="10">
        <f t="shared" si="139"/>
        <v>51.508535294117635</v>
      </c>
      <c r="AL897" s="10">
        <f t="shared" si="141"/>
        <v>2.6014411764705874</v>
      </c>
      <c r="AM897" s="10">
        <f t="shared" si="142"/>
        <v>2.5754267647058815</v>
      </c>
    </row>
    <row r="898" spans="1:39" x14ac:dyDescent="0.25">
      <c r="A898" s="15">
        <v>28048777</v>
      </c>
      <c r="B898" s="15">
        <v>2.2999999999999998</v>
      </c>
      <c r="C898" s="15">
        <v>144265</v>
      </c>
      <c r="D898" s="15">
        <v>105198</v>
      </c>
      <c r="E898" s="15" t="s">
        <v>185</v>
      </c>
      <c r="F898" s="15">
        <v>2011</v>
      </c>
      <c r="G898" s="15">
        <v>20110420</v>
      </c>
      <c r="H898" s="15">
        <v>4549</v>
      </c>
      <c r="I898" s="15">
        <v>0.45</v>
      </c>
      <c r="J898" s="6" t="s">
        <v>1472</v>
      </c>
      <c r="K898" s="15">
        <v>581</v>
      </c>
      <c r="L898" s="15" t="s">
        <v>696</v>
      </c>
      <c r="M898" s="15" t="s">
        <v>155</v>
      </c>
      <c r="N898" s="11" t="s">
        <v>1391</v>
      </c>
      <c r="O898" s="11" t="s">
        <v>46</v>
      </c>
      <c r="P898" s="11" t="s">
        <v>29</v>
      </c>
      <c r="Q898" s="15">
        <v>95</v>
      </c>
      <c r="R898" s="11" t="s">
        <v>3</v>
      </c>
      <c r="S898" s="10">
        <v>0</v>
      </c>
      <c r="T898" s="15">
        <v>80</v>
      </c>
      <c r="U898" s="15">
        <v>0</v>
      </c>
      <c r="V898" s="15">
        <v>0</v>
      </c>
      <c r="W898" s="15">
        <v>0</v>
      </c>
      <c r="X898" s="15">
        <f>IF(O898='Udvaskning nøgletal'!$D$65,1,IF(O898='Udvaskning nøgletal'!$D$66,2,IF(O898='Udvaskning nøgletal'!$D$67,3,IF(O898='Udvaskning nøgletal'!$D$68,2,""))))</f>
        <v>2</v>
      </c>
      <c r="Y898" s="15">
        <f>LOOKUP(K898,'Udvaskning nøgletal'!$C$12:$C$60,'Udvaskning nøgletal'!$H$12:$H$60)</f>
        <v>0</v>
      </c>
      <c r="Z898" s="10">
        <f>IF(X898=1,LOOKUP(K898,'Udvaskning nøgletal'!$C$12:$C$60,'Udvaskning nøgletal'!$E$12:$E$60)+Markniveau!Y898*Markniveau!S898/100,IF(X898=2,LOOKUP(K898,'Udvaskning nøgletal'!$C$12:$C$60,'Udvaskning nøgletal'!$F$12:$F$60)+Markniveau!Y898*Markniveau!S898/100,IF(X898=3,LOOKUP(K898,'Udvaskning nøgletal'!$C$12:$C$60,'Udvaskning nøgletal'!G908:G956)+Markniveau!Y898*Markniveau!S898/100,"")))</f>
        <v>10</v>
      </c>
      <c r="AA898" s="10">
        <f t="shared" si="136"/>
        <v>4.5</v>
      </c>
      <c r="AB898" s="10">
        <f t="shared" ref="AB898:AB961" si="145">IF(Q898&gt;0,(100-Q898)*Z898/100,"")</f>
        <v>0.5</v>
      </c>
      <c r="AC898" s="10">
        <f t="shared" si="137"/>
        <v>0.22500000000000001</v>
      </c>
      <c r="AD898" s="10">
        <f>IF(AND(Q898&gt;0,Q898&lt;30,K898&lt;8),Markniveau!Z898*'Udvaskning nøgletal'!$I$12/100,IF(AND(Q898&gt;0,Q898&lt;30,K898=216),Markniveau!Z898*'Udvaskning nøgletal'!$I$34/100,Markniveau!Z898))</f>
        <v>10</v>
      </c>
      <c r="AE898" s="10">
        <f t="shared" si="143"/>
        <v>4.5</v>
      </c>
      <c r="AF898" s="10">
        <f t="shared" si="138"/>
        <v>0.5</v>
      </c>
      <c r="AG898" s="10">
        <f t="shared" si="144"/>
        <v>0.22500000000000001</v>
      </c>
      <c r="AH898" s="10" t="str">
        <f>IF(AND(Q898&gt;0,Q898&lt;30,K898=216),'Udvaskning nøgletal'!$C$42,IF(AND(Q898&gt;0,Q898&lt;30,K898&gt;7,K898&lt;17),'Udvaskning nøgletal'!$C$61,IF(AND(Q898&gt;0,Q898&lt;30,K898&lt;7),'Udvaskning nøgletal'!$C$62,"")))</f>
        <v/>
      </c>
      <c r="AI898" s="10">
        <f t="shared" si="140"/>
        <v>581</v>
      </c>
      <c r="AJ898" s="10">
        <f>IF($X898=1,LOOKUP(AI898,'Udvaskning nøgletal'!$C$12:$C$62,'Udvaskning nøgletal'!$E$12:$E$62)+Markniveau!$Y898*Markniveau!$S898/100,IF($X898=2,LOOKUP(AI898,'Udvaskning nøgletal'!$C$12:$C$62,'Udvaskning nøgletal'!$F$12:$F$62)+Markniveau!$Y898*Markniveau!$S898/100,IF($X898=3,LOOKUP(AI898,'Udvaskning nøgletal'!$C$12:$C$62,'Udvaskning nøgletal'!Q908:Q958)+Markniveau!$Y898*Markniveau!$S898/100,"")))</f>
        <v>10</v>
      </c>
      <c r="AK898" s="10">
        <f t="shared" si="139"/>
        <v>4.5</v>
      </c>
      <c r="AL898" s="10">
        <f t="shared" si="141"/>
        <v>0.5</v>
      </c>
      <c r="AM898" s="10">
        <f t="shared" si="142"/>
        <v>0.22500000000000001</v>
      </c>
    </row>
    <row r="899" spans="1:39" x14ac:dyDescent="0.25">
      <c r="A899" s="15">
        <v>28048777</v>
      </c>
      <c r="B899" s="15">
        <v>2.2999999999999998</v>
      </c>
      <c r="C899" s="15">
        <v>146292</v>
      </c>
      <c r="D899" s="15">
        <v>105198</v>
      </c>
      <c r="E899" s="15" t="s">
        <v>185</v>
      </c>
      <c r="F899" s="15">
        <v>2011</v>
      </c>
      <c r="G899" s="15">
        <v>20110420</v>
      </c>
      <c r="H899" s="15">
        <v>13281</v>
      </c>
      <c r="I899" s="15">
        <v>1.33</v>
      </c>
      <c r="J899" s="6" t="s">
        <v>1391</v>
      </c>
      <c r="K899" s="15">
        <v>580</v>
      </c>
      <c r="L899" s="15" t="s">
        <v>187</v>
      </c>
      <c r="M899" s="15" t="s">
        <v>155</v>
      </c>
      <c r="N899" s="11" t="s">
        <v>1391</v>
      </c>
      <c r="O899" s="11" t="s">
        <v>46</v>
      </c>
      <c r="P899" s="11" t="s">
        <v>33</v>
      </c>
      <c r="Q899" s="15">
        <v>0</v>
      </c>
      <c r="R899" s="11" t="s">
        <v>1386</v>
      </c>
      <c r="S899" s="10">
        <v>0</v>
      </c>
      <c r="T899" s="15">
        <v>80</v>
      </c>
      <c r="U899" s="15">
        <v>0</v>
      </c>
      <c r="V899" s="15">
        <v>0</v>
      </c>
      <c r="W899" s="15">
        <v>0</v>
      </c>
      <c r="X899" s="15">
        <f>IF(O899='Udvaskning nøgletal'!$D$65,1,IF(O899='Udvaskning nøgletal'!$D$66,2,IF(O899='Udvaskning nøgletal'!$D$67,3,IF(O899='Udvaskning nøgletal'!$D$68,2,""))))</f>
        <v>2</v>
      </c>
      <c r="Y899" s="15">
        <f>LOOKUP(K899,'Udvaskning nøgletal'!$C$12:$C$60,'Udvaskning nøgletal'!$H$12:$H$60)</f>
        <v>0</v>
      </c>
      <c r="Z899" s="10">
        <f>IF(X899=1,LOOKUP(K899,'Udvaskning nøgletal'!$C$12:$C$60,'Udvaskning nøgletal'!$E$12:$E$60)+Markniveau!Y899*Markniveau!S899/100,IF(X899=2,LOOKUP(K899,'Udvaskning nøgletal'!$C$12:$C$60,'Udvaskning nøgletal'!$F$12:$F$60)+Markniveau!Y899*Markniveau!S899/100,IF(X899=3,LOOKUP(K899,'Udvaskning nøgletal'!$C$12:$C$60,'Udvaskning nøgletal'!G909:G957)+Markniveau!Y899*Markniveau!S899/100,"")))</f>
        <v>10</v>
      </c>
      <c r="AA899" s="10">
        <f t="shared" ref="AA899:AA962" si="146">Z899*I899</f>
        <v>13.3</v>
      </c>
      <c r="AB899" s="10" t="str">
        <f t="shared" si="145"/>
        <v/>
      </c>
      <c r="AC899" s="10" t="str">
        <f t="shared" ref="AC899:AC962" si="147">IF(Q899&gt;0,AB899*I899,"")</f>
        <v/>
      </c>
      <c r="AD899" s="10">
        <f>IF(AND(Q899&gt;0,Q899&lt;30,K899&lt;8),Markniveau!Z899*'Udvaskning nøgletal'!$I$12/100,IF(AND(Q899&gt;0,Q899&lt;30,K899=216),Markniveau!Z899*'Udvaskning nøgletal'!$I$34/100,Markniveau!Z899))</f>
        <v>10</v>
      </c>
      <c r="AE899" s="10">
        <f t="shared" si="143"/>
        <v>13.3</v>
      </c>
      <c r="AF899" s="10" t="str">
        <f t="shared" ref="AF899:AF962" si="148">IF($Q899&gt;0,(100-$Q899)*$AD899/100,"")</f>
        <v/>
      </c>
      <c r="AG899" s="10" t="str">
        <f t="shared" si="144"/>
        <v/>
      </c>
      <c r="AH899" s="10" t="str">
        <f>IF(AND(Q899&gt;0,Q899&lt;30,K899=216),'Udvaskning nøgletal'!$C$42,IF(AND(Q899&gt;0,Q899&lt;30,K899&gt;7,K899&lt;17),'Udvaskning nøgletal'!$C$61,IF(AND(Q899&gt;0,Q899&lt;30,K899&lt;7),'Udvaskning nøgletal'!$C$62,"")))</f>
        <v/>
      </c>
      <c r="AI899" s="10">
        <f t="shared" si="140"/>
        <v>580</v>
      </c>
      <c r="AJ899" s="10">
        <f>IF($X899=1,LOOKUP(AI899,'Udvaskning nøgletal'!$C$12:$C$62,'Udvaskning nøgletal'!$E$12:$E$62)+Markniveau!$Y899*Markniveau!$S899/100,IF($X899=2,LOOKUP(AI899,'Udvaskning nøgletal'!$C$12:$C$62,'Udvaskning nøgletal'!$F$12:$F$62)+Markniveau!$Y899*Markniveau!$S899/100,IF($X899=3,LOOKUP(AI899,'Udvaskning nøgletal'!$C$12:$C$62,'Udvaskning nøgletal'!Q909:Q959)+Markniveau!$Y899*Markniveau!$S899/100,"")))</f>
        <v>10</v>
      </c>
      <c r="AK899" s="10">
        <f t="shared" ref="AK899:AK962" si="149">AJ899*$I899</f>
        <v>13.3</v>
      </c>
      <c r="AL899" s="10" t="str">
        <f t="shared" si="141"/>
        <v/>
      </c>
      <c r="AM899" s="10" t="str">
        <f t="shared" si="142"/>
        <v/>
      </c>
    </row>
    <row r="900" spans="1:39" x14ac:dyDescent="0.25">
      <c r="A900" s="15">
        <v>28048777</v>
      </c>
      <c r="B900" s="15">
        <v>2.2999999999999998</v>
      </c>
      <c r="C900" s="15">
        <v>146295</v>
      </c>
      <c r="D900" s="15">
        <v>105198</v>
      </c>
      <c r="E900" s="15" t="s">
        <v>697</v>
      </c>
      <c r="F900" s="15">
        <v>2011</v>
      </c>
      <c r="G900" s="15">
        <v>20110420</v>
      </c>
      <c r="H900" s="15">
        <v>13625</v>
      </c>
      <c r="I900" s="15">
        <v>1.36</v>
      </c>
      <c r="J900" s="6" t="s">
        <v>1384</v>
      </c>
      <c r="K900" s="15">
        <v>276</v>
      </c>
      <c r="L900" s="15" t="s">
        <v>146</v>
      </c>
      <c r="M900" s="15" t="s">
        <v>4</v>
      </c>
      <c r="N900" s="11" t="s">
        <v>1391</v>
      </c>
      <c r="O900" s="11" t="s">
        <v>46</v>
      </c>
      <c r="P900" s="11" t="s">
        <v>33</v>
      </c>
      <c r="Q900" s="15">
        <v>0</v>
      </c>
      <c r="R900" s="11" t="s">
        <v>1386</v>
      </c>
      <c r="S900" s="10">
        <v>0</v>
      </c>
      <c r="T900" s="15">
        <v>80</v>
      </c>
      <c r="U900" s="15">
        <v>0</v>
      </c>
      <c r="V900" s="15">
        <v>0</v>
      </c>
      <c r="W900" s="15">
        <v>0</v>
      </c>
      <c r="X900" s="15">
        <f>IF(O900='Udvaskning nøgletal'!$D$65,1,IF(O900='Udvaskning nøgletal'!$D$66,2,IF(O900='Udvaskning nøgletal'!$D$67,3,IF(O900='Udvaskning nøgletal'!$D$68,2,""))))</f>
        <v>2</v>
      </c>
      <c r="Y900" s="15">
        <f>LOOKUP(K900,'Udvaskning nøgletal'!$C$12:$C$60,'Udvaskning nøgletal'!$H$12:$H$60)</f>
        <v>0</v>
      </c>
      <c r="Z900" s="10">
        <f>IF(X900=1,LOOKUP(K900,'Udvaskning nøgletal'!$C$12:$C$60,'Udvaskning nøgletal'!$E$12:$E$60)+Markniveau!Y900*Markniveau!S900/100,IF(X900=2,LOOKUP(K900,'Udvaskning nøgletal'!$C$12:$C$60,'Udvaskning nøgletal'!$F$12:$F$60)+Markniveau!Y900*Markniveau!S900/100,IF(X900=3,LOOKUP(K900,'Udvaskning nøgletal'!$C$12:$C$60,'Udvaskning nøgletal'!G910:G958)+Markniveau!Y900*Markniveau!S900/100,"")))</f>
        <v>10.6</v>
      </c>
      <c r="AA900" s="10">
        <f t="shared" si="146"/>
        <v>14.416</v>
      </c>
      <c r="AB900" s="10" t="str">
        <f t="shared" si="145"/>
        <v/>
      </c>
      <c r="AC900" s="10" t="str">
        <f t="shared" si="147"/>
        <v/>
      </c>
      <c r="AD900" s="10">
        <f>IF(AND(Q900&gt;0,Q900&lt;30,K900&lt;8),Markniveau!Z900*'Udvaskning nøgletal'!$I$12/100,IF(AND(Q900&gt;0,Q900&lt;30,K900=216),Markniveau!Z900*'Udvaskning nøgletal'!$I$34/100,Markniveau!Z900))</f>
        <v>10.6</v>
      </c>
      <c r="AE900" s="10">
        <f t="shared" si="143"/>
        <v>14.416</v>
      </c>
      <c r="AF900" s="10" t="str">
        <f t="shared" si="148"/>
        <v/>
      </c>
      <c r="AG900" s="10" t="str">
        <f t="shared" si="144"/>
        <v/>
      </c>
      <c r="AH900" s="10" t="str">
        <f>IF(AND(Q900&gt;0,Q900&lt;30,K900=216),'Udvaskning nøgletal'!$C$42,IF(AND(Q900&gt;0,Q900&lt;30,K900&gt;7,K900&lt;17),'Udvaskning nøgletal'!$C$61,IF(AND(Q900&gt;0,Q900&lt;30,K900&lt;7),'Udvaskning nøgletal'!$C$62,"")))</f>
        <v/>
      </c>
      <c r="AI900" s="10">
        <f t="shared" si="140"/>
        <v>276</v>
      </c>
      <c r="AJ900" s="10">
        <f>IF($X900=1,LOOKUP(AI900,'Udvaskning nøgletal'!$C$12:$C$62,'Udvaskning nøgletal'!$E$12:$E$62)+Markniveau!$Y900*Markniveau!$S900/100,IF($X900=2,LOOKUP(AI900,'Udvaskning nøgletal'!$C$12:$C$62,'Udvaskning nøgletal'!$F$12:$F$62)+Markniveau!$Y900*Markniveau!$S900/100,IF($X900=3,LOOKUP(AI900,'Udvaskning nøgletal'!$C$12:$C$62,'Udvaskning nøgletal'!Q910:Q960)+Markniveau!$Y900*Markniveau!$S900/100,"")))</f>
        <v>10.6</v>
      </c>
      <c r="AK900" s="10">
        <f t="shared" si="149"/>
        <v>14.416</v>
      </c>
      <c r="AL900" s="10" t="str">
        <f t="shared" si="141"/>
        <v/>
      </c>
      <c r="AM900" s="10" t="str">
        <f t="shared" si="142"/>
        <v/>
      </c>
    </row>
    <row r="901" spans="1:39" x14ac:dyDescent="0.25">
      <c r="A901" s="15">
        <v>28048777</v>
      </c>
      <c r="B901" s="15">
        <v>2.2999999999999998</v>
      </c>
      <c r="C901" s="15">
        <v>146296</v>
      </c>
      <c r="D901" s="15">
        <v>105198</v>
      </c>
      <c r="E901" s="15" t="s">
        <v>698</v>
      </c>
      <c r="F901" s="15">
        <v>2011</v>
      </c>
      <c r="G901" s="15">
        <v>20110420</v>
      </c>
      <c r="H901" s="15">
        <v>6868</v>
      </c>
      <c r="I901" s="15">
        <v>0.69</v>
      </c>
      <c r="J901" s="6" t="s">
        <v>1466</v>
      </c>
      <c r="K901" s="15">
        <v>583</v>
      </c>
      <c r="L901" s="15" t="s">
        <v>154</v>
      </c>
      <c r="M901" s="15" t="s">
        <v>155</v>
      </c>
      <c r="N901" s="11" t="s">
        <v>1391</v>
      </c>
      <c r="O901" s="11" t="s">
        <v>46</v>
      </c>
      <c r="P901" s="11" t="s">
        <v>33</v>
      </c>
      <c r="Q901" s="15">
        <v>0</v>
      </c>
      <c r="R901" s="11" t="s">
        <v>1386</v>
      </c>
      <c r="S901" s="10">
        <v>0</v>
      </c>
      <c r="T901" s="15">
        <v>80</v>
      </c>
      <c r="U901" s="15">
        <v>0</v>
      </c>
      <c r="V901" s="15">
        <v>0</v>
      </c>
      <c r="W901" s="15">
        <v>0</v>
      </c>
      <c r="X901" s="15">
        <f>IF(O901='Udvaskning nøgletal'!$D$65,1,IF(O901='Udvaskning nøgletal'!$D$66,2,IF(O901='Udvaskning nøgletal'!$D$67,3,IF(O901='Udvaskning nøgletal'!$D$68,2,""))))</f>
        <v>2</v>
      </c>
      <c r="Y901" s="15">
        <f>LOOKUP(K901,'Udvaskning nøgletal'!$C$12:$C$60,'Udvaskning nøgletal'!$H$12:$H$60)</f>
        <v>0</v>
      </c>
      <c r="Z901" s="10">
        <f>IF(X901=1,LOOKUP(K901,'Udvaskning nøgletal'!$C$12:$C$60,'Udvaskning nøgletal'!$E$12:$E$60)+Markniveau!Y901*Markniveau!S901/100,IF(X901=2,LOOKUP(K901,'Udvaskning nøgletal'!$C$12:$C$60,'Udvaskning nøgletal'!$F$12:$F$60)+Markniveau!Y901*Markniveau!S901/100,IF(X901=3,LOOKUP(K901,'Udvaskning nøgletal'!$C$12:$C$60,'Udvaskning nøgletal'!G911:G959)+Markniveau!Y901*Markniveau!S901/100,"")))</f>
        <v>10</v>
      </c>
      <c r="AA901" s="10">
        <f t="shared" si="146"/>
        <v>6.8999999999999995</v>
      </c>
      <c r="AB901" s="10" t="str">
        <f t="shared" si="145"/>
        <v/>
      </c>
      <c r="AC901" s="10" t="str">
        <f t="shared" si="147"/>
        <v/>
      </c>
      <c r="AD901" s="10">
        <f>IF(AND(Q901&gt;0,Q901&lt;30,K901&lt;8),Markniveau!Z901*'Udvaskning nøgletal'!$I$12/100,IF(AND(Q901&gt;0,Q901&lt;30,K901=216),Markniveau!Z901*'Udvaskning nøgletal'!$I$34/100,Markniveau!Z901))</f>
        <v>10</v>
      </c>
      <c r="AE901" s="10">
        <f t="shared" si="143"/>
        <v>6.8999999999999995</v>
      </c>
      <c r="AF901" s="10" t="str">
        <f t="shared" si="148"/>
        <v/>
      </c>
      <c r="AG901" s="10" t="str">
        <f t="shared" si="144"/>
        <v/>
      </c>
      <c r="AH901" s="10" t="str">
        <f>IF(AND(Q901&gt;0,Q901&lt;30,K901=216),'Udvaskning nøgletal'!$C$42,IF(AND(Q901&gt;0,Q901&lt;30,K901&gt;7,K901&lt;17),'Udvaskning nøgletal'!$C$61,IF(AND(Q901&gt;0,Q901&lt;30,K901&lt;7),'Udvaskning nøgletal'!$C$62,"")))</f>
        <v/>
      </c>
      <c r="AI901" s="10">
        <f t="shared" si="140"/>
        <v>583</v>
      </c>
      <c r="AJ901" s="10">
        <f>IF($X901=1,LOOKUP(AI901,'Udvaskning nøgletal'!$C$12:$C$62,'Udvaskning nøgletal'!$E$12:$E$62)+Markniveau!$Y901*Markniveau!$S901/100,IF($X901=2,LOOKUP(AI901,'Udvaskning nøgletal'!$C$12:$C$62,'Udvaskning nøgletal'!$F$12:$F$62)+Markniveau!$Y901*Markniveau!$S901/100,IF($X901=3,LOOKUP(AI901,'Udvaskning nøgletal'!$C$12:$C$62,'Udvaskning nøgletal'!Q911:Q961)+Markniveau!$Y901*Markniveau!$S901/100,"")))</f>
        <v>10</v>
      </c>
      <c r="AK901" s="10">
        <f t="shared" si="149"/>
        <v>6.8999999999999995</v>
      </c>
      <c r="AL901" s="10" t="str">
        <f t="shared" si="141"/>
        <v/>
      </c>
      <c r="AM901" s="10" t="str">
        <f t="shared" si="142"/>
        <v/>
      </c>
    </row>
    <row r="902" spans="1:39" x14ac:dyDescent="0.25">
      <c r="A902" s="15">
        <v>28048777</v>
      </c>
      <c r="B902" s="15">
        <v>2.2999999999999998</v>
      </c>
      <c r="C902" s="15">
        <v>146297</v>
      </c>
      <c r="D902" s="15">
        <v>105198</v>
      </c>
      <c r="E902" s="15" t="s">
        <v>699</v>
      </c>
      <c r="F902" s="15">
        <v>2011</v>
      </c>
      <c r="G902" s="15">
        <v>20110420</v>
      </c>
      <c r="H902" s="15">
        <v>1367</v>
      </c>
      <c r="I902" s="15">
        <v>0.14000000000000001</v>
      </c>
      <c r="J902" s="6" t="s">
        <v>1468</v>
      </c>
      <c r="K902" s="15">
        <v>528</v>
      </c>
      <c r="L902" s="15" t="s">
        <v>700</v>
      </c>
      <c r="M902" s="15" t="s">
        <v>701</v>
      </c>
      <c r="N902" s="11" t="s">
        <v>1391</v>
      </c>
      <c r="O902" s="11" t="s">
        <v>46</v>
      </c>
      <c r="P902" s="11" t="s">
        <v>29</v>
      </c>
      <c r="Q902" s="15">
        <v>0</v>
      </c>
      <c r="R902" s="11" t="s">
        <v>1386</v>
      </c>
      <c r="S902" s="10">
        <v>0</v>
      </c>
      <c r="T902" s="15">
        <v>80</v>
      </c>
      <c r="U902" s="15">
        <v>0</v>
      </c>
      <c r="V902" s="15">
        <v>0</v>
      </c>
      <c r="W902" s="15">
        <v>0</v>
      </c>
      <c r="X902" s="15">
        <f>IF(O902='Udvaskning nøgletal'!$D$65,1,IF(O902='Udvaskning nøgletal'!$D$66,2,IF(O902='Udvaskning nøgletal'!$D$67,3,IF(O902='Udvaskning nøgletal'!$D$68,2,""))))</f>
        <v>2</v>
      </c>
      <c r="Y902" s="15">
        <f>LOOKUP(K902,'Udvaskning nøgletal'!$C$12:$C$60,'Udvaskning nøgletal'!$H$12:$H$60)</f>
        <v>0</v>
      </c>
      <c r="Z902" s="10">
        <f>IF(X902=1,LOOKUP(K902,'Udvaskning nøgletal'!$C$12:$C$60,'Udvaskning nøgletal'!$E$12:$E$60)+Markniveau!Y902*Markniveau!S902/100,IF(X902=2,LOOKUP(K902,'Udvaskning nøgletal'!$C$12:$C$60,'Udvaskning nøgletal'!$F$12:$F$60)+Markniveau!Y902*Markniveau!S902/100,IF(X902=3,LOOKUP(K902,'Udvaskning nøgletal'!$C$12:$C$60,'Udvaskning nøgletal'!G912:G960)+Markniveau!Y902*Markniveau!S902/100,"")))</f>
        <v>10</v>
      </c>
      <c r="AA902" s="10">
        <f t="shared" si="146"/>
        <v>1.4000000000000001</v>
      </c>
      <c r="AB902" s="10" t="str">
        <f t="shared" si="145"/>
        <v/>
      </c>
      <c r="AC902" s="10" t="str">
        <f t="shared" si="147"/>
        <v/>
      </c>
      <c r="AD902" s="10">
        <f>IF(AND(Q902&gt;0,Q902&lt;30,K902&lt;8),Markniveau!Z902*'Udvaskning nøgletal'!$I$12/100,IF(AND(Q902&gt;0,Q902&lt;30,K902=216),Markniveau!Z902*'Udvaskning nøgletal'!$I$34/100,Markniveau!Z902))</f>
        <v>10</v>
      </c>
      <c r="AE902" s="10">
        <f t="shared" si="143"/>
        <v>1.4000000000000001</v>
      </c>
      <c r="AF902" s="10" t="str">
        <f t="shared" si="148"/>
        <v/>
      </c>
      <c r="AG902" s="10" t="str">
        <f t="shared" si="144"/>
        <v/>
      </c>
      <c r="AH902" s="10" t="str">
        <f>IF(AND(Q902&gt;0,Q902&lt;30,K902=216),'Udvaskning nøgletal'!$C$42,IF(AND(Q902&gt;0,Q902&lt;30,K902&gt;7,K902&lt;17),'Udvaskning nøgletal'!$C$61,IF(AND(Q902&gt;0,Q902&lt;30,K902&lt;7),'Udvaskning nøgletal'!$C$62,"")))</f>
        <v/>
      </c>
      <c r="AI902" s="10">
        <f t="shared" si="140"/>
        <v>528</v>
      </c>
      <c r="AJ902" s="10">
        <f>IF($X902=1,LOOKUP(AI902,'Udvaskning nøgletal'!$C$12:$C$62,'Udvaskning nøgletal'!$E$12:$E$62)+Markniveau!$Y902*Markniveau!$S902/100,IF($X902=2,LOOKUP(AI902,'Udvaskning nøgletal'!$C$12:$C$62,'Udvaskning nøgletal'!$F$12:$F$62)+Markniveau!$Y902*Markniveau!$S902/100,IF($X902=3,LOOKUP(AI902,'Udvaskning nøgletal'!$C$12:$C$62,'Udvaskning nøgletal'!Q912:Q962)+Markniveau!$Y902*Markniveau!$S902/100,"")))</f>
        <v>10</v>
      </c>
      <c r="AK902" s="10">
        <f t="shared" si="149"/>
        <v>1.4000000000000001</v>
      </c>
      <c r="AL902" s="10" t="str">
        <f t="shared" si="141"/>
        <v/>
      </c>
      <c r="AM902" s="10" t="str">
        <f t="shared" si="142"/>
        <v/>
      </c>
    </row>
    <row r="903" spans="1:39" x14ac:dyDescent="0.25">
      <c r="A903" s="15">
        <v>28048777</v>
      </c>
      <c r="B903" s="15">
        <v>2.2999999999999998</v>
      </c>
      <c r="C903" s="15">
        <v>240189</v>
      </c>
      <c r="D903" s="15">
        <v>105198</v>
      </c>
      <c r="E903" s="15" t="s">
        <v>702</v>
      </c>
      <c r="F903" s="15">
        <v>2011</v>
      </c>
      <c r="G903" s="15">
        <v>20110420</v>
      </c>
      <c r="H903" s="15">
        <v>4529</v>
      </c>
      <c r="I903" s="15">
        <v>0.45</v>
      </c>
      <c r="J903" s="6" t="s">
        <v>1471</v>
      </c>
      <c r="K903" s="15">
        <v>593</v>
      </c>
      <c r="L903" s="15" t="s">
        <v>703</v>
      </c>
      <c r="M903" s="15" t="s">
        <v>424</v>
      </c>
      <c r="N903" s="11" t="s">
        <v>1384</v>
      </c>
      <c r="O903" s="11" t="s">
        <v>28</v>
      </c>
      <c r="P903" s="11" t="s">
        <v>33</v>
      </c>
      <c r="Q903" s="15">
        <v>0</v>
      </c>
      <c r="R903" s="11" t="s">
        <v>1386</v>
      </c>
      <c r="S903" s="10">
        <v>0</v>
      </c>
      <c r="T903" s="15">
        <v>80</v>
      </c>
      <c r="U903" s="15">
        <v>0</v>
      </c>
      <c r="V903" s="15">
        <v>0</v>
      </c>
      <c r="W903" s="15">
        <v>0</v>
      </c>
      <c r="X903" s="15">
        <f>IF(O903='Udvaskning nøgletal'!$D$65,1,IF(O903='Udvaskning nøgletal'!$D$66,2,IF(O903='Udvaskning nøgletal'!$D$67,3,IF(O903='Udvaskning nøgletal'!$D$68,2,""))))</f>
        <v>1</v>
      </c>
      <c r="Y903" s="15">
        <f>LOOKUP(K903,'Udvaskning nøgletal'!$C$12:$C$60,'Udvaskning nøgletal'!$H$12:$H$60)</f>
        <v>0</v>
      </c>
      <c r="Z903" s="10">
        <f>IF(X903=1,LOOKUP(K903,'Udvaskning nøgletal'!$C$12:$C$60,'Udvaskning nøgletal'!$E$12:$E$60)+Markniveau!Y903*Markniveau!S903/100,IF(X903=2,LOOKUP(K903,'Udvaskning nøgletal'!$C$12:$C$60,'Udvaskning nøgletal'!$F$12:$F$60)+Markniveau!Y903*Markniveau!S903/100,IF(X903=3,LOOKUP(K903,'Udvaskning nøgletal'!$C$12:$C$60,'Udvaskning nøgletal'!G913:G961)+Markniveau!Y903*Markniveau!S903/100,"")))</f>
        <v>10</v>
      </c>
      <c r="AA903" s="10">
        <f t="shared" si="146"/>
        <v>4.5</v>
      </c>
      <c r="AB903" s="10" t="str">
        <f t="shared" si="145"/>
        <v/>
      </c>
      <c r="AC903" s="10" t="str">
        <f t="shared" si="147"/>
        <v/>
      </c>
      <c r="AD903" s="10">
        <f>IF(AND(Q903&gt;0,Q903&lt;30,K903&lt;8),Markniveau!Z903*'Udvaskning nøgletal'!$I$12/100,IF(AND(Q903&gt;0,Q903&lt;30,K903=216),Markniveau!Z903*'Udvaskning nøgletal'!$I$34/100,Markniveau!Z903))</f>
        <v>10</v>
      </c>
      <c r="AE903" s="10">
        <f t="shared" si="143"/>
        <v>4.5</v>
      </c>
      <c r="AF903" s="10" t="str">
        <f t="shared" si="148"/>
        <v/>
      </c>
      <c r="AG903" s="10" t="str">
        <f t="shared" si="144"/>
        <v/>
      </c>
      <c r="AH903" s="10" t="str">
        <f>IF(AND(Q903&gt;0,Q903&lt;30,K903=216),'Udvaskning nøgletal'!$C$42,IF(AND(Q903&gt;0,Q903&lt;30,K903&gt;7,K903&lt;17),'Udvaskning nøgletal'!$C$61,IF(AND(Q903&gt;0,Q903&lt;30,K903&lt;7),'Udvaskning nøgletal'!$C$62,"")))</f>
        <v/>
      </c>
      <c r="AI903" s="10">
        <f t="shared" si="140"/>
        <v>593</v>
      </c>
      <c r="AJ903" s="10">
        <f>IF($X903=1,LOOKUP(AI903,'Udvaskning nøgletal'!$C$12:$C$62,'Udvaskning nøgletal'!$E$12:$E$62)+Markniveau!$Y903*Markniveau!$S903/100,IF($X903=2,LOOKUP(AI903,'Udvaskning nøgletal'!$C$12:$C$62,'Udvaskning nøgletal'!$F$12:$F$62)+Markniveau!$Y903*Markniveau!$S903/100,IF($X903=3,LOOKUP(AI903,'Udvaskning nøgletal'!$C$12:$C$62,'Udvaskning nøgletal'!Q913:Q963)+Markniveau!$Y903*Markniveau!$S903/100,"")))</f>
        <v>10</v>
      </c>
      <c r="AK903" s="10">
        <f t="shared" si="149"/>
        <v>4.5</v>
      </c>
      <c r="AL903" s="10" t="str">
        <f t="shared" si="141"/>
        <v/>
      </c>
      <c r="AM903" s="10" t="str">
        <f t="shared" si="142"/>
        <v/>
      </c>
    </row>
    <row r="904" spans="1:39" x14ac:dyDescent="0.25">
      <c r="A904" s="15">
        <v>28048777</v>
      </c>
      <c r="B904" s="15">
        <v>2.2999999999999998</v>
      </c>
      <c r="C904" s="15">
        <v>240193</v>
      </c>
      <c r="D904" s="15">
        <v>105198</v>
      </c>
      <c r="E904" s="15" t="s">
        <v>702</v>
      </c>
      <c r="F904" s="15">
        <v>2011</v>
      </c>
      <c r="G904" s="15">
        <v>20110420</v>
      </c>
      <c r="H904" s="15">
        <v>8347</v>
      </c>
      <c r="I904" s="15">
        <v>0.83</v>
      </c>
      <c r="J904" s="6" t="s">
        <v>1390</v>
      </c>
      <c r="K904" s="15">
        <v>593</v>
      </c>
      <c r="L904" s="15" t="s">
        <v>703</v>
      </c>
      <c r="M904" s="15" t="s">
        <v>424</v>
      </c>
      <c r="N904" s="11" t="s">
        <v>1384</v>
      </c>
      <c r="O904" s="11" t="s">
        <v>28</v>
      </c>
      <c r="P904" s="11" t="s">
        <v>33</v>
      </c>
      <c r="Q904" s="15">
        <v>0</v>
      </c>
      <c r="R904" s="11" t="s">
        <v>1386</v>
      </c>
      <c r="S904" s="10">
        <v>0</v>
      </c>
      <c r="T904" s="15">
        <v>80</v>
      </c>
      <c r="U904" s="15">
        <v>0</v>
      </c>
      <c r="V904" s="15">
        <v>0</v>
      </c>
      <c r="W904" s="15">
        <v>0</v>
      </c>
      <c r="X904" s="15">
        <f>IF(O904='Udvaskning nøgletal'!$D$65,1,IF(O904='Udvaskning nøgletal'!$D$66,2,IF(O904='Udvaskning nøgletal'!$D$67,3,IF(O904='Udvaskning nøgletal'!$D$68,2,""))))</f>
        <v>1</v>
      </c>
      <c r="Y904" s="15">
        <f>LOOKUP(K904,'Udvaskning nøgletal'!$C$12:$C$60,'Udvaskning nøgletal'!$H$12:$H$60)</f>
        <v>0</v>
      </c>
      <c r="Z904" s="10">
        <f>IF(X904=1,LOOKUP(K904,'Udvaskning nøgletal'!$C$12:$C$60,'Udvaskning nøgletal'!$E$12:$E$60)+Markniveau!Y904*Markniveau!S904/100,IF(X904=2,LOOKUP(K904,'Udvaskning nøgletal'!$C$12:$C$60,'Udvaskning nøgletal'!$F$12:$F$60)+Markniveau!Y904*Markniveau!S904/100,IF(X904=3,LOOKUP(K904,'Udvaskning nøgletal'!$C$12:$C$60,'Udvaskning nøgletal'!G914:G962)+Markniveau!Y904*Markniveau!S904/100,"")))</f>
        <v>10</v>
      </c>
      <c r="AA904" s="10">
        <f t="shared" si="146"/>
        <v>8.2999999999999989</v>
      </c>
      <c r="AB904" s="10" t="str">
        <f t="shared" si="145"/>
        <v/>
      </c>
      <c r="AC904" s="10" t="str">
        <f t="shared" si="147"/>
        <v/>
      </c>
      <c r="AD904" s="10">
        <f>IF(AND(Q904&gt;0,Q904&lt;30,K904&lt;8),Markniveau!Z904*'Udvaskning nøgletal'!$I$12/100,IF(AND(Q904&gt;0,Q904&lt;30,K904=216),Markniveau!Z904*'Udvaskning nøgletal'!$I$34/100,Markniveau!Z904))</f>
        <v>10</v>
      </c>
      <c r="AE904" s="10">
        <f t="shared" si="143"/>
        <v>8.2999999999999989</v>
      </c>
      <c r="AF904" s="10" t="str">
        <f t="shared" si="148"/>
        <v/>
      </c>
      <c r="AG904" s="10" t="str">
        <f t="shared" si="144"/>
        <v/>
      </c>
      <c r="AH904" s="10" t="str">
        <f>IF(AND(Q904&gt;0,Q904&lt;30,K904=216),'Udvaskning nøgletal'!$C$42,IF(AND(Q904&gt;0,Q904&lt;30,K904&gt;7,K904&lt;17),'Udvaskning nøgletal'!$C$61,IF(AND(Q904&gt;0,Q904&lt;30,K904&lt;7),'Udvaskning nøgletal'!$C$62,"")))</f>
        <v/>
      </c>
      <c r="AI904" s="10">
        <f t="shared" ref="AI904:AI967" si="150">IF(SUM(AH904)&gt;0,AH904,K904)</f>
        <v>593</v>
      </c>
      <c r="AJ904" s="10">
        <f>IF($X904=1,LOOKUP(AI904,'Udvaskning nøgletal'!$C$12:$C$62,'Udvaskning nøgletal'!$E$12:$E$62)+Markniveau!$Y904*Markniveau!$S904/100,IF($X904=2,LOOKUP(AI904,'Udvaskning nøgletal'!$C$12:$C$62,'Udvaskning nøgletal'!$F$12:$F$62)+Markniveau!$Y904*Markniveau!$S904/100,IF($X904=3,LOOKUP(AI904,'Udvaskning nøgletal'!$C$12:$C$62,'Udvaskning nøgletal'!Q914:Q964)+Markniveau!$Y904*Markniveau!$S904/100,"")))</f>
        <v>10</v>
      </c>
      <c r="AK904" s="10">
        <f t="shared" si="149"/>
        <v>8.2999999999999989</v>
      </c>
      <c r="AL904" s="10" t="str">
        <f t="shared" si="141"/>
        <v/>
      </c>
      <c r="AM904" s="10" t="str">
        <f t="shared" si="142"/>
        <v/>
      </c>
    </row>
    <row r="905" spans="1:39" x14ac:dyDescent="0.25">
      <c r="A905" s="15">
        <v>28048777</v>
      </c>
      <c r="B905" s="15">
        <v>2.2999999999999998</v>
      </c>
      <c r="C905" s="15">
        <v>584958</v>
      </c>
      <c r="D905" s="15">
        <v>105198</v>
      </c>
      <c r="E905" s="15" t="s">
        <v>697</v>
      </c>
      <c r="F905" s="15">
        <v>2011</v>
      </c>
      <c r="G905" s="15">
        <v>20110420</v>
      </c>
      <c r="H905" s="15">
        <v>1996</v>
      </c>
      <c r="I905" s="15">
        <v>0.2</v>
      </c>
      <c r="J905" s="6" t="s">
        <v>1406</v>
      </c>
      <c r="K905" s="15">
        <v>276</v>
      </c>
      <c r="L905" s="15" t="s">
        <v>146</v>
      </c>
      <c r="M905" s="15" t="s">
        <v>4</v>
      </c>
      <c r="N905" s="11" t="s">
        <v>1391</v>
      </c>
      <c r="O905" s="11" t="s">
        <v>46</v>
      </c>
      <c r="P905" s="11" t="s">
        <v>33</v>
      </c>
      <c r="Q905" s="15">
        <v>0</v>
      </c>
      <c r="R905" s="11" t="s">
        <v>1386</v>
      </c>
      <c r="S905" s="10">
        <v>0</v>
      </c>
      <c r="T905" s="15">
        <v>80</v>
      </c>
      <c r="U905" s="15">
        <v>0</v>
      </c>
      <c r="V905" s="15">
        <v>0</v>
      </c>
      <c r="W905" s="15">
        <v>0</v>
      </c>
      <c r="X905" s="15">
        <f>IF(O905='Udvaskning nøgletal'!$D$65,1,IF(O905='Udvaskning nøgletal'!$D$66,2,IF(O905='Udvaskning nøgletal'!$D$67,3,IF(O905='Udvaskning nøgletal'!$D$68,2,""))))</f>
        <v>2</v>
      </c>
      <c r="Y905" s="15">
        <f>LOOKUP(K905,'Udvaskning nøgletal'!$C$12:$C$60,'Udvaskning nøgletal'!$H$12:$H$60)</f>
        <v>0</v>
      </c>
      <c r="Z905" s="10">
        <f>IF(X905=1,LOOKUP(K905,'Udvaskning nøgletal'!$C$12:$C$60,'Udvaskning nøgletal'!$E$12:$E$60)+Markniveau!Y905*Markniveau!S905/100,IF(X905=2,LOOKUP(K905,'Udvaskning nøgletal'!$C$12:$C$60,'Udvaskning nøgletal'!$F$12:$F$60)+Markniveau!Y905*Markniveau!S905/100,IF(X905=3,LOOKUP(K905,'Udvaskning nøgletal'!$C$12:$C$60,'Udvaskning nøgletal'!G915:G963)+Markniveau!Y905*Markniveau!S905/100,"")))</f>
        <v>10.6</v>
      </c>
      <c r="AA905" s="10">
        <f t="shared" si="146"/>
        <v>2.12</v>
      </c>
      <c r="AB905" s="10" t="str">
        <f t="shared" si="145"/>
        <v/>
      </c>
      <c r="AC905" s="10" t="str">
        <f t="shared" si="147"/>
        <v/>
      </c>
      <c r="AD905" s="10">
        <f>IF(AND(Q905&gt;0,Q905&lt;30,K905&lt;8),Markniveau!Z905*'Udvaskning nøgletal'!$I$12/100,IF(AND(Q905&gt;0,Q905&lt;30,K905=216),Markniveau!Z905*'Udvaskning nøgletal'!$I$34/100,Markniveau!Z905))</f>
        <v>10.6</v>
      </c>
      <c r="AE905" s="10">
        <f t="shared" si="143"/>
        <v>2.12</v>
      </c>
      <c r="AF905" s="10" t="str">
        <f t="shared" si="148"/>
        <v/>
      </c>
      <c r="AG905" s="10" t="str">
        <f t="shared" si="144"/>
        <v/>
      </c>
      <c r="AH905" s="10" t="str">
        <f>IF(AND(Q905&gt;0,Q905&lt;30,K905=216),'Udvaskning nøgletal'!$C$42,IF(AND(Q905&gt;0,Q905&lt;30,K905&gt;7,K905&lt;17),'Udvaskning nøgletal'!$C$61,IF(AND(Q905&gt;0,Q905&lt;30,K905&lt;7),'Udvaskning nøgletal'!$C$62,"")))</f>
        <v/>
      </c>
      <c r="AI905" s="10">
        <f t="shared" si="150"/>
        <v>276</v>
      </c>
      <c r="AJ905" s="10">
        <f>IF($X905=1,LOOKUP(AI905,'Udvaskning nøgletal'!$C$12:$C$62,'Udvaskning nøgletal'!$E$12:$E$62)+Markniveau!$Y905*Markniveau!$S905/100,IF($X905=2,LOOKUP(AI905,'Udvaskning nøgletal'!$C$12:$C$62,'Udvaskning nøgletal'!$F$12:$F$62)+Markniveau!$Y905*Markniveau!$S905/100,IF($X905=3,LOOKUP(AI905,'Udvaskning nøgletal'!$C$12:$C$62,'Udvaskning nøgletal'!Q915:Q965)+Markniveau!$Y905*Markniveau!$S905/100,"")))</f>
        <v>10.6</v>
      </c>
      <c r="AK905" s="10">
        <f t="shared" si="149"/>
        <v>2.12</v>
      </c>
      <c r="AL905" s="10" t="str">
        <f t="shared" si="141"/>
        <v/>
      </c>
      <c r="AM905" s="10" t="str">
        <f t="shared" si="142"/>
        <v/>
      </c>
    </row>
    <row r="906" spans="1:39" x14ac:dyDescent="0.25">
      <c r="A906" s="15">
        <v>28048777</v>
      </c>
      <c r="B906" s="15">
        <v>2.2999999999999998</v>
      </c>
      <c r="C906" s="15">
        <v>584959</v>
      </c>
      <c r="D906" s="15">
        <v>105198</v>
      </c>
      <c r="E906" s="15" t="s">
        <v>697</v>
      </c>
      <c r="F906" s="15">
        <v>2011</v>
      </c>
      <c r="G906" s="15">
        <v>20110420</v>
      </c>
      <c r="H906" s="15">
        <v>1589</v>
      </c>
      <c r="I906" s="15">
        <v>0.16</v>
      </c>
      <c r="J906" s="6" t="s">
        <v>704</v>
      </c>
      <c r="K906" s="15">
        <v>276</v>
      </c>
      <c r="L906" s="15" t="s">
        <v>146</v>
      </c>
      <c r="M906" s="15" t="s">
        <v>4</v>
      </c>
      <c r="N906" s="11" t="s">
        <v>1391</v>
      </c>
      <c r="O906" s="11" t="s">
        <v>46</v>
      </c>
      <c r="P906" s="11" t="s">
        <v>29</v>
      </c>
      <c r="Q906" s="15">
        <v>0</v>
      </c>
      <c r="R906" s="11" t="s">
        <v>1386</v>
      </c>
      <c r="S906" s="10">
        <v>0</v>
      </c>
      <c r="T906" s="15">
        <v>80</v>
      </c>
      <c r="U906" s="15">
        <v>0</v>
      </c>
      <c r="V906" s="15">
        <v>0</v>
      </c>
      <c r="W906" s="15">
        <v>0</v>
      </c>
      <c r="X906" s="15">
        <f>IF(O906='Udvaskning nøgletal'!$D$65,1,IF(O906='Udvaskning nøgletal'!$D$66,2,IF(O906='Udvaskning nøgletal'!$D$67,3,IF(O906='Udvaskning nøgletal'!$D$68,2,""))))</f>
        <v>2</v>
      </c>
      <c r="Y906" s="15">
        <f>LOOKUP(K906,'Udvaskning nøgletal'!$C$12:$C$60,'Udvaskning nøgletal'!$H$12:$H$60)</f>
        <v>0</v>
      </c>
      <c r="Z906" s="10">
        <f>IF(X906=1,LOOKUP(K906,'Udvaskning nøgletal'!$C$12:$C$60,'Udvaskning nøgletal'!$E$12:$E$60)+Markniveau!Y906*Markniveau!S906/100,IF(X906=2,LOOKUP(K906,'Udvaskning nøgletal'!$C$12:$C$60,'Udvaskning nøgletal'!$F$12:$F$60)+Markniveau!Y906*Markniveau!S906/100,IF(X906=3,LOOKUP(K906,'Udvaskning nøgletal'!$C$12:$C$60,'Udvaskning nøgletal'!G916:G964)+Markniveau!Y906*Markniveau!S906/100,"")))</f>
        <v>10.6</v>
      </c>
      <c r="AA906" s="10">
        <f t="shared" si="146"/>
        <v>1.696</v>
      </c>
      <c r="AB906" s="10" t="str">
        <f t="shared" si="145"/>
        <v/>
      </c>
      <c r="AC906" s="10" t="str">
        <f t="shared" si="147"/>
        <v/>
      </c>
      <c r="AD906" s="10">
        <f>IF(AND(Q906&gt;0,Q906&lt;30,K906&lt;8),Markniveau!Z906*'Udvaskning nøgletal'!$I$12/100,IF(AND(Q906&gt;0,Q906&lt;30,K906=216),Markniveau!Z906*'Udvaskning nøgletal'!$I$34/100,Markniveau!Z906))</f>
        <v>10.6</v>
      </c>
      <c r="AE906" s="10">
        <f t="shared" si="143"/>
        <v>1.696</v>
      </c>
      <c r="AF906" s="10" t="str">
        <f t="shared" si="148"/>
        <v/>
      </c>
      <c r="AG906" s="10" t="str">
        <f t="shared" si="144"/>
        <v/>
      </c>
      <c r="AH906" s="10" t="str">
        <f>IF(AND(Q906&gt;0,Q906&lt;30,K906=216),'Udvaskning nøgletal'!$C$42,IF(AND(Q906&gt;0,Q906&lt;30,K906&gt;7,K906&lt;17),'Udvaskning nøgletal'!$C$61,IF(AND(Q906&gt;0,Q906&lt;30,K906&lt;7),'Udvaskning nøgletal'!$C$62,"")))</f>
        <v/>
      </c>
      <c r="AI906" s="10">
        <f t="shared" si="150"/>
        <v>276</v>
      </c>
      <c r="AJ906" s="10">
        <f>IF($X906=1,LOOKUP(AI906,'Udvaskning nøgletal'!$C$12:$C$62,'Udvaskning nøgletal'!$E$12:$E$62)+Markniveau!$Y906*Markniveau!$S906/100,IF($X906=2,LOOKUP(AI906,'Udvaskning nøgletal'!$C$12:$C$62,'Udvaskning nøgletal'!$F$12:$F$62)+Markniveau!$Y906*Markniveau!$S906/100,IF($X906=3,LOOKUP(AI906,'Udvaskning nøgletal'!$C$12:$C$62,'Udvaskning nøgletal'!Q916:Q966)+Markniveau!$Y906*Markniveau!$S906/100,"")))</f>
        <v>10.6</v>
      </c>
      <c r="AK906" s="10">
        <f t="shared" si="149"/>
        <v>1.696</v>
      </c>
      <c r="AL906" s="10" t="str">
        <f t="shared" si="141"/>
        <v/>
      </c>
      <c r="AM906" s="10" t="str">
        <f t="shared" si="142"/>
        <v/>
      </c>
    </row>
    <row r="907" spans="1:39" x14ac:dyDescent="0.25">
      <c r="A907" s="15">
        <v>28048777</v>
      </c>
      <c r="B907" s="15">
        <v>2.2999999999999998</v>
      </c>
      <c r="C907" s="15">
        <v>615721</v>
      </c>
      <c r="D907" s="15">
        <v>105198</v>
      </c>
      <c r="E907" s="15" t="s">
        <v>705</v>
      </c>
      <c r="F907" s="15">
        <v>2011</v>
      </c>
      <c r="G907" s="15">
        <v>20110420</v>
      </c>
      <c r="H907" s="15">
        <v>5281</v>
      </c>
      <c r="I907" s="15">
        <v>0.53</v>
      </c>
      <c r="J907" s="6" t="s">
        <v>1467</v>
      </c>
      <c r="K907" s="15">
        <v>583</v>
      </c>
      <c r="L907" s="15" t="s">
        <v>154</v>
      </c>
      <c r="M907" s="15" t="s">
        <v>155</v>
      </c>
      <c r="N907" s="11" t="s">
        <v>1391</v>
      </c>
      <c r="O907" s="11" t="s">
        <v>46</v>
      </c>
      <c r="P907" s="11" t="s">
        <v>33</v>
      </c>
      <c r="Q907" s="15">
        <v>0</v>
      </c>
      <c r="R907" s="11" t="s">
        <v>1386</v>
      </c>
      <c r="S907" s="10">
        <v>0</v>
      </c>
      <c r="T907" s="15">
        <v>80</v>
      </c>
      <c r="U907" s="15">
        <v>0</v>
      </c>
      <c r="V907" s="15">
        <v>0</v>
      </c>
      <c r="W907" s="15">
        <v>0</v>
      </c>
      <c r="X907" s="15">
        <f>IF(O907='Udvaskning nøgletal'!$D$65,1,IF(O907='Udvaskning nøgletal'!$D$66,2,IF(O907='Udvaskning nøgletal'!$D$67,3,IF(O907='Udvaskning nøgletal'!$D$68,2,""))))</f>
        <v>2</v>
      </c>
      <c r="Y907" s="15">
        <f>LOOKUP(K907,'Udvaskning nøgletal'!$C$12:$C$60,'Udvaskning nøgletal'!$H$12:$H$60)</f>
        <v>0</v>
      </c>
      <c r="Z907" s="10">
        <f>IF(X907=1,LOOKUP(K907,'Udvaskning nøgletal'!$C$12:$C$60,'Udvaskning nøgletal'!$E$12:$E$60)+Markniveau!Y907*Markniveau!S907/100,IF(X907=2,LOOKUP(K907,'Udvaskning nøgletal'!$C$12:$C$60,'Udvaskning nøgletal'!$F$12:$F$60)+Markniveau!Y907*Markniveau!S907/100,IF(X907=3,LOOKUP(K907,'Udvaskning nøgletal'!$C$12:$C$60,'Udvaskning nøgletal'!G917:G965)+Markniveau!Y907*Markniveau!S907/100,"")))</f>
        <v>10</v>
      </c>
      <c r="AA907" s="10">
        <f t="shared" si="146"/>
        <v>5.3000000000000007</v>
      </c>
      <c r="AB907" s="10" t="str">
        <f t="shared" si="145"/>
        <v/>
      </c>
      <c r="AC907" s="10" t="str">
        <f t="shared" si="147"/>
        <v/>
      </c>
      <c r="AD907" s="10">
        <f>IF(AND(Q907&gt;0,Q907&lt;30,K907&lt;8),Markniveau!Z907*'Udvaskning nøgletal'!$I$12/100,IF(AND(Q907&gt;0,Q907&lt;30,K907=216),Markniveau!Z907*'Udvaskning nøgletal'!$I$34/100,Markniveau!Z907))</f>
        <v>10</v>
      </c>
      <c r="AE907" s="10">
        <f t="shared" si="143"/>
        <v>5.3000000000000007</v>
      </c>
      <c r="AF907" s="10" t="str">
        <f t="shared" si="148"/>
        <v/>
      </c>
      <c r="AG907" s="10" t="str">
        <f t="shared" si="144"/>
        <v/>
      </c>
      <c r="AH907" s="10" t="str">
        <f>IF(AND(Q907&gt;0,Q907&lt;30,K907=216),'Udvaskning nøgletal'!$C$42,IF(AND(Q907&gt;0,Q907&lt;30,K907&gt;7,K907&lt;17),'Udvaskning nøgletal'!$C$61,IF(AND(Q907&gt;0,Q907&lt;30,K907&lt;7),'Udvaskning nøgletal'!$C$62,"")))</f>
        <v/>
      </c>
      <c r="AI907" s="10">
        <f t="shared" si="150"/>
        <v>583</v>
      </c>
      <c r="AJ907" s="10">
        <f>IF($X907=1,LOOKUP(AI907,'Udvaskning nøgletal'!$C$12:$C$62,'Udvaskning nøgletal'!$E$12:$E$62)+Markniveau!$Y907*Markniveau!$S907/100,IF($X907=2,LOOKUP(AI907,'Udvaskning nøgletal'!$C$12:$C$62,'Udvaskning nøgletal'!$F$12:$F$62)+Markniveau!$Y907*Markniveau!$S907/100,IF($X907=3,LOOKUP(AI907,'Udvaskning nøgletal'!$C$12:$C$62,'Udvaskning nøgletal'!Q917:Q967)+Markniveau!$Y907*Markniveau!$S907/100,"")))</f>
        <v>10</v>
      </c>
      <c r="AK907" s="10">
        <f t="shared" si="149"/>
        <v>5.3000000000000007</v>
      </c>
      <c r="AL907" s="10" t="str">
        <f t="shared" ref="AL907:AL970" si="151">IF($Q907&gt;0,(100-$Q907)*AJ907/100,"")</f>
        <v/>
      </c>
      <c r="AM907" s="10" t="str">
        <f t="shared" ref="AM907:AM970" si="152">IF($Q907&gt;0,(100-$Q907)*AJ907/100*I907,"")</f>
        <v/>
      </c>
    </row>
    <row r="908" spans="1:39" x14ac:dyDescent="0.25">
      <c r="A908" s="15">
        <v>28048777</v>
      </c>
      <c r="B908" s="15">
        <v>2.2999999999999998</v>
      </c>
      <c r="C908" s="15">
        <v>144262</v>
      </c>
      <c r="D908" s="15">
        <v>105198</v>
      </c>
      <c r="E908" s="15" t="s">
        <v>705</v>
      </c>
      <c r="F908" s="15">
        <v>2011</v>
      </c>
      <c r="G908" s="15">
        <v>20110420</v>
      </c>
      <c r="H908" s="15">
        <v>10946</v>
      </c>
      <c r="I908" s="15">
        <v>1.0900000000000001</v>
      </c>
      <c r="J908" s="6" t="s">
        <v>1470</v>
      </c>
      <c r="K908" s="15">
        <v>583</v>
      </c>
      <c r="L908" s="15" t="s">
        <v>154</v>
      </c>
      <c r="M908" s="15" t="s">
        <v>155</v>
      </c>
      <c r="N908" s="11" t="s">
        <v>1391</v>
      </c>
      <c r="O908" s="11" t="s">
        <v>46</v>
      </c>
      <c r="P908" s="11" t="s">
        <v>29</v>
      </c>
      <c r="Q908" s="15">
        <v>0</v>
      </c>
      <c r="R908" s="11" t="s">
        <v>1386</v>
      </c>
      <c r="S908" s="10">
        <v>0</v>
      </c>
      <c r="T908" s="15">
        <v>80</v>
      </c>
      <c r="U908" s="15">
        <v>0</v>
      </c>
      <c r="V908" s="15">
        <v>0</v>
      </c>
      <c r="W908" s="15">
        <v>0</v>
      </c>
      <c r="X908" s="15">
        <f>IF(O908='Udvaskning nøgletal'!$D$65,1,IF(O908='Udvaskning nøgletal'!$D$66,2,IF(O908='Udvaskning nøgletal'!$D$67,3,IF(O908='Udvaskning nøgletal'!$D$68,2,""))))</f>
        <v>2</v>
      </c>
      <c r="Y908" s="15">
        <f>LOOKUP(K908,'Udvaskning nøgletal'!$C$12:$C$60,'Udvaskning nøgletal'!$H$12:$H$60)</f>
        <v>0</v>
      </c>
      <c r="Z908" s="10">
        <f>IF(X908=1,LOOKUP(K908,'Udvaskning nøgletal'!$C$12:$C$60,'Udvaskning nøgletal'!$E$12:$E$60)+Markniveau!Y908*Markniveau!S908/100,IF(X908=2,LOOKUP(K908,'Udvaskning nøgletal'!$C$12:$C$60,'Udvaskning nøgletal'!$F$12:$F$60)+Markniveau!Y908*Markniveau!S908/100,IF(X908=3,LOOKUP(K908,'Udvaskning nøgletal'!$C$12:$C$60,'Udvaskning nøgletal'!G918:G966)+Markniveau!Y908*Markniveau!S908/100,"")))</f>
        <v>10</v>
      </c>
      <c r="AA908" s="10">
        <f t="shared" si="146"/>
        <v>10.9</v>
      </c>
      <c r="AB908" s="10" t="str">
        <f t="shared" si="145"/>
        <v/>
      </c>
      <c r="AC908" s="10" t="str">
        <f t="shared" si="147"/>
        <v/>
      </c>
      <c r="AD908" s="10">
        <f>IF(AND(Q908&gt;0,Q908&lt;30,K908&lt;8),Markniveau!Z908*'Udvaskning nøgletal'!$I$12/100,IF(AND(Q908&gt;0,Q908&lt;30,K908=216),Markniveau!Z908*'Udvaskning nøgletal'!$I$34/100,Markniveau!Z908))</f>
        <v>10</v>
      </c>
      <c r="AE908" s="10">
        <f t="shared" si="143"/>
        <v>10.9</v>
      </c>
      <c r="AF908" s="10" t="str">
        <f t="shared" si="148"/>
        <v/>
      </c>
      <c r="AG908" s="10" t="str">
        <f t="shared" si="144"/>
        <v/>
      </c>
      <c r="AH908" s="10" t="str">
        <f>IF(AND(Q908&gt;0,Q908&lt;30,K908=216),'Udvaskning nøgletal'!$C$42,IF(AND(Q908&gt;0,Q908&lt;30,K908&gt;7,K908&lt;17),'Udvaskning nøgletal'!$C$61,IF(AND(Q908&gt;0,Q908&lt;30,K908&lt;7),'Udvaskning nøgletal'!$C$62,"")))</f>
        <v/>
      </c>
      <c r="AI908" s="10">
        <f t="shared" si="150"/>
        <v>583</v>
      </c>
      <c r="AJ908" s="10">
        <f>IF($X908=1,LOOKUP(AI908,'Udvaskning nøgletal'!$C$12:$C$62,'Udvaskning nøgletal'!$E$12:$E$62)+Markniveau!$Y908*Markniveau!$S908/100,IF($X908=2,LOOKUP(AI908,'Udvaskning nøgletal'!$C$12:$C$62,'Udvaskning nøgletal'!$F$12:$F$62)+Markniveau!$Y908*Markniveau!$S908/100,IF($X908=3,LOOKUP(AI908,'Udvaskning nøgletal'!$C$12:$C$62,'Udvaskning nøgletal'!Q918:Q968)+Markniveau!$Y908*Markniveau!$S908/100,"")))</f>
        <v>10</v>
      </c>
      <c r="AK908" s="10">
        <f t="shared" si="149"/>
        <v>10.9</v>
      </c>
      <c r="AL908" s="10" t="str">
        <f t="shared" si="151"/>
        <v/>
      </c>
      <c r="AM908" s="10" t="str">
        <f t="shared" si="152"/>
        <v/>
      </c>
    </row>
    <row r="909" spans="1:39" x14ac:dyDescent="0.25">
      <c r="A909" s="15">
        <v>28048777</v>
      </c>
      <c r="B909" s="15">
        <v>2.2999999999999998</v>
      </c>
      <c r="C909" s="15">
        <v>144263</v>
      </c>
      <c r="D909" s="15">
        <v>105198</v>
      </c>
      <c r="E909" s="15" t="s">
        <v>705</v>
      </c>
      <c r="F909" s="15">
        <v>2011</v>
      </c>
      <c r="G909" s="15">
        <v>20110420</v>
      </c>
      <c r="H909" s="15">
        <v>4632</v>
      </c>
      <c r="I909" s="15">
        <v>0.46</v>
      </c>
      <c r="J909" s="6" t="s">
        <v>1469</v>
      </c>
      <c r="K909" s="15">
        <v>583</v>
      </c>
      <c r="L909" s="15" t="s">
        <v>154</v>
      </c>
      <c r="M909" s="15" t="s">
        <v>155</v>
      </c>
      <c r="N909" s="11" t="s">
        <v>1391</v>
      </c>
      <c r="O909" s="11" t="s">
        <v>46</v>
      </c>
      <c r="P909" s="11" t="s">
        <v>29</v>
      </c>
      <c r="Q909" s="15">
        <v>95</v>
      </c>
      <c r="R909" s="11" t="s">
        <v>3</v>
      </c>
      <c r="S909" s="10">
        <v>0</v>
      </c>
      <c r="T909" s="15">
        <v>80</v>
      </c>
      <c r="U909" s="15">
        <v>0</v>
      </c>
      <c r="V909" s="15">
        <v>0</v>
      </c>
      <c r="W909" s="15">
        <v>0</v>
      </c>
      <c r="X909" s="15">
        <f>IF(O909='Udvaskning nøgletal'!$D$65,1,IF(O909='Udvaskning nøgletal'!$D$66,2,IF(O909='Udvaskning nøgletal'!$D$67,3,IF(O909='Udvaskning nøgletal'!$D$68,2,""))))</f>
        <v>2</v>
      </c>
      <c r="Y909" s="15">
        <f>LOOKUP(K909,'Udvaskning nøgletal'!$C$12:$C$60,'Udvaskning nøgletal'!$H$12:$H$60)</f>
        <v>0</v>
      </c>
      <c r="Z909" s="10">
        <f>IF(X909=1,LOOKUP(K909,'Udvaskning nøgletal'!$C$12:$C$60,'Udvaskning nøgletal'!$E$12:$E$60)+Markniveau!Y909*Markniveau!S909/100,IF(X909=2,LOOKUP(K909,'Udvaskning nøgletal'!$C$12:$C$60,'Udvaskning nøgletal'!$F$12:$F$60)+Markniveau!Y909*Markniveau!S909/100,IF(X909=3,LOOKUP(K909,'Udvaskning nøgletal'!$C$12:$C$60,'Udvaskning nøgletal'!G919:G967)+Markniveau!Y909*Markniveau!S909/100,"")))</f>
        <v>10</v>
      </c>
      <c r="AA909" s="10">
        <f t="shared" si="146"/>
        <v>4.6000000000000005</v>
      </c>
      <c r="AB909" s="10">
        <f t="shared" si="145"/>
        <v>0.5</v>
      </c>
      <c r="AC909" s="10">
        <f t="shared" si="147"/>
        <v>0.23</v>
      </c>
      <c r="AD909" s="10">
        <f>IF(AND(Q909&gt;0,Q909&lt;30,K909&lt;8),Markniveau!Z909*'Udvaskning nøgletal'!$I$12/100,IF(AND(Q909&gt;0,Q909&lt;30,K909=216),Markniveau!Z909*'Udvaskning nøgletal'!$I$34/100,Markniveau!Z909))</f>
        <v>10</v>
      </c>
      <c r="AE909" s="10">
        <f t="shared" si="143"/>
        <v>4.6000000000000005</v>
      </c>
      <c r="AF909" s="10">
        <f t="shared" si="148"/>
        <v>0.5</v>
      </c>
      <c r="AG909" s="10">
        <f t="shared" si="144"/>
        <v>0.23</v>
      </c>
      <c r="AH909" s="10" t="str">
        <f>IF(AND(Q909&gt;0,Q909&lt;30,K909=216),'Udvaskning nøgletal'!$C$42,IF(AND(Q909&gt;0,Q909&lt;30,K909&gt;7,K909&lt;17),'Udvaskning nøgletal'!$C$61,IF(AND(Q909&gt;0,Q909&lt;30,K909&lt;7),'Udvaskning nøgletal'!$C$62,"")))</f>
        <v/>
      </c>
      <c r="AI909" s="10">
        <f t="shared" si="150"/>
        <v>583</v>
      </c>
      <c r="AJ909" s="10">
        <f>IF($X909=1,LOOKUP(AI909,'Udvaskning nøgletal'!$C$12:$C$62,'Udvaskning nøgletal'!$E$12:$E$62)+Markniveau!$Y909*Markniveau!$S909/100,IF($X909=2,LOOKUP(AI909,'Udvaskning nøgletal'!$C$12:$C$62,'Udvaskning nøgletal'!$F$12:$F$62)+Markniveau!$Y909*Markniveau!$S909/100,IF($X909=3,LOOKUP(AI909,'Udvaskning nøgletal'!$C$12:$C$62,'Udvaskning nøgletal'!Q919:Q969)+Markniveau!$Y909*Markniveau!$S909/100,"")))</f>
        <v>10</v>
      </c>
      <c r="AK909" s="10">
        <f t="shared" si="149"/>
        <v>4.6000000000000005</v>
      </c>
      <c r="AL909" s="10">
        <f t="shared" si="151"/>
        <v>0.5</v>
      </c>
      <c r="AM909" s="10">
        <f t="shared" si="152"/>
        <v>0.23</v>
      </c>
    </row>
    <row r="910" spans="1:39" x14ac:dyDescent="0.25">
      <c r="A910" s="15">
        <v>28333919</v>
      </c>
      <c r="B910" s="15">
        <v>17.91</v>
      </c>
      <c r="C910" s="15">
        <v>179560</v>
      </c>
      <c r="D910" s="15">
        <v>26813</v>
      </c>
      <c r="E910" s="15" t="s">
        <v>706</v>
      </c>
      <c r="F910" s="15">
        <v>2011</v>
      </c>
      <c r="G910" s="15">
        <v>20110426</v>
      </c>
      <c r="H910" s="15">
        <v>16784</v>
      </c>
      <c r="I910" s="15">
        <v>1.68</v>
      </c>
      <c r="J910" s="6" t="s">
        <v>1401</v>
      </c>
      <c r="K910" s="15">
        <v>1</v>
      </c>
      <c r="L910" s="15" t="s">
        <v>32</v>
      </c>
      <c r="M910" s="15" t="s">
        <v>5</v>
      </c>
      <c r="N910" s="11" t="s">
        <v>1384</v>
      </c>
      <c r="O910" s="11" t="s">
        <v>28</v>
      </c>
      <c r="P910" s="11" t="s">
        <v>33</v>
      </c>
      <c r="Q910" s="15">
        <v>1</v>
      </c>
      <c r="R910" s="11" t="s">
        <v>11</v>
      </c>
      <c r="S910" s="10">
        <v>0</v>
      </c>
      <c r="T910" s="15">
        <v>80</v>
      </c>
      <c r="U910" s="15">
        <v>0</v>
      </c>
      <c r="V910" s="15">
        <v>0</v>
      </c>
      <c r="W910" s="15">
        <v>0</v>
      </c>
      <c r="X910" s="15">
        <f>IF(O910='Udvaskning nøgletal'!$D$65,1,IF(O910='Udvaskning nøgletal'!$D$66,2,IF(O910='Udvaskning nøgletal'!$D$67,3,IF(O910='Udvaskning nøgletal'!$D$68,2,""))))</f>
        <v>1</v>
      </c>
      <c r="Y910" s="15">
        <f>LOOKUP(K910,'Udvaskning nøgletal'!$C$12:$C$60,'Udvaskning nøgletal'!$H$12:$H$60)</f>
        <v>5</v>
      </c>
      <c r="Z910" s="10">
        <f>IF(X910=1,LOOKUP(K910,'Udvaskning nøgletal'!$C$12:$C$60,'Udvaskning nøgletal'!$E$12:$E$60)+Markniveau!Y910*Markniveau!S910/100,IF(X910=2,LOOKUP(K910,'Udvaskning nøgletal'!$C$12:$C$60,'Udvaskning nøgletal'!$F$12:$F$60)+Markniveau!Y910*Markniveau!S910/100,IF(X910=3,LOOKUP(K910,'Udvaskning nøgletal'!$C$12:$C$60,'Udvaskning nøgletal'!G920:G968)+Markniveau!Y910*Markniveau!S910/100,"")))</f>
        <v>64.66</v>
      </c>
      <c r="AA910" s="10">
        <f t="shared" si="146"/>
        <v>108.62879999999998</v>
      </c>
      <c r="AB910" s="10">
        <f t="shared" si="145"/>
        <v>64.01339999999999</v>
      </c>
      <c r="AC910" s="10">
        <f t="shared" si="147"/>
        <v>107.54251199999997</v>
      </c>
      <c r="AD910" s="10">
        <f>IF(AND(Q910&gt;0,Q910&lt;30,K910&lt;8),Markniveau!Z910*'Udvaskning nøgletal'!$I$12/100,IF(AND(Q910&gt;0,Q910&lt;30,K910=216),Markniveau!Z910*'Udvaskning nøgletal'!$I$34/100,Markniveau!Z910))</f>
        <v>32.33</v>
      </c>
      <c r="AE910" s="10">
        <f t="shared" si="143"/>
        <v>54.314399999999992</v>
      </c>
      <c r="AF910" s="10">
        <f t="shared" si="148"/>
        <v>32.006699999999995</v>
      </c>
      <c r="AG910" s="10">
        <f t="shared" si="144"/>
        <v>53.771255999999987</v>
      </c>
      <c r="AH910" s="10">
        <f>IF(AND(Q910&gt;0,Q910&lt;30,K910=216),'Udvaskning nøgletal'!$C$42,IF(AND(Q910&gt;0,Q910&lt;30,K910&gt;7,K910&lt;17),'Udvaskning nøgletal'!$C$61,IF(AND(Q910&gt;0,Q910&lt;30,K910&lt;7),'Udvaskning nøgletal'!$C$62,"")))</f>
        <v>1002</v>
      </c>
      <c r="AI910" s="10">
        <f t="shared" si="150"/>
        <v>1002</v>
      </c>
      <c r="AJ910" s="10">
        <f>IF($X910=1,LOOKUP(AI910,'Udvaskning nøgletal'!$C$12:$C$62,'Udvaskning nøgletal'!$E$12:$E$62)+Markniveau!$Y910*Markniveau!$S910/100,IF($X910=2,LOOKUP(AI910,'Udvaskning nøgletal'!$C$12:$C$62,'Udvaskning nøgletal'!$F$12:$F$62)+Markniveau!$Y910*Markniveau!$S910/100,IF($X910=3,LOOKUP(AI910,'Udvaskning nøgletal'!$C$12:$C$62,'Udvaskning nøgletal'!Q920:Q970)+Markniveau!$Y910*Markniveau!$S910/100,"")))</f>
        <v>30.5</v>
      </c>
      <c r="AK910" s="10">
        <f t="shared" si="149"/>
        <v>51.239999999999995</v>
      </c>
      <c r="AL910" s="10">
        <f t="shared" si="151"/>
        <v>30.195</v>
      </c>
      <c r="AM910" s="10">
        <f t="shared" si="152"/>
        <v>50.727599999999995</v>
      </c>
    </row>
    <row r="911" spans="1:39" x14ac:dyDescent="0.25">
      <c r="A911" s="15">
        <v>28333919</v>
      </c>
      <c r="B911" s="15">
        <v>17.91</v>
      </c>
      <c r="C911" s="15">
        <v>179561</v>
      </c>
      <c r="D911" s="15">
        <v>26813</v>
      </c>
      <c r="E911" s="15" t="s">
        <v>707</v>
      </c>
      <c r="F911" s="15">
        <v>2011</v>
      </c>
      <c r="G911" s="15">
        <v>20110426</v>
      </c>
      <c r="H911" s="15">
        <v>60403</v>
      </c>
      <c r="I911" s="15">
        <v>6.04</v>
      </c>
      <c r="J911" s="6" t="s">
        <v>34</v>
      </c>
      <c r="K911" s="15">
        <v>3</v>
      </c>
      <c r="L911" s="15" t="s">
        <v>114</v>
      </c>
      <c r="M911" s="15" t="s">
        <v>5</v>
      </c>
      <c r="N911" s="11" t="s">
        <v>1384</v>
      </c>
      <c r="O911" s="11" t="s">
        <v>28</v>
      </c>
      <c r="P911" s="11" t="s">
        <v>29</v>
      </c>
      <c r="Q911" s="15">
        <v>1</v>
      </c>
      <c r="R911" s="11" t="s">
        <v>11</v>
      </c>
      <c r="S911" s="10">
        <v>0</v>
      </c>
      <c r="T911" s="15">
        <v>80</v>
      </c>
      <c r="U911" s="15">
        <v>0</v>
      </c>
      <c r="V911" s="15">
        <v>0</v>
      </c>
      <c r="W911" s="15">
        <v>0</v>
      </c>
      <c r="X911" s="15">
        <f>IF(O911='Udvaskning nøgletal'!$D$65,1,IF(O911='Udvaskning nøgletal'!$D$66,2,IF(O911='Udvaskning nøgletal'!$D$67,3,IF(O911='Udvaskning nøgletal'!$D$68,2,""))))</f>
        <v>1</v>
      </c>
      <c r="Y911" s="15">
        <f>LOOKUP(K911,'Udvaskning nøgletal'!$C$12:$C$60,'Udvaskning nøgletal'!$H$12:$H$60)</f>
        <v>5</v>
      </c>
      <c r="Z911" s="10">
        <f>IF(X911=1,LOOKUP(K911,'Udvaskning nøgletal'!$C$12:$C$60,'Udvaskning nøgletal'!$E$12:$E$60)+Markniveau!Y911*Markniveau!S911/100,IF(X911=2,LOOKUP(K911,'Udvaskning nøgletal'!$C$12:$C$60,'Udvaskning nøgletal'!$F$12:$F$60)+Markniveau!Y911*Markniveau!S911/100,IF(X911=3,LOOKUP(K911,'Udvaskning nøgletal'!$C$12:$C$60,'Udvaskning nøgletal'!G921:G969)+Markniveau!Y911*Markniveau!S911/100,"")))</f>
        <v>64.66</v>
      </c>
      <c r="AA911" s="10">
        <f t="shared" si="146"/>
        <v>390.54640000000001</v>
      </c>
      <c r="AB911" s="10">
        <f t="shared" si="145"/>
        <v>64.01339999999999</v>
      </c>
      <c r="AC911" s="10">
        <f t="shared" si="147"/>
        <v>386.64093599999995</v>
      </c>
      <c r="AD911" s="10">
        <f>IF(AND(Q911&gt;0,Q911&lt;30,K911&lt;8),Markniveau!Z911*'Udvaskning nøgletal'!$I$12/100,IF(AND(Q911&gt;0,Q911&lt;30,K911=216),Markniveau!Z911*'Udvaskning nøgletal'!$I$34/100,Markniveau!Z911))</f>
        <v>32.33</v>
      </c>
      <c r="AE911" s="10">
        <f t="shared" si="143"/>
        <v>195.2732</v>
      </c>
      <c r="AF911" s="10">
        <f t="shared" si="148"/>
        <v>32.006699999999995</v>
      </c>
      <c r="AG911" s="10">
        <f t="shared" si="144"/>
        <v>193.32046799999998</v>
      </c>
      <c r="AH911" s="10">
        <f>IF(AND(Q911&gt;0,Q911&lt;30,K911=216),'Udvaskning nøgletal'!$C$42,IF(AND(Q911&gt;0,Q911&lt;30,K911&gt;7,K911&lt;17),'Udvaskning nøgletal'!$C$61,IF(AND(Q911&gt;0,Q911&lt;30,K911&lt;7),'Udvaskning nøgletal'!$C$62,"")))</f>
        <v>1002</v>
      </c>
      <c r="AI911" s="10">
        <f t="shared" si="150"/>
        <v>1002</v>
      </c>
      <c r="AJ911" s="10">
        <f>IF($X911=1,LOOKUP(AI911,'Udvaskning nøgletal'!$C$12:$C$62,'Udvaskning nøgletal'!$E$12:$E$62)+Markniveau!$Y911*Markniveau!$S911/100,IF($X911=2,LOOKUP(AI911,'Udvaskning nøgletal'!$C$12:$C$62,'Udvaskning nøgletal'!$F$12:$F$62)+Markniveau!$Y911*Markniveau!$S911/100,IF($X911=3,LOOKUP(AI911,'Udvaskning nøgletal'!$C$12:$C$62,'Udvaskning nøgletal'!Q921:Q971)+Markniveau!$Y911*Markniveau!$S911/100,"")))</f>
        <v>30.5</v>
      </c>
      <c r="AK911" s="10">
        <f t="shared" si="149"/>
        <v>184.22</v>
      </c>
      <c r="AL911" s="10">
        <f t="shared" si="151"/>
        <v>30.195</v>
      </c>
      <c r="AM911" s="10">
        <f t="shared" si="152"/>
        <v>182.37780000000001</v>
      </c>
    </row>
    <row r="912" spans="1:39" x14ac:dyDescent="0.25">
      <c r="A912" s="15">
        <v>28333919</v>
      </c>
      <c r="B912" s="15">
        <v>17.91</v>
      </c>
      <c r="C912" s="15">
        <v>179562</v>
      </c>
      <c r="D912" s="15">
        <v>26813</v>
      </c>
      <c r="E912" s="15" t="s">
        <v>708</v>
      </c>
      <c r="F912" s="15">
        <v>2011</v>
      </c>
      <c r="G912" s="15">
        <v>20110426</v>
      </c>
      <c r="H912" s="15">
        <v>5136</v>
      </c>
      <c r="I912" s="15">
        <v>0.51</v>
      </c>
      <c r="J912" s="6" t="s">
        <v>36</v>
      </c>
      <c r="K912" s="15">
        <v>16</v>
      </c>
      <c r="L912" s="15" t="s">
        <v>523</v>
      </c>
      <c r="M912" s="15" t="s">
        <v>5</v>
      </c>
      <c r="N912" s="11" t="s">
        <v>1384</v>
      </c>
      <c r="O912" s="11" t="s">
        <v>28</v>
      </c>
      <c r="P912" s="11" t="s">
        <v>29</v>
      </c>
      <c r="Q912" s="15">
        <v>1</v>
      </c>
      <c r="R912" s="11" t="s">
        <v>11</v>
      </c>
      <c r="S912" s="10">
        <v>0</v>
      </c>
      <c r="T912" s="15">
        <v>80</v>
      </c>
      <c r="U912" s="15">
        <v>0</v>
      </c>
      <c r="V912" s="15">
        <v>0</v>
      </c>
      <c r="W912" s="15">
        <v>0</v>
      </c>
      <c r="X912" s="15">
        <f>IF(O912='Udvaskning nøgletal'!$D$65,1,IF(O912='Udvaskning nøgletal'!$D$66,2,IF(O912='Udvaskning nøgletal'!$D$67,3,IF(O912='Udvaskning nøgletal'!$D$68,2,""))))</f>
        <v>1</v>
      </c>
      <c r="Y912" s="15">
        <f>LOOKUP(K912,'Udvaskning nøgletal'!$C$12:$C$60,'Udvaskning nøgletal'!$H$12:$H$60)</f>
        <v>5</v>
      </c>
      <c r="Z912" s="10">
        <f>IF(X912=1,LOOKUP(K912,'Udvaskning nøgletal'!$C$12:$C$60,'Udvaskning nøgletal'!$E$12:$E$60)+Markniveau!Y912*Markniveau!S912/100,IF(X912=2,LOOKUP(K912,'Udvaskning nøgletal'!$C$12:$C$60,'Udvaskning nøgletal'!$F$12:$F$60)+Markniveau!Y912*Markniveau!S912/100,IF(X912=3,LOOKUP(K912,'Udvaskning nøgletal'!$C$12:$C$60,'Udvaskning nøgletal'!G922:G970)+Markniveau!Y912*Markniveau!S912/100,"")))</f>
        <v>64.66</v>
      </c>
      <c r="AA912" s="10">
        <f t="shared" si="146"/>
        <v>32.976599999999998</v>
      </c>
      <c r="AB912" s="10">
        <f t="shared" si="145"/>
        <v>64.01339999999999</v>
      </c>
      <c r="AC912" s="10">
        <f t="shared" si="147"/>
        <v>32.646833999999998</v>
      </c>
      <c r="AD912" s="10">
        <f>IF(AND(Q912&gt;0,Q912&lt;30,K912&lt;8),Markniveau!Z912*'Udvaskning nøgletal'!$I$12/100,IF(AND(Q912&gt;0,Q912&lt;30,K912=216),Markniveau!Z912*'Udvaskning nøgletal'!$I$34/100,Markniveau!Z912))</f>
        <v>64.66</v>
      </c>
      <c r="AE912" s="10">
        <f t="shared" si="143"/>
        <v>32.976599999999998</v>
      </c>
      <c r="AF912" s="10">
        <f t="shared" si="148"/>
        <v>64.01339999999999</v>
      </c>
      <c r="AG912" s="10">
        <f t="shared" si="144"/>
        <v>32.646833999999998</v>
      </c>
      <c r="AH912" s="10">
        <f>IF(AND(Q912&gt;0,Q912&lt;30,K912=216),'Udvaskning nøgletal'!$C$42,IF(AND(Q912&gt;0,Q912&lt;30,K912&gt;7,K912&lt;17),'Udvaskning nøgletal'!$C$61,IF(AND(Q912&gt;0,Q912&lt;30,K912&lt;7),'Udvaskning nøgletal'!$C$62,"")))</f>
        <v>1001</v>
      </c>
      <c r="AI912" s="10">
        <f t="shared" si="150"/>
        <v>1001</v>
      </c>
      <c r="AJ912" s="10">
        <f>IF($X912=1,LOOKUP(AI912,'Udvaskning nøgletal'!$C$12:$C$62,'Udvaskning nøgletal'!$E$12:$E$62)+Markniveau!$Y912*Markniveau!$S912/100,IF($X912=2,LOOKUP(AI912,'Udvaskning nøgletal'!$C$12:$C$62,'Udvaskning nøgletal'!$F$12:$F$62)+Markniveau!$Y912*Markniveau!$S912/100,IF($X912=3,LOOKUP(AI912,'Udvaskning nøgletal'!$C$12:$C$62,'Udvaskning nøgletal'!Q922:Q972)+Markniveau!$Y912*Markniveau!$S912/100,"")))</f>
        <v>30.5</v>
      </c>
      <c r="AK912" s="10">
        <f t="shared" si="149"/>
        <v>15.555</v>
      </c>
      <c r="AL912" s="10">
        <f t="shared" si="151"/>
        <v>30.195</v>
      </c>
      <c r="AM912" s="10">
        <f t="shared" si="152"/>
        <v>15.39945</v>
      </c>
    </row>
    <row r="913" spans="1:39" x14ac:dyDescent="0.25">
      <c r="A913" s="15">
        <v>28333919</v>
      </c>
      <c r="B913" s="15">
        <v>17.91</v>
      </c>
      <c r="C913" s="15">
        <v>179563</v>
      </c>
      <c r="D913" s="15">
        <v>26813</v>
      </c>
      <c r="E913" s="15" t="s">
        <v>206</v>
      </c>
      <c r="F913" s="15">
        <v>2011</v>
      </c>
      <c r="G913" s="15">
        <v>20110426</v>
      </c>
      <c r="H913" s="15">
        <v>31001</v>
      </c>
      <c r="I913" s="15">
        <v>3.1</v>
      </c>
      <c r="J913" s="6" t="s">
        <v>35</v>
      </c>
      <c r="K913" s="15">
        <v>3</v>
      </c>
      <c r="L913" s="15" t="s">
        <v>114</v>
      </c>
      <c r="M913" s="15" t="s">
        <v>5</v>
      </c>
      <c r="N913" s="11" t="s">
        <v>1384</v>
      </c>
      <c r="O913" s="11" t="s">
        <v>28</v>
      </c>
      <c r="P913" s="11" t="s">
        <v>33</v>
      </c>
      <c r="Q913" s="15">
        <v>1</v>
      </c>
      <c r="R913" s="11" t="s">
        <v>11</v>
      </c>
      <c r="S913" s="10">
        <v>0</v>
      </c>
      <c r="T913" s="15">
        <v>80</v>
      </c>
      <c r="U913" s="15">
        <v>0</v>
      </c>
      <c r="V913" s="15">
        <v>0</v>
      </c>
      <c r="W913" s="15">
        <v>0</v>
      </c>
      <c r="X913" s="15">
        <f>IF(O913='Udvaskning nøgletal'!$D$65,1,IF(O913='Udvaskning nøgletal'!$D$66,2,IF(O913='Udvaskning nøgletal'!$D$67,3,IF(O913='Udvaskning nøgletal'!$D$68,2,""))))</f>
        <v>1</v>
      </c>
      <c r="Y913" s="15">
        <f>LOOKUP(K913,'Udvaskning nøgletal'!$C$12:$C$60,'Udvaskning nøgletal'!$H$12:$H$60)</f>
        <v>5</v>
      </c>
      <c r="Z913" s="10">
        <f>IF(X913=1,LOOKUP(K913,'Udvaskning nøgletal'!$C$12:$C$60,'Udvaskning nøgletal'!$E$12:$E$60)+Markniveau!Y913*Markniveau!S913/100,IF(X913=2,LOOKUP(K913,'Udvaskning nøgletal'!$C$12:$C$60,'Udvaskning nøgletal'!$F$12:$F$60)+Markniveau!Y913*Markniveau!S913/100,IF(X913=3,LOOKUP(K913,'Udvaskning nøgletal'!$C$12:$C$60,'Udvaskning nøgletal'!G923:G971)+Markniveau!Y913*Markniveau!S913/100,"")))</f>
        <v>64.66</v>
      </c>
      <c r="AA913" s="10">
        <f t="shared" si="146"/>
        <v>200.446</v>
      </c>
      <c r="AB913" s="10">
        <f t="shared" si="145"/>
        <v>64.01339999999999</v>
      </c>
      <c r="AC913" s="10">
        <f t="shared" si="147"/>
        <v>198.44153999999997</v>
      </c>
      <c r="AD913" s="10">
        <f>IF(AND(Q913&gt;0,Q913&lt;30,K913&lt;8),Markniveau!Z913*'Udvaskning nøgletal'!$I$12/100,IF(AND(Q913&gt;0,Q913&lt;30,K913=216),Markniveau!Z913*'Udvaskning nøgletal'!$I$34/100,Markniveau!Z913))</f>
        <v>32.33</v>
      </c>
      <c r="AE913" s="10">
        <f t="shared" ref="AE913:AE976" si="153">AD913*I913</f>
        <v>100.223</v>
      </c>
      <c r="AF913" s="10">
        <f t="shared" si="148"/>
        <v>32.006699999999995</v>
      </c>
      <c r="AG913" s="10">
        <f t="shared" ref="AG913:AG976" si="154">IF($Q913&gt;0,(100-$Q913)*$AD913/100*I913,"")</f>
        <v>99.220769999999987</v>
      </c>
      <c r="AH913" s="10">
        <f>IF(AND(Q913&gt;0,Q913&lt;30,K913=216),'Udvaskning nøgletal'!$C$42,IF(AND(Q913&gt;0,Q913&lt;30,K913&gt;7,K913&lt;17),'Udvaskning nøgletal'!$C$61,IF(AND(Q913&gt;0,Q913&lt;30,K913&lt;7),'Udvaskning nøgletal'!$C$62,"")))</f>
        <v>1002</v>
      </c>
      <c r="AI913" s="10">
        <f t="shared" si="150"/>
        <v>1002</v>
      </c>
      <c r="AJ913" s="10">
        <f>IF($X913=1,LOOKUP(AI913,'Udvaskning nøgletal'!$C$12:$C$62,'Udvaskning nøgletal'!$E$12:$E$62)+Markniveau!$Y913*Markniveau!$S913/100,IF($X913=2,LOOKUP(AI913,'Udvaskning nøgletal'!$C$12:$C$62,'Udvaskning nøgletal'!$F$12:$F$62)+Markniveau!$Y913*Markniveau!$S913/100,IF($X913=3,LOOKUP(AI913,'Udvaskning nøgletal'!$C$12:$C$62,'Udvaskning nøgletal'!Q923:Q973)+Markniveau!$Y913*Markniveau!$S913/100,"")))</f>
        <v>30.5</v>
      </c>
      <c r="AK913" s="10">
        <f t="shared" si="149"/>
        <v>94.55</v>
      </c>
      <c r="AL913" s="10">
        <f t="shared" si="151"/>
        <v>30.195</v>
      </c>
      <c r="AM913" s="10">
        <f t="shared" si="152"/>
        <v>93.604500000000002</v>
      </c>
    </row>
    <row r="914" spans="1:39" x14ac:dyDescent="0.25">
      <c r="A914" s="15">
        <v>28333919</v>
      </c>
      <c r="B914" s="15">
        <v>17.91</v>
      </c>
      <c r="C914" s="15">
        <v>179564</v>
      </c>
      <c r="D914" s="15">
        <v>26813</v>
      </c>
      <c r="E914" s="15" t="s">
        <v>707</v>
      </c>
      <c r="F914" s="15">
        <v>2011</v>
      </c>
      <c r="G914" s="15">
        <v>20110426</v>
      </c>
      <c r="H914" s="15">
        <v>54553</v>
      </c>
      <c r="I914" s="15">
        <v>5.46</v>
      </c>
      <c r="J914" s="6" t="s">
        <v>97</v>
      </c>
      <c r="K914" s="15">
        <v>16</v>
      </c>
      <c r="L914" s="15" t="s">
        <v>523</v>
      </c>
      <c r="M914" s="15" t="s">
        <v>5</v>
      </c>
      <c r="N914" s="11" t="s">
        <v>1384</v>
      </c>
      <c r="O914" s="11" t="s">
        <v>28</v>
      </c>
      <c r="P914" s="11" t="s">
        <v>29</v>
      </c>
      <c r="Q914" s="15">
        <v>1</v>
      </c>
      <c r="R914" s="11" t="s">
        <v>11</v>
      </c>
      <c r="S914" s="10">
        <v>0</v>
      </c>
      <c r="T914" s="15">
        <v>80</v>
      </c>
      <c r="U914" s="15">
        <v>0</v>
      </c>
      <c r="V914" s="15">
        <v>0</v>
      </c>
      <c r="W914" s="15">
        <v>0</v>
      </c>
      <c r="X914" s="15">
        <f>IF(O914='Udvaskning nøgletal'!$D$65,1,IF(O914='Udvaskning nøgletal'!$D$66,2,IF(O914='Udvaskning nøgletal'!$D$67,3,IF(O914='Udvaskning nøgletal'!$D$68,2,""))))</f>
        <v>1</v>
      </c>
      <c r="Y914" s="15">
        <f>LOOKUP(K914,'Udvaskning nøgletal'!$C$12:$C$60,'Udvaskning nøgletal'!$H$12:$H$60)</f>
        <v>5</v>
      </c>
      <c r="Z914" s="10">
        <f>IF(X914=1,LOOKUP(K914,'Udvaskning nøgletal'!$C$12:$C$60,'Udvaskning nøgletal'!$E$12:$E$60)+Markniveau!Y914*Markniveau!S914/100,IF(X914=2,LOOKUP(K914,'Udvaskning nøgletal'!$C$12:$C$60,'Udvaskning nøgletal'!$F$12:$F$60)+Markniveau!Y914*Markniveau!S914/100,IF(X914=3,LOOKUP(K914,'Udvaskning nøgletal'!$C$12:$C$60,'Udvaskning nøgletal'!G924:G972)+Markniveau!Y914*Markniveau!S914/100,"")))</f>
        <v>64.66</v>
      </c>
      <c r="AA914" s="10">
        <f t="shared" si="146"/>
        <v>353.04359999999997</v>
      </c>
      <c r="AB914" s="10">
        <f t="shared" si="145"/>
        <v>64.01339999999999</v>
      </c>
      <c r="AC914" s="10">
        <f t="shared" si="147"/>
        <v>349.51316399999996</v>
      </c>
      <c r="AD914" s="10">
        <f>IF(AND(Q914&gt;0,Q914&lt;30,K914&lt;8),Markniveau!Z914*'Udvaskning nøgletal'!$I$12/100,IF(AND(Q914&gt;0,Q914&lt;30,K914=216),Markniveau!Z914*'Udvaskning nøgletal'!$I$34/100,Markniveau!Z914))</f>
        <v>64.66</v>
      </c>
      <c r="AE914" s="10">
        <f t="shared" si="153"/>
        <v>353.04359999999997</v>
      </c>
      <c r="AF914" s="10">
        <f t="shared" si="148"/>
        <v>64.01339999999999</v>
      </c>
      <c r="AG914" s="10">
        <f t="shared" si="154"/>
        <v>349.51316399999996</v>
      </c>
      <c r="AH914" s="10">
        <f>IF(AND(Q914&gt;0,Q914&lt;30,K914=216),'Udvaskning nøgletal'!$C$42,IF(AND(Q914&gt;0,Q914&lt;30,K914&gt;7,K914&lt;17),'Udvaskning nøgletal'!$C$61,IF(AND(Q914&gt;0,Q914&lt;30,K914&lt;7),'Udvaskning nøgletal'!$C$62,"")))</f>
        <v>1001</v>
      </c>
      <c r="AI914" s="10">
        <f t="shared" si="150"/>
        <v>1001</v>
      </c>
      <c r="AJ914" s="10">
        <f>IF($X914=1,LOOKUP(AI914,'Udvaskning nøgletal'!$C$12:$C$62,'Udvaskning nøgletal'!$E$12:$E$62)+Markniveau!$Y914*Markniveau!$S914/100,IF($X914=2,LOOKUP(AI914,'Udvaskning nøgletal'!$C$12:$C$62,'Udvaskning nøgletal'!$F$12:$F$62)+Markniveau!$Y914*Markniveau!$S914/100,IF($X914=3,LOOKUP(AI914,'Udvaskning nøgletal'!$C$12:$C$62,'Udvaskning nøgletal'!Q924:Q974)+Markniveau!$Y914*Markniveau!$S914/100,"")))</f>
        <v>30.5</v>
      </c>
      <c r="AK914" s="10">
        <f t="shared" si="149"/>
        <v>166.53</v>
      </c>
      <c r="AL914" s="10">
        <f t="shared" si="151"/>
        <v>30.195</v>
      </c>
      <c r="AM914" s="10">
        <f t="shared" si="152"/>
        <v>164.8647</v>
      </c>
    </row>
    <row r="915" spans="1:39" x14ac:dyDescent="0.25">
      <c r="A915" s="15">
        <v>28333919</v>
      </c>
      <c r="B915" s="15">
        <v>17.91</v>
      </c>
      <c r="C915" s="15">
        <v>171710</v>
      </c>
      <c r="D915" s="15">
        <v>26813</v>
      </c>
      <c r="E915" s="15" t="s">
        <v>707</v>
      </c>
      <c r="F915" s="15">
        <v>2011</v>
      </c>
      <c r="G915" s="15">
        <v>20110426</v>
      </c>
      <c r="H915" s="15">
        <v>50384</v>
      </c>
      <c r="I915" s="15">
        <v>5.04</v>
      </c>
      <c r="J915" s="6" t="s">
        <v>31</v>
      </c>
      <c r="K915" s="15">
        <v>1</v>
      </c>
      <c r="L915" s="15" t="s">
        <v>32</v>
      </c>
      <c r="M915" s="15" t="s">
        <v>5</v>
      </c>
      <c r="N915" s="11" t="s">
        <v>1384</v>
      </c>
      <c r="O915" s="11" t="s">
        <v>28</v>
      </c>
      <c r="P915" s="11" t="s">
        <v>33</v>
      </c>
      <c r="Q915" s="15">
        <v>1</v>
      </c>
      <c r="R915" s="11" t="s">
        <v>11</v>
      </c>
      <c r="S915" s="10">
        <v>0</v>
      </c>
      <c r="T915" s="15">
        <v>80</v>
      </c>
      <c r="U915" s="15">
        <v>0</v>
      </c>
      <c r="V915" s="15">
        <v>0</v>
      </c>
      <c r="W915" s="15">
        <v>0</v>
      </c>
      <c r="X915" s="15">
        <f>IF(O915='Udvaskning nøgletal'!$D$65,1,IF(O915='Udvaskning nøgletal'!$D$66,2,IF(O915='Udvaskning nøgletal'!$D$67,3,IF(O915='Udvaskning nøgletal'!$D$68,2,""))))</f>
        <v>1</v>
      </c>
      <c r="Y915" s="15">
        <f>LOOKUP(K915,'Udvaskning nøgletal'!$C$12:$C$60,'Udvaskning nøgletal'!$H$12:$H$60)</f>
        <v>5</v>
      </c>
      <c r="Z915" s="10">
        <f>IF(X915=1,LOOKUP(K915,'Udvaskning nøgletal'!$C$12:$C$60,'Udvaskning nøgletal'!$E$12:$E$60)+Markniveau!Y915*Markniveau!S915/100,IF(X915=2,LOOKUP(K915,'Udvaskning nøgletal'!$C$12:$C$60,'Udvaskning nøgletal'!$F$12:$F$60)+Markniveau!Y915*Markniveau!S915/100,IF(X915=3,LOOKUP(K915,'Udvaskning nøgletal'!$C$12:$C$60,'Udvaskning nøgletal'!G925:G973)+Markniveau!Y915*Markniveau!S915/100,"")))</f>
        <v>64.66</v>
      </c>
      <c r="AA915" s="10">
        <f t="shared" si="146"/>
        <v>325.88639999999998</v>
      </c>
      <c r="AB915" s="10">
        <f t="shared" si="145"/>
        <v>64.01339999999999</v>
      </c>
      <c r="AC915" s="10">
        <f t="shared" si="147"/>
        <v>322.62753599999996</v>
      </c>
      <c r="AD915" s="10">
        <f>IF(AND(Q915&gt;0,Q915&lt;30,K915&lt;8),Markniveau!Z915*'Udvaskning nøgletal'!$I$12/100,IF(AND(Q915&gt;0,Q915&lt;30,K915=216),Markniveau!Z915*'Udvaskning nøgletal'!$I$34/100,Markniveau!Z915))</f>
        <v>32.33</v>
      </c>
      <c r="AE915" s="10">
        <f t="shared" si="153"/>
        <v>162.94319999999999</v>
      </c>
      <c r="AF915" s="10">
        <f t="shared" si="148"/>
        <v>32.006699999999995</v>
      </c>
      <c r="AG915" s="10">
        <f t="shared" si="154"/>
        <v>161.31376799999998</v>
      </c>
      <c r="AH915" s="10">
        <f>IF(AND(Q915&gt;0,Q915&lt;30,K915=216),'Udvaskning nøgletal'!$C$42,IF(AND(Q915&gt;0,Q915&lt;30,K915&gt;7,K915&lt;17),'Udvaskning nøgletal'!$C$61,IF(AND(Q915&gt;0,Q915&lt;30,K915&lt;7),'Udvaskning nøgletal'!$C$62,"")))</f>
        <v>1002</v>
      </c>
      <c r="AI915" s="10">
        <f t="shared" si="150"/>
        <v>1002</v>
      </c>
      <c r="AJ915" s="10">
        <f>IF($X915=1,LOOKUP(AI915,'Udvaskning nøgletal'!$C$12:$C$62,'Udvaskning nøgletal'!$E$12:$E$62)+Markniveau!$Y915*Markniveau!$S915/100,IF($X915=2,LOOKUP(AI915,'Udvaskning nøgletal'!$C$12:$C$62,'Udvaskning nøgletal'!$F$12:$F$62)+Markniveau!$Y915*Markniveau!$S915/100,IF($X915=3,LOOKUP(AI915,'Udvaskning nøgletal'!$C$12:$C$62,'Udvaskning nøgletal'!Q925:Q975)+Markniveau!$Y915*Markniveau!$S915/100,"")))</f>
        <v>30.5</v>
      </c>
      <c r="AK915" s="10">
        <f t="shared" si="149"/>
        <v>153.72</v>
      </c>
      <c r="AL915" s="10">
        <f t="shared" si="151"/>
        <v>30.195</v>
      </c>
      <c r="AM915" s="10">
        <f t="shared" si="152"/>
        <v>152.18280000000001</v>
      </c>
    </row>
    <row r="916" spans="1:39" x14ac:dyDescent="0.25">
      <c r="A916" s="15">
        <v>28333919</v>
      </c>
      <c r="B916" s="15">
        <v>17.91</v>
      </c>
      <c r="C916" s="15">
        <v>179558</v>
      </c>
      <c r="D916" s="15">
        <v>26813</v>
      </c>
      <c r="E916" s="15" t="s">
        <v>709</v>
      </c>
      <c r="F916" s="15">
        <v>2011</v>
      </c>
      <c r="G916" s="15">
        <v>20110426</v>
      </c>
      <c r="H916" s="15">
        <v>59007</v>
      </c>
      <c r="I916" s="15">
        <v>5.9</v>
      </c>
      <c r="J916" s="6" t="s">
        <v>61</v>
      </c>
      <c r="K916" s="15">
        <v>16</v>
      </c>
      <c r="L916" s="15" t="s">
        <v>523</v>
      </c>
      <c r="M916" s="15" t="s">
        <v>5</v>
      </c>
      <c r="N916" s="11" t="s">
        <v>1384</v>
      </c>
      <c r="O916" s="11" t="s">
        <v>28</v>
      </c>
      <c r="P916" s="11" t="s">
        <v>29</v>
      </c>
      <c r="Q916" s="15">
        <v>1</v>
      </c>
      <c r="R916" s="11" t="s">
        <v>11</v>
      </c>
      <c r="S916" s="10">
        <v>0</v>
      </c>
      <c r="T916" s="15">
        <v>80</v>
      </c>
      <c r="U916" s="15">
        <v>0</v>
      </c>
      <c r="V916" s="15">
        <v>0</v>
      </c>
      <c r="W916" s="15">
        <v>0</v>
      </c>
      <c r="X916" s="15">
        <f>IF(O916='Udvaskning nøgletal'!$D$65,1,IF(O916='Udvaskning nøgletal'!$D$66,2,IF(O916='Udvaskning nøgletal'!$D$67,3,IF(O916='Udvaskning nøgletal'!$D$68,2,""))))</f>
        <v>1</v>
      </c>
      <c r="Y916" s="15">
        <f>LOOKUP(K916,'Udvaskning nøgletal'!$C$12:$C$60,'Udvaskning nøgletal'!$H$12:$H$60)</f>
        <v>5</v>
      </c>
      <c r="Z916" s="10">
        <f>IF(X916=1,LOOKUP(K916,'Udvaskning nøgletal'!$C$12:$C$60,'Udvaskning nøgletal'!$E$12:$E$60)+Markniveau!Y916*Markniveau!S916/100,IF(X916=2,LOOKUP(K916,'Udvaskning nøgletal'!$C$12:$C$60,'Udvaskning nøgletal'!$F$12:$F$60)+Markniveau!Y916*Markniveau!S916/100,IF(X916=3,LOOKUP(K916,'Udvaskning nøgletal'!$C$12:$C$60,'Udvaskning nøgletal'!G926:G974)+Markniveau!Y916*Markniveau!S916/100,"")))</f>
        <v>64.66</v>
      </c>
      <c r="AA916" s="10">
        <f t="shared" si="146"/>
        <v>381.49400000000003</v>
      </c>
      <c r="AB916" s="10">
        <f t="shared" si="145"/>
        <v>64.01339999999999</v>
      </c>
      <c r="AC916" s="10">
        <f t="shared" si="147"/>
        <v>377.67905999999994</v>
      </c>
      <c r="AD916" s="10">
        <f>IF(AND(Q916&gt;0,Q916&lt;30,K916&lt;8),Markniveau!Z916*'Udvaskning nøgletal'!$I$12/100,IF(AND(Q916&gt;0,Q916&lt;30,K916=216),Markniveau!Z916*'Udvaskning nøgletal'!$I$34/100,Markniveau!Z916))</f>
        <v>64.66</v>
      </c>
      <c r="AE916" s="10">
        <f t="shared" si="153"/>
        <v>381.49400000000003</v>
      </c>
      <c r="AF916" s="10">
        <f t="shared" si="148"/>
        <v>64.01339999999999</v>
      </c>
      <c r="AG916" s="10">
        <f t="shared" si="154"/>
        <v>377.67905999999994</v>
      </c>
      <c r="AH916" s="10">
        <f>IF(AND(Q916&gt;0,Q916&lt;30,K916=216),'Udvaskning nøgletal'!$C$42,IF(AND(Q916&gt;0,Q916&lt;30,K916&gt;7,K916&lt;17),'Udvaskning nøgletal'!$C$61,IF(AND(Q916&gt;0,Q916&lt;30,K916&lt;7),'Udvaskning nøgletal'!$C$62,"")))</f>
        <v>1001</v>
      </c>
      <c r="AI916" s="10">
        <f t="shared" si="150"/>
        <v>1001</v>
      </c>
      <c r="AJ916" s="10">
        <f>IF($X916=1,LOOKUP(AI916,'Udvaskning nøgletal'!$C$12:$C$62,'Udvaskning nøgletal'!$E$12:$E$62)+Markniveau!$Y916*Markniveau!$S916/100,IF($X916=2,LOOKUP(AI916,'Udvaskning nøgletal'!$C$12:$C$62,'Udvaskning nøgletal'!$F$12:$F$62)+Markniveau!$Y916*Markniveau!$S916/100,IF($X916=3,LOOKUP(AI916,'Udvaskning nøgletal'!$C$12:$C$62,'Udvaskning nøgletal'!Q926:Q976)+Markniveau!$Y916*Markniveau!$S916/100,"")))</f>
        <v>30.5</v>
      </c>
      <c r="AK916" s="10">
        <f t="shared" si="149"/>
        <v>179.95000000000002</v>
      </c>
      <c r="AL916" s="10">
        <f t="shared" si="151"/>
        <v>30.195</v>
      </c>
      <c r="AM916" s="10">
        <f t="shared" si="152"/>
        <v>178.15050000000002</v>
      </c>
    </row>
    <row r="917" spans="1:39" x14ac:dyDescent="0.25">
      <c r="A917" s="15">
        <v>28540744</v>
      </c>
      <c r="B917" s="15">
        <v>90.4</v>
      </c>
      <c r="C917" s="15">
        <v>8133</v>
      </c>
      <c r="D917" s="15">
        <v>137119</v>
      </c>
      <c r="E917" s="15" t="s">
        <v>710</v>
      </c>
      <c r="F917" s="15">
        <v>2011</v>
      </c>
      <c r="G917" s="15">
        <v>20110406</v>
      </c>
      <c r="H917" s="15">
        <v>45397</v>
      </c>
      <c r="I917" s="15">
        <v>4.54</v>
      </c>
      <c r="J917" s="6" t="s">
        <v>711</v>
      </c>
      <c r="K917" s="15">
        <v>230</v>
      </c>
      <c r="L917" s="15" t="s">
        <v>120</v>
      </c>
      <c r="M917" s="15" t="s">
        <v>5</v>
      </c>
      <c r="N917" s="11" t="s">
        <v>1391</v>
      </c>
      <c r="O917" s="11" t="s">
        <v>46</v>
      </c>
      <c r="P917" s="11" t="s">
        <v>33</v>
      </c>
      <c r="Q917" s="15">
        <v>0</v>
      </c>
      <c r="R917" s="11" t="s">
        <v>1386</v>
      </c>
      <c r="S917" s="10">
        <v>157.46830381596001</v>
      </c>
      <c r="T917" s="15">
        <v>80</v>
      </c>
      <c r="U917" s="15">
        <v>0</v>
      </c>
      <c r="V917" s="15">
        <v>0</v>
      </c>
      <c r="W917" s="15">
        <v>0</v>
      </c>
      <c r="X917" s="15">
        <f>IF(O917='Udvaskning nøgletal'!$D$65,1,IF(O917='Udvaskning nøgletal'!$D$66,2,IF(O917='Udvaskning nøgletal'!$D$67,3,IF(O917='Udvaskning nøgletal'!$D$68,2,""))))</f>
        <v>2</v>
      </c>
      <c r="Y917" s="15">
        <f>LOOKUP(K917,'Udvaskning nøgletal'!$C$12:$C$60,'Udvaskning nøgletal'!$H$12:$H$60)</f>
        <v>0</v>
      </c>
      <c r="Z917" s="10">
        <f>IF(X917=1,LOOKUP(K917,'Udvaskning nøgletal'!$C$12:$C$60,'Udvaskning nøgletal'!$E$12:$E$60)+Markniveau!Y917*Markniveau!S917/100,IF(X917=2,LOOKUP(K917,'Udvaskning nøgletal'!$C$12:$C$60,'Udvaskning nøgletal'!$F$12:$F$60)+Markniveau!Y917*Markniveau!S917/100,IF(X917=3,LOOKUP(K917,'Udvaskning nøgletal'!$C$12:$C$60,'Udvaskning nøgletal'!G927:G975)+Markniveau!Y917*Markniveau!S917/100,"")))</f>
        <v>31.161328188970323</v>
      </c>
      <c r="AA917" s="10">
        <f t="shared" si="146"/>
        <v>141.47242997792526</v>
      </c>
      <c r="AB917" s="10" t="str">
        <f t="shared" si="145"/>
        <v/>
      </c>
      <c r="AC917" s="10" t="str">
        <f t="shared" si="147"/>
        <v/>
      </c>
      <c r="AD917" s="10">
        <f>IF(AND(Q917&gt;0,Q917&lt;30,K917&lt;8),Markniveau!Z917*'Udvaskning nøgletal'!$I$12/100,IF(AND(Q917&gt;0,Q917&lt;30,K917=216),Markniveau!Z917*'Udvaskning nøgletal'!$I$34/100,Markniveau!Z917))</f>
        <v>31.161328188970323</v>
      </c>
      <c r="AE917" s="10">
        <f t="shared" si="153"/>
        <v>141.47242997792526</v>
      </c>
      <c r="AF917" s="10" t="str">
        <f t="shared" si="148"/>
        <v/>
      </c>
      <c r="AG917" s="10" t="str">
        <f t="shared" si="154"/>
        <v/>
      </c>
      <c r="AH917" s="10" t="str">
        <f>IF(AND(Q917&gt;0,Q917&lt;30,K917=216),'Udvaskning nøgletal'!$C$42,IF(AND(Q917&gt;0,Q917&lt;30,K917&gt;7,K917&lt;17),'Udvaskning nøgletal'!$C$61,IF(AND(Q917&gt;0,Q917&lt;30,K917&lt;7),'Udvaskning nøgletal'!$C$62,"")))</f>
        <v/>
      </c>
      <c r="AI917" s="10">
        <f t="shared" si="150"/>
        <v>230</v>
      </c>
      <c r="AJ917" s="10">
        <f>IF($X917=1,LOOKUP(AI917,'Udvaskning nøgletal'!$C$12:$C$62,'Udvaskning nøgletal'!$E$12:$E$62)+Markniveau!$Y917*Markniveau!$S917/100,IF($X917=2,LOOKUP(AI917,'Udvaskning nøgletal'!$C$12:$C$62,'Udvaskning nøgletal'!$F$12:$F$62)+Markniveau!$Y917*Markniveau!$S917/100,IF($X917=3,LOOKUP(AI917,'Udvaskning nøgletal'!$C$12:$C$62,'Udvaskning nøgletal'!Q927:Q977)+Markniveau!$Y917*Markniveau!$S917/100,"")))</f>
        <v>31.161328188970323</v>
      </c>
      <c r="AK917" s="10">
        <f t="shared" si="149"/>
        <v>141.47242997792526</v>
      </c>
      <c r="AL917" s="10" t="str">
        <f t="shared" si="151"/>
        <v/>
      </c>
      <c r="AM917" s="10" t="str">
        <f t="shared" si="152"/>
        <v/>
      </c>
    </row>
    <row r="918" spans="1:39" x14ac:dyDescent="0.25">
      <c r="A918" s="15">
        <v>28540744</v>
      </c>
      <c r="B918" s="15">
        <v>90.4</v>
      </c>
      <c r="C918" s="15">
        <v>8134</v>
      </c>
      <c r="D918" s="15">
        <v>137119</v>
      </c>
      <c r="E918" s="15" t="s">
        <v>710</v>
      </c>
      <c r="F918" s="15">
        <v>2011</v>
      </c>
      <c r="G918" s="15">
        <v>20110406</v>
      </c>
      <c r="H918" s="15">
        <v>29403</v>
      </c>
      <c r="I918" s="15">
        <v>2.94</v>
      </c>
      <c r="J918" s="6" t="s">
        <v>712</v>
      </c>
      <c r="K918" s="15">
        <v>263</v>
      </c>
      <c r="L918" s="15" t="s">
        <v>39</v>
      </c>
      <c r="M918" s="15" t="s">
        <v>5</v>
      </c>
      <c r="N918" s="11" t="s">
        <v>1391</v>
      </c>
      <c r="O918" s="11" t="s">
        <v>46</v>
      </c>
      <c r="P918" s="11" t="s">
        <v>33</v>
      </c>
      <c r="Q918" s="15">
        <v>0</v>
      </c>
      <c r="R918" s="11" t="s">
        <v>1386</v>
      </c>
      <c r="S918" s="10">
        <v>157.46830381596001</v>
      </c>
      <c r="T918" s="15">
        <v>80</v>
      </c>
      <c r="U918" s="15">
        <v>0</v>
      </c>
      <c r="V918" s="15">
        <v>0</v>
      </c>
      <c r="W918" s="15">
        <v>0</v>
      </c>
      <c r="X918" s="15">
        <f>IF(O918='Udvaskning nøgletal'!$D$65,1,IF(O918='Udvaskning nøgletal'!$D$66,2,IF(O918='Udvaskning nøgletal'!$D$67,3,IF(O918='Udvaskning nøgletal'!$D$68,2,""))))</f>
        <v>2</v>
      </c>
      <c r="Y918" s="15">
        <f>LOOKUP(K918,'Udvaskning nøgletal'!$C$12:$C$60,'Udvaskning nøgletal'!$H$12:$H$60)</f>
        <v>0</v>
      </c>
      <c r="Z918" s="10">
        <f>IF(X918=1,LOOKUP(K918,'Udvaskning nøgletal'!$C$12:$C$60,'Udvaskning nøgletal'!$E$12:$E$60)+Markniveau!Y918*Markniveau!S918/100,IF(X918=2,LOOKUP(K918,'Udvaskning nøgletal'!$C$12:$C$60,'Udvaskning nøgletal'!$F$12:$F$60)+Markniveau!Y918*Markniveau!S918/100,IF(X918=3,LOOKUP(K918,'Udvaskning nøgletal'!$C$12:$C$60,'Udvaskning nøgletal'!G928:G976)+Markniveau!Y918*Markniveau!S918/100,"")))</f>
        <v>27.331185321443094</v>
      </c>
      <c r="AA918" s="10">
        <f t="shared" si="146"/>
        <v>80.353684845042693</v>
      </c>
      <c r="AB918" s="10" t="str">
        <f t="shared" si="145"/>
        <v/>
      </c>
      <c r="AC918" s="10" t="str">
        <f t="shared" si="147"/>
        <v/>
      </c>
      <c r="AD918" s="10">
        <f>IF(AND(Q918&gt;0,Q918&lt;30,K918&lt;8),Markniveau!Z918*'Udvaskning nøgletal'!$I$12/100,IF(AND(Q918&gt;0,Q918&lt;30,K918=216),Markniveau!Z918*'Udvaskning nøgletal'!$I$34/100,Markniveau!Z918))</f>
        <v>27.331185321443094</v>
      </c>
      <c r="AE918" s="10">
        <f t="shared" si="153"/>
        <v>80.353684845042693</v>
      </c>
      <c r="AF918" s="10" t="str">
        <f t="shared" si="148"/>
        <v/>
      </c>
      <c r="AG918" s="10" t="str">
        <f t="shared" si="154"/>
        <v/>
      </c>
      <c r="AH918" s="10" t="str">
        <f>IF(AND(Q918&gt;0,Q918&lt;30,K918=216),'Udvaskning nøgletal'!$C$42,IF(AND(Q918&gt;0,Q918&lt;30,K918&gt;7,K918&lt;17),'Udvaskning nøgletal'!$C$61,IF(AND(Q918&gt;0,Q918&lt;30,K918&lt;7),'Udvaskning nøgletal'!$C$62,"")))</f>
        <v/>
      </c>
      <c r="AI918" s="10">
        <f t="shared" si="150"/>
        <v>263</v>
      </c>
      <c r="AJ918" s="10">
        <f>IF($X918=1,LOOKUP(AI918,'Udvaskning nøgletal'!$C$12:$C$62,'Udvaskning nøgletal'!$E$12:$E$62)+Markniveau!$Y918*Markniveau!$S918/100,IF($X918=2,LOOKUP(AI918,'Udvaskning nøgletal'!$C$12:$C$62,'Udvaskning nøgletal'!$F$12:$F$62)+Markniveau!$Y918*Markniveau!$S918/100,IF($X918=3,LOOKUP(AI918,'Udvaskning nøgletal'!$C$12:$C$62,'Udvaskning nøgletal'!Q928:Q978)+Markniveau!$Y918*Markniveau!$S918/100,"")))</f>
        <v>27.331185321443094</v>
      </c>
      <c r="AK918" s="10">
        <f t="shared" si="149"/>
        <v>80.353684845042693</v>
      </c>
      <c r="AL918" s="10" t="str">
        <f t="shared" si="151"/>
        <v/>
      </c>
      <c r="AM918" s="10" t="str">
        <f t="shared" si="152"/>
        <v/>
      </c>
    </row>
    <row r="919" spans="1:39" x14ac:dyDescent="0.25">
      <c r="A919" s="15">
        <v>28540744</v>
      </c>
      <c r="B919" s="15">
        <v>90.4</v>
      </c>
      <c r="C919" s="15">
        <v>13630</v>
      </c>
      <c r="D919" s="15">
        <v>137119</v>
      </c>
      <c r="E919" s="15" t="s">
        <v>713</v>
      </c>
      <c r="F919" s="15">
        <v>2011</v>
      </c>
      <c r="G919" s="15">
        <v>20110406</v>
      </c>
      <c r="H919" s="15">
        <v>171990</v>
      </c>
      <c r="I919" s="15">
        <v>17.2</v>
      </c>
      <c r="J919" s="6" t="s">
        <v>91</v>
      </c>
      <c r="K919" s="15">
        <v>11</v>
      </c>
      <c r="L919" s="15" t="s">
        <v>102</v>
      </c>
      <c r="M919" s="15" t="s">
        <v>5</v>
      </c>
      <c r="N919" s="11" t="s">
        <v>1391</v>
      </c>
      <c r="O919" s="11" t="s">
        <v>46</v>
      </c>
      <c r="P919" s="11" t="s">
        <v>33</v>
      </c>
      <c r="Q919" s="15">
        <v>0</v>
      </c>
      <c r="R919" s="11" t="s">
        <v>1386</v>
      </c>
      <c r="S919" s="10">
        <v>157.46830381596001</v>
      </c>
      <c r="T919" s="15">
        <v>80</v>
      </c>
      <c r="U919" s="15">
        <v>0</v>
      </c>
      <c r="V919" s="15">
        <v>0</v>
      </c>
      <c r="W919" s="15">
        <v>0</v>
      </c>
      <c r="X919" s="15">
        <f>IF(O919='Udvaskning nøgletal'!$D$65,1,IF(O919='Udvaskning nøgletal'!$D$66,2,IF(O919='Udvaskning nøgletal'!$D$67,3,IF(O919='Udvaskning nøgletal'!$D$68,2,""))))</f>
        <v>2</v>
      </c>
      <c r="Y919" s="15">
        <f>LOOKUP(K919,'Udvaskning nøgletal'!$C$12:$C$60,'Udvaskning nøgletal'!$H$12:$H$60)</f>
        <v>5</v>
      </c>
      <c r="Z919" s="10">
        <f>IF(X919=1,LOOKUP(K919,'Udvaskning nøgletal'!$C$12:$C$60,'Udvaskning nøgletal'!$E$12:$E$60)+Markniveau!Y919*Markniveau!S919/100,IF(X919=2,LOOKUP(K919,'Udvaskning nøgletal'!$C$12:$C$60,'Udvaskning nøgletal'!$F$12:$F$60)+Markniveau!Y919*Markniveau!S919/100,IF(X919=3,LOOKUP(K919,'Udvaskning nøgletal'!$C$12:$C$60,'Udvaskning nøgletal'!G929:G977)+Markniveau!Y919*Markniveau!S919/100,"")))</f>
        <v>58.753415190798002</v>
      </c>
      <c r="AA919" s="10">
        <f t="shared" si="146"/>
        <v>1010.5587412817256</v>
      </c>
      <c r="AB919" s="10" t="str">
        <f t="shared" si="145"/>
        <v/>
      </c>
      <c r="AC919" s="10" t="str">
        <f t="shared" si="147"/>
        <v/>
      </c>
      <c r="AD919" s="10">
        <f>IF(AND(Q919&gt;0,Q919&lt;30,K919&lt;8),Markniveau!Z919*'Udvaskning nøgletal'!$I$12/100,IF(AND(Q919&gt;0,Q919&lt;30,K919=216),Markniveau!Z919*'Udvaskning nøgletal'!$I$34/100,Markniveau!Z919))</f>
        <v>58.753415190798002</v>
      </c>
      <c r="AE919" s="10">
        <f t="shared" si="153"/>
        <v>1010.5587412817256</v>
      </c>
      <c r="AF919" s="10" t="str">
        <f t="shared" si="148"/>
        <v/>
      </c>
      <c r="AG919" s="10" t="str">
        <f t="shared" si="154"/>
        <v/>
      </c>
      <c r="AH919" s="10" t="str">
        <f>IF(AND(Q919&gt;0,Q919&lt;30,K919=216),'Udvaskning nøgletal'!$C$42,IF(AND(Q919&gt;0,Q919&lt;30,K919&gt;7,K919&lt;17),'Udvaskning nøgletal'!$C$61,IF(AND(Q919&gt;0,Q919&lt;30,K919&lt;7),'Udvaskning nøgletal'!$C$62,"")))</f>
        <v/>
      </c>
      <c r="AI919" s="10">
        <f t="shared" si="150"/>
        <v>11</v>
      </c>
      <c r="AJ919" s="10">
        <f>IF($X919=1,LOOKUP(AI919,'Udvaskning nøgletal'!$C$12:$C$62,'Udvaskning nøgletal'!$E$12:$E$62)+Markniveau!$Y919*Markniveau!$S919/100,IF($X919=2,LOOKUP(AI919,'Udvaskning nøgletal'!$C$12:$C$62,'Udvaskning nøgletal'!$F$12:$F$62)+Markniveau!$Y919*Markniveau!$S919/100,IF($X919=3,LOOKUP(AI919,'Udvaskning nøgletal'!$C$12:$C$62,'Udvaskning nøgletal'!Q929:Q979)+Markniveau!$Y919*Markniveau!$S919/100,"")))</f>
        <v>58.753415190798002</v>
      </c>
      <c r="AK919" s="10">
        <f t="shared" si="149"/>
        <v>1010.5587412817256</v>
      </c>
      <c r="AL919" s="10" t="str">
        <f t="shared" si="151"/>
        <v/>
      </c>
      <c r="AM919" s="10" t="str">
        <f t="shared" si="152"/>
        <v/>
      </c>
    </row>
    <row r="920" spans="1:39" x14ac:dyDescent="0.25">
      <c r="A920" s="15">
        <v>28540744</v>
      </c>
      <c r="B920" s="15">
        <v>90.4</v>
      </c>
      <c r="C920" s="15">
        <v>16420</v>
      </c>
      <c r="D920" s="15">
        <v>137119</v>
      </c>
      <c r="E920" s="15" t="s">
        <v>714</v>
      </c>
      <c r="F920" s="15">
        <v>2011</v>
      </c>
      <c r="G920" s="15">
        <v>20110406</v>
      </c>
      <c r="H920" s="15">
        <v>195241</v>
      </c>
      <c r="I920" s="15">
        <v>19.52</v>
      </c>
      <c r="J920" s="6" t="s">
        <v>60</v>
      </c>
      <c r="K920" s="15">
        <v>15</v>
      </c>
      <c r="L920" s="15" t="s">
        <v>362</v>
      </c>
      <c r="M920" s="15" t="s">
        <v>5</v>
      </c>
      <c r="N920" s="11" t="s">
        <v>1406</v>
      </c>
      <c r="O920" s="11" t="s">
        <v>46</v>
      </c>
      <c r="P920" s="11" t="s">
        <v>33</v>
      </c>
      <c r="Q920" s="15">
        <v>0</v>
      </c>
      <c r="R920" s="11" t="s">
        <v>1386</v>
      </c>
      <c r="S920" s="10">
        <v>157.46830381596001</v>
      </c>
      <c r="T920" s="15">
        <v>80</v>
      </c>
      <c r="U920" s="15">
        <v>0</v>
      </c>
      <c r="V920" s="15">
        <v>0</v>
      </c>
      <c r="W920" s="15">
        <v>0</v>
      </c>
      <c r="X920" s="15">
        <f>IF(O920='Udvaskning nøgletal'!$D$65,1,IF(O920='Udvaskning nøgletal'!$D$66,2,IF(O920='Udvaskning nøgletal'!$D$67,3,IF(O920='Udvaskning nøgletal'!$D$68,2,""))))</f>
        <v>2</v>
      </c>
      <c r="Y920" s="15">
        <f>LOOKUP(K920,'Udvaskning nøgletal'!$C$12:$C$60,'Udvaskning nøgletal'!$H$12:$H$60)</f>
        <v>5</v>
      </c>
      <c r="Z920" s="10">
        <f>IF(X920=1,LOOKUP(K920,'Udvaskning nøgletal'!$C$12:$C$60,'Udvaskning nøgletal'!$E$12:$E$60)+Markniveau!Y920*Markniveau!S920/100,IF(X920=2,LOOKUP(K920,'Udvaskning nøgletal'!$C$12:$C$60,'Udvaskning nøgletal'!$F$12:$F$60)+Markniveau!Y920*Markniveau!S920/100,IF(X920=3,LOOKUP(K920,'Udvaskning nøgletal'!$C$12:$C$60,'Udvaskning nøgletal'!G930:G978)+Markniveau!Y920*Markniveau!S920/100,"")))</f>
        <v>58.753415190798002</v>
      </c>
      <c r="AA920" s="10">
        <f t="shared" si="146"/>
        <v>1146.866664524377</v>
      </c>
      <c r="AB920" s="10" t="str">
        <f t="shared" si="145"/>
        <v/>
      </c>
      <c r="AC920" s="10" t="str">
        <f t="shared" si="147"/>
        <v/>
      </c>
      <c r="AD920" s="10">
        <f>IF(AND(Q920&gt;0,Q920&lt;30,K920&lt;8),Markniveau!Z920*'Udvaskning nøgletal'!$I$12/100,IF(AND(Q920&gt;0,Q920&lt;30,K920=216),Markniveau!Z920*'Udvaskning nøgletal'!$I$34/100,Markniveau!Z920))</f>
        <v>58.753415190798002</v>
      </c>
      <c r="AE920" s="10">
        <f t="shared" si="153"/>
        <v>1146.866664524377</v>
      </c>
      <c r="AF920" s="10" t="str">
        <f t="shared" si="148"/>
        <v/>
      </c>
      <c r="AG920" s="10" t="str">
        <f t="shared" si="154"/>
        <v/>
      </c>
      <c r="AH920" s="10" t="str">
        <f>IF(AND(Q920&gt;0,Q920&lt;30,K920=216),'Udvaskning nøgletal'!$C$42,IF(AND(Q920&gt;0,Q920&lt;30,K920&gt;7,K920&lt;17),'Udvaskning nøgletal'!$C$61,IF(AND(Q920&gt;0,Q920&lt;30,K920&lt;7),'Udvaskning nøgletal'!$C$62,"")))</f>
        <v/>
      </c>
      <c r="AI920" s="10">
        <f t="shared" si="150"/>
        <v>15</v>
      </c>
      <c r="AJ920" s="10">
        <f>IF($X920=1,LOOKUP(AI920,'Udvaskning nøgletal'!$C$12:$C$62,'Udvaskning nøgletal'!$E$12:$E$62)+Markniveau!$Y920*Markniveau!$S920/100,IF($X920=2,LOOKUP(AI920,'Udvaskning nøgletal'!$C$12:$C$62,'Udvaskning nøgletal'!$F$12:$F$62)+Markniveau!$Y920*Markniveau!$S920/100,IF($X920=3,LOOKUP(AI920,'Udvaskning nøgletal'!$C$12:$C$62,'Udvaskning nøgletal'!Q930:Q980)+Markniveau!$Y920*Markniveau!$S920/100,"")))</f>
        <v>58.753415190798002</v>
      </c>
      <c r="AK920" s="10">
        <f t="shared" si="149"/>
        <v>1146.866664524377</v>
      </c>
      <c r="AL920" s="10" t="str">
        <f t="shared" si="151"/>
        <v/>
      </c>
      <c r="AM920" s="10" t="str">
        <f t="shared" si="152"/>
        <v/>
      </c>
    </row>
    <row r="921" spans="1:39" x14ac:dyDescent="0.25">
      <c r="A921" s="15">
        <v>28540744</v>
      </c>
      <c r="B921" s="15">
        <v>90.4</v>
      </c>
      <c r="C921" s="15">
        <v>17542</v>
      </c>
      <c r="D921" s="15">
        <v>137119</v>
      </c>
      <c r="E921" s="15" t="s">
        <v>715</v>
      </c>
      <c r="F921" s="15">
        <v>2011</v>
      </c>
      <c r="G921" s="15">
        <v>20110406</v>
      </c>
      <c r="H921" s="15">
        <v>8066</v>
      </c>
      <c r="I921" s="15">
        <v>0.81</v>
      </c>
      <c r="J921" s="6" t="s">
        <v>125</v>
      </c>
      <c r="K921" s="15">
        <v>263</v>
      </c>
      <c r="L921" s="15" t="s">
        <v>39</v>
      </c>
      <c r="M921" s="15" t="s">
        <v>5</v>
      </c>
      <c r="N921" s="11" t="s">
        <v>1391</v>
      </c>
      <c r="O921" s="11" t="s">
        <v>46</v>
      </c>
      <c r="P921" s="11" t="s">
        <v>33</v>
      </c>
      <c r="Q921" s="15">
        <v>0</v>
      </c>
      <c r="R921" s="11" t="s">
        <v>1386</v>
      </c>
      <c r="S921" s="10">
        <v>157.46830381596001</v>
      </c>
      <c r="T921" s="15">
        <v>80</v>
      </c>
      <c r="U921" s="15">
        <v>0</v>
      </c>
      <c r="V921" s="15">
        <v>0</v>
      </c>
      <c r="W921" s="15">
        <v>0</v>
      </c>
      <c r="X921" s="15">
        <f>IF(O921='Udvaskning nøgletal'!$D$65,1,IF(O921='Udvaskning nøgletal'!$D$66,2,IF(O921='Udvaskning nøgletal'!$D$67,3,IF(O921='Udvaskning nøgletal'!$D$68,2,""))))</f>
        <v>2</v>
      </c>
      <c r="Y921" s="15">
        <f>LOOKUP(K921,'Udvaskning nøgletal'!$C$12:$C$60,'Udvaskning nøgletal'!$H$12:$H$60)</f>
        <v>0</v>
      </c>
      <c r="Z921" s="10">
        <f>IF(X921=1,LOOKUP(K921,'Udvaskning nøgletal'!$C$12:$C$60,'Udvaskning nøgletal'!$E$12:$E$60)+Markniveau!Y921*Markniveau!S921/100,IF(X921=2,LOOKUP(K921,'Udvaskning nøgletal'!$C$12:$C$60,'Udvaskning nøgletal'!$F$12:$F$60)+Markniveau!Y921*Markniveau!S921/100,IF(X921=3,LOOKUP(K921,'Udvaskning nøgletal'!$C$12:$C$60,'Udvaskning nøgletal'!G931:G979)+Markniveau!Y921*Markniveau!S921/100,"")))</f>
        <v>27.331185321443094</v>
      </c>
      <c r="AA921" s="10">
        <f t="shared" si="146"/>
        <v>22.138260110368908</v>
      </c>
      <c r="AB921" s="10" t="str">
        <f t="shared" si="145"/>
        <v/>
      </c>
      <c r="AC921" s="10" t="str">
        <f t="shared" si="147"/>
        <v/>
      </c>
      <c r="AD921" s="10">
        <f>IF(AND(Q921&gt;0,Q921&lt;30,K921&lt;8),Markniveau!Z921*'Udvaskning nøgletal'!$I$12/100,IF(AND(Q921&gt;0,Q921&lt;30,K921=216),Markniveau!Z921*'Udvaskning nøgletal'!$I$34/100,Markniveau!Z921))</f>
        <v>27.331185321443094</v>
      </c>
      <c r="AE921" s="10">
        <f t="shared" si="153"/>
        <v>22.138260110368908</v>
      </c>
      <c r="AF921" s="10" t="str">
        <f t="shared" si="148"/>
        <v/>
      </c>
      <c r="AG921" s="10" t="str">
        <f t="shared" si="154"/>
        <v/>
      </c>
      <c r="AH921" s="10" t="str">
        <f>IF(AND(Q921&gt;0,Q921&lt;30,K921=216),'Udvaskning nøgletal'!$C$42,IF(AND(Q921&gt;0,Q921&lt;30,K921&gt;7,K921&lt;17),'Udvaskning nøgletal'!$C$61,IF(AND(Q921&gt;0,Q921&lt;30,K921&lt;7),'Udvaskning nøgletal'!$C$62,"")))</f>
        <v/>
      </c>
      <c r="AI921" s="10">
        <f t="shared" si="150"/>
        <v>263</v>
      </c>
      <c r="AJ921" s="10">
        <f>IF($X921=1,LOOKUP(AI921,'Udvaskning nøgletal'!$C$12:$C$62,'Udvaskning nøgletal'!$E$12:$E$62)+Markniveau!$Y921*Markniveau!$S921/100,IF($X921=2,LOOKUP(AI921,'Udvaskning nøgletal'!$C$12:$C$62,'Udvaskning nøgletal'!$F$12:$F$62)+Markniveau!$Y921*Markniveau!$S921/100,IF($X921=3,LOOKUP(AI921,'Udvaskning nøgletal'!$C$12:$C$62,'Udvaskning nøgletal'!Q931:Q981)+Markniveau!$Y921*Markniveau!$S921/100,"")))</f>
        <v>27.331185321443094</v>
      </c>
      <c r="AK921" s="10">
        <f t="shared" si="149"/>
        <v>22.138260110368908</v>
      </c>
      <c r="AL921" s="10" t="str">
        <f t="shared" si="151"/>
        <v/>
      </c>
      <c r="AM921" s="10" t="str">
        <f t="shared" si="152"/>
        <v/>
      </c>
    </row>
    <row r="922" spans="1:39" x14ac:dyDescent="0.25">
      <c r="A922" s="15">
        <v>28540744</v>
      </c>
      <c r="B922" s="15">
        <v>90.4</v>
      </c>
      <c r="C922" s="15">
        <v>26213</v>
      </c>
      <c r="D922" s="15">
        <v>137119</v>
      </c>
      <c r="E922" s="15" t="s">
        <v>716</v>
      </c>
      <c r="F922" s="15">
        <v>2011</v>
      </c>
      <c r="G922" s="15">
        <v>20110406</v>
      </c>
      <c r="H922" s="15">
        <v>41426</v>
      </c>
      <c r="I922" s="15">
        <v>4.1399999999999997</v>
      </c>
      <c r="J922" s="6" t="s">
        <v>63</v>
      </c>
      <c r="K922" s="15">
        <v>15</v>
      </c>
      <c r="L922" s="15" t="s">
        <v>362</v>
      </c>
      <c r="M922" s="15" t="s">
        <v>5</v>
      </c>
      <c r="N922" s="11" t="s">
        <v>1406</v>
      </c>
      <c r="O922" s="11" t="s">
        <v>46</v>
      </c>
      <c r="P922" s="11" t="s">
        <v>33</v>
      </c>
      <c r="Q922" s="15">
        <v>0</v>
      </c>
      <c r="R922" s="11" t="s">
        <v>1386</v>
      </c>
      <c r="S922" s="10">
        <v>157.46830381596001</v>
      </c>
      <c r="T922" s="15">
        <v>80</v>
      </c>
      <c r="U922" s="15">
        <v>0</v>
      </c>
      <c r="V922" s="15">
        <v>0</v>
      </c>
      <c r="W922" s="15">
        <v>0</v>
      </c>
      <c r="X922" s="15">
        <f>IF(O922='Udvaskning nøgletal'!$D$65,1,IF(O922='Udvaskning nøgletal'!$D$66,2,IF(O922='Udvaskning nøgletal'!$D$67,3,IF(O922='Udvaskning nøgletal'!$D$68,2,""))))</f>
        <v>2</v>
      </c>
      <c r="Y922" s="15">
        <f>LOOKUP(K922,'Udvaskning nøgletal'!$C$12:$C$60,'Udvaskning nøgletal'!$H$12:$H$60)</f>
        <v>5</v>
      </c>
      <c r="Z922" s="10">
        <f>IF(X922=1,LOOKUP(K922,'Udvaskning nøgletal'!$C$12:$C$60,'Udvaskning nøgletal'!$E$12:$E$60)+Markniveau!Y922*Markniveau!S922/100,IF(X922=2,LOOKUP(K922,'Udvaskning nøgletal'!$C$12:$C$60,'Udvaskning nøgletal'!$F$12:$F$60)+Markniveau!Y922*Markniveau!S922/100,IF(X922=3,LOOKUP(K922,'Udvaskning nøgletal'!$C$12:$C$60,'Udvaskning nøgletal'!G932:G980)+Markniveau!Y922*Markniveau!S922/100,"")))</f>
        <v>58.753415190798002</v>
      </c>
      <c r="AA922" s="10">
        <f t="shared" si="146"/>
        <v>243.2391388899037</v>
      </c>
      <c r="AB922" s="10" t="str">
        <f t="shared" si="145"/>
        <v/>
      </c>
      <c r="AC922" s="10" t="str">
        <f t="shared" si="147"/>
        <v/>
      </c>
      <c r="AD922" s="10">
        <f>IF(AND(Q922&gt;0,Q922&lt;30,K922&lt;8),Markniveau!Z922*'Udvaskning nøgletal'!$I$12/100,IF(AND(Q922&gt;0,Q922&lt;30,K922=216),Markniveau!Z922*'Udvaskning nøgletal'!$I$34/100,Markniveau!Z922))</f>
        <v>58.753415190798002</v>
      </c>
      <c r="AE922" s="10">
        <f t="shared" si="153"/>
        <v>243.2391388899037</v>
      </c>
      <c r="AF922" s="10" t="str">
        <f t="shared" si="148"/>
        <v/>
      </c>
      <c r="AG922" s="10" t="str">
        <f t="shared" si="154"/>
        <v/>
      </c>
      <c r="AH922" s="10" t="str">
        <f>IF(AND(Q922&gt;0,Q922&lt;30,K922=216),'Udvaskning nøgletal'!$C$42,IF(AND(Q922&gt;0,Q922&lt;30,K922&gt;7,K922&lt;17),'Udvaskning nøgletal'!$C$61,IF(AND(Q922&gt;0,Q922&lt;30,K922&lt;7),'Udvaskning nøgletal'!$C$62,"")))</f>
        <v/>
      </c>
      <c r="AI922" s="10">
        <f t="shared" si="150"/>
        <v>15</v>
      </c>
      <c r="AJ922" s="10">
        <f>IF($X922=1,LOOKUP(AI922,'Udvaskning nøgletal'!$C$12:$C$62,'Udvaskning nøgletal'!$E$12:$E$62)+Markniveau!$Y922*Markniveau!$S922/100,IF($X922=2,LOOKUP(AI922,'Udvaskning nøgletal'!$C$12:$C$62,'Udvaskning nøgletal'!$F$12:$F$62)+Markniveau!$Y922*Markniveau!$S922/100,IF($X922=3,LOOKUP(AI922,'Udvaskning nøgletal'!$C$12:$C$62,'Udvaskning nøgletal'!Q932:Q982)+Markniveau!$Y922*Markniveau!$S922/100,"")))</f>
        <v>58.753415190798002</v>
      </c>
      <c r="AK922" s="10">
        <f t="shared" si="149"/>
        <v>243.2391388899037</v>
      </c>
      <c r="AL922" s="10" t="str">
        <f t="shared" si="151"/>
        <v/>
      </c>
      <c r="AM922" s="10" t="str">
        <f t="shared" si="152"/>
        <v/>
      </c>
    </row>
    <row r="923" spans="1:39" x14ac:dyDescent="0.25">
      <c r="A923" s="15">
        <v>28540744</v>
      </c>
      <c r="B923" s="15">
        <v>90.4</v>
      </c>
      <c r="C923" s="15">
        <v>27844</v>
      </c>
      <c r="D923" s="15">
        <v>137119</v>
      </c>
      <c r="E923" s="15" t="s">
        <v>717</v>
      </c>
      <c r="F923" s="15">
        <v>2011</v>
      </c>
      <c r="G923" s="15">
        <v>20110406</v>
      </c>
      <c r="H923" s="15">
        <v>21449</v>
      </c>
      <c r="I923" s="15">
        <v>2.14</v>
      </c>
      <c r="J923" s="6" t="s">
        <v>547</v>
      </c>
      <c r="K923" s="15">
        <v>252</v>
      </c>
      <c r="L923" s="15" t="s">
        <v>41</v>
      </c>
      <c r="M923" s="15" t="s">
        <v>4</v>
      </c>
      <c r="N923" s="11" t="s">
        <v>1406</v>
      </c>
      <c r="O923" s="11" t="s">
        <v>46</v>
      </c>
      <c r="P923" s="11" t="s">
        <v>33</v>
      </c>
      <c r="Q923" s="15">
        <v>0</v>
      </c>
      <c r="R923" s="11" t="s">
        <v>1386</v>
      </c>
      <c r="S923" s="10">
        <v>157.46830381596001</v>
      </c>
      <c r="T923" s="15">
        <v>80</v>
      </c>
      <c r="U923" s="15">
        <v>0</v>
      </c>
      <c r="V923" s="15">
        <v>0</v>
      </c>
      <c r="W923" s="15">
        <v>0</v>
      </c>
      <c r="X923" s="15">
        <f>IF(O923='Udvaskning nøgletal'!$D$65,1,IF(O923='Udvaskning nøgletal'!$D$66,2,IF(O923='Udvaskning nøgletal'!$D$67,3,IF(O923='Udvaskning nøgletal'!$D$68,2,""))))</f>
        <v>2</v>
      </c>
      <c r="Y923" s="15">
        <f>LOOKUP(K923,'Udvaskning nøgletal'!$C$12:$C$60,'Udvaskning nøgletal'!$H$12:$H$60)</f>
        <v>0</v>
      </c>
      <c r="Z923" s="10">
        <f>IF(X923=1,LOOKUP(K923,'Udvaskning nøgletal'!$C$12:$C$60,'Udvaskning nøgletal'!$E$12:$E$60)+Markniveau!Y923*Markniveau!S923/100,IF(X923=2,LOOKUP(K923,'Udvaskning nøgletal'!$C$12:$C$60,'Udvaskning nøgletal'!$F$12:$F$60)+Markniveau!Y923*Markniveau!S923/100,IF(X923=3,LOOKUP(K923,'Udvaskning nøgletal'!$C$12:$C$60,'Udvaskning nøgletal'!G933:G981)+Markniveau!Y923*Markniveau!S923/100,"")))</f>
        <v>21.2</v>
      </c>
      <c r="AA923" s="10">
        <f t="shared" si="146"/>
        <v>45.368000000000002</v>
      </c>
      <c r="AB923" s="10" t="str">
        <f t="shared" si="145"/>
        <v/>
      </c>
      <c r="AC923" s="10" t="str">
        <f t="shared" si="147"/>
        <v/>
      </c>
      <c r="AD923" s="10">
        <f>IF(AND(Q923&gt;0,Q923&lt;30,K923&lt;8),Markniveau!Z923*'Udvaskning nøgletal'!$I$12/100,IF(AND(Q923&gt;0,Q923&lt;30,K923=216),Markniveau!Z923*'Udvaskning nøgletal'!$I$34/100,Markniveau!Z923))</f>
        <v>21.2</v>
      </c>
      <c r="AE923" s="10">
        <f t="shared" si="153"/>
        <v>45.368000000000002</v>
      </c>
      <c r="AF923" s="10" t="str">
        <f t="shared" si="148"/>
        <v/>
      </c>
      <c r="AG923" s="10" t="str">
        <f t="shared" si="154"/>
        <v/>
      </c>
      <c r="AH923" s="10" t="str">
        <f>IF(AND(Q923&gt;0,Q923&lt;30,K923=216),'Udvaskning nøgletal'!$C$42,IF(AND(Q923&gt;0,Q923&lt;30,K923&gt;7,K923&lt;17),'Udvaskning nøgletal'!$C$61,IF(AND(Q923&gt;0,Q923&lt;30,K923&lt;7),'Udvaskning nøgletal'!$C$62,"")))</f>
        <v/>
      </c>
      <c r="AI923" s="10">
        <f t="shared" si="150"/>
        <v>252</v>
      </c>
      <c r="AJ923" s="10">
        <f>IF($X923=1,LOOKUP(AI923,'Udvaskning nøgletal'!$C$12:$C$62,'Udvaskning nøgletal'!$E$12:$E$62)+Markniveau!$Y923*Markniveau!$S923/100,IF($X923=2,LOOKUP(AI923,'Udvaskning nøgletal'!$C$12:$C$62,'Udvaskning nøgletal'!$F$12:$F$62)+Markniveau!$Y923*Markniveau!$S923/100,IF($X923=3,LOOKUP(AI923,'Udvaskning nøgletal'!$C$12:$C$62,'Udvaskning nøgletal'!Q933:Q983)+Markniveau!$Y923*Markniveau!$S923/100,"")))</f>
        <v>21.2</v>
      </c>
      <c r="AK923" s="10">
        <f t="shared" si="149"/>
        <v>45.368000000000002</v>
      </c>
      <c r="AL923" s="10" t="str">
        <f t="shared" si="151"/>
        <v/>
      </c>
      <c r="AM923" s="10" t="str">
        <f t="shared" si="152"/>
        <v/>
      </c>
    </row>
    <row r="924" spans="1:39" x14ac:dyDescent="0.25">
      <c r="A924" s="15">
        <v>28540744</v>
      </c>
      <c r="B924" s="15">
        <v>90.4</v>
      </c>
      <c r="C924" s="15">
        <v>27845</v>
      </c>
      <c r="D924" s="15">
        <v>137119</v>
      </c>
      <c r="E924" s="15" t="s">
        <v>718</v>
      </c>
      <c r="F924" s="15">
        <v>2011</v>
      </c>
      <c r="G924" s="15">
        <v>20110406</v>
      </c>
      <c r="H924" s="15">
        <v>6392</v>
      </c>
      <c r="I924" s="15">
        <v>0.64</v>
      </c>
      <c r="J924" s="6" t="s">
        <v>719</v>
      </c>
      <c r="K924" s="15">
        <v>260</v>
      </c>
      <c r="L924" s="15" t="s">
        <v>45</v>
      </c>
      <c r="M924" s="15" t="s">
        <v>5</v>
      </c>
      <c r="N924" s="11" t="s">
        <v>1384</v>
      </c>
      <c r="O924" s="11" t="s">
        <v>28</v>
      </c>
      <c r="P924" s="11" t="s">
        <v>33</v>
      </c>
      <c r="Q924" s="15">
        <v>0</v>
      </c>
      <c r="R924" s="11" t="s">
        <v>1386</v>
      </c>
      <c r="S924" s="10">
        <v>157.46830381596001</v>
      </c>
      <c r="T924" s="15">
        <v>80</v>
      </c>
      <c r="U924" s="15">
        <v>0</v>
      </c>
      <c r="V924" s="15">
        <v>0</v>
      </c>
      <c r="W924" s="15">
        <v>0</v>
      </c>
      <c r="X924" s="15">
        <f>IF(O924='Udvaskning nøgletal'!$D$65,1,IF(O924='Udvaskning nøgletal'!$D$66,2,IF(O924='Udvaskning nøgletal'!$D$67,3,IF(O924='Udvaskning nøgletal'!$D$68,2,""))))</f>
        <v>1</v>
      </c>
      <c r="Y924" s="15">
        <f>LOOKUP(K924,'Udvaskning nøgletal'!$C$12:$C$60,'Udvaskning nøgletal'!$H$12:$H$60)</f>
        <v>0</v>
      </c>
      <c r="Z924" s="10">
        <f>IF(X924=1,LOOKUP(K924,'Udvaskning nøgletal'!$C$12:$C$60,'Udvaskning nøgletal'!$E$12:$E$60)+Markniveau!Y924*Markniveau!S924/100,IF(X924=2,LOOKUP(K924,'Udvaskning nøgletal'!$C$12:$C$60,'Udvaskning nøgletal'!$F$12:$F$60)+Markniveau!Y924*Markniveau!S924/100,IF(X924=3,LOOKUP(K924,'Udvaskning nøgletal'!$C$12:$C$60,'Udvaskning nøgletal'!G934:G982)+Markniveau!Y924*Markniveau!S924/100,"")))</f>
        <v>33.723295792149436</v>
      </c>
      <c r="AA924" s="10">
        <f t="shared" si="146"/>
        <v>21.58290930697564</v>
      </c>
      <c r="AB924" s="10" t="str">
        <f t="shared" si="145"/>
        <v/>
      </c>
      <c r="AC924" s="10" t="str">
        <f t="shared" si="147"/>
        <v/>
      </c>
      <c r="AD924" s="10">
        <f>IF(AND(Q924&gt;0,Q924&lt;30,K924&lt;8),Markniveau!Z924*'Udvaskning nøgletal'!$I$12/100,IF(AND(Q924&gt;0,Q924&lt;30,K924=216),Markniveau!Z924*'Udvaskning nøgletal'!$I$34/100,Markniveau!Z924))</f>
        <v>33.723295792149436</v>
      </c>
      <c r="AE924" s="10">
        <f t="shared" si="153"/>
        <v>21.58290930697564</v>
      </c>
      <c r="AF924" s="10" t="str">
        <f t="shared" si="148"/>
        <v/>
      </c>
      <c r="AG924" s="10" t="str">
        <f t="shared" si="154"/>
        <v/>
      </c>
      <c r="AH924" s="10" t="str">
        <f>IF(AND(Q924&gt;0,Q924&lt;30,K924=216),'Udvaskning nøgletal'!$C$42,IF(AND(Q924&gt;0,Q924&lt;30,K924&gt;7,K924&lt;17),'Udvaskning nøgletal'!$C$61,IF(AND(Q924&gt;0,Q924&lt;30,K924&lt;7),'Udvaskning nøgletal'!$C$62,"")))</f>
        <v/>
      </c>
      <c r="AI924" s="10">
        <f t="shared" si="150"/>
        <v>260</v>
      </c>
      <c r="AJ924" s="10">
        <f>IF($X924=1,LOOKUP(AI924,'Udvaskning nøgletal'!$C$12:$C$62,'Udvaskning nøgletal'!$E$12:$E$62)+Markniveau!$Y924*Markniveau!$S924/100,IF($X924=2,LOOKUP(AI924,'Udvaskning nøgletal'!$C$12:$C$62,'Udvaskning nøgletal'!$F$12:$F$62)+Markniveau!$Y924*Markniveau!$S924/100,IF($X924=3,LOOKUP(AI924,'Udvaskning nøgletal'!$C$12:$C$62,'Udvaskning nøgletal'!Q934:Q984)+Markniveau!$Y924*Markniveau!$S924/100,"")))</f>
        <v>33.723295792149436</v>
      </c>
      <c r="AK924" s="10">
        <f t="shared" si="149"/>
        <v>21.58290930697564</v>
      </c>
      <c r="AL924" s="10" t="str">
        <f t="shared" si="151"/>
        <v/>
      </c>
      <c r="AM924" s="10" t="str">
        <f t="shared" si="152"/>
        <v/>
      </c>
    </row>
    <row r="925" spans="1:39" x14ac:dyDescent="0.25">
      <c r="A925" s="15">
        <v>28540744</v>
      </c>
      <c r="B925" s="15">
        <v>90.4</v>
      </c>
      <c r="C925" s="15">
        <v>39110</v>
      </c>
      <c r="D925" s="15">
        <v>137119</v>
      </c>
      <c r="E925" s="15" t="s">
        <v>720</v>
      </c>
      <c r="F925" s="15">
        <v>2011</v>
      </c>
      <c r="G925" s="15">
        <v>20110406</v>
      </c>
      <c r="H925" s="15">
        <v>8443</v>
      </c>
      <c r="I925" s="15">
        <v>0.84</v>
      </c>
      <c r="J925" s="6" t="s">
        <v>141</v>
      </c>
      <c r="K925" s="15">
        <v>583</v>
      </c>
      <c r="L925" s="15" t="s">
        <v>154</v>
      </c>
      <c r="M925" s="15" t="s">
        <v>155</v>
      </c>
      <c r="N925" s="11" t="s">
        <v>1384</v>
      </c>
      <c r="O925" s="11" t="s">
        <v>28</v>
      </c>
      <c r="P925" s="11" t="s">
        <v>33</v>
      </c>
      <c r="Q925" s="15">
        <v>0</v>
      </c>
      <c r="R925" s="11" t="s">
        <v>1386</v>
      </c>
      <c r="S925" s="10">
        <v>157.46830381596001</v>
      </c>
      <c r="T925" s="15">
        <v>80</v>
      </c>
      <c r="U925" s="15">
        <v>0</v>
      </c>
      <c r="V925" s="15">
        <v>0</v>
      </c>
      <c r="W925" s="15">
        <v>0</v>
      </c>
      <c r="X925" s="15">
        <f>IF(O925='Udvaskning nøgletal'!$D$65,1,IF(O925='Udvaskning nøgletal'!$D$66,2,IF(O925='Udvaskning nøgletal'!$D$67,3,IF(O925='Udvaskning nøgletal'!$D$68,2,""))))</f>
        <v>1</v>
      </c>
      <c r="Y925" s="15">
        <f>LOOKUP(K925,'Udvaskning nøgletal'!$C$12:$C$60,'Udvaskning nøgletal'!$H$12:$H$60)</f>
        <v>0</v>
      </c>
      <c r="Z925" s="10">
        <f>IF(X925=1,LOOKUP(K925,'Udvaskning nøgletal'!$C$12:$C$60,'Udvaskning nøgletal'!$E$12:$E$60)+Markniveau!Y925*Markniveau!S925/100,IF(X925=2,LOOKUP(K925,'Udvaskning nøgletal'!$C$12:$C$60,'Udvaskning nøgletal'!$F$12:$F$60)+Markniveau!Y925*Markniveau!S925/100,IF(X925=3,LOOKUP(K925,'Udvaskning nøgletal'!$C$12:$C$60,'Udvaskning nøgletal'!G935:G983)+Markniveau!Y925*Markniveau!S925/100,"")))</f>
        <v>10</v>
      </c>
      <c r="AA925" s="10">
        <f t="shared" si="146"/>
        <v>8.4</v>
      </c>
      <c r="AB925" s="10" t="str">
        <f t="shared" si="145"/>
        <v/>
      </c>
      <c r="AC925" s="10" t="str">
        <f t="shared" si="147"/>
        <v/>
      </c>
      <c r="AD925" s="10">
        <f>IF(AND(Q925&gt;0,Q925&lt;30,K925&lt;8),Markniveau!Z925*'Udvaskning nøgletal'!$I$12/100,IF(AND(Q925&gt;0,Q925&lt;30,K925=216),Markniveau!Z925*'Udvaskning nøgletal'!$I$34/100,Markniveau!Z925))</f>
        <v>10</v>
      </c>
      <c r="AE925" s="10">
        <f t="shared" si="153"/>
        <v>8.4</v>
      </c>
      <c r="AF925" s="10" t="str">
        <f t="shared" si="148"/>
        <v/>
      </c>
      <c r="AG925" s="10" t="str">
        <f t="shared" si="154"/>
        <v/>
      </c>
      <c r="AH925" s="10" t="str">
        <f>IF(AND(Q925&gt;0,Q925&lt;30,K925=216),'Udvaskning nøgletal'!$C$42,IF(AND(Q925&gt;0,Q925&lt;30,K925&gt;7,K925&lt;17),'Udvaskning nøgletal'!$C$61,IF(AND(Q925&gt;0,Q925&lt;30,K925&lt;7),'Udvaskning nøgletal'!$C$62,"")))</f>
        <v/>
      </c>
      <c r="AI925" s="10">
        <f t="shared" si="150"/>
        <v>583</v>
      </c>
      <c r="AJ925" s="10">
        <f>IF($X925=1,LOOKUP(AI925,'Udvaskning nøgletal'!$C$12:$C$62,'Udvaskning nøgletal'!$E$12:$E$62)+Markniveau!$Y925*Markniveau!$S925/100,IF($X925=2,LOOKUP(AI925,'Udvaskning nøgletal'!$C$12:$C$62,'Udvaskning nøgletal'!$F$12:$F$62)+Markniveau!$Y925*Markniveau!$S925/100,IF($X925=3,LOOKUP(AI925,'Udvaskning nøgletal'!$C$12:$C$62,'Udvaskning nøgletal'!Q935:Q985)+Markniveau!$Y925*Markniveau!$S925/100,"")))</f>
        <v>10</v>
      </c>
      <c r="AK925" s="10">
        <f t="shared" si="149"/>
        <v>8.4</v>
      </c>
      <c r="AL925" s="10" t="str">
        <f t="shared" si="151"/>
        <v/>
      </c>
      <c r="AM925" s="10" t="str">
        <f t="shared" si="152"/>
        <v/>
      </c>
    </row>
    <row r="926" spans="1:39" x14ac:dyDescent="0.25">
      <c r="A926" s="15">
        <v>28540744</v>
      </c>
      <c r="B926" s="15">
        <v>90.4</v>
      </c>
      <c r="C926" s="15">
        <v>41701</v>
      </c>
      <c r="D926" s="15">
        <v>137119</v>
      </c>
      <c r="E926" s="15" t="s">
        <v>721</v>
      </c>
      <c r="F926" s="15">
        <v>2011</v>
      </c>
      <c r="G926" s="15">
        <v>20110406</v>
      </c>
      <c r="H926" s="15">
        <v>126016</v>
      </c>
      <c r="I926" s="15">
        <v>12.6</v>
      </c>
      <c r="J926" s="6" t="s">
        <v>722</v>
      </c>
      <c r="K926" s="15">
        <v>260</v>
      </c>
      <c r="L926" s="15" t="s">
        <v>45</v>
      </c>
      <c r="M926" s="15" t="s">
        <v>5</v>
      </c>
      <c r="N926" s="11" t="s">
        <v>1391</v>
      </c>
      <c r="O926" s="11" t="s">
        <v>46</v>
      </c>
      <c r="P926" s="11" t="s">
        <v>33</v>
      </c>
      <c r="Q926" s="15">
        <v>0</v>
      </c>
      <c r="R926" s="11" t="s">
        <v>1386</v>
      </c>
      <c r="S926" s="10">
        <v>157.46830381596001</v>
      </c>
      <c r="T926" s="15">
        <v>80</v>
      </c>
      <c r="U926" s="15">
        <v>0</v>
      </c>
      <c r="V926" s="15">
        <v>0</v>
      </c>
      <c r="W926" s="15">
        <v>0</v>
      </c>
      <c r="X926" s="15">
        <f>IF(O926='Udvaskning nøgletal'!$D$65,1,IF(O926='Udvaskning nøgletal'!$D$66,2,IF(O926='Udvaskning nøgletal'!$D$67,3,IF(O926='Udvaskning nøgletal'!$D$68,2,""))))</f>
        <v>2</v>
      </c>
      <c r="Y926" s="15">
        <f>LOOKUP(K926,'Udvaskning nøgletal'!$C$12:$C$60,'Udvaskning nøgletal'!$H$12:$H$60)</f>
        <v>0</v>
      </c>
      <c r="Z926" s="10">
        <f>IF(X926=1,LOOKUP(K926,'Udvaskning nøgletal'!$C$12:$C$60,'Udvaskning nøgletal'!$E$12:$E$60)+Markniveau!Y926*Markniveau!S926/100,IF(X926=2,LOOKUP(K926,'Udvaskning nøgletal'!$C$12:$C$60,'Udvaskning nøgletal'!$F$12:$F$60)+Markniveau!Y926*Markniveau!S926/100,IF(X926=3,LOOKUP(K926,'Udvaskning nøgletal'!$C$12:$C$60,'Udvaskning nøgletal'!G936:G984)+Markniveau!Y926*Markniveau!S926/100,"")))</f>
        <v>27.331185321443094</v>
      </c>
      <c r="AA926" s="10">
        <f t="shared" si="146"/>
        <v>344.372935050183</v>
      </c>
      <c r="AB926" s="10" t="str">
        <f t="shared" si="145"/>
        <v/>
      </c>
      <c r="AC926" s="10" t="str">
        <f t="shared" si="147"/>
        <v/>
      </c>
      <c r="AD926" s="10">
        <f>IF(AND(Q926&gt;0,Q926&lt;30,K926&lt;8),Markniveau!Z926*'Udvaskning nøgletal'!$I$12/100,IF(AND(Q926&gt;0,Q926&lt;30,K926=216),Markniveau!Z926*'Udvaskning nøgletal'!$I$34/100,Markniveau!Z926))</f>
        <v>27.331185321443094</v>
      </c>
      <c r="AE926" s="10">
        <f t="shared" si="153"/>
        <v>344.372935050183</v>
      </c>
      <c r="AF926" s="10" t="str">
        <f t="shared" si="148"/>
        <v/>
      </c>
      <c r="AG926" s="10" t="str">
        <f t="shared" si="154"/>
        <v/>
      </c>
      <c r="AH926" s="10" t="str">
        <f>IF(AND(Q926&gt;0,Q926&lt;30,K926=216),'Udvaskning nøgletal'!$C$42,IF(AND(Q926&gt;0,Q926&lt;30,K926&gt;7,K926&lt;17),'Udvaskning nøgletal'!$C$61,IF(AND(Q926&gt;0,Q926&lt;30,K926&lt;7),'Udvaskning nøgletal'!$C$62,"")))</f>
        <v/>
      </c>
      <c r="AI926" s="10">
        <f t="shared" si="150"/>
        <v>260</v>
      </c>
      <c r="AJ926" s="10">
        <f>IF($X926=1,LOOKUP(AI926,'Udvaskning nøgletal'!$C$12:$C$62,'Udvaskning nøgletal'!$E$12:$E$62)+Markniveau!$Y926*Markniveau!$S926/100,IF($X926=2,LOOKUP(AI926,'Udvaskning nøgletal'!$C$12:$C$62,'Udvaskning nøgletal'!$F$12:$F$62)+Markniveau!$Y926*Markniveau!$S926/100,IF($X926=3,LOOKUP(AI926,'Udvaskning nøgletal'!$C$12:$C$62,'Udvaskning nøgletal'!Q936:Q986)+Markniveau!$Y926*Markniveau!$S926/100,"")))</f>
        <v>27.331185321443094</v>
      </c>
      <c r="AK926" s="10">
        <f t="shared" si="149"/>
        <v>344.372935050183</v>
      </c>
      <c r="AL926" s="10" t="str">
        <f t="shared" si="151"/>
        <v/>
      </c>
      <c r="AM926" s="10" t="str">
        <f t="shared" si="152"/>
        <v/>
      </c>
    </row>
    <row r="927" spans="1:39" x14ac:dyDescent="0.25">
      <c r="A927" s="15">
        <v>28540744</v>
      </c>
      <c r="B927" s="15">
        <v>90.4</v>
      </c>
      <c r="C927" s="15">
        <v>45400</v>
      </c>
      <c r="D927" s="15">
        <v>137119</v>
      </c>
      <c r="E927" s="15" t="s">
        <v>723</v>
      </c>
      <c r="F927" s="15">
        <v>2011</v>
      </c>
      <c r="G927" s="15">
        <v>20110406</v>
      </c>
      <c r="H927" s="15">
        <v>54180</v>
      </c>
      <c r="I927" s="15">
        <v>5.42</v>
      </c>
      <c r="J927" s="6" t="s">
        <v>143</v>
      </c>
      <c r="K927" s="15">
        <v>15</v>
      </c>
      <c r="L927" s="15" t="s">
        <v>362</v>
      </c>
      <c r="M927" s="15" t="s">
        <v>5</v>
      </c>
      <c r="N927" s="11" t="s">
        <v>1391</v>
      </c>
      <c r="O927" s="11" t="s">
        <v>46</v>
      </c>
      <c r="P927" s="11" t="s">
        <v>33</v>
      </c>
      <c r="Q927" s="15">
        <v>0</v>
      </c>
      <c r="R927" s="11" t="s">
        <v>1386</v>
      </c>
      <c r="S927" s="10">
        <v>157.46830381596001</v>
      </c>
      <c r="T927" s="15">
        <v>80</v>
      </c>
      <c r="U927" s="15">
        <v>0</v>
      </c>
      <c r="V927" s="15">
        <v>0</v>
      </c>
      <c r="W927" s="15">
        <v>0</v>
      </c>
      <c r="X927" s="15">
        <f>IF(O927='Udvaskning nøgletal'!$D$65,1,IF(O927='Udvaskning nøgletal'!$D$66,2,IF(O927='Udvaskning nøgletal'!$D$67,3,IF(O927='Udvaskning nøgletal'!$D$68,2,""))))</f>
        <v>2</v>
      </c>
      <c r="Y927" s="15">
        <f>LOOKUP(K927,'Udvaskning nøgletal'!$C$12:$C$60,'Udvaskning nøgletal'!$H$12:$H$60)</f>
        <v>5</v>
      </c>
      <c r="Z927" s="10">
        <f>IF(X927=1,LOOKUP(K927,'Udvaskning nøgletal'!$C$12:$C$60,'Udvaskning nøgletal'!$E$12:$E$60)+Markniveau!Y927*Markniveau!S927/100,IF(X927=2,LOOKUP(K927,'Udvaskning nøgletal'!$C$12:$C$60,'Udvaskning nøgletal'!$F$12:$F$60)+Markniveau!Y927*Markniveau!S927/100,IF(X927=3,LOOKUP(K927,'Udvaskning nøgletal'!$C$12:$C$60,'Udvaskning nøgletal'!G937:G985)+Markniveau!Y927*Markniveau!S927/100,"")))</f>
        <v>58.753415190798002</v>
      </c>
      <c r="AA927" s="10">
        <f t="shared" si="146"/>
        <v>318.44351033412516</v>
      </c>
      <c r="AB927" s="10" t="str">
        <f t="shared" si="145"/>
        <v/>
      </c>
      <c r="AC927" s="10" t="str">
        <f t="shared" si="147"/>
        <v/>
      </c>
      <c r="AD927" s="10">
        <f>IF(AND(Q927&gt;0,Q927&lt;30,K927&lt;8),Markniveau!Z927*'Udvaskning nøgletal'!$I$12/100,IF(AND(Q927&gt;0,Q927&lt;30,K927=216),Markniveau!Z927*'Udvaskning nøgletal'!$I$34/100,Markniveau!Z927))</f>
        <v>58.753415190798002</v>
      </c>
      <c r="AE927" s="10">
        <f t="shared" si="153"/>
        <v>318.44351033412516</v>
      </c>
      <c r="AF927" s="10" t="str">
        <f t="shared" si="148"/>
        <v/>
      </c>
      <c r="AG927" s="10" t="str">
        <f t="shared" si="154"/>
        <v/>
      </c>
      <c r="AH927" s="10" t="str">
        <f>IF(AND(Q927&gt;0,Q927&lt;30,K927=216),'Udvaskning nøgletal'!$C$42,IF(AND(Q927&gt;0,Q927&lt;30,K927&gt;7,K927&lt;17),'Udvaskning nøgletal'!$C$61,IF(AND(Q927&gt;0,Q927&lt;30,K927&lt;7),'Udvaskning nøgletal'!$C$62,"")))</f>
        <v/>
      </c>
      <c r="AI927" s="10">
        <f t="shared" si="150"/>
        <v>15</v>
      </c>
      <c r="AJ927" s="10">
        <f>IF($X927=1,LOOKUP(AI927,'Udvaskning nøgletal'!$C$12:$C$62,'Udvaskning nøgletal'!$E$12:$E$62)+Markniveau!$Y927*Markniveau!$S927/100,IF($X927=2,LOOKUP(AI927,'Udvaskning nøgletal'!$C$12:$C$62,'Udvaskning nøgletal'!$F$12:$F$62)+Markniveau!$Y927*Markniveau!$S927/100,IF($X927=3,LOOKUP(AI927,'Udvaskning nøgletal'!$C$12:$C$62,'Udvaskning nøgletal'!Q937:Q987)+Markniveau!$Y927*Markniveau!$S927/100,"")))</f>
        <v>58.753415190798002</v>
      </c>
      <c r="AK927" s="10">
        <f t="shared" si="149"/>
        <v>318.44351033412516</v>
      </c>
      <c r="AL927" s="10" t="str">
        <f t="shared" si="151"/>
        <v/>
      </c>
      <c r="AM927" s="10" t="str">
        <f t="shared" si="152"/>
        <v/>
      </c>
    </row>
    <row r="928" spans="1:39" x14ac:dyDescent="0.25">
      <c r="A928" s="15">
        <v>28540744</v>
      </c>
      <c r="B928" s="15">
        <v>90.4</v>
      </c>
      <c r="C928" s="15">
        <v>51394</v>
      </c>
      <c r="D928" s="15">
        <v>137119</v>
      </c>
      <c r="E928" s="15" t="s">
        <v>724</v>
      </c>
      <c r="F928" s="15">
        <v>2011</v>
      </c>
      <c r="G928" s="15">
        <v>20110406</v>
      </c>
      <c r="H928" s="15">
        <v>3148</v>
      </c>
      <c r="I928" s="15">
        <v>0.31</v>
      </c>
      <c r="J928" s="6" t="s">
        <v>725</v>
      </c>
      <c r="K928" s="15">
        <v>252</v>
      </c>
      <c r="L928" s="15" t="s">
        <v>41</v>
      </c>
      <c r="M928" s="15" t="s">
        <v>4</v>
      </c>
      <c r="N928" s="11" t="s">
        <v>1384</v>
      </c>
      <c r="O928" s="11" t="s">
        <v>28</v>
      </c>
      <c r="P928" s="11" t="s">
        <v>33</v>
      </c>
      <c r="Q928" s="15">
        <v>0</v>
      </c>
      <c r="R928" s="11" t="s">
        <v>1386</v>
      </c>
      <c r="S928" s="10">
        <v>157.46830381596001</v>
      </c>
      <c r="T928" s="15">
        <v>80</v>
      </c>
      <c r="U928" s="15">
        <v>0</v>
      </c>
      <c r="V928" s="15">
        <v>0</v>
      </c>
      <c r="W928" s="15">
        <v>0</v>
      </c>
      <c r="X928" s="15">
        <f>IF(O928='Udvaskning nøgletal'!$D$65,1,IF(O928='Udvaskning nøgletal'!$D$66,2,IF(O928='Udvaskning nøgletal'!$D$67,3,IF(O928='Udvaskning nøgletal'!$D$68,2,""))))</f>
        <v>1</v>
      </c>
      <c r="Y928" s="15">
        <f>LOOKUP(K928,'Udvaskning nøgletal'!$C$12:$C$60,'Udvaskning nøgletal'!$H$12:$H$60)</f>
        <v>0</v>
      </c>
      <c r="Z928" s="10">
        <f>IF(X928=1,LOOKUP(K928,'Udvaskning nøgletal'!$C$12:$C$60,'Udvaskning nøgletal'!$E$12:$E$60)+Markniveau!Y928*Markniveau!S928/100,IF(X928=2,LOOKUP(K928,'Udvaskning nøgletal'!$C$12:$C$60,'Udvaskning nøgletal'!$F$12:$F$60)+Markniveau!Y928*Markniveau!S928/100,IF(X928=3,LOOKUP(K928,'Udvaskning nøgletal'!$C$12:$C$60,'Udvaskning nøgletal'!G938:G986)+Markniveau!Y928*Markniveau!S928/100,"")))</f>
        <v>21.2</v>
      </c>
      <c r="AA928" s="10">
        <f t="shared" si="146"/>
        <v>6.5720000000000001</v>
      </c>
      <c r="AB928" s="10" t="str">
        <f t="shared" si="145"/>
        <v/>
      </c>
      <c r="AC928" s="10" t="str">
        <f t="shared" si="147"/>
        <v/>
      </c>
      <c r="AD928" s="10">
        <f>IF(AND(Q928&gt;0,Q928&lt;30,K928&lt;8),Markniveau!Z928*'Udvaskning nøgletal'!$I$12/100,IF(AND(Q928&gt;0,Q928&lt;30,K928=216),Markniveau!Z928*'Udvaskning nøgletal'!$I$34/100,Markniveau!Z928))</f>
        <v>21.2</v>
      </c>
      <c r="AE928" s="10">
        <f t="shared" si="153"/>
        <v>6.5720000000000001</v>
      </c>
      <c r="AF928" s="10" t="str">
        <f t="shared" si="148"/>
        <v/>
      </c>
      <c r="AG928" s="10" t="str">
        <f t="shared" si="154"/>
        <v/>
      </c>
      <c r="AH928" s="10" t="str">
        <f>IF(AND(Q928&gt;0,Q928&lt;30,K928=216),'Udvaskning nøgletal'!$C$42,IF(AND(Q928&gt;0,Q928&lt;30,K928&gt;7,K928&lt;17),'Udvaskning nøgletal'!$C$61,IF(AND(Q928&gt;0,Q928&lt;30,K928&lt;7),'Udvaskning nøgletal'!$C$62,"")))</f>
        <v/>
      </c>
      <c r="AI928" s="10">
        <f t="shared" si="150"/>
        <v>252</v>
      </c>
      <c r="AJ928" s="10">
        <f>IF($X928=1,LOOKUP(AI928,'Udvaskning nøgletal'!$C$12:$C$62,'Udvaskning nøgletal'!$E$12:$E$62)+Markniveau!$Y928*Markniveau!$S928/100,IF($X928=2,LOOKUP(AI928,'Udvaskning nøgletal'!$C$12:$C$62,'Udvaskning nøgletal'!$F$12:$F$62)+Markniveau!$Y928*Markniveau!$S928/100,IF($X928=3,LOOKUP(AI928,'Udvaskning nøgletal'!$C$12:$C$62,'Udvaskning nøgletal'!Q938:Q988)+Markniveau!$Y928*Markniveau!$S928/100,"")))</f>
        <v>21.2</v>
      </c>
      <c r="AK928" s="10">
        <f t="shared" si="149"/>
        <v>6.5720000000000001</v>
      </c>
      <c r="AL928" s="10" t="str">
        <f t="shared" si="151"/>
        <v/>
      </c>
      <c r="AM928" s="10" t="str">
        <f t="shared" si="152"/>
        <v/>
      </c>
    </row>
    <row r="929" spans="1:39" x14ac:dyDescent="0.25">
      <c r="A929" s="15">
        <v>28540744</v>
      </c>
      <c r="B929" s="15">
        <v>90.4</v>
      </c>
      <c r="C929" s="15">
        <v>51864</v>
      </c>
      <c r="D929" s="15">
        <v>137119</v>
      </c>
      <c r="E929" s="15" t="s">
        <v>726</v>
      </c>
      <c r="F929" s="15">
        <v>2011</v>
      </c>
      <c r="G929" s="15">
        <v>20110406</v>
      </c>
      <c r="H929" s="15">
        <v>7538</v>
      </c>
      <c r="I929" s="15">
        <v>0.75</v>
      </c>
      <c r="J929" s="6" t="s">
        <v>1393</v>
      </c>
      <c r="K929" s="15">
        <v>583</v>
      </c>
      <c r="L929" s="15" t="s">
        <v>154</v>
      </c>
      <c r="M929" s="15" t="s">
        <v>155</v>
      </c>
      <c r="N929" s="11" t="s">
        <v>1391</v>
      </c>
      <c r="O929" s="11" t="s">
        <v>46</v>
      </c>
      <c r="P929" s="11" t="s">
        <v>33</v>
      </c>
      <c r="Q929" s="15">
        <v>0</v>
      </c>
      <c r="R929" s="11" t="s">
        <v>1386</v>
      </c>
      <c r="S929" s="10">
        <v>157.46830381596001</v>
      </c>
      <c r="T929" s="15">
        <v>80</v>
      </c>
      <c r="U929" s="15">
        <v>0</v>
      </c>
      <c r="V929" s="15">
        <v>0</v>
      </c>
      <c r="W929" s="15">
        <v>0</v>
      </c>
      <c r="X929" s="15">
        <f>IF(O929='Udvaskning nøgletal'!$D$65,1,IF(O929='Udvaskning nøgletal'!$D$66,2,IF(O929='Udvaskning nøgletal'!$D$67,3,IF(O929='Udvaskning nøgletal'!$D$68,2,""))))</f>
        <v>2</v>
      </c>
      <c r="Y929" s="15">
        <f>LOOKUP(K929,'Udvaskning nøgletal'!$C$12:$C$60,'Udvaskning nøgletal'!$H$12:$H$60)</f>
        <v>0</v>
      </c>
      <c r="Z929" s="10">
        <f>IF(X929=1,LOOKUP(K929,'Udvaskning nøgletal'!$C$12:$C$60,'Udvaskning nøgletal'!$E$12:$E$60)+Markniveau!Y929*Markniveau!S929/100,IF(X929=2,LOOKUP(K929,'Udvaskning nøgletal'!$C$12:$C$60,'Udvaskning nøgletal'!$F$12:$F$60)+Markniveau!Y929*Markniveau!S929/100,IF(X929=3,LOOKUP(K929,'Udvaskning nøgletal'!$C$12:$C$60,'Udvaskning nøgletal'!G939:G987)+Markniveau!Y929*Markniveau!S929/100,"")))</f>
        <v>10</v>
      </c>
      <c r="AA929" s="10">
        <f t="shared" si="146"/>
        <v>7.5</v>
      </c>
      <c r="AB929" s="10" t="str">
        <f t="shared" si="145"/>
        <v/>
      </c>
      <c r="AC929" s="10" t="str">
        <f t="shared" si="147"/>
        <v/>
      </c>
      <c r="AD929" s="10">
        <f>IF(AND(Q929&gt;0,Q929&lt;30,K929&lt;8),Markniveau!Z929*'Udvaskning nøgletal'!$I$12/100,IF(AND(Q929&gt;0,Q929&lt;30,K929=216),Markniveau!Z929*'Udvaskning nøgletal'!$I$34/100,Markniveau!Z929))</f>
        <v>10</v>
      </c>
      <c r="AE929" s="10">
        <f t="shared" si="153"/>
        <v>7.5</v>
      </c>
      <c r="AF929" s="10" t="str">
        <f t="shared" si="148"/>
        <v/>
      </c>
      <c r="AG929" s="10" t="str">
        <f t="shared" si="154"/>
        <v/>
      </c>
      <c r="AH929" s="10" t="str">
        <f>IF(AND(Q929&gt;0,Q929&lt;30,K929=216),'Udvaskning nøgletal'!$C$42,IF(AND(Q929&gt;0,Q929&lt;30,K929&gt;7,K929&lt;17),'Udvaskning nøgletal'!$C$61,IF(AND(Q929&gt;0,Q929&lt;30,K929&lt;7),'Udvaskning nøgletal'!$C$62,"")))</f>
        <v/>
      </c>
      <c r="AI929" s="10">
        <f t="shared" si="150"/>
        <v>583</v>
      </c>
      <c r="AJ929" s="10">
        <f>IF($X929=1,LOOKUP(AI929,'Udvaskning nøgletal'!$C$12:$C$62,'Udvaskning nøgletal'!$E$12:$E$62)+Markniveau!$Y929*Markniveau!$S929/100,IF($X929=2,LOOKUP(AI929,'Udvaskning nøgletal'!$C$12:$C$62,'Udvaskning nøgletal'!$F$12:$F$62)+Markniveau!$Y929*Markniveau!$S929/100,IF($X929=3,LOOKUP(AI929,'Udvaskning nøgletal'!$C$12:$C$62,'Udvaskning nøgletal'!Q939:Q989)+Markniveau!$Y929*Markniveau!$S929/100,"")))</f>
        <v>10</v>
      </c>
      <c r="AK929" s="10">
        <f t="shared" si="149"/>
        <v>7.5</v>
      </c>
      <c r="AL929" s="10" t="str">
        <f t="shared" si="151"/>
        <v/>
      </c>
      <c r="AM929" s="10" t="str">
        <f t="shared" si="152"/>
        <v/>
      </c>
    </row>
    <row r="930" spans="1:39" x14ac:dyDescent="0.25">
      <c r="A930" s="15">
        <v>28540744</v>
      </c>
      <c r="B930" s="15">
        <v>90.4</v>
      </c>
      <c r="C930" s="15">
        <v>51866</v>
      </c>
      <c r="D930" s="15">
        <v>137119</v>
      </c>
      <c r="E930" s="15" t="s">
        <v>576</v>
      </c>
      <c r="F930" s="15">
        <v>2011</v>
      </c>
      <c r="G930" s="15">
        <v>20110406</v>
      </c>
      <c r="H930" s="15">
        <v>3766</v>
      </c>
      <c r="I930" s="15">
        <v>0.38</v>
      </c>
      <c r="J930" s="6" t="s">
        <v>727</v>
      </c>
      <c r="K930" s="15">
        <v>310</v>
      </c>
      <c r="L930" s="15" t="s">
        <v>484</v>
      </c>
      <c r="M930" s="15" t="s">
        <v>81</v>
      </c>
      <c r="N930" s="11" t="s">
        <v>1391</v>
      </c>
      <c r="O930" s="11" t="s">
        <v>46</v>
      </c>
      <c r="P930" s="11" t="s">
        <v>33</v>
      </c>
      <c r="Q930" s="15">
        <v>0</v>
      </c>
      <c r="R930" s="11" t="s">
        <v>1386</v>
      </c>
      <c r="S930" s="10">
        <v>157.46830381596001</v>
      </c>
      <c r="T930" s="15">
        <v>80</v>
      </c>
      <c r="U930" s="15">
        <v>0</v>
      </c>
      <c r="V930" s="15">
        <v>0</v>
      </c>
      <c r="W930" s="15">
        <v>0</v>
      </c>
      <c r="X930" s="15">
        <f>IF(O930='Udvaskning nøgletal'!$D$65,1,IF(O930='Udvaskning nøgletal'!$D$66,2,IF(O930='Udvaskning nøgletal'!$D$67,3,IF(O930='Udvaskning nøgletal'!$D$68,2,""))))</f>
        <v>2</v>
      </c>
      <c r="Y930" s="15">
        <f>LOOKUP(K930,'Udvaskning nøgletal'!$C$12:$C$60,'Udvaskning nøgletal'!$H$12:$H$60)</f>
        <v>0</v>
      </c>
      <c r="Z930" s="10">
        <f>IF(X930=1,LOOKUP(K930,'Udvaskning nøgletal'!$C$12:$C$60,'Udvaskning nøgletal'!$E$12:$E$60)+Markniveau!Y930*Markniveau!S930/100,IF(X930=2,LOOKUP(K930,'Udvaskning nøgletal'!$C$12:$C$60,'Udvaskning nøgletal'!$F$12:$F$60)+Markniveau!Y930*Markniveau!S930/100,IF(X930=3,LOOKUP(K930,'Udvaskning nøgletal'!$C$12:$C$60,'Udvaskning nøgletal'!G940:G988)+Markniveau!Y930*Markniveau!S930/100,"")))</f>
        <v>10</v>
      </c>
      <c r="AA930" s="10">
        <f t="shared" si="146"/>
        <v>3.8</v>
      </c>
      <c r="AB930" s="10" t="str">
        <f t="shared" si="145"/>
        <v/>
      </c>
      <c r="AC930" s="10" t="str">
        <f t="shared" si="147"/>
        <v/>
      </c>
      <c r="AD930" s="10">
        <f>IF(AND(Q930&gt;0,Q930&lt;30,K930&lt;8),Markniveau!Z930*'Udvaskning nøgletal'!$I$12/100,IF(AND(Q930&gt;0,Q930&lt;30,K930=216),Markniveau!Z930*'Udvaskning nøgletal'!$I$34/100,Markniveau!Z930))</f>
        <v>10</v>
      </c>
      <c r="AE930" s="10">
        <f t="shared" si="153"/>
        <v>3.8</v>
      </c>
      <c r="AF930" s="10" t="str">
        <f t="shared" si="148"/>
        <v/>
      </c>
      <c r="AG930" s="10" t="str">
        <f t="shared" si="154"/>
        <v/>
      </c>
      <c r="AH930" s="10" t="str">
        <f>IF(AND(Q930&gt;0,Q930&lt;30,K930=216),'Udvaskning nøgletal'!$C$42,IF(AND(Q930&gt;0,Q930&lt;30,K930&gt;7,K930&lt;17),'Udvaskning nøgletal'!$C$61,IF(AND(Q930&gt;0,Q930&lt;30,K930&lt;7),'Udvaskning nøgletal'!$C$62,"")))</f>
        <v/>
      </c>
      <c r="AI930" s="10">
        <f t="shared" si="150"/>
        <v>310</v>
      </c>
      <c r="AJ930" s="10">
        <f>IF($X930=1,LOOKUP(AI930,'Udvaskning nøgletal'!$C$12:$C$62,'Udvaskning nøgletal'!$E$12:$E$62)+Markniveau!$Y930*Markniveau!$S930/100,IF($X930=2,LOOKUP(AI930,'Udvaskning nøgletal'!$C$12:$C$62,'Udvaskning nøgletal'!$F$12:$F$62)+Markniveau!$Y930*Markniveau!$S930/100,IF($X930=3,LOOKUP(AI930,'Udvaskning nøgletal'!$C$12:$C$62,'Udvaskning nøgletal'!Q940:Q990)+Markniveau!$Y930*Markniveau!$S930/100,"")))</f>
        <v>10</v>
      </c>
      <c r="AK930" s="10">
        <f t="shared" si="149"/>
        <v>3.8</v>
      </c>
      <c r="AL930" s="10" t="str">
        <f t="shared" si="151"/>
        <v/>
      </c>
      <c r="AM930" s="10" t="str">
        <f t="shared" si="152"/>
        <v/>
      </c>
    </row>
    <row r="931" spans="1:39" x14ac:dyDescent="0.25">
      <c r="A931" s="15">
        <v>28540744</v>
      </c>
      <c r="B931" s="15">
        <v>90.4</v>
      </c>
      <c r="C931" s="15">
        <v>53778</v>
      </c>
      <c r="D931" s="15">
        <v>137119</v>
      </c>
      <c r="E931" s="15" t="s">
        <v>185</v>
      </c>
      <c r="F931" s="15">
        <v>2011</v>
      </c>
      <c r="G931" s="15">
        <v>20110406</v>
      </c>
      <c r="H931" s="15">
        <v>7307</v>
      </c>
      <c r="I931" s="15">
        <v>0.73</v>
      </c>
      <c r="J931" s="6" t="s">
        <v>728</v>
      </c>
      <c r="K931" s="15">
        <v>901</v>
      </c>
      <c r="L931" s="15" t="s">
        <v>80</v>
      </c>
      <c r="M931" s="15" t="s">
        <v>81</v>
      </c>
      <c r="N931" s="11" t="s">
        <v>1406</v>
      </c>
      <c r="O931" s="11" t="s">
        <v>46</v>
      </c>
      <c r="P931" s="11" t="s">
        <v>33</v>
      </c>
      <c r="Q931" s="15">
        <v>0</v>
      </c>
      <c r="R931" s="11" t="s">
        <v>1386</v>
      </c>
      <c r="S931" s="10">
        <v>157.46830381596001</v>
      </c>
      <c r="T931" s="15">
        <v>80</v>
      </c>
      <c r="U931" s="15">
        <v>0</v>
      </c>
      <c r="V931" s="15">
        <v>0</v>
      </c>
      <c r="W931" s="15">
        <v>0</v>
      </c>
      <c r="X931" s="15">
        <f>IF(O931='Udvaskning nøgletal'!$D$65,1,IF(O931='Udvaskning nøgletal'!$D$66,2,IF(O931='Udvaskning nøgletal'!$D$67,3,IF(O931='Udvaskning nøgletal'!$D$68,2,""))))</f>
        <v>2</v>
      </c>
      <c r="Y931" s="15">
        <f>LOOKUP(K931,'Udvaskning nøgletal'!$C$12:$C$60,'Udvaskning nøgletal'!$H$12:$H$60)</f>
        <v>0</v>
      </c>
      <c r="Z931" s="10">
        <f>IF(X931=1,LOOKUP(K931,'Udvaskning nøgletal'!$C$12:$C$60,'Udvaskning nøgletal'!$E$12:$E$60)+Markniveau!Y931*Markniveau!S931/100,IF(X931=2,LOOKUP(K931,'Udvaskning nøgletal'!$C$12:$C$60,'Udvaskning nøgletal'!$F$12:$F$60)+Markniveau!Y931*Markniveau!S931/100,IF(X931=3,LOOKUP(K931,'Udvaskning nøgletal'!$C$12:$C$60,'Udvaskning nøgletal'!G941:G989)+Markniveau!Y931*Markniveau!S931/100,"")))</f>
        <v>10</v>
      </c>
      <c r="AA931" s="10">
        <f t="shared" si="146"/>
        <v>7.3</v>
      </c>
      <c r="AB931" s="10" t="str">
        <f t="shared" si="145"/>
        <v/>
      </c>
      <c r="AC931" s="10" t="str">
        <f t="shared" si="147"/>
        <v/>
      </c>
      <c r="AD931" s="10">
        <f>IF(AND(Q931&gt;0,Q931&lt;30,K931&lt;8),Markniveau!Z931*'Udvaskning nøgletal'!$I$12/100,IF(AND(Q931&gt;0,Q931&lt;30,K931=216),Markniveau!Z931*'Udvaskning nøgletal'!$I$34/100,Markniveau!Z931))</f>
        <v>10</v>
      </c>
      <c r="AE931" s="10">
        <f t="shared" si="153"/>
        <v>7.3</v>
      </c>
      <c r="AF931" s="10" t="str">
        <f t="shared" si="148"/>
        <v/>
      </c>
      <c r="AG931" s="10" t="str">
        <f t="shared" si="154"/>
        <v/>
      </c>
      <c r="AH931" s="10" t="str">
        <f>IF(AND(Q931&gt;0,Q931&lt;30,K931=216),'Udvaskning nøgletal'!$C$42,IF(AND(Q931&gt;0,Q931&lt;30,K931&gt;7,K931&lt;17),'Udvaskning nøgletal'!$C$61,IF(AND(Q931&gt;0,Q931&lt;30,K931&lt;7),'Udvaskning nøgletal'!$C$62,"")))</f>
        <v/>
      </c>
      <c r="AI931" s="10">
        <f t="shared" si="150"/>
        <v>901</v>
      </c>
      <c r="AJ931" s="10">
        <f>IF($X931=1,LOOKUP(AI931,'Udvaskning nøgletal'!$C$12:$C$62,'Udvaskning nøgletal'!$E$12:$E$62)+Markniveau!$Y931*Markniveau!$S931/100,IF($X931=2,LOOKUP(AI931,'Udvaskning nøgletal'!$C$12:$C$62,'Udvaskning nøgletal'!$F$12:$F$62)+Markniveau!$Y931*Markniveau!$S931/100,IF($X931=3,LOOKUP(AI931,'Udvaskning nøgletal'!$C$12:$C$62,'Udvaskning nøgletal'!Q941:Q991)+Markniveau!$Y931*Markniveau!$S931/100,"")))</f>
        <v>10</v>
      </c>
      <c r="AK931" s="10">
        <f t="shared" si="149"/>
        <v>7.3</v>
      </c>
      <c r="AL931" s="10" t="str">
        <f t="shared" si="151"/>
        <v/>
      </c>
      <c r="AM931" s="10" t="str">
        <f t="shared" si="152"/>
        <v/>
      </c>
    </row>
    <row r="932" spans="1:39" x14ac:dyDescent="0.25">
      <c r="A932" s="15">
        <v>28540744</v>
      </c>
      <c r="B932" s="15">
        <v>90.4</v>
      </c>
      <c r="C932" s="15">
        <v>61096</v>
      </c>
      <c r="D932" s="15">
        <v>137119</v>
      </c>
      <c r="E932" s="15" t="s">
        <v>729</v>
      </c>
      <c r="F932" s="15">
        <v>2011</v>
      </c>
      <c r="G932" s="15">
        <v>20110406</v>
      </c>
      <c r="H932" s="15">
        <v>380478</v>
      </c>
      <c r="I932" s="15">
        <v>38.049999999999997</v>
      </c>
      <c r="J932" s="6" t="s">
        <v>69</v>
      </c>
      <c r="K932" s="15">
        <v>1</v>
      </c>
      <c r="L932" s="15" t="s">
        <v>32</v>
      </c>
      <c r="M932" s="15" t="s">
        <v>5</v>
      </c>
      <c r="N932" s="11" t="s">
        <v>1391</v>
      </c>
      <c r="O932" s="11" t="s">
        <v>46</v>
      </c>
      <c r="P932" s="11" t="s">
        <v>33</v>
      </c>
      <c r="Q932" s="15">
        <v>0</v>
      </c>
      <c r="R932" s="11" t="s">
        <v>1386</v>
      </c>
      <c r="S932" s="10">
        <v>157.46830381596001</v>
      </c>
      <c r="T932" s="15">
        <v>80</v>
      </c>
      <c r="U932" s="15">
        <v>0</v>
      </c>
      <c r="V932" s="15">
        <v>0</v>
      </c>
      <c r="W932" s="15">
        <v>0</v>
      </c>
      <c r="X932" s="15">
        <f>IF(O932='Udvaskning nøgletal'!$D$65,1,IF(O932='Udvaskning nøgletal'!$D$66,2,IF(O932='Udvaskning nøgletal'!$D$67,3,IF(O932='Udvaskning nøgletal'!$D$68,2,""))))</f>
        <v>2</v>
      </c>
      <c r="Y932" s="15">
        <f>LOOKUP(K932,'Udvaskning nøgletal'!$C$12:$C$60,'Udvaskning nøgletal'!$H$12:$H$60)</f>
        <v>5</v>
      </c>
      <c r="Z932" s="10">
        <f>IF(X932=1,LOOKUP(K932,'Udvaskning nøgletal'!$C$12:$C$60,'Udvaskning nøgletal'!$E$12:$E$60)+Markniveau!Y932*Markniveau!S932/100,IF(X932=2,LOOKUP(K932,'Udvaskning nøgletal'!$C$12:$C$60,'Udvaskning nøgletal'!$F$12:$F$60)+Markniveau!Y932*Markniveau!S932/100,IF(X932=3,LOOKUP(K932,'Udvaskning nøgletal'!$C$12:$C$60,'Udvaskning nøgletal'!G942:G990)+Markniveau!Y932*Markniveau!S932/100,"")))</f>
        <v>58.753415190798002</v>
      </c>
      <c r="AA932" s="10">
        <f t="shared" si="146"/>
        <v>2235.5674480098637</v>
      </c>
      <c r="AB932" s="10" t="str">
        <f t="shared" si="145"/>
        <v/>
      </c>
      <c r="AC932" s="10" t="str">
        <f t="shared" si="147"/>
        <v/>
      </c>
      <c r="AD932" s="10">
        <f>IF(AND(Q932&gt;0,Q932&lt;30,K932&lt;8),Markniveau!Z932*'Udvaskning nøgletal'!$I$12/100,IF(AND(Q932&gt;0,Q932&lt;30,K932=216),Markniveau!Z932*'Udvaskning nøgletal'!$I$34/100,Markniveau!Z932))</f>
        <v>58.753415190798002</v>
      </c>
      <c r="AE932" s="10">
        <f t="shared" si="153"/>
        <v>2235.5674480098637</v>
      </c>
      <c r="AF932" s="10" t="str">
        <f t="shared" si="148"/>
        <v/>
      </c>
      <c r="AG932" s="10" t="str">
        <f t="shared" si="154"/>
        <v/>
      </c>
      <c r="AH932" s="10" t="str">
        <f>IF(AND(Q932&gt;0,Q932&lt;30,K932=216),'Udvaskning nøgletal'!$C$42,IF(AND(Q932&gt;0,Q932&lt;30,K932&gt;7,K932&lt;17),'Udvaskning nøgletal'!$C$61,IF(AND(Q932&gt;0,Q932&lt;30,K932&lt;7),'Udvaskning nøgletal'!$C$62,"")))</f>
        <v/>
      </c>
      <c r="AI932" s="10">
        <f t="shared" si="150"/>
        <v>1</v>
      </c>
      <c r="AJ932" s="10">
        <f>IF($X932=1,LOOKUP(AI932,'Udvaskning nøgletal'!$C$12:$C$62,'Udvaskning nøgletal'!$E$12:$E$62)+Markniveau!$Y932*Markniveau!$S932/100,IF($X932=2,LOOKUP(AI932,'Udvaskning nøgletal'!$C$12:$C$62,'Udvaskning nøgletal'!$F$12:$F$62)+Markniveau!$Y932*Markniveau!$S932/100,IF($X932=3,LOOKUP(AI932,'Udvaskning nøgletal'!$C$12:$C$62,'Udvaskning nøgletal'!Q942:Q992)+Markniveau!$Y932*Markniveau!$S932/100,"")))</f>
        <v>58.753415190798002</v>
      </c>
      <c r="AK932" s="10">
        <f t="shared" si="149"/>
        <v>2235.5674480098637</v>
      </c>
      <c r="AL932" s="10" t="str">
        <f t="shared" si="151"/>
        <v/>
      </c>
      <c r="AM932" s="10" t="str">
        <f t="shared" si="152"/>
        <v/>
      </c>
    </row>
    <row r="933" spans="1:39" x14ac:dyDescent="0.25">
      <c r="A933" s="15">
        <v>28540744</v>
      </c>
      <c r="B933" s="15">
        <v>90.4</v>
      </c>
      <c r="C933" s="15">
        <v>61347</v>
      </c>
      <c r="D933" s="15">
        <v>137119</v>
      </c>
      <c r="E933" s="15" t="s">
        <v>730</v>
      </c>
      <c r="F933" s="15">
        <v>2011</v>
      </c>
      <c r="G933" s="15">
        <v>20110406</v>
      </c>
      <c r="H933" s="15">
        <v>50677</v>
      </c>
      <c r="I933" s="15">
        <v>5.07</v>
      </c>
      <c r="J933" s="6" t="s">
        <v>731</v>
      </c>
      <c r="K933" s="15">
        <v>1</v>
      </c>
      <c r="L933" s="15" t="s">
        <v>32</v>
      </c>
      <c r="M933" s="15" t="s">
        <v>5</v>
      </c>
      <c r="N933" s="11" t="s">
        <v>1384</v>
      </c>
      <c r="O933" s="11" t="s">
        <v>28</v>
      </c>
      <c r="P933" s="11" t="s">
        <v>33</v>
      </c>
      <c r="Q933" s="15">
        <v>0</v>
      </c>
      <c r="R933" s="11" t="s">
        <v>1386</v>
      </c>
      <c r="S933" s="10">
        <v>157.46830381596001</v>
      </c>
      <c r="T933" s="15">
        <v>80</v>
      </c>
      <c r="U933" s="15">
        <v>0</v>
      </c>
      <c r="V933" s="15">
        <v>0</v>
      </c>
      <c r="W933" s="15">
        <v>0</v>
      </c>
      <c r="X933" s="15">
        <f>IF(O933='Udvaskning nøgletal'!$D$65,1,IF(O933='Udvaskning nøgletal'!$D$66,2,IF(O933='Udvaskning nøgletal'!$D$67,3,IF(O933='Udvaskning nøgletal'!$D$68,2,""))))</f>
        <v>1</v>
      </c>
      <c r="Y933" s="15">
        <f>LOOKUP(K933,'Udvaskning nøgletal'!$C$12:$C$60,'Udvaskning nøgletal'!$H$12:$H$60)</f>
        <v>5</v>
      </c>
      <c r="Z933" s="10">
        <f>IF(X933=1,LOOKUP(K933,'Udvaskning nøgletal'!$C$12:$C$60,'Udvaskning nøgletal'!$E$12:$E$60)+Markniveau!Y933*Markniveau!S933/100,IF(X933=2,LOOKUP(K933,'Udvaskning nøgletal'!$C$12:$C$60,'Udvaskning nøgletal'!$F$12:$F$60)+Markniveau!Y933*Markniveau!S933/100,IF(X933=3,LOOKUP(K933,'Udvaskning nøgletal'!$C$12:$C$60,'Udvaskning nøgletal'!G943:G991)+Markniveau!Y933*Markniveau!S933/100,"")))</f>
        <v>72.533415190797996</v>
      </c>
      <c r="AA933" s="10">
        <f t="shared" si="146"/>
        <v>367.74441501734589</v>
      </c>
      <c r="AB933" s="10" t="str">
        <f t="shared" si="145"/>
        <v/>
      </c>
      <c r="AC933" s="10" t="str">
        <f t="shared" si="147"/>
        <v/>
      </c>
      <c r="AD933" s="10">
        <f>IF(AND(Q933&gt;0,Q933&lt;30,K933&lt;8),Markniveau!Z933*'Udvaskning nøgletal'!$I$12/100,IF(AND(Q933&gt;0,Q933&lt;30,K933=216),Markniveau!Z933*'Udvaskning nøgletal'!$I$34/100,Markniveau!Z933))</f>
        <v>72.533415190797996</v>
      </c>
      <c r="AE933" s="10">
        <f t="shared" si="153"/>
        <v>367.74441501734589</v>
      </c>
      <c r="AF933" s="10" t="str">
        <f t="shared" si="148"/>
        <v/>
      </c>
      <c r="AG933" s="10" t="str">
        <f t="shared" si="154"/>
        <v/>
      </c>
      <c r="AH933" s="10" t="str">
        <f>IF(AND(Q933&gt;0,Q933&lt;30,K933=216),'Udvaskning nøgletal'!$C$42,IF(AND(Q933&gt;0,Q933&lt;30,K933&gt;7,K933&lt;17),'Udvaskning nøgletal'!$C$61,IF(AND(Q933&gt;0,Q933&lt;30,K933&lt;7),'Udvaskning nøgletal'!$C$62,"")))</f>
        <v/>
      </c>
      <c r="AI933" s="10">
        <f t="shared" si="150"/>
        <v>1</v>
      </c>
      <c r="AJ933" s="10">
        <f>IF($X933=1,LOOKUP(AI933,'Udvaskning nøgletal'!$C$12:$C$62,'Udvaskning nøgletal'!$E$12:$E$62)+Markniveau!$Y933*Markniveau!$S933/100,IF($X933=2,LOOKUP(AI933,'Udvaskning nøgletal'!$C$12:$C$62,'Udvaskning nøgletal'!$F$12:$F$62)+Markniveau!$Y933*Markniveau!$S933/100,IF($X933=3,LOOKUP(AI933,'Udvaskning nøgletal'!$C$12:$C$62,'Udvaskning nøgletal'!Q943:Q993)+Markniveau!$Y933*Markniveau!$S933/100,"")))</f>
        <v>72.533415190797996</v>
      </c>
      <c r="AK933" s="10">
        <f t="shared" si="149"/>
        <v>367.74441501734589</v>
      </c>
      <c r="AL933" s="10" t="str">
        <f t="shared" si="151"/>
        <v/>
      </c>
      <c r="AM933" s="10" t="str">
        <f t="shared" si="152"/>
        <v/>
      </c>
    </row>
    <row r="934" spans="1:39" x14ac:dyDescent="0.25">
      <c r="A934" s="15">
        <v>28540744</v>
      </c>
      <c r="B934" s="15">
        <v>90.4</v>
      </c>
      <c r="C934" s="15">
        <v>61567</v>
      </c>
      <c r="D934" s="15">
        <v>137119</v>
      </c>
      <c r="E934" s="15" t="s">
        <v>732</v>
      </c>
      <c r="F934" s="15">
        <v>2011</v>
      </c>
      <c r="G934" s="15">
        <v>20110406</v>
      </c>
      <c r="H934" s="15">
        <v>7097</v>
      </c>
      <c r="I934" s="15">
        <v>0.71</v>
      </c>
      <c r="J934" s="6" t="s">
        <v>733</v>
      </c>
      <c r="K934" s="15">
        <v>216</v>
      </c>
      <c r="L934" s="15" t="s">
        <v>116</v>
      </c>
      <c r="M934" s="15" t="s">
        <v>5</v>
      </c>
      <c r="N934" s="11" t="s">
        <v>1384</v>
      </c>
      <c r="O934" s="11" t="s">
        <v>28</v>
      </c>
      <c r="P934" s="11" t="s">
        <v>33</v>
      </c>
      <c r="Q934" s="15">
        <v>0</v>
      </c>
      <c r="R934" s="11" t="s">
        <v>1386</v>
      </c>
      <c r="S934" s="10">
        <v>157.46830381596001</v>
      </c>
      <c r="T934" s="15">
        <v>80</v>
      </c>
      <c r="U934" s="15">
        <v>0</v>
      </c>
      <c r="V934" s="15">
        <v>0</v>
      </c>
      <c r="W934" s="15">
        <v>0</v>
      </c>
      <c r="X934" s="15">
        <f>IF(O934='Udvaskning nøgletal'!$D$65,1,IF(O934='Udvaskning nøgletal'!$D$66,2,IF(O934='Udvaskning nøgletal'!$D$67,3,IF(O934='Udvaskning nøgletal'!$D$68,2,""))))</f>
        <v>1</v>
      </c>
      <c r="Y934" s="15">
        <f>LOOKUP(K934,'Udvaskning nøgletal'!$C$12:$C$60,'Udvaskning nøgletal'!$H$12:$H$60)</f>
        <v>0</v>
      </c>
      <c r="Z934" s="10">
        <f>IF(X934=1,LOOKUP(K934,'Udvaskning nøgletal'!$C$12:$C$60,'Udvaskning nøgletal'!$E$12:$E$60)+Markniveau!Y934*Markniveau!S934/100,IF(X934=2,LOOKUP(K934,'Udvaskning nøgletal'!$C$12:$C$60,'Udvaskning nøgletal'!$F$12:$F$60)+Markniveau!Y934*Markniveau!S934/100,IF(X934=3,LOOKUP(K934,'Udvaskning nøgletal'!$C$12:$C$60,'Udvaskning nøgletal'!G944:G992)+Markniveau!Y934*Markniveau!S934/100,"")))</f>
        <v>125.85383557148924</v>
      </c>
      <c r="AA934" s="10">
        <f t="shared" si="146"/>
        <v>89.356223255757357</v>
      </c>
      <c r="AB934" s="10" t="str">
        <f t="shared" si="145"/>
        <v/>
      </c>
      <c r="AC934" s="10" t="str">
        <f t="shared" si="147"/>
        <v/>
      </c>
      <c r="AD934" s="10">
        <f>IF(AND(Q934&gt;0,Q934&lt;30,K934&lt;8),Markniveau!Z934*'Udvaskning nøgletal'!$I$12/100,IF(AND(Q934&gt;0,Q934&lt;30,K934=216),Markniveau!Z934*'Udvaskning nøgletal'!$I$34/100,Markniveau!Z934))</f>
        <v>125.85383557148924</v>
      </c>
      <c r="AE934" s="10">
        <f t="shared" si="153"/>
        <v>89.356223255757357</v>
      </c>
      <c r="AF934" s="10" t="str">
        <f t="shared" si="148"/>
        <v/>
      </c>
      <c r="AG934" s="10" t="str">
        <f t="shared" si="154"/>
        <v/>
      </c>
      <c r="AH934" s="10" t="str">
        <f>IF(AND(Q934&gt;0,Q934&lt;30,K934=216),'Udvaskning nøgletal'!$C$42,IF(AND(Q934&gt;0,Q934&lt;30,K934&gt;7,K934&lt;17),'Udvaskning nøgletal'!$C$61,IF(AND(Q934&gt;0,Q934&lt;30,K934&lt;7),'Udvaskning nøgletal'!$C$62,"")))</f>
        <v/>
      </c>
      <c r="AI934" s="10">
        <f t="shared" si="150"/>
        <v>216</v>
      </c>
      <c r="AJ934" s="10">
        <f>IF($X934=1,LOOKUP(AI934,'Udvaskning nøgletal'!$C$12:$C$62,'Udvaskning nøgletal'!$E$12:$E$62)+Markniveau!$Y934*Markniveau!$S934/100,IF($X934=2,LOOKUP(AI934,'Udvaskning nøgletal'!$C$12:$C$62,'Udvaskning nøgletal'!$F$12:$F$62)+Markniveau!$Y934*Markniveau!$S934/100,IF($X934=3,LOOKUP(AI934,'Udvaskning nøgletal'!$C$12:$C$62,'Udvaskning nøgletal'!Q944:Q994)+Markniveau!$Y934*Markniveau!$S934/100,"")))</f>
        <v>125.85383557148924</v>
      </c>
      <c r="AK934" s="10">
        <f t="shared" si="149"/>
        <v>89.356223255757357</v>
      </c>
      <c r="AL934" s="10" t="str">
        <f t="shared" si="151"/>
        <v/>
      </c>
      <c r="AM934" s="10" t="str">
        <f t="shared" si="152"/>
        <v/>
      </c>
    </row>
    <row r="935" spans="1:39" x14ac:dyDescent="0.25">
      <c r="A935" s="15">
        <v>28540744</v>
      </c>
      <c r="B935" s="15">
        <v>90.4</v>
      </c>
      <c r="C935" s="15">
        <v>61571</v>
      </c>
      <c r="D935" s="15">
        <v>137119</v>
      </c>
      <c r="E935" s="15" t="s">
        <v>734</v>
      </c>
      <c r="F935" s="15">
        <v>2011</v>
      </c>
      <c r="G935" s="15">
        <v>20110406</v>
      </c>
      <c r="H935" s="15">
        <v>35330</v>
      </c>
      <c r="I935" s="15">
        <v>3.53</v>
      </c>
      <c r="J935" s="6" t="s">
        <v>86</v>
      </c>
      <c r="K935" s="15">
        <v>11</v>
      </c>
      <c r="L935" s="15" t="s">
        <v>102</v>
      </c>
      <c r="M935" s="15" t="s">
        <v>5</v>
      </c>
      <c r="N935" s="11" t="s">
        <v>1391</v>
      </c>
      <c r="O935" s="11" t="s">
        <v>46</v>
      </c>
      <c r="P935" s="11" t="s">
        <v>33</v>
      </c>
      <c r="Q935" s="15">
        <v>0</v>
      </c>
      <c r="R935" s="11" t="s">
        <v>1386</v>
      </c>
      <c r="S935" s="10">
        <v>157.46830381596001</v>
      </c>
      <c r="T935" s="15">
        <v>80</v>
      </c>
      <c r="U935" s="15">
        <v>0</v>
      </c>
      <c r="V935" s="15">
        <v>0</v>
      </c>
      <c r="W935" s="15">
        <v>0</v>
      </c>
      <c r="X935" s="15">
        <f>IF(O935='Udvaskning nøgletal'!$D$65,1,IF(O935='Udvaskning nøgletal'!$D$66,2,IF(O935='Udvaskning nøgletal'!$D$67,3,IF(O935='Udvaskning nøgletal'!$D$68,2,""))))</f>
        <v>2</v>
      </c>
      <c r="Y935" s="15">
        <f>LOOKUP(K935,'Udvaskning nøgletal'!$C$12:$C$60,'Udvaskning nøgletal'!$H$12:$H$60)</f>
        <v>5</v>
      </c>
      <c r="Z935" s="10">
        <f>IF(X935=1,LOOKUP(K935,'Udvaskning nøgletal'!$C$12:$C$60,'Udvaskning nøgletal'!$E$12:$E$60)+Markniveau!Y935*Markniveau!S935/100,IF(X935=2,LOOKUP(K935,'Udvaskning nøgletal'!$C$12:$C$60,'Udvaskning nøgletal'!$F$12:$F$60)+Markniveau!Y935*Markniveau!S935/100,IF(X935=3,LOOKUP(K935,'Udvaskning nøgletal'!$C$12:$C$60,'Udvaskning nøgletal'!G945:G993)+Markniveau!Y935*Markniveau!S935/100,"")))</f>
        <v>58.753415190798002</v>
      </c>
      <c r="AA935" s="10">
        <f t="shared" si="146"/>
        <v>207.39955562351693</v>
      </c>
      <c r="AB935" s="10" t="str">
        <f t="shared" si="145"/>
        <v/>
      </c>
      <c r="AC935" s="10" t="str">
        <f t="shared" si="147"/>
        <v/>
      </c>
      <c r="AD935" s="10">
        <f>IF(AND(Q935&gt;0,Q935&lt;30,K935&lt;8),Markniveau!Z935*'Udvaskning nøgletal'!$I$12/100,IF(AND(Q935&gt;0,Q935&lt;30,K935=216),Markniveau!Z935*'Udvaskning nøgletal'!$I$34/100,Markniveau!Z935))</f>
        <v>58.753415190798002</v>
      </c>
      <c r="AE935" s="10">
        <f t="shared" si="153"/>
        <v>207.39955562351693</v>
      </c>
      <c r="AF935" s="10" t="str">
        <f t="shared" si="148"/>
        <v/>
      </c>
      <c r="AG935" s="10" t="str">
        <f t="shared" si="154"/>
        <v/>
      </c>
      <c r="AH935" s="10" t="str">
        <f>IF(AND(Q935&gt;0,Q935&lt;30,K935=216),'Udvaskning nøgletal'!$C$42,IF(AND(Q935&gt;0,Q935&lt;30,K935&gt;7,K935&lt;17),'Udvaskning nøgletal'!$C$61,IF(AND(Q935&gt;0,Q935&lt;30,K935&lt;7),'Udvaskning nøgletal'!$C$62,"")))</f>
        <v/>
      </c>
      <c r="AI935" s="10">
        <f t="shared" si="150"/>
        <v>11</v>
      </c>
      <c r="AJ935" s="10">
        <f>IF($X935=1,LOOKUP(AI935,'Udvaskning nøgletal'!$C$12:$C$62,'Udvaskning nøgletal'!$E$12:$E$62)+Markniveau!$Y935*Markniveau!$S935/100,IF($X935=2,LOOKUP(AI935,'Udvaskning nøgletal'!$C$12:$C$62,'Udvaskning nøgletal'!$F$12:$F$62)+Markniveau!$Y935*Markniveau!$S935/100,IF($X935=3,LOOKUP(AI935,'Udvaskning nøgletal'!$C$12:$C$62,'Udvaskning nøgletal'!Q945:Q995)+Markniveau!$Y935*Markniveau!$S935/100,"")))</f>
        <v>58.753415190798002</v>
      </c>
      <c r="AK935" s="10">
        <f t="shared" si="149"/>
        <v>207.39955562351693</v>
      </c>
      <c r="AL935" s="10" t="str">
        <f t="shared" si="151"/>
        <v/>
      </c>
      <c r="AM935" s="10" t="str">
        <f t="shared" si="152"/>
        <v/>
      </c>
    </row>
    <row r="936" spans="1:39" x14ac:dyDescent="0.25">
      <c r="A936" s="15">
        <v>28540744</v>
      </c>
      <c r="B936" s="15">
        <v>90.4</v>
      </c>
      <c r="C936" s="15">
        <v>61587</v>
      </c>
      <c r="D936" s="15">
        <v>137119</v>
      </c>
      <c r="E936" s="15" t="s">
        <v>735</v>
      </c>
      <c r="F936" s="15">
        <v>2011</v>
      </c>
      <c r="G936" s="15">
        <v>20110406</v>
      </c>
      <c r="H936" s="15">
        <v>24976</v>
      </c>
      <c r="I936" s="15">
        <v>2.5</v>
      </c>
      <c r="J936" s="6" t="s">
        <v>122</v>
      </c>
      <c r="K936" s="15">
        <v>15</v>
      </c>
      <c r="L936" s="15" t="s">
        <v>362</v>
      </c>
      <c r="M936" s="15" t="s">
        <v>5</v>
      </c>
      <c r="N936" s="11" t="s">
        <v>1391</v>
      </c>
      <c r="O936" s="11" t="s">
        <v>46</v>
      </c>
      <c r="P936" s="11" t="s">
        <v>33</v>
      </c>
      <c r="Q936" s="15">
        <v>0</v>
      </c>
      <c r="R936" s="11" t="s">
        <v>1386</v>
      </c>
      <c r="S936" s="10">
        <v>157.46830381596001</v>
      </c>
      <c r="T936" s="15">
        <v>80</v>
      </c>
      <c r="U936" s="15">
        <v>0</v>
      </c>
      <c r="V936" s="15">
        <v>0</v>
      </c>
      <c r="W936" s="15">
        <v>0</v>
      </c>
      <c r="X936" s="15">
        <f>IF(O936='Udvaskning nøgletal'!$D$65,1,IF(O936='Udvaskning nøgletal'!$D$66,2,IF(O936='Udvaskning nøgletal'!$D$67,3,IF(O936='Udvaskning nøgletal'!$D$68,2,""))))</f>
        <v>2</v>
      </c>
      <c r="Y936" s="15">
        <f>LOOKUP(K936,'Udvaskning nøgletal'!$C$12:$C$60,'Udvaskning nøgletal'!$H$12:$H$60)</f>
        <v>5</v>
      </c>
      <c r="Z936" s="10">
        <f>IF(X936=1,LOOKUP(K936,'Udvaskning nøgletal'!$C$12:$C$60,'Udvaskning nøgletal'!$E$12:$E$60)+Markniveau!Y936*Markniveau!S936/100,IF(X936=2,LOOKUP(K936,'Udvaskning nøgletal'!$C$12:$C$60,'Udvaskning nøgletal'!$F$12:$F$60)+Markniveau!Y936*Markniveau!S936/100,IF(X936=3,LOOKUP(K936,'Udvaskning nøgletal'!$C$12:$C$60,'Udvaskning nøgletal'!G946:G994)+Markniveau!Y936*Markniveau!S936/100,"")))</f>
        <v>58.753415190798002</v>
      </c>
      <c r="AA936" s="10">
        <f t="shared" si="146"/>
        <v>146.883537976995</v>
      </c>
      <c r="AB936" s="10" t="str">
        <f t="shared" si="145"/>
        <v/>
      </c>
      <c r="AC936" s="10" t="str">
        <f t="shared" si="147"/>
        <v/>
      </c>
      <c r="AD936" s="10">
        <f>IF(AND(Q936&gt;0,Q936&lt;30,K936&lt;8),Markniveau!Z936*'Udvaskning nøgletal'!$I$12/100,IF(AND(Q936&gt;0,Q936&lt;30,K936=216),Markniveau!Z936*'Udvaskning nøgletal'!$I$34/100,Markniveau!Z936))</f>
        <v>58.753415190798002</v>
      </c>
      <c r="AE936" s="10">
        <f t="shared" si="153"/>
        <v>146.883537976995</v>
      </c>
      <c r="AF936" s="10" t="str">
        <f t="shared" si="148"/>
        <v/>
      </c>
      <c r="AG936" s="10" t="str">
        <f t="shared" si="154"/>
        <v/>
      </c>
      <c r="AH936" s="10" t="str">
        <f>IF(AND(Q936&gt;0,Q936&lt;30,K936=216),'Udvaskning nøgletal'!$C$42,IF(AND(Q936&gt;0,Q936&lt;30,K936&gt;7,K936&lt;17),'Udvaskning nøgletal'!$C$61,IF(AND(Q936&gt;0,Q936&lt;30,K936&lt;7),'Udvaskning nøgletal'!$C$62,"")))</f>
        <v/>
      </c>
      <c r="AI936" s="10">
        <f t="shared" si="150"/>
        <v>15</v>
      </c>
      <c r="AJ936" s="10">
        <f>IF($X936=1,LOOKUP(AI936,'Udvaskning nøgletal'!$C$12:$C$62,'Udvaskning nøgletal'!$E$12:$E$62)+Markniveau!$Y936*Markniveau!$S936/100,IF($X936=2,LOOKUP(AI936,'Udvaskning nøgletal'!$C$12:$C$62,'Udvaskning nøgletal'!$F$12:$F$62)+Markniveau!$Y936*Markniveau!$S936/100,IF($X936=3,LOOKUP(AI936,'Udvaskning nøgletal'!$C$12:$C$62,'Udvaskning nøgletal'!Q946:Q996)+Markniveau!$Y936*Markniveau!$S936/100,"")))</f>
        <v>58.753415190798002</v>
      </c>
      <c r="AK936" s="10">
        <f t="shared" si="149"/>
        <v>146.883537976995</v>
      </c>
      <c r="AL936" s="10" t="str">
        <f t="shared" si="151"/>
        <v/>
      </c>
      <c r="AM936" s="10" t="str">
        <f t="shared" si="152"/>
        <v/>
      </c>
    </row>
    <row r="937" spans="1:39" x14ac:dyDescent="0.25">
      <c r="A937" s="15">
        <v>28540744</v>
      </c>
      <c r="B937" s="15">
        <v>90.4</v>
      </c>
      <c r="C937" s="15">
        <v>62601</v>
      </c>
      <c r="D937" s="15">
        <v>137119</v>
      </c>
      <c r="E937" s="15" t="s">
        <v>736</v>
      </c>
      <c r="F937" s="15">
        <v>2011</v>
      </c>
      <c r="G937" s="15">
        <v>20110406</v>
      </c>
      <c r="H937" s="15">
        <v>24189</v>
      </c>
      <c r="I937" s="15">
        <v>2.42</v>
      </c>
      <c r="J937" s="6" t="s">
        <v>173</v>
      </c>
      <c r="K937" s="15">
        <v>15</v>
      </c>
      <c r="L937" s="15" t="s">
        <v>362</v>
      </c>
      <c r="M937" s="15" t="s">
        <v>5</v>
      </c>
      <c r="N937" s="11" t="s">
        <v>1384</v>
      </c>
      <c r="O937" s="11" t="s">
        <v>28</v>
      </c>
      <c r="P937" s="11" t="s">
        <v>33</v>
      </c>
      <c r="Q937" s="15">
        <v>0</v>
      </c>
      <c r="R937" s="11" t="s">
        <v>1386</v>
      </c>
      <c r="S937" s="10">
        <v>157.46830381596001</v>
      </c>
      <c r="T937" s="15">
        <v>80</v>
      </c>
      <c r="U937" s="15">
        <v>0</v>
      </c>
      <c r="V937" s="15">
        <v>0</v>
      </c>
      <c r="W937" s="15">
        <v>0</v>
      </c>
      <c r="X937" s="15">
        <f>IF(O937='Udvaskning nøgletal'!$D$65,1,IF(O937='Udvaskning nøgletal'!$D$66,2,IF(O937='Udvaskning nøgletal'!$D$67,3,IF(O937='Udvaskning nøgletal'!$D$68,2,""))))</f>
        <v>1</v>
      </c>
      <c r="Y937" s="15">
        <f>LOOKUP(K937,'Udvaskning nøgletal'!$C$12:$C$60,'Udvaskning nøgletal'!$H$12:$H$60)</f>
        <v>5</v>
      </c>
      <c r="Z937" s="10">
        <f>IF(X937=1,LOOKUP(K937,'Udvaskning nøgletal'!$C$12:$C$60,'Udvaskning nøgletal'!$E$12:$E$60)+Markniveau!Y937*Markniveau!S937/100,IF(X937=2,LOOKUP(K937,'Udvaskning nøgletal'!$C$12:$C$60,'Udvaskning nøgletal'!$F$12:$F$60)+Markniveau!Y937*Markniveau!S937/100,IF(X937=3,LOOKUP(K937,'Udvaskning nøgletal'!$C$12:$C$60,'Udvaskning nøgletal'!G947:G995)+Markniveau!Y937*Markniveau!S937/100,"")))</f>
        <v>72.533415190797996</v>
      </c>
      <c r="AA937" s="10">
        <f t="shared" si="146"/>
        <v>175.53086476173115</v>
      </c>
      <c r="AB937" s="10" t="str">
        <f t="shared" si="145"/>
        <v/>
      </c>
      <c r="AC937" s="10" t="str">
        <f t="shared" si="147"/>
        <v/>
      </c>
      <c r="AD937" s="10">
        <f>IF(AND(Q937&gt;0,Q937&lt;30,K937&lt;8),Markniveau!Z937*'Udvaskning nøgletal'!$I$12/100,IF(AND(Q937&gt;0,Q937&lt;30,K937=216),Markniveau!Z937*'Udvaskning nøgletal'!$I$34/100,Markniveau!Z937))</f>
        <v>72.533415190797996</v>
      </c>
      <c r="AE937" s="10">
        <f t="shared" si="153"/>
        <v>175.53086476173115</v>
      </c>
      <c r="AF937" s="10" t="str">
        <f t="shared" si="148"/>
        <v/>
      </c>
      <c r="AG937" s="10" t="str">
        <f t="shared" si="154"/>
        <v/>
      </c>
      <c r="AH937" s="10" t="str">
        <f>IF(AND(Q937&gt;0,Q937&lt;30,K937=216),'Udvaskning nøgletal'!$C$42,IF(AND(Q937&gt;0,Q937&lt;30,K937&gt;7,K937&lt;17),'Udvaskning nøgletal'!$C$61,IF(AND(Q937&gt;0,Q937&lt;30,K937&lt;7),'Udvaskning nøgletal'!$C$62,"")))</f>
        <v/>
      </c>
      <c r="AI937" s="10">
        <f t="shared" si="150"/>
        <v>15</v>
      </c>
      <c r="AJ937" s="10">
        <f>IF($X937=1,LOOKUP(AI937,'Udvaskning nøgletal'!$C$12:$C$62,'Udvaskning nøgletal'!$E$12:$E$62)+Markniveau!$Y937*Markniveau!$S937/100,IF($X937=2,LOOKUP(AI937,'Udvaskning nøgletal'!$C$12:$C$62,'Udvaskning nøgletal'!$F$12:$F$62)+Markniveau!$Y937*Markniveau!$S937/100,IF($X937=3,LOOKUP(AI937,'Udvaskning nøgletal'!$C$12:$C$62,'Udvaskning nøgletal'!Q947:Q997)+Markniveau!$Y937*Markniveau!$S937/100,"")))</f>
        <v>72.533415190797996</v>
      </c>
      <c r="AK937" s="10">
        <f t="shared" si="149"/>
        <v>175.53086476173115</v>
      </c>
      <c r="AL937" s="10" t="str">
        <f t="shared" si="151"/>
        <v/>
      </c>
      <c r="AM937" s="10" t="str">
        <f t="shared" si="152"/>
        <v/>
      </c>
    </row>
    <row r="938" spans="1:39" x14ac:dyDescent="0.25">
      <c r="A938" s="15">
        <v>28540744</v>
      </c>
      <c r="B938" s="15">
        <v>90.4</v>
      </c>
      <c r="C938" s="15">
        <v>63640</v>
      </c>
      <c r="D938" s="15">
        <v>137119</v>
      </c>
      <c r="E938" s="15" t="s">
        <v>737</v>
      </c>
      <c r="F938" s="15">
        <v>2011</v>
      </c>
      <c r="G938" s="15">
        <v>20110406</v>
      </c>
      <c r="H938" s="15">
        <v>8380</v>
      </c>
      <c r="I938" s="15">
        <v>0.84</v>
      </c>
      <c r="J938" s="6" t="s">
        <v>58</v>
      </c>
      <c r="K938" s="15">
        <v>583</v>
      </c>
      <c r="L938" s="15" t="s">
        <v>154</v>
      </c>
      <c r="M938" s="15" t="s">
        <v>155</v>
      </c>
      <c r="N938" s="11" t="s">
        <v>1384</v>
      </c>
      <c r="O938" s="11" t="s">
        <v>28</v>
      </c>
      <c r="P938" s="11" t="s">
        <v>33</v>
      </c>
      <c r="Q938" s="15">
        <v>0</v>
      </c>
      <c r="R938" s="11" t="s">
        <v>1386</v>
      </c>
      <c r="S938" s="10">
        <v>157.46830381596001</v>
      </c>
      <c r="T938" s="15">
        <v>80</v>
      </c>
      <c r="U938" s="15">
        <v>0</v>
      </c>
      <c r="V938" s="15">
        <v>0</v>
      </c>
      <c r="W938" s="15">
        <v>0</v>
      </c>
      <c r="X938" s="15">
        <f>IF(O938='Udvaskning nøgletal'!$D$65,1,IF(O938='Udvaskning nøgletal'!$D$66,2,IF(O938='Udvaskning nøgletal'!$D$67,3,IF(O938='Udvaskning nøgletal'!$D$68,2,""))))</f>
        <v>1</v>
      </c>
      <c r="Y938" s="15">
        <f>LOOKUP(K938,'Udvaskning nøgletal'!$C$12:$C$60,'Udvaskning nøgletal'!$H$12:$H$60)</f>
        <v>0</v>
      </c>
      <c r="Z938" s="10">
        <f>IF(X938=1,LOOKUP(K938,'Udvaskning nøgletal'!$C$12:$C$60,'Udvaskning nøgletal'!$E$12:$E$60)+Markniveau!Y938*Markniveau!S938/100,IF(X938=2,LOOKUP(K938,'Udvaskning nøgletal'!$C$12:$C$60,'Udvaskning nøgletal'!$F$12:$F$60)+Markniveau!Y938*Markniveau!S938/100,IF(X938=3,LOOKUP(K938,'Udvaskning nøgletal'!$C$12:$C$60,'Udvaskning nøgletal'!G948:G996)+Markniveau!Y938*Markniveau!S938/100,"")))</f>
        <v>10</v>
      </c>
      <c r="AA938" s="10">
        <f t="shared" si="146"/>
        <v>8.4</v>
      </c>
      <c r="AB938" s="10" t="str">
        <f t="shared" si="145"/>
        <v/>
      </c>
      <c r="AC938" s="10" t="str">
        <f t="shared" si="147"/>
        <v/>
      </c>
      <c r="AD938" s="10">
        <f>IF(AND(Q938&gt;0,Q938&lt;30,K938&lt;8),Markniveau!Z938*'Udvaskning nøgletal'!$I$12/100,IF(AND(Q938&gt;0,Q938&lt;30,K938=216),Markniveau!Z938*'Udvaskning nøgletal'!$I$34/100,Markniveau!Z938))</f>
        <v>10</v>
      </c>
      <c r="AE938" s="10">
        <f t="shared" si="153"/>
        <v>8.4</v>
      </c>
      <c r="AF938" s="10" t="str">
        <f t="shared" si="148"/>
        <v/>
      </c>
      <c r="AG938" s="10" t="str">
        <f t="shared" si="154"/>
        <v/>
      </c>
      <c r="AH938" s="10" t="str">
        <f>IF(AND(Q938&gt;0,Q938&lt;30,K938=216),'Udvaskning nøgletal'!$C$42,IF(AND(Q938&gt;0,Q938&lt;30,K938&gt;7,K938&lt;17),'Udvaskning nøgletal'!$C$61,IF(AND(Q938&gt;0,Q938&lt;30,K938&lt;7),'Udvaskning nøgletal'!$C$62,"")))</f>
        <v/>
      </c>
      <c r="AI938" s="10">
        <f t="shared" si="150"/>
        <v>583</v>
      </c>
      <c r="AJ938" s="10">
        <f>IF($X938=1,LOOKUP(AI938,'Udvaskning nøgletal'!$C$12:$C$62,'Udvaskning nøgletal'!$E$12:$E$62)+Markniveau!$Y938*Markniveau!$S938/100,IF($X938=2,LOOKUP(AI938,'Udvaskning nøgletal'!$C$12:$C$62,'Udvaskning nøgletal'!$F$12:$F$62)+Markniveau!$Y938*Markniveau!$S938/100,IF($X938=3,LOOKUP(AI938,'Udvaskning nøgletal'!$C$12:$C$62,'Udvaskning nøgletal'!Q948:Q998)+Markniveau!$Y938*Markniveau!$S938/100,"")))</f>
        <v>10</v>
      </c>
      <c r="AK938" s="10">
        <f t="shared" si="149"/>
        <v>8.4</v>
      </c>
      <c r="AL938" s="10" t="str">
        <f t="shared" si="151"/>
        <v/>
      </c>
      <c r="AM938" s="10" t="str">
        <f t="shared" si="152"/>
        <v/>
      </c>
    </row>
    <row r="939" spans="1:39" x14ac:dyDescent="0.25">
      <c r="A939" s="15">
        <v>28540744</v>
      </c>
      <c r="B939" s="15">
        <v>90.4</v>
      </c>
      <c r="C939" s="15">
        <v>63643</v>
      </c>
      <c r="D939" s="15">
        <v>137119</v>
      </c>
      <c r="E939" s="15" t="s">
        <v>738</v>
      </c>
      <c r="F939" s="15">
        <v>2011</v>
      </c>
      <c r="G939" s="15">
        <v>20110406</v>
      </c>
      <c r="H939" s="15">
        <v>5374</v>
      </c>
      <c r="I939" s="15">
        <v>0.54</v>
      </c>
      <c r="J939" s="6" t="s">
        <v>1397</v>
      </c>
      <c r="K939" s="15">
        <v>263</v>
      </c>
      <c r="L939" s="15" t="s">
        <v>39</v>
      </c>
      <c r="M939" s="15" t="s">
        <v>5</v>
      </c>
      <c r="N939" s="11" t="s">
        <v>1384</v>
      </c>
      <c r="O939" s="11" t="s">
        <v>28</v>
      </c>
      <c r="P939" s="11" t="s">
        <v>33</v>
      </c>
      <c r="Q939" s="15">
        <v>0</v>
      </c>
      <c r="R939" s="11" t="s">
        <v>1386</v>
      </c>
      <c r="S939" s="10">
        <v>157.46830381596001</v>
      </c>
      <c r="T939" s="15">
        <v>80</v>
      </c>
      <c r="U939" s="15">
        <v>0</v>
      </c>
      <c r="V939" s="15">
        <v>0</v>
      </c>
      <c r="W939" s="15">
        <v>0</v>
      </c>
      <c r="X939" s="15">
        <f>IF(O939='Udvaskning nøgletal'!$D$65,1,IF(O939='Udvaskning nøgletal'!$D$66,2,IF(O939='Udvaskning nøgletal'!$D$67,3,IF(O939='Udvaskning nøgletal'!$D$68,2,""))))</f>
        <v>1</v>
      </c>
      <c r="Y939" s="15">
        <f>LOOKUP(K939,'Udvaskning nøgletal'!$C$12:$C$60,'Udvaskning nøgletal'!$H$12:$H$60)</f>
        <v>0</v>
      </c>
      <c r="Z939" s="10">
        <f>IF(X939=1,LOOKUP(K939,'Udvaskning nøgletal'!$C$12:$C$60,'Udvaskning nøgletal'!$E$12:$E$60)+Markniveau!Y939*Markniveau!S939/100,IF(X939=2,LOOKUP(K939,'Udvaskning nøgletal'!$C$12:$C$60,'Udvaskning nøgletal'!$F$12:$F$60)+Markniveau!Y939*Markniveau!S939/100,IF(X939=3,LOOKUP(K939,'Udvaskning nøgletal'!$C$12:$C$60,'Udvaskning nøgletal'!G949:G997)+Markniveau!Y939*Markniveau!S939/100,"")))</f>
        <v>33.723295792149436</v>
      </c>
      <c r="AA939" s="10">
        <f t="shared" si="146"/>
        <v>18.210579727760695</v>
      </c>
      <c r="AB939" s="10" t="str">
        <f t="shared" si="145"/>
        <v/>
      </c>
      <c r="AC939" s="10" t="str">
        <f t="shared" si="147"/>
        <v/>
      </c>
      <c r="AD939" s="10">
        <f>IF(AND(Q939&gt;0,Q939&lt;30,K939&lt;8),Markniveau!Z939*'Udvaskning nøgletal'!$I$12/100,IF(AND(Q939&gt;0,Q939&lt;30,K939=216),Markniveau!Z939*'Udvaskning nøgletal'!$I$34/100,Markniveau!Z939))</f>
        <v>33.723295792149436</v>
      </c>
      <c r="AE939" s="10">
        <f t="shared" si="153"/>
        <v>18.210579727760695</v>
      </c>
      <c r="AF939" s="10" t="str">
        <f t="shared" si="148"/>
        <v/>
      </c>
      <c r="AG939" s="10" t="str">
        <f t="shared" si="154"/>
        <v/>
      </c>
      <c r="AH939" s="10" t="str">
        <f>IF(AND(Q939&gt;0,Q939&lt;30,K939=216),'Udvaskning nøgletal'!$C$42,IF(AND(Q939&gt;0,Q939&lt;30,K939&gt;7,K939&lt;17),'Udvaskning nøgletal'!$C$61,IF(AND(Q939&gt;0,Q939&lt;30,K939&lt;7),'Udvaskning nøgletal'!$C$62,"")))</f>
        <v/>
      </c>
      <c r="AI939" s="10">
        <f t="shared" si="150"/>
        <v>263</v>
      </c>
      <c r="AJ939" s="10">
        <f>IF($X939=1,LOOKUP(AI939,'Udvaskning nøgletal'!$C$12:$C$62,'Udvaskning nøgletal'!$E$12:$E$62)+Markniveau!$Y939*Markniveau!$S939/100,IF($X939=2,LOOKUP(AI939,'Udvaskning nøgletal'!$C$12:$C$62,'Udvaskning nøgletal'!$F$12:$F$62)+Markniveau!$Y939*Markniveau!$S939/100,IF($X939=3,LOOKUP(AI939,'Udvaskning nøgletal'!$C$12:$C$62,'Udvaskning nøgletal'!Q949:Q999)+Markniveau!$Y939*Markniveau!$S939/100,"")))</f>
        <v>33.723295792149436</v>
      </c>
      <c r="AK939" s="10">
        <f t="shared" si="149"/>
        <v>18.210579727760695</v>
      </c>
      <c r="AL939" s="10" t="str">
        <f t="shared" si="151"/>
        <v/>
      </c>
      <c r="AM939" s="10" t="str">
        <f t="shared" si="152"/>
        <v/>
      </c>
    </row>
    <row r="940" spans="1:39" x14ac:dyDescent="0.25">
      <c r="A940" s="15">
        <v>28540744</v>
      </c>
      <c r="B940" s="15">
        <v>90.4</v>
      </c>
      <c r="C940" s="15">
        <v>63644</v>
      </c>
      <c r="D940" s="15">
        <v>137119</v>
      </c>
      <c r="E940" s="15" t="s">
        <v>739</v>
      </c>
      <c r="F940" s="15">
        <v>2011</v>
      </c>
      <c r="G940" s="15">
        <v>20110406</v>
      </c>
      <c r="H940" s="15">
        <v>22117</v>
      </c>
      <c r="I940" s="15">
        <v>2.21</v>
      </c>
      <c r="J940" s="6" t="s">
        <v>144</v>
      </c>
      <c r="K940" s="15">
        <v>263</v>
      </c>
      <c r="L940" s="15" t="s">
        <v>39</v>
      </c>
      <c r="M940" s="15" t="s">
        <v>5</v>
      </c>
      <c r="N940" s="11" t="s">
        <v>1390</v>
      </c>
      <c r="O940" s="11" t="s">
        <v>42</v>
      </c>
      <c r="P940" s="11" t="s">
        <v>33</v>
      </c>
      <c r="Q940" s="15">
        <v>0</v>
      </c>
      <c r="R940" s="11" t="s">
        <v>1386</v>
      </c>
      <c r="S940" s="10">
        <v>157.46830381596001</v>
      </c>
      <c r="T940" s="15">
        <v>80</v>
      </c>
      <c r="U940" s="15">
        <v>0</v>
      </c>
      <c r="V940" s="15">
        <v>0</v>
      </c>
      <c r="W940" s="15">
        <v>0</v>
      </c>
      <c r="X940" s="15">
        <f>IF(O940='Udvaskning nøgletal'!$D$65,1,IF(O940='Udvaskning nøgletal'!$D$66,2,IF(O940='Udvaskning nøgletal'!$D$67,3,IF(O940='Udvaskning nøgletal'!$D$68,2,""))))</f>
        <v>2</v>
      </c>
      <c r="Y940" s="15">
        <f>LOOKUP(K940,'Udvaskning nøgletal'!$C$12:$C$60,'Udvaskning nøgletal'!$H$12:$H$60)</f>
        <v>0</v>
      </c>
      <c r="Z940" s="10">
        <f>IF(X940=1,LOOKUP(K940,'Udvaskning nøgletal'!$C$12:$C$60,'Udvaskning nøgletal'!$E$12:$E$60)+Markniveau!Y940*Markniveau!S940/100,IF(X940=2,LOOKUP(K940,'Udvaskning nøgletal'!$C$12:$C$60,'Udvaskning nøgletal'!$F$12:$F$60)+Markniveau!Y940*Markniveau!S940/100,IF(X940=3,LOOKUP(K940,'Udvaskning nøgletal'!$C$12:$C$60,'Udvaskning nøgletal'!G950:G998)+Markniveau!Y940*Markniveau!S940/100,"")))</f>
        <v>27.331185321443094</v>
      </c>
      <c r="AA940" s="10">
        <f t="shared" si="146"/>
        <v>60.401919560389238</v>
      </c>
      <c r="AB940" s="10" t="str">
        <f t="shared" si="145"/>
        <v/>
      </c>
      <c r="AC940" s="10" t="str">
        <f t="shared" si="147"/>
        <v/>
      </c>
      <c r="AD940" s="10">
        <f>IF(AND(Q940&gt;0,Q940&lt;30,K940&lt;8),Markniveau!Z940*'Udvaskning nøgletal'!$I$12/100,IF(AND(Q940&gt;0,Q940&lt;30,K940=216),Markniveau!Z940*'Udvaskning nøgletal'!$I$34/100,Markniveau!Z940))</f>
        <v>27.331185321443094</v>
      </c>
      <c r="AE940" s="10">
        <f t="shared" si="153"/>
        <v>60.401919560389238</v>
      </c>
      <c r="AF940" s="10" t="str">
        <f t="shared" si="148"/>
        <v/>
      </c>
      <c r="AG940" s="10" t="str">
        <f t="shared" si="154"/>
        <v/>
      </c>
      <c r="AH940" s="10" t="str">
        <f>IF(AND(Q940&gt;0,Q940&lt;30,K940=216),'Udvaskning nøgletal'!$C$42,IF(AND(Q940&gt;0,Q940&lt;30,K940&gt;7,K940&lt;17),'Udvaskning nøgletal'!$C$61,IF(AND(Q940&gt;0,Q940&lt;30,K940&lt;7),'Udvaskning nøgletal'!$C$62,"")))</f>
        <v/>
      </c>
      <c r="AI940" s="10">
        <f t="shared" si="150"/>
        <v>263</v>
      </c>
      <c r="AJ940" s="10">
        <f>IF($X940=1,LOOKUP(AI940,'Udvaskning nøgletal'!$C$12:$C$62,'Udvaskning nøgletal'!$E$12:$E$62)+Markniveau!$Y940*Markniveau!$S940/100,IF($X940=2,LOOKUP(AI940,'Udvaskning nøgletal'!$C$12:$C$62,'Udvaskning nøgletal'!$F$12:$F$62)+Markniveau!$Y940*Markniveau!$S940/100,IF($X940=3,LOOKUP(AI940,'Udvaskning nøgletal'!$C$12:$C$62,'Udvaskning nøgletal'!Q950:Q1000)+Markniveau!$Y940*Markniveau!$S940/100,"")))</f>
        <v>27.331185321443094</v>
      </c>
      <c r="AK940" s="10">
        <f t="shared" si="149"/>
        <v>60.401919560389238</v>
      </c>
      <c r="AL940" s="10" t="str">
        <f t="shared" si="151"/>
        <v/>
      </c>
      <c r="AM940" s="10" t="str">
        <f t="shared" si="152"/>
        <v/>
      </c>
    </row>
    <row r="941" spans="1:39" x14ac:dyDescent="0.25">
      <c r="A941" s="15">
        <v>28540744</v>
      </c>
      <c r="B941" s="15">
        <v>90.4</v>
      </c>
      <c r="C941" s="15">
        <v>63645</v>
      </c>
      <c r="D941" s="15">
        <v>137119</v>
      </c>
      <c r="E941" s="15" t="s">
        <v>740</v>
      </c>
      <c r="F941" s="15">
        <v>2011</v>
      </c>
      <c r="G941" s="15">
        <v>20110406</v>
      </c>
      <c r="H941" s="15">
        <v>35725</v>
      </c>
      <c r="I941" s="15">
        <v>3.57</v>
      </c>
      <c r="J941" s="6" t="s">
        <v>73</v>
      </c>
      <c r="K941" s="15">
        <v>15</v>
      </c>
      <c r="L941" s="15" t="s">
        <v>362</v>
      </c>
      <c r="M941" s="15" t="s">
        <v>5</v>
      </c>
      <c r="N941" s="11" t="s">
        <v>1384</v>
      </c>
      <c r="O941" s="11" t="s">
        <v>28</v>
      </c>
      <c r="P941" s="11" t="s">
        <v>33</v>
      </c>
      <c r="Q941" s="15">
        <v>0</v>
      </c>
      <c r="R941" s="11" t="s">
        <v>1386</v>
      </c>
      <c r="S941" s="10">
        <v>157.46830381596001</v>
      </c>
      <c r="T941" s="15">
        <v>80</v>
      </c>
      <c r="U941" s="15">
        <v>0</v>
      </c>
      <c r="V941" s="15">
        <v>0</v>
      </c>
      <c r="W941" s="15">
        <v>0</v>
      </c>
      <c r="X941" s="15">
        <f>IF(O941='Udvaskning nøgletal'!$D$65,1,IF(O941='Udvaskning nøgletal'!$D$66,2,IF(O941='Udvaskning nøgletal'!$D$67,3,IF(O941='Udvaskning nøgletal'!$D$68,2,""))))</f>
        <v>1</v>
      </c>
      <c r="Y941" s="15">
        <f>LOOKUP(K941,'Udvaskning nøgletal'!$C$12:$C$60,'Udvaskning nøgletal'!$H$12:$H$60)</f>
        <v>5</v>
      </c>
      <c r="Z941" s="10">
        <f>IF(X941=1,LOOKUP(K941,'Udvaskning nøgletal'!$C$12:$C$60,'Udvaskning nøgletal'!$E$12:$E$60)+Markniveau!Y941*Markniveau!S941/100,IF(X941=2,LOOKUP(K941,'Udvaskning nøgletal'!$C$12:$C$60,'Udvaskning nøgletal'!$F$12:$F$60)+Markniveau!Y941*Markniveau!S941/100,IF(X941=3,LOOKUP(K941,'Udvaskning nøgletal'!$C$12:$C$60,'Udvaskning nøgletal'!G951:G999)+Markniveau!Y941*Markniveau!S941/100,"")))</f>
        <v>72.533415190797996</v>
      </c>
      <c r="AA941" s="10">
        <f t="shared" si="146"/>
        <v>258.94429223114884</v>
      </c>
      <c r="AB941" s="10" t="str">
        <f t="shared" si="145"/>
        <v/>
      </c>
      <c r="AC941" s="10" t="str">
        <f t="shared" si="147"/>
        <v/>
      </c>
      <c r="AD941" s="10">
        <f>IF(AND(Q941&gt;0,Q941&lt;30,K941&lt;8),Markniveau!Z941*'Udvaskning nøgletal'!$I$12/100,IF(AND(Q941&gt;0,Q941&lt;30,K941=216),Markniveau!Z941*'Udvaskning nøgletal'!$I$34/100,Markniveau!Z941))</f>
        <v>72.533415190797996</v>
      </c>
      <c r="AE941" s="10">
        <f t="shared" si="153"/>
        <v>258.94429223114884</v>
      </c>
      <c r="AF941" s="10" t="str">
        <f t="shared" si="148"/>
        <v/>
      </c>
      <c r="AG941" s="10" t="str">
        <f t="shared" si="154"/>
        <v/>
      </c>
      <c r="AH941" s="10" t="str">
        <f>IF(AND(Q941&gt;0,Q941&lt;30,K941=216),'Udvaskning nøgletal'!$C$42,IF(AND(Q941&gt;0,Q941&lt;30,K941&gt;7,K941&lt;17),'Udvaskning nøgletal'!$C$61,IF(AND(Q941&gt;0,Q941&lt;30,K941&lt;7),'Udvaskning nøgletal'!$C$62,"")))</f>
        <v/>
      </c>
      <c r="AI941" s="10">
        <f t="shared" si="150"/>
        <v>15</v>
      </c>
      <c r="AJ941" s="10">
        <f>IF($X941=1,LOOKUP(AI941,'Udvaskning nøgletal'!$C$12:$C$62,'Udvaskning nøgletal'!$E$12:$E$62)+Markniveau!$Y941*Markniveau!$S941/100,IF($X941=2,LOOKUP(AI941,'Udvaskning nøgletal'!$C$12:$C$62,'Udvaskning nøgletal'!$F$12:$F$62)+Markniveau!$Y941*Markniveau!$S941/100,IF($X941=3,LOOKUP(AI941,'Udvaskning nøgletal'!$C$12:$C$62,'Udvaskning nøgletal'!Q951:Q1001)+Markniveau!$Y941*Markniveau!$S941/100,"")))</f>
        <v>72.533415190797996</v>
      </c>
      <c r="AK941" s="10">
        <f t="shared" si="149"/>
        <v>258.94429223114884</v>
      </c>
      <c r="AL941" s="10" t="str">
        <f t="shared" si="151"/>
        <v/>
      </c>
      <c r="AM941" s="10" t="str">
        <f t="shared" si="152"/>
        <v/>
      </c>
    </row>
    <row r="942" spans="1:39" x14ac:dyDescent="0.25">
      <c r="A942" s="15">
        <v>28540744</v>
      </c>
      <c r="B942" s="15">
        <v>90.4</v>
      </c>
      <c r="C942" s="15">
        <v>63763</v>
      </c>
      <c r="D942" s="15">
        <v>137119</v>
      </c>
      <c r="E942" s="15" t="s">
        <v>741</v>
      </c>
      <c r="F942" s="15">
        <v>2011</v>
      </c>
      <c r="G942" s="15">
        <v>20110406</v>
      </c>
      <c r="H942" s="15">
        <v>105943</v>
      </c>
      <c r="I942" s="15">
        <v>10.59</v>
      </c>
      <c r="J942" s="6" t="s">
        <v>89</v>
      </c>
      <c r="K942" s="15">
        <v>15</v>
      </c>
      <c r="L942" s="15" t="s">
        <v>362</v>
      </c>
      <c r="M942" s="15" t="s">
        <v>5</v>
      </c>
      <c r="N942" s="11" t="s">
        <v>1384</v>
      </c>
      <c r="O942" s="11" t="s">
        <v>28</v>
      </c>
      <c r="P942" s="11" t="s">
        <v>33</v>
      </c>
      <c r="Q942" s="15">
        <v>0</v>
      </c>
      <c r="R942" s="11" t="s">
        <v>1386</v>
      </c>
      <c r="S942" s="10">
        <v>157.46830381596001</v>
      </c>
      <c r="T942" s="15">
        <v>80</v>
      </c>
      <c r="U942" s="15">
        <v>0</v>
      </c>
      <c r="V942" s="15">
        <v>0</v>
      </c>
      <c r="W942" s="15">
        <v>0</v>
      </c>
      <c r="X942" s="15">
        <f>IF(O942='Udvaskning nøgletal'!$D$65,1,IF(O942='Udvaskning nøgletal'!$D$66,2,IF(O942='Udvaskning nøgletal'!$D$67,3,IF(O942='Udvaskning nøgletal'!$D$68,2,""))))</f>
        <v>1</v>
      </c>
      <c r="Y942" s="15">
        <f>LOOKUP(K942,'Udvaskning nøgletal'!$C$12:$C$60,'Udvaskning nøgletal'!$H$12:$H$60)</f>
        <v>5</v>
      </c>
      <c r="Z942" s="10">
        <f>IF(X942=1,LOOKUP(K942,'Udvaskning nøgletal'!$C$12:$C$60,'Udvaskning nøgletal'!$E$12:$E$60)+Markniveau!Y942*Markniveau!S942/100,IF(X942=2,LOOKUP(K942,'Udvaskning nøgletal'!$C$12:$C$60,'Udvaskning nøgletal'!$F$12:$F$60)+Markniveau!Y942*Markniveau!S942/100,IF(X942=3,LOOKUP(K942,'Udvaskning nøgletal'!$C$12:$C$60,'Udvaskning nøgletal'!G952:G1000)+Markniveau!Y942*Markniveau!S942/100,"")))</f>
        <v>72.533415190797996</v>
      </c>
      <c r="AA942" s="10">
        <f t="shared" si="146"/>
        <v>768.12886687055072</v>
      </c>
      <c r="AB942" s="10" t="str">
        <f t="shared" si="145"/>
        <v/>
      </c>
      <c r="AC942" s="10" t="str">
        <f t="shared" si="147"/>
        <v/>
      </c>
      <c r="AD942" s="10">
        <f>IF(AND(Q942&gt;0,Q942&lt;30,K942&lt;8),Markniveau!Z942*'Udvaskning nøgletal'!$I$12/100,IF(AND(Q942&gt;0,Q942&lt;30,K942=216),Markniveau!Z942*'Udvaskning nøgletal'!$I$34/100,Markniveau!Z942))</f>
        <v>72.533415190797996</v>
      </c>
      <c r="AE942" s="10">
        <f t="shared" si="153"/>
        <v>768.12886687055072</v>
      </c>
      <c r="AF942" s="10" t="str">
        <f t="shared" si="148"/>
        <v/>
      </c>
      <c r="AG942" s="10" t="str">
        <f t="shared" si="154"/>
        <v/>
      </c>
      <c r="AH942" s="10" t="str">
        <f>IF(AND(Q942&gt;0,Q942&lt;30,K942=216),'Udvaskning nøgletal'!$C$42,IF(AND(Q942&gt;0,Q942&lt;30,K942&gt;7,K942&lt;17),'Udvaskning nøgletal'!$C$61,IF(AND(Q942&gt;0,Q942&lt;30,K942&lt;7),'Udvaskning nøgletal'!$C$62,"")))</f>
        <v/>
      </c>
      <c r="AI942" s="10">
        <f t="shared" si="150"/>
        <v>15</v>
      </c>
      <c r="AJ942" s="10">
        <f>IF($X942=1,LOOKUP(AI942,'Udvaskning nøgletal'!$C$12:$C$62,'Udvaskning nøgletal'!$E$12:$E$62)+Markniveau!$Y942*Markniveau!$S942/100,IF($X942=2,LOOKUP(AI942,'Udvaskning nøgletal'!$C$12:$C$62,'Udvaskning nøgletal'!$F$12:$F$62)+Markniveau!$Y942*Markniveau!$S942/100,IF($X942=3,LOOKUP(AI942,'Udvaskning nøgletal'!$C$12:$C$62,'Udvaskning nøgletal'!Q952:Q1002)+Markniveau!$Y942*Markniveau!$S942/100,"")))</f>
        <v>72.533415190797996</v>
      </c>
      <c r="AK942" s="10">
        <f t="shared" si="149"/>
        <v>768.12886687055072</v>
      </c>
      <c r="AL942" s="10" t="str">
        <f t="shared" si="151"/>
        <v/>
      </c>
      <c r="AM942" s="10" t="str">
        <f t="shared" si="152"/>
        <v/>
      </c>
    </row>
    <row r="943" spans="1:39" x14ac:dyDescent="0.25">
      <c r="A943" s="15">
        <v>28540744</v>
      </c>
      <c r="B943" s="15">
        <v>90.4</v>
      </c>
      <c r="C943" s="15">
        <v>64151</v>
      </c>
      <c r="D943" s="15">
        <v>137119</v>
      </c>
      <c r="E943" s="15" t="s">
        <v>741</v>
      </c>
      <c r="F943" s="15">
        <v>2011</v>
      </c>
      <c r="G943" s="15">
        <v>20110406</v>
      </c>
      <c r="H943" s="15">
        <v>5621</v>
      </c>
      <c r="I943" s="15">
        <v>0.56000000000000005</v>
      </c>
      <c r="J943" s="6" t="s">
        <v>74</v>
      </c>
      <c r="K943" s="15">
        <v>263</v>
      </c>
      <c r="L943" s="15" t="s">
        <v>39</v>
      </c>
      <c r="M943" s="15" t="s">
        <v>5</v>
      </c>
      <c r="N943" s="11" t="s">
        <v>1384</v>
      </c>
      <c r="O943" s="11" t="s">
        <v>28</v>
      </c>
      <c r="P943" s="11" t="s">
        <v>33</v>
      </c>
      <c r="Q943" s="15">
        <v>0</v>
      </c>
      <c r="R943" s="11" t="s">
        <v>1386</v>
      </c>
      <c r="S943" s="10">
        <v>157.46830381596001</v>
      </c>
      <c r="T943" s="15">
        <v>80</v>
      </c>
      <c r="U943" s="15">
        <v>0</v>
      </c>
      <c r="V943" s="15">
        <v>0</v>
      </c>
      <c r="W943" s="15">
        <v>0</v>
      </c>
      <c r="X943" s="15">
        <f>IF(O943='Udvaskning nøgletal'!$D$65,1,IF(O943='Udvaskning nøgletal'!$D$66,2,IF(O943='Udvaskning nøgletal'!$D$67,3,IF(O943='Udvaskning nøgletal'!$D$68,2,""))))</f>
        <v>1</v>
      </c>
      <c r="Y943" s="15">
        <f>LOOKUP(K943,'Udvaskning nøgletal'!$C$12:$C$60,'Udvaskning nøgletal'!$H$12:$H$60)</f>
        <v>0</v>
      </c>
      <c r="Z943" s="10">
        <f>IF(X943=1,LOOKUP(K943,'Udvaskning nøgletal'!$C$12:$C$60,'Udvaskning nøgletal'!$E$12:$E$60)+Markniveau!Y943*Markniveau!S943/100,IF(X943=2,LOOKUP(K943,'Udvaskning nøgletal'!$C$12:$C$60,'Udvaskning nøgletal'!$F$12:$F$60)+Markniveau!Y943*Markniveau!S943/100,IF(X943=3,LOOKUP(K943,'Udvaskning nøgletal'!$C$12:$C$60,'Udvaskning nøgletal'!G953:G1001)+Markniveau!Y943*Markniveau!S943/100,"")))</f>
        <v>33.723295792149436</v>
      </c>
      <c r="AA943" s="10">
        <f t="shared" si="146"/>
        <v>18.885045643603686</v>
      </c>
      <c r="AB943" s="10" t="str">
        <f t="shared" si="145"/>
        <v/>
      </c>
      <c r="AC943" s="10" t="str">
        <f t="shared" si="147"/>
        <v/>
      </c>
      <c r="AD943" s="10">
        <f>IF(AND(Q943&gt;0,Q943&lt;30,K943&lt;8),Markniveau!Z943*'Udvaskning nøgletal'!$I$12/100,IF(AND(Q943&gt;0,Q943&lt;30,K943=216),Markniveau!Z943*'Udvaskning nøgletal'!$I$34/100,Markniveau!Z943))</f>
        <v>33.723295792149436</v>
      </c>
      <c r="AE943" s="10">
        <f t="shared" si="153"/>
        <v>18.885045643603686</v>
      </c>
      <c r="AF943" s="10" t="str">
        <f t="shared" si="148"/>
        <v/>
      </c>
      <c r="AG943" s="10" t="str">
        <f t="shared" si="154"/>
        <v/>
      </c>
      <c r="AH943" s="10" t="str">
        <f>IF(AND(Q943&gt;0,Q943&lt;30,K943=216),'Udvaskning nøgletal'!$C$42,IF(AND(Q943&gt;0,Q943&lt;30,K943&gt;7,K943&lt;17),'Udvaskning nøgletal'!$C$61,IF(AND(Q943&gt;0,Q943&lt;30,K943&lt;7),'Udvaskning nøgletal'!$C$62,"")))</f>
        <v/>
      </c>
      <c r="AI943" s="10">
        <f t="shared" si="150"/>
        <v>263</v>
      </c>
      <c r="AJ943" s="10">
        <f>IF($X943=1,LOOKUP(AI943,'Udvaskning nøgletal'!$C$12:$C$62,'Udvaskning nøgletal'!$E$12:$E$62)+Markniveau!$Y943*Markniveau!$S943/100,IF($X943=2,LOOKUP(AI943,'Udvaskning nøgletal'!$C$12:$C$62,'Udvaskning nøgletal'!$F$12:$F$62)+Markniveau!$Y943*Markniveau!$S943/100,IF($X943=3,LOOKUP(AI943,'Udvaskning nøgletal'!$C$12:$C$62,'Udvaskning nøgletal'!Q953:Q1003)+Markniveau!$Y943*Markniveau!$S943/100,"")))</f>
        <v>33.723295792149436</v>
      </c>
      <c r="AK943" s="10">
        <f t="shared" si="149"/>
        <v>18.885045643603686</v>
      </c>
      <c r="AL943" s="10" t="str">
        <f t="shared" si="151"/>
        <v/>
      </c>
      <c r="AM943" s="10" t="str">
        <f t="shared" si="152"/>
        <v/>
      </c>
    </row>
    <row r="944" spans="1:39" x14ac:dyDescent="0.25">
      <c r="A944" s="15">
        <v>28540744</v>
      </c>
      <c r="B944" s="15">
        <v>90.4</v>
      </c>
      <c r="C944" s="15">
        <v>64152</v>
      </c>
      <c r="D944" s="15">
        <v>137119</v>
      </c>
      <c r="E944" s="15" t="s">
        <v>742</v>
      </c>
      <c r="F944" s="15">
        <v>2011</v>
      </c>
      <c r="G944" s="15">
        <v>20110406</v>
      </c>
      <c r="H944" s="15">
        <v>10340</v>
      </c>
      <c r="I944" s="15">
        <v>1.03</v>
      </c>
      <c r="J944" s="6" t="s">
        <v>66</v>
      </c>
      <c r="K944" s="15">
        <v>15</v>
      </c>
      <c r="L944" s="15" t="s">
        <v>362</v>
      </c>
      <c r="M944" s="15" t="s">
        <v>5</v>
      </c>
      <c r="N944" s="11" t="s">
        <v>1406</v>
      </c>
      <c r="O944" s="11" t="s">
        <v>46</v>
      </c>
      <c r="P944" s="11" t="s">
        <v>33</v>
      </c>
      <c r="Q944" s="15">
        <v>0</v>
      </c>
      <c r="R944" s="11" t="s">
        <v>1386</v>
      </c>
      <c r="S944" s="10">
        <v>157.46830381596001</v>
      </c>
      <c r="T944" s="15">
        <v>80</v>
      </c>
      <c r="U944" s="15">
        <v>0</v>
      </c>
      <c r="V944" s="15">
        <v>0</v>
      </c>
      <c r="W944" s="15">
        <v>0</v>
      </c>
      <c r="X944" s="15">
        <f>IF(O944='Udvaskning nøgletal'!$D$65,1,IF(O944='Udvaskning nøgletal'!$D$66,2,IF(O944='Udvaskning nøgletal'!$D$67,3,IF(O944='Udvaskning nøgletal'!$D$68,2,""))))</f>
        <v>2</v>
      </c>
      <c r="Y944" s="15">
        <f>LOOKUP(K944,'Udvaskning nøgletal'!$C$12:$C$60,'Udvaskning nøgletal'!$H$12:$H$60)</f>
        <v>5</v>
      </c>
      <c r="Z944" s="10">
        <f>IF(X944=1,LOOKUP(K944,'Udvaskning nøgletal'!$C$12:$C$60,'Udvaskning nøgletal'!$E$12:$E$60)+Markniveau!Y944*Markniveau!S944/100,IF(X944=2,LOOKUP(K944,'Udvaskning nøgletal'!$C$12:$C$60,'Udvaskning nøgletal'!$F$12:$F$60)+Markniveau!Y944*Markniveau!S944/100,IF(X944=3,LOOKUP(K944,'Udvaskning nøgletal'!$C$12:$C$60,'Udvaskning nøgletal'!G954:G1002)+Markniveau!Y944*Markniveau!S944/100,"")))</f>
        <v>58.753415190798002</v>
      </c>
      <c r="AA944" s="10">
        <f t="shared" si="146"/>
        <v>60.516017646521945</v>
      </c>
      <c r="AB944" s="10" t="str">
        <f t="shared" si="145"/>
        <v/>
      </c>
      <c r="AC944" s="10" t="str">
        <f t="shared" si="147"/>
        <v/>
      </c>
      <c r="AD944" s="10">
        <f>IF(AND(Q944&gt;0,Q944&lt;30,K944&lt;8),Markniveau!Z944*'Udvaskning nøgletal'!$I$12/100,IF(AND(Q944&gt;0,Q944&lt;30,K944=216),Markniveau!Z944*'Udvaskning nøgletal'!$I$34/100,Markniveau!Z944))</f>
        <v>58.753415190798002</v>
      </c>
      <c r="AE944" s="10">
        <f t="shared" si="153"/>
        <v>60.516017646521945</v>
      </c>
      <c r="AF944" s="10" t="str">
        <f t="shared" si="148"/>
        <v/>
      </c>
      <c r="AG944" s="10" t="str">
        <f t="shared" si="154"/>
        <v/>
      </c>
      <c r="AH944" s="10" t="str">
        <f>IF(AND(Q944&gt;0,Q944&lt;30,K944=216),'Udvaskning nøgletal'!$C$42,IF(AND(Q944&gt;0,Q944&lt;30,K944&gt;7,K944&lt;17),'Udvaskning nøgletal'!$C$61,IF(AND(Q944&gt;0,Q944&lt;30,K944&lt;7),'Udvaskning nøgletal'!$C$62,"")))</f>
        <v/>
      </c>
      <c r="AI944" s="10">
        <f t="shared" si="150"/>
        <v>15</v>
      </c>
      <c r="AJ944" s="10">
        <f>IF($X944=1,LOOKUP(AI944,'Udvaskning nøgletal'!$C$12:$C$62,'Udvaskning nøgletal'!$E$12:$E$62)+Markniveau!$Y944*Markniveau!$S944/100,IF($X944=2,LOOKUP(AI944,'Udvaskning nøgletal'!$C$12:$C$62,'Udvaskning nøgletal'!$F$12:$F$62)+Markniveau!$Y944*Markniveau!$S944/100,IF($X944=3,LOOKUP(AI944,'Udvaskning nøgletal'!$C$12:$C$62,'Udvaskning nøgletal'!Q954:Q1004)+Markniveau!$Y944*Markniveau!$S944/100,"")))</f>
        <v>58.753415190798002</v>
      </c>
      <c r="AK944" s="10">
        <f t="shared" si="149"/>
        <v>60.516017646521945</v>
      </c>
      <c r="AL944" s="10" t="str">
        <f t="shared" si="151"/>
        <v/>
      </c>
      <c r="AM944" s="10" t="str">
        <f t="shared" si="152"/>
        <v/>
      </c>
    </row>
    <row r="945" spans="1:39" x14ac:dyDescent="0.25">
      <c r="A945" s="15">
        <v>28540744</v>
      </c>
      <c r="B945" s="15">
        <v>90.4</v>
      </c>
      <c r="C945" s="15">
        <v>64153</v>
      </c>
      <c r="D945" s="15">
        <v>137119</v>
      </c>
      <c r="E945" s="15" t="s">
        <v>743</v>
      </c>
      <c r="F945" s="15">
        <v>2011</v>
      </c>
      <c r="G945" s="15">
        <v>20110406</v>
      </c>
      <c r="H945" s="15">
        <v>12173</v>
      </c>
      <c r="I945" s="15">
        <v>1.22</v>
      </c>
      <c r="J945" s="6" t="s">
        <v>93</v>
      </c>
      <c r="K945" s="15">
        <v>263</v>
      </c>
      <c r="L945" s="15" t="s">
        <v>39</v>
      </c>
      <c r="M945" s="15" t="s">
        <v>5</v>
      </c>
      <c r="N945" s="11" t="s">
        <v>1406</v>
      </c>
      <c r="O945" s="11" t="s">
        <v>46</v>
      </c>
      <c r="P945" s="11" t="s">
        <v>33</v>
      </c>
      <c r="Q945" s="15">
        <v>0</v>
      </c>
      <c r="R945" s="11" t="s">
        <v>1386</v>
      </c>
      <c r="S945" s="10">
        <v>157.46830381596001</v>
      </c>
      <c r="T945" s="15">
        <v>80</v>
      </c>
      <c r="U945" s="15">
        <v>0</v>
      </c>
      <c r="V945" s="15">
        <v>0</v>
      </c>
      <c r="W945" s="15">
        <v>0</v>
      </c>
      <c r="X945" s="15">
        <f>IF(O945='Udvaskning nøgletal'!$D$65,1,IF(O945='Udvaskning nøgletal'!$D$66,2,IF(O945='Udvaskning nøgletal'!$D$67,3,IF(O945='Udvaskning nøgletal'!$D$68,2,""))))</f>
        <v>2</v>
      </c>
      <c r="Y945" s="15">
        <f>LOOKUP(K945,'Udvaskning nøgletal'!$C$12:$C$60,'Udvaskning nøgletal'!$H$12:$H$60)</f>
        <v>0</v>
      </c>
      <c r="Z945" s="10">
        <f>IF(X945=1,LOOKUP(K945,'Udvaskning nøgletal'!$C$12:$C$60,'Udvaskning nøgletal'!$E$12:$E$60)+Markniveau!Y945*Markniveau!S945/100,IF(X945=2,LOOKUP(K945,'Udvaskning nøgletal'!$C$12:$C$60,'Udvaskning nøgletal'!$F$12:$F$60)+Markniveau!Y945*Markniveau!S945/100,IF(X945=3,LOOKUP(K945,'Udvaskning nøgletal'!$C$12:$C$60,'Udvaskning nøgletal'!G955:G1003)+Markniveau!Y945*Markniveau!S945/100,"")))</f>
        <v>27.331185321443094</v>
      </c>
      <c r="AA945" s="10">
        <f t="shared" si="146"/>
        <v>33.344046092160575</v>
      </c>
      <c r="AB945" s="10" t="str">
        <f t="shared" si="145"/>
        <v/>
      </c>
      <c r="AC945" s="10" t="str">
        <f t="shared" si="147"/>
        <v/>
      </c>
      <c r="AD945" s="10">
        <f>IF(AND(Q945&gt;0,Q945&lt;30,K945&lt;8),Markniveau!Z945*'Udvaskning nøgletal'!$I$12/100,IF(AND(Q945&gt;0,Q945&lt;30,K945=216),Markniveau!Z945*'Udvaskning nøgletal'!$I$34/100,Markniveau!Z945))</f>
        <v>27.331185321443094</v>
      </c>
      <c r="AE945" s="10">
        <f t="shared" si="153"/>
        <v>33.344046092160575</v>
      </c>
      <c r="AF945" s="10" t="str">
        <f t="shared" si="148"/>
        <v/>
      </c>
      <c r="AG945" s="10" t="str">
        <f t="shared" si="154"/>
        <v/>
      </c>
      <c r="AH945" s="10" t="str">
        <f>IF(AND(Q945&gt;0,Q945&lt;30,K945=216),'Udvaskning nøgletal'!$C$42,IF(AND(Q945&gt;0,Q945&lt;30,K945&gt;7,K945&lt;17),'Udvaskning nøgletal'!$C$61,IF(AND(Q945&gt;0,Q945&lt;30,K945&lt;7),'Udvaskning nøgletal'!$C$62,"")))</f>
        <v/>
      </c>
      <c r="AI945" s="10">
        <f t="shared" si="150"/>
        <v>263</v>
      </c>
      <c r="AJ945" s="10">
        <f>IF($X945=1,LOOKUP(AI945,'Udvaskning nøgletal'!$C$12:$C$62,'Udvaskning nøgletal'!$E$12:$E$62)+Markniveau!$Y945*Markniveau!$S945/100,IF($X945=2,LOOKUP(AI945,'Udvaskning nøgletal'!$C$12:$C$62,'Udvaskning nøgletal'!$F$12:$F$62)+Markniveau!$Y945*Markniveau!$S945/100,IF($X945=3,LOOKUP(AI945,'Udvaskning nøgletal'!$C$12:$C$62,'Udvaskning nøgletal'!Q955:Q1005)+Markniveau!$Y945*Markniveau!$S945/100,"")))</f>
        <v>27.331185321443094</v>
      </c>
      <c r="AK945" s="10">
        <f t="shared" si="149"/>
        <v>33.344046092160575</v>
      </c>
      <c r="AL945" s="10" t="str">
        <f t="shared" si="151"/>
        <v/>
      </c>
      <c r="AM945" s="10" t="str">
        <f t="shared" si="152"/>
        <v/>
      </c>
    </row>
    <row r="946" spans="1:39" x14ac:dyDescent="0.25">
      <c r="A946" s="15">
        <v>28540744</v>
      </c>
      <c r="B946" s="15">
        <v>90.4</v>
      </c>
      <c r="C946" s="15">
        <v>64154</v>
      </c>
      <c r="D946" s="15">
        <v>137119</v>
      </c>
      <c r="E946" s="15" t="s">
        <v>744</v>
      </c>
      <c r="F946" s="15">
        <v>2011</v>
      </c>
      <c r="G946" s="15">
        <v>20110406</v>
      </c>
      <c r="H946" s="15">
        <v>71113</v>
      </c>
      <c r="I946" s="15">
        <v>7.11</v>
      </c>
      <c r="J946" s="6" t="s">
        <v>67</v>
      </c>
      <c r="K946" s="15">
        <v>15</v>
      </c>
      <c r="L946" s="15" t="s">
        <v>362</v>
      </c>
      <c r="M946" s="15" t="s">
        <v>5</v>
      </c>
      <c r="N946" s="11" t="s">
        <v>1384</v>
      </c>
      <c r="O946" s="11" t="s">
        <v>28</v>
      </c>
      <c r="P946" s="11" t="s">
        <v>33</v>
      </c>
      <c r="Q946" s="15">
        <v>0</v>
      </c>
      <c r="R946" s="11" t="s">
        <v>1386</v>
      </c>
      <c r="S946" s="10">
        <v>157.46830381596001</v>
      </c>
      <c r="T946" s="15">
        <v>80</v>
      </c>
      <c r="U946" s="15">
        <v>0</v>
      </c>
      <c r="V946" s="15">
        <v>0</v>
      </c>
      <c r="W946" s="15">
        <v>0</v>
      </c>
      <c r="X946" s="15">
        <f>IF(O946='Udvaskning nøgletal'!$D$65,1,IF(O946='Udvaskning nøgletal'!$D$66,2,IF(O946='Udvaskning nøgletal'!$D$67,3,IF(O946='Udvaskning nøgletal'!$D$68,2,""))))</f>
        <v>1</v>
      </c>
      <c r="Y946" s="15">
        <f>LOOKUP(K946,'Udvaskning nøgletal'!$C$12:$C$60,'Udvaskning nøgletal'!$H$12:$H$60)</f>
        <v>5</v>
      </c>
      <c r="Z946" s="10">
        <f>IF(X946=1,LOOKUP(K946,'Udvaskning nøgletal'!$C$12:$C$60,'Udvaskning nøgletal'!$E$12:$E$60)+Markniveau!Y946*Markniveau!S946/100,IF(X946=2,LOOKUP(K946,'Udvaskning nøgletal'!$C$12:$C$60,'Udvaskning nøgletal'!$F$12:$F$60)+Markniveau!Y946*Markniveau!S946/100,IF(X946=3,LOOKUP(K946,'Udvaskning nøgletal'!$C$12:$C$60,'Udvaskning nøgletal'!G956:G1004)+Markniveau!Y946*Markniveau!S946/100,"")))</f>
        <v>72.533415190797996</v>
      </c>
      <c r="AA946" s="10">
        <f t="shared" si="146"/>
        <v>515.71258200657383</v>
      </c>
      <c r="AB946" s="10" t="str">
        <f t="shared" si="145"/>
        <v/>
      </c>
      <c r="AC946" s="10" t="str">
        <f t="shared" si="147"/>
        <v/>
      </c>
      <c r="AD946" s="10">
        <f>IF(AND(Q946&gt;0,Q946&lt;30,K946&lt;8),Markniveau!Z946*'Udvaskning nøgletal'!$I$12/100,IF(AND(Q946&gt;0,Q946&lt;30,K946=216),Markniveau!Z946*'Udvaskning nøgletal'!$I$34/100,Markniveau!Z946))</f>
        <v>72.533415190797996</v>
      </c>
      <c r="AE946" s="10">
        <f t="shared" si="153"/>
        <v>515.71258200657383</v>
      </c>
      <c r="AF946" s="10" t="str">
        <f t="shared" si="148"/>
        <v/>
      </c>
      <c r="AG946" s="10" t="str">
        <f t="shared" si="154"/>
        <v/>
      </c>
      <c r="AH946" s="10" t="str">
        <f>IF(AND(Q946&gt;0,Q946&lt;30,K946=216),'Udvaskning nøgletal'!$C$42,IF(AND(Q946&gt;0,Q946&lt;30,K946&gt;7,K946&lt;17),'Udvaskning nøgletal'!$C$61,IF(AND(Q946&gt;0,Q946&lt;30,K946&lt;7),'Udvaskning nøgletal'!$C$62,"")))</f>
        <v/>
      </c>
      <c r="AI946" s="10">
        <f t="shared" si="150"/>
        <v>15</v>
      </c>
      <c r="AJ946" s="10">
        <f>IF($X946=1,LOOKUP(AI946,'Udvaskning nøgletal'!$C$12:$C$62,'Udvaskning nøgletal'!$E$12:$E$62)+Markniveau!$Y946*Markniveau!$S946/100,IF($X946=2,LOOKUP(AI946,'Udvaskning nøgletal'!$C$12:$C$62,'Udvaskning nøgletal'!$F$12:$F$62)+Markniveau!$Y946*Markniveau!$S946/100,IF($X946=3,LOOKUP(AI946,'Udvaskning nøgletal'!$C$12:$C$62,'Udvaskning nøgletal'!Q956:Q1006)+Markniveau!$Y946*Markniveau!$S946/100,"")))</f>
        <v>72.533415190797996</v>
      </c>
      <c r="AK946" s="10">
        <f t="shared" si="149"/>
        <v>515.71258200657383</v>
      </c>
      <c r="AL946" s="10" t="str">
        <f t="shared" si="151"/>
        <v/>
      </c>
      <c r="AM946" s="10" t="str">
        <f t="shared" si="152"/>
        <v/>
      </c>
    </row>
    <row r="947" spans="1:39" x14ac:dyDescent="0.25">
      <c r="A947" s="15">
        <v>28540744</v>
      </c>
      <c r="B947" s="15">
        <v>90.4</v>
      </c>
      <c r="C947" s="15">
        <v>64155</v>
      </c>
      <c r="D947" s="15">
        <v>137119</v>
      </c>
      <c r="E947" s="15" t="s">
        <v>744</v>
      </c>
      <c r="F947" s="15">
        <v>2011</v>
      </c>
      <c r="G947" s="15">
        <v>20110406</v>
      </c>
      <c r="H947" s="15">
        <v>25555</v>
      </c>
      <c r="I947" s="15">
        <v>2.56</v>
      </c>
      <c r="J947" s="6" t="s">
        <v>65</v>
      </c>
      <c r="K947" s="15">
        <v>15</v>
      </c>
      <c r="L947" s="15" t="s">
        <v>362</v>
      </c>
      <c r="M947" s="15" t="s">
        <v>5</v>
      </c>
      <c r="N947" s="11" t="s">
        <v>1384</v>
      </c>
      <c r="O947" s="11" t="s">
        <v>28</v>
      </c>
      <c r="P947" s="11" t="s">
        <v>33</v>
      </c>
      <c r="Q947" s="15">
        <v>0</v>
      </c>
      <c r="R947" s="11" t="s">
        <v>1386</v>
      </c>
      <c r="S947" s="10">
        <v>157.46830381596001</v>
      </c>
      <c r="T947" s="15">
        <v>80</v>
      </c>
      <c r="U947" s="15">
        <v>0</v>
      </c>
      <c r="V947" s="15">
        <v>0</v>
      </c>
      <c r="W947" s="15">
        <v>0</v>
      </c>
      <c r="X947" s="15">
        <f>IF(O947='Udvaskning nøgletal'!$D$65,1,IF(O947='Udvaskning nøgletal'!$D$66,2,IF(O947='Udvaskning nøgletal'!$D$67,3,IF(O947='Udvaskning nøgletal'!$D$68,2,""))))</f>
        <v>1</v>
      </c>
      <c r="Y947" s="15">
        <f>LOOKUP(K947,'Udvaskning nøgletal'!$C$12:$C$60,'Udvaskning nøgletal'!$H$12:$H$60)</f>
        <v>5</v>
      </c>
      <c r="Z947" s="10">
        <f>IF(X947=1,LOOKUP(K947,'Udvaskning nøgletal'!$C$12:$C$60,'Udvaskning nøgletal'!$E$12:$E$60)+Markniveau!Y947*Markniveau!S947/100,IF(X947=2,LOOKUP(K947,'Udvaskning nøgletal'!$C$12:$C$60,'Udvaskning nøgletal'!$F$12:$F$60)+Markniveau!Y947*Markniveau!S947/100,IF(X947=3,LOOKUP(K947,'Udvaskning nøgletal'!$C$12:$C$60,'Udvaskning nøgletal'!G957:G1005)+Markniveau!Y947*Markniveau!S947/100,"")))</f>
        <v>72.533415190797996</v>
      </c>
      <c r="AA947" s="10">
        <f t="shared" si="146"/>
        <v>185.68554288844288</v>
      </c>
      <c r="AB947" s="10" t="str">
        <f t="shared" si="145"/>
        <v/>
      </c>
      <c r="AC947" s="10" t="str">
        <f t="shared" si="147"/>
        <v/>
      </c>
      <c r="AD947" s="10">
        <f>IF(AND(Q947&gt;0,Q947&lt;30,K947&lt;8),Markniveau!Z947*'Udvaskning nøgletal'!$I$12/100,IF(AND(Q947&gt;0,Q947&lt;30,K947=216),Markniveau!Z947*'Udvaskning nøgletal'!$I$34/100,Markniveau!Z947))</f>
        <v>72.533415190797996</v>
      </c>
      <c r="AE947" s="10">
        <f t="shared" si="153"/>
        <v>185.68554288844288</v>
      </c>
      <c r="AF947" s="10" t="str">
        <f t="shared" si="148"/>
        <v/>
      </c>
      <c r="AG947" s="10" t="str">
        <f t="shared" si="154"/>
        <v/>
      </c>
      <c r="AH947" s="10" t="str">
        <f>IF(AND(Q947&gt;0,Q947&lt;30,K947=216),'Udvaskning nøgletal'!$C$42,IF(AND(Q947&gt;0,Q947&lt;30,K947&gt;7,K947&lt;17),'Udvaskning nøgletal'!$C$61,IF(AND(Q947&gt;0,Q947&lt;30,K947&lt;7),'Udvaskning nøgletal'!$C$62,"")))</f>
        <v/>
      </c>
      <c r="AI947" s="10">
        <f t="shared" si="150"/>
        <v>15</v>
      </c>
      <c r="AJ947" s="10">
        <f>IF($X947=1,LOOKUP(AI947,'Udvaskning nøgletal'!$C$12:$C$62,'Udvaskning nøgletal'!$E$12:$E$62)+Markniveau!$Y947*Markniveau!$S947/100,IF($X947=2,LOOKUP(AI947,'Udvaskning nøgletal'!$C$12:$C$62,'Udvaskning nøgletal'!$F$12:$F$62)+Markniveau!$Y947*Markniveau!$S947/100,IF($X947=3,LOOKUP(AI947,'Udvaskning nøgletal'!$C$12:$C$62,'Udvaskning nøgletal'!Q957:Q1007)+Markniveau!$Y947*Markniveau!$S947/100,"")))</f>
        <v>72.533415190797996</v>
      </c>
      <c r="AK947" s="10">
        <f t="shared" si="149"/>
        <v>185.68554288844288</v>
      </c>
      <c r="AL947" s="10" t="str">
        <f t="shared" si="151"/>
        <v/>
      </c>
      <c r="AM947" s="10" t="str">
        <f t="shared" si="152"/>
        <v/>
      </c>
    </row>
    <row r="948" spans="1:39" x14ac:dyDescent="0.25">
      <c r="A948" s="15">
        <v>28540744</v>
      </c>
      <c r="B948" s="15">
        <v>90.4</v>
      </c>
      <c r="C948" s="15">
        <v>64156</v>
      </c>
      <c r="D948" s="15">
        <v>137119</v>
      </c>
      <c r="E948" s="15" t="s">
        <v>745</v>
      </c>
      <c r="F948" s="15">
        <v>2011</v>
      </c>
      <c r="G948" s="15">
        <v>20110406</v>
      </c>
      <c r="H948" s="15">
        <v>33635</v>
      </c>
      <c r="I948" s="15">
        <v>3.36</v>
      </c>
      <c r="J948" s="6" t="s">
        <v>194</v>
      </c>
      <c r="K948" s="15">
        <v>15</v>
      </c>
      <c r="L948" s="15" t="s">
        <v>362</v>
      </c>
      <c r="M948" s="15" t="s">
        <v>5</v>
      </c>
      <c r="N948" s="11" t="s">
        <v>1384</v>
      </c>
      <c r="O948" s="11" t="s">
        <v>28</v>
      </c>
      <c r="P948" s="11" t="s">
        <v>33</v>
      </c>
      <c r="Q948" s="15">
        <v>0</v>
      </c>
      <c r="R948" s="11" t="s">
        <v>1386</v>
      </c>
      <c r="S948" s="10">
        <v>157.46830381596001</v>
      </c>
      <c r="T948" s="15">
        <v>80</v>
      </c>
      <c r="U948" s="15">
        <v>0</v>
      </c>
      <c r="V948" s="15">
        <v>0</v>
      </c>
      <c r="W948" s="15">
        <v>0</v>
      </c>
      <c r="X948" s="15">
        <f>IF(O948='Udvaskning nøgletal'!$D$65,1,IF(O948='Udvaskning nøgletal'!$D$66,2,IF(O948='Udvaskning nøgletal'!$D$67,3,IF(O948='Udvaskning nøgletal'!$D$68,2,""))))</f>
        <v>1</v>
      </c>
      <c r="Y948" s="15">
        <f>LOOKUP(K948,'Udvaskning nøgletal'!$C$12:$C$60,'Udvaskning nøgletal'!$H$12:$H$60)</f>
        <v>5</v>
      </c>
      <c r="Z948" s="10">
        <f>IF(X948=1,LOOKUP(K948,'Udvaskning nøgletal'!$C$12:$C$60,'Udvaskning nøgletal'!$E$12:$E$60)+Markniveau!Y948*Markniveau!S948/100,IF(X948=2,LOOKUP(K948,'Udvaskning nøgletal'!$C$12:$C$60,'Udvaskning nøgletal'!$F$12:$F$60)+Markniveau!Y948*Markniveau!S948/100,IF(X948=3,LOOKUP(K948,'Udvaskning nøgletal'!$C$12:$C$60,'Udvaskning nøgletal'!G958:G1006)+Markniveau!Y948*Markniveau!S948/100,"")))</f>
        <v>72.533415190797996</v>
      </c>
      <c r="AA948" s="10">
        <f t="shared" si="146"/>
        <v>243.71227504108126</v>
      </c>
      <c r="AB948" s="10" t="str">
        <f t="shared" si="145"/>
        <v/>
      </c>
      <c r="AC948" s="10" t="str">
        <f t="shared" si="147"/>
        <v/>
      </c>
      <c r="AD948" s="10">
        <f>IF(AND(Q948&gt;0,Q948&lt;30,K948&lt;8),Markniveau!Z948*'Udvaskning nøgletal'!$I$12/100,IF(AND(Q948&gt;0,Q948&lt;30,K948=216),Markniveau!Z948*'Udvaskning nøgletal'!$I$34/100,Markniveau!Z948))</f>
        <v>72.533415190797996</v>
      </c>
      <c r="AE948" s="10">
        <f t="shared" si="153"/>
        <v>243.71227504108126</v>
      </c>
      <c r="AF948" s="10" t="str">
        <f t="shared" si="148"/>
        <v/>
      </c>
      <c r="AG948" s="10" t="str">
        <f t="shared" si="154"/>
        <v/>
      </c>
      <c r="AH948" s="10" t="str">
        <f>IF(AND(Q948&gt;0,Q948&lt;30,K948=216),'Udvaskning nøgletal'!$C$42,IF(AND(Q948&gt;0,Q948&lt;30,K948&gt;7,K948&lt;17),'Udvaskning nøgletal'!$C$61,IF(AND(Q948&gt;0,Q948&lt;30,K948&lt;7),'Udvaskning nøgletal'!$C$62,"")))</f>
        <v/>
      </c>
      <c r="AI948" s="10">
        <f t="shared" si="150"/>
        <v>15</v>
      </c>
      <c r="AJ948" s="10">
        <f>IF($X948=1,LOOKUP(AI948,'Udvaskning nøgletal'!$C$12:$C$62,'Udvaskning nøgletal'!$E$12:$E$62)+Markniveau!$Y948*Markniveau!$S948/100,IF($X948=2,LOOKUP(AI948,'Udvaskning nøgletal'!$C$12:$C$62,'Udvaskning nøgletal'!$F$12:$F$62)+Markniveau!$Y948*Markniveau!$S948/100,IF($X948=3,LOOKUP(AI948,'Udvaskning nøgletal'!$C$12:$C$62,'Udvaskning nøgletal'!Q958:Q1008)+Markniveau!$Y948*Markniveau!$S948/100,"")))</f>
        <v>72.533415190797996</v>
      </c>
      <c r="AK948" s="10">
        <f t="shared" si="149"/>
        <v>243.71227504108126</v>
      </c>
      <c r="AL948" s="10" t="str">
        <f t="shared" si="151"/>
        <v/>
      </c>
      <c r="AM948" s="10" t="str">
        <f t="shared" si="152"/>
        <v/>
      </c>
    </row>
    <row r="949" spans="1:39" x14ac:dyDescent="0.25">
      <c r="A949" s="15">
        <v>28540744</v>
      </c>
      <c r="B949" s="15">
        <v>90.4</v>
      </c>
      <c r="C949" s="15">
        <v>64157</v>
      </c>
      <c r="D949" s="15">
        <v>137119</v>
      </c>
      <c r="E949" s="15" t="s">
        <v>746</v>
      </c>
      <c r="F949" s="15">
        <v>2011</v>
      </c>
      <c r="G949" s="15">
        <v>20110406</v>
      </c>
      <c r="H949" s="15">
        <v>4734</v>
      </c>
      <c r="I949" s="15">
        <v>0.47</v>
      </c>
      <c r="J949" s="6" t="s">
        <v>79</v>
      </c>
      <c r="K949" s="15">
        <v>583</v>
      </c>
      <c r="L949" s="15" t="s">
        <v>154</v>
      </c>
      <c r="M949" s="15" t="s">
        <v>155</v>
      </c>
      <c r="N949" s="11" t="s">
        <v>1384</v>
      </c>
      <c r="O949" s="11" t="s">
        <v>28</v>
      </c>
      <c r="P949" s="11" t="s">
        <v>33</v>
      </c>
      <c r="Q949" s="15">
        <v>0</v>
      </c>
      <c r="R949" s="11" t="s">
        <v>1386</v>
      </c>
      <c r="S949" s="10">
        <v>157.46830381596001</v>
      </c>
      <c r="T949" s="15">
        <v>80</v>
      </c>
      <c r="U949" s="15">
        <v>0</v>
      </c>
      <c r="V949" s="15">
        <v>0</v>
      </c>
      <c r="W949" s="15">
        <v>0</v>
      </c>
      <c r="X949" s="15">
        <f>IF(O949='Udvaskning nøgletal'!$D$65,1,IF(O949='Udvaskning nøgletal'!$D$66,2,IF(O949='Udvaskning nøgletal'!$D$67,3,IF(O949='Udvaskning nøgletal'!$D$68,2,""))))</f>
        <v>1</v>
      </c>
      <c r="Y949" s="15">
        <f>LOOKUP(K949,'Udvaskning nøgletal'!$C$12:$C$60,'Udvaskning nøgletal'!$H$12:$H$60)</f>
        <v>0</v>
      </c>
      <c r="Z949" s="10">
        <f>IF(X949=1,LOOKUP(K949,'Udvaskning nøgletal'!$C$12:$C$60,'Udvaskning nøgletal'!$E$12:$E$60)+Markniveau!Y949*Markniveau!S949/100,IF(X949=2,LOOKUP(K949,'Udvaskning nøgletal'!$C$12:$C$60,'Udvaskning nøgletal'!$F$12:$F$60)+Markniveau!Y949*Markniveau!S949/100,IF(X949=3,LOOKUP(K949,'Udvaskning nøgletal'!$C$12:$C$60,'Udvaskning nøgletal'!G959:G1007)+Markniveau!Y949*Markniveau!S949/100,"")))</f>
        <v>10</v>
      </c>
      <c r="AA949" s="10">
        <f t="shared" si="146"/>
        <v>4.6999999999999993</v>
      </c>
      <c r="AB949" s="10" t="str">
        <f t="shared" si="145"/>
        <v/>
      </c>
      <c r="AC949" s="10" t="str">
        <f t="shared" si="147"/>
        <v/>
      </c>
      <c r="AD949" s="10">
        <f>IF(AND(Q949&gt;0,Q949&lt;30,K949&lt;8),Markniveau!Z949*'Udvaskning nøgletal'!$I$12/100,IF(AND(Q949&gt;0,Q949&lt;30,K949=216),Markniveau!Z949*'Udvaskning nøgletal'!$I$34/100,Markniveau!Z949))</f>
        <v>10</v>
      </c>
      <c r="AE949" s="10">
        <f t="shared" si="153"/>
        <v>4.6999999999999993</v>
      </c>
      <c r="AF949" s="10" t="str">
        <f t="shared" si="148"/>
        <v/>
      </c>
      <c r="AG949" s="10" t="str">
        <f t="shared" si="154"/>
        <v/>
      </c>
      <c r="AH949" s="10" t="str">
        <f>IF(AND(Q949&gt;0,Q949&lt;30,K949=216),'Udvaskning nøgletal'!$C$42,IF(AND(Q949&gt;0,Q949&lt;30,K949&gt;7,K949&lt;17),'Udvaskning nøgletal'!$C$61,IF(AND(Q949&gt;0,Q949&lt;30,K949&lt;7),'Udvaskning nøgletal'!$C$62,"")))</f>
        <v/>
      </c>
      <c r="AI949" s="10">
        <f t="shared" si="150"/>
        <v>583</v>
      </c>
      <c r="AJ949" s="10">
        <f>IF($X949=1,LOOKUP(AI949,'Udvaskning nøgletal'!$C$12:$C$62,'Udvaskning nøgletal'!$E$12:$E$62)+Markniveau!$Y949*Markniveau!$S949/100,IF($X949=2,LOOKUP(AI949,'Udvaskning nøgletal'!$C$12:$C$62,'Udvaskning nøgletal'!$F$12:$F$62)+Markniveau!$Y949*Markniveau!$S949/100,IF($X949=3,LOOKUP(AI949,'Udvaskning nøgletal'!$C$12:$C$62,'Udvaskning nøgletal'!Q959:Q1009)+Markniveau!$Y949*Markniveau!$S949/100,"")))</f>
        <v>10</v>
      </c>
      <c r="AK949" s="10">
        <f t="shared" si="149"/>
        <v>4.6999999999999993</v>
      </c>
      <c r="AL949" s="10" t="str">
        <f t="shared" si="151"/>
        <v/>
      </c>
      <c r="AM949" s="10" t="str">
        <f t="shared" si="152"/>
        <v/>
      </c>
    </row>
    <row r="950" spans="1:39" x14ac:dyDescent="0.25">
      <c r="A950" s="15">
        <v>28540744</v>
      </c>
      <c r="B950" s="15">
        <v>90.4</v>
      </c>
      <c r="C950" s="15">
        <v>64158</v>
      </c>
      <c r="D950" s="15">
        <v>137119</v>
      </c>
      <c r="E950" s="15" t="s">
        <v>747</v>
      </c>
      <c r="F950" s="15">
        <v>2011</v>
      </c>
      <c r="G950" s="15">
        <v>20110406</v>
      </c>
      <c r="H950" s="15">
        <v>71715</v>
      </c>
      <c r="I950" s="15">
        <v>7.17</v>
      </c>
      <c r="J950" s="6" t="s">
        <v>176</v>
      </c>
      <c r="K950" s="15">
        <v>15</v>
      </c>
      <c r="L950" s="15" t="s">
        <v>362</v>
      </c>
      <c r="M950" s="15" t="s">
        <v>5</v>
      </c>
      <c r="N950" s="11" t="s">
        <v>1384</v>
      </c>
      <c r="O950" s="11" t="s">
        <v>28</v>
      </c>
      <c r="P950" s="11" t="s">
        <v>33</v>
      </c>
      <c r="Q950" s="15">
        <v>0</v>
      </c>
      <c r="R950" s="11" t="s">
        <v>1386</v>
      </c>
      <c r="S950" s="10">
        <v>157.46830381596001</v>
      </c>
      <c r="T950" s="15">
        <v>80</v>
      </c>
      <c r="U950" s="15">
        <v>0</v>
      </c>
      <c r="V950" s="15">
        <v>0</v>
      </c>
      <c r="W950" s="15">
        <v>0</v>
      </c>
      <c r="X950" s="15">
        <f>IF(O950='Udvaskning nøgletal'!$D$65,1,IF(O950='Udvaskning nøgletal'!$D$66,2,IF(O950='Udvaskning nøgletal'!$D$67,3,IF(O950='Udvaskning nøgletal'!$D$68,2,""))))</f>
        <v>1</v>
      </c>
      <c r="Y950" s="15">
        <f>LOOKUP(K950,'Udvaskning nøgletal'!$C$12:$C$60,'Udvaskning nøgletal'!$H$12:$H$60)</f>
        <v>5</v>
      </c>
      <c r="Z950" s="10">
        <f>IF(X950=1,LOOKUP(K950,'Udvaskning nøgletal'!$C$12:$C$60,'Udvaskning nøgletal'!$E$12:$E$60)+Markniveau!Y950*Markniveau!S950/100,IF(X950=2,LOOKUP(K950,'Udvaskning nøgletal'!$C$12:$C$60,'Udvaskning nøgletal'!$F$12:$F$60)+Markniveau!Y950*Markniveau!S950/100,IF(X950=3,LOOKUP(K950,'Udvaskning nøgletal'!$C$12:$C$60,'Udvaskning nøgletal'!G960:G1008)+Markniveau!Y950*Markniveau!S950/100,"")))</f>
        <v>72.533415190797996</v>
      </c>
      <c r="AA950" s="10">
        <f t="shared" si="146"/>
        <v>520.06458691802163</v>
      </c>
      <c r="AB950" s="10" t="str">
        <f t="shared" si="145"/>
        <v/>
      </c>
      <c r="AC950" s="10" t="str">
        <f t="shared" si="147"/>
        <v/>
      </c>
      <c r="AD950" s="10">
        <f>IF(AND(Q950&gt;0,Q950&lt;30,K950&lt;8),Markniveau!Z950*'Udvaskning nøgletal'!$I$12/100,IF(AND(Q950&gt;0,Q950&lt;30,K950=216),Markniveau!Z950*'Udvaskning nøgletal'!$I$34/100,Markniveau!Z950))</f>
        <v>72.533415190797996</v>
      </c>
      <c r="AE950" s="10">
        <f t="shared" si="153"/>
        <v>520.06458691802163</v>
      </c>
      <c r="AF950" s="10" t="str">
        <f t="shared" si="148"/>
        <v/>
      </c>
      <c r="AG950" s="10" t="str">
        <f t="shared" si="154"/>
        <v/>
      </c>
      <c r="AH950" s="10" t="str">
        <f>IF(AND(Q950&gt;0,Q950&lt;30,K950=216),'Udvaskning nøgletal'!$C$42,IF(AND(Q950&gt;0,Q950&lt;30,K950&gt;7,K950&lt;17),'Udvaskning nøgletal'!$C$61,IF(AND(Q950&gt;0,Q950&lt;30,K950&lt;7),'Udvaskning nøgletal'!$C$62,"")))</f>
        <v/>
      </c>
      <c r="AI950" s="10">
        <f t="shared" si="150"/>
        <v>15</v>
      </c>
      <c r="AJ950" s="10">
        <f>IF($X950=1,LOOKUP(AI950,'Udvaskning nøgletal'!$C$12:$C$62,'Udvaskning nøgletal'!$E$12:$E$62)+Markniveau!$Y950*Markniveau!$S950/100,IF($X950=2,LOOKUP(AI950,'Udvaskning nøgletal'!$C$12:$C$62,'Udvaskning nøgletal'!$F$12:$F$62)+Markniveau!$Y950*Markniveau!$S950/100,IF($X950=3,LOOKUP(AI950,'Udvaskning nøgletal'!$C$12:$C$62,'Udvaskning nøgletal'!Q960:Q1010)+Markniveau!$Y950*Markniveau!$S950/100,"")))</f>
        <v>72.533415190797996</v>
      </c>
      <c r="AK950" s="10">
        <f t="shared" si="149"/>
        <v>520.06458691802163</v>
      </c>
      <c r="AL950" s="10" t="str">
        <f t="shared" si="151"/>
        <v/>
      </c>
      <c r="AM950" s="10" t="str">
        <f t="shared" si="152"/>
        <v/>
      </c>
    </row>
    <row r="951" spans="1:39" x14ac:dyDescent="0.25">
      <c r="A951" s="15">
        <v>28540744</v>
      </c>
      <c r="B951" s="15">
        <v>90.4</v>
      </c>
      <c r="C951" s="15">
        <v>64650</v>
      </c>
      <c r="D951" s="15">
        <v>137119</v>
      </c>
      <c r="E951" s="15" t="s">
        <v>748</v>
      </c>
      <c r="F951" s="15">
        <v>2011</v>
      </c>
      <c r="G951" s="15">
        <v>20110406</v>
      </c>
      <c r="H951" s="15">
        <v>47979</v>
      </c>
      <c r="I951" s="15">
        <v>4.8</v>
      </c>
      <c r="J951" s="6" t="s">
        <v>199</v>
      </c>
      <c r="K951" s="15">
        <v>15</v>
      </c>
      <c r="L951" s="15" t="s">
        <v>362</v>
      </c>
      <c r="M951" s="15" t="s">
        <v>5</v>
      </c>
      <c r="N951" s="11" t="s">
        <v>1384</v>
      </c>
      <c r="O951" s="11" t="s">
        <v>28</v>
      </c>
      <c r="P951" s="11" t="s">
        <v>33</v>
      </c>
      <c r="Q951" s="15">
        <v>0</v>
      </c>
      <c r="R951" s="11" t="s">
        <v>1386</v>
      </c>
      <c r="S951" s="10">
        <v>157.46830381596001</v>
      </c>
      <c r="T951" s="15">
        <v>80</v>
      </c>
      <c r="U951" s="15">
        <v>0</v>
      </c>
      <c r="V951" s="15">
        <v>0</v>
      </c>
      <c r="W951" s="15">
        <v>0</v>
      </c>
      <c r="X951" s="15">
        <f>IF(O951='Udvaskning nøgletal'!$D$65,1,IF(O951='Udvaskning nøgletal'!$D$66,2,IF(O951='Udvaskning nøgletal'!$D$67,3,IF(O951='Udvaskning nøgletal'!$D$68,2,""))))</f>
        <v>1</v>
      </c>
      <c r="Y951" s="15">
        <f>LOOKUP(K951,'Udvaskning nøgletal'!$C$12:$C$60,'Udvaskning nøgletal'!$H$12:$H$60)</f>
        <v>5</v>
      </c>
      <c r="Z951" s="10">
        <f>IF(X951=1,LOOKUP(K951,'Udvaskning nøgletal'!$C$12:$C$60,'Udvaskning nøgletal'!$E$12:$E$60)+Markniveau!Y951*Markniveau!S951/100,IF(X951=2,LOOKUP(K951,'Udvaskning nøgletal'!$C$12:$C$60,'Udvaskning nøgletal'!$F$12:$F$60)+Markniveau!Y951*Markniveau!S951/100,IF(X951=3,LOOKUP(K951,'Udvaskning nøgletal'!$C$12:$C$60,'Udvaskning nøgletal'!G961:G1009)+Markniveau!Y951*Markniveau!S951/100,"")))</f>
        <v>72.533415190797996</v>
      </c>
      <c r="AA951" s="10">
        <f t="shared" si="146"/>
        <v>348.16039291583036</v>
      </c>
      <c r="AB951" s="10" t="str">
        <f t="shared" si="145"/>
        <v/>
      </c>
      <c r="AC951" s="10" t="str">
        <f t="shared" si="147"/>
        <v/>
      </c>
      <c r="AD951" s="10">
        <f>IF(AND(Q951&gt;0,Q951&lt;30,K951&lt;8),Markniveau!Z951*'Udvaskning nøgletal'!$I$12/100,IF(AND(Q951&gt;0,Q951&lt;30,K951=216),Markniveau!Z951*'Udvaskning nøgletal'!$I$34/100,Markniveau!Z951))</f>
        <v>72.533415190797996</v>
      </c>
      <c r="AE951" s="10">
        <f t="shared" si="153"/>
        <v>348.16039291583036</v>
      </c>
      <c r="AF951" s="10" t="str">
        <f t="shared" si="148"/>
        <v/>
      </c>
      <c r="AG951" s="10" t="str">
        <f t="shared" si="154"/>
        <v/>
      </c>
      <c r="AH951" s="10" t="str">
        <f>IF(AND(Q951&gt;0,Q951&lt;30,K951=216),'Udvaskning nøgletal'!$C$42,IF(AND(Q951&gt;0,Q951&lt;30,K951&gt;7,K951&lt;17),'Udvaskning nøgletal'!$C$61,IF(AND(Q951&gt;0,Q951&lt;30,K951&lt;7),'Udvaskning nøgletal'!$C$62,"")))</f>
        <v/>
      </c>
      <c r="AI951" s="10">
        <f t="shared" si="150"/>
        <v>15</v>
      </c>
      <c r="AJ951" s="10">
        <f>IF($X951=1,LOOKUP(AI951,'Udvaskning nøgletal'!$C$12:$C$62,'Udvaskning nøgletal'!$E$12:$E$62)+Markniveau!$Y951*Markniveau!$S951/100,IF($X951=2,LOOKUP(AI951,'Udvaskning nøgletal'!$C$12:$C$62,'Udvaskning nøgletal'!$F$12:$F$62)+Markniveau!$Y951*Markniveau!$S951/100,IF($X951=3,LOOKUP(AI951,'Udvaskning nøgletal'!$C$12:$C$62,'Udvaskning nøgletal'!Q961:Q1011)+Markniveau!$Y951*Markniveau!$S951/100,"")))</f>
        <v>72.533415190797996</v>
      </c>
      <c r="AK951" s="10">
        <f t="shared" si="149"/>
        <v>348.16039291583036</v>
      </c>
      <c r="AL951" s="10" t="str">
        <f t="shared" si="151"/>
        <v/>
      </c>
      <c r="AM951" s="10" t="str">
        <f t="shared" si="152"/>
        <v/>
      </c>
    </row>
    <row r="952" spans="1:39" x14ac:dyDescent="0.25">
      <c r="A952" s="15">
        <v>28540744</v>
      </c>
      <c r="B952" s="15">
        <v>90.4</v>
      </c>
      <c r="C952" s="15">
        <v>64651</v>
      </c>
      <c r="D952" s="15">
        <v>137119</v>
      </c>
      <c r="E952" s="15" t="s">
        <v>749</v>
      </c>
      <c r="F952" s="15">
        <v>2011</v>
      </c>
      <c r="G952" s="15">
        <v>20110406</v>
      </c>
      <c r="H952" s="15">
        <v>4801</v>
      </c>
      <c r="I952" s="15">
        <v>0.48</v>
      </c>
      <c r="J952" s="6" t="s">
        <v>177</v>
      </c>
      <c r="K952" s="15">
        <v>263</v>
      </c>
      <c r="L952" s="15" t="s">
        <v>39</v>
      </c>
      <c r="M952" s="15" t="s">
        <v>5</v>
      </c>
      <c r="N952" s="11" t="s">
        <v>1384</v>
      </c>
      <c r="O952" s="11" t="s">
        <v>28</v>
      </c>
      <c r="P952" s="11" t="s">
        <v>33</v>
      </c>
      <c r="Q952" s="15">
        <v>0</v>
      </c>
      <c r="R952" s="11" t="s">
        <v>1386</v>
      </c>
      <c r="S952" s="10">
        <v>157.46830381596001</v>
      </c>
      <c r="T952" s="15">
        <v>80</v>
      </c>
      <c r="U952" s="15">
        <v>0</v>
      </c>
      <c r="V952" s="15">
        <v>0</v>
      </c>
      <c r="W952" s="15">
        <v>0</v>
      </c>
      <c r="X952" s="15">
        <f>IF(O952='Udvaskning nøgletal'!$D$65,1,IF(O952='Udvaskning nøgletal'!$D$66,2,IF(O952='Udvaskning nøgletal'!$D$67,3,IF(O952='Udvaskning nøgletal'!$D$68,2,""))))</f>
        <v>1</v>
      </c>
      <c r="Y952" s="15">
        <f>LOOKUP(K952,'Udvaskning nøgletal'!$C$12:$C$60,'Udvaskning nøgletal'!$H$12:$H$60)</f>
        <v>0</v>
      </c>
      <c r="Z952" s="10">
        <f>IF(X952=1,LOOKUP(K952,'Udvaskning nøgletal'!$C$12:$C$60,'Udvaskning nøgletal'!$E$12:$E$60)+Markniveau!Y952*Markniveau!S952/100,IF(X952=2,LOOKUP(K952,'Udvaskning nøgletal'!$C$12:$C$60,'Udvaskning nøgletal'!$F$12:$F$60)+Markniveau!Y952*Markniveau!S952/100,IF(X952=3,LOOKUP(K952,'Udvaskning nøgletal'!$C$12:$C$60,'Udvaskning nøgletal'!G962:G1010)+Markniveau!Y952*Markniveau!S952/100,"")))</f>
        <v>33.723295792149436</v>
      </c>
      <c r="AA952" s="10">
        <f t="shared" si="146"/>
        <v>16.187181980231728</v>
      </c>
      <c r="AB952" s="10" t="str">
        <f t="shared" si="145"/>
        <v/>
      </c>
      <c r="AC952" s="10" t="str">
        <f t="shared" si="147"/>
        <v/>
      </c>
      <c r="AD952" s="10">
        <f>IF(AND(Q952&gt;0,Q952&lt;30,K952&lt;8),Markniveau!Z952*'Udvaskning nøgletal'!$I$12/100,IF(AND(Q952&gt;0,Q952&lt;30,K952=216),Markniveau!Z952*'Udvaskning nøgletal'!$I$34/100,Markniveau!Z952))</f>
        <v>33.723295792149436</v>
      </c>
      <c r="AE952" s="10">
        <f t="shared" si="153"/>
        <v>16.187181980231728</v>
      </c>
      <c r="AF952" s="10" t="str">
        <f t="shared" si="148"/>
        <v/>
      </c>
      <c r="AG952" s="10" t="str">
        <f t="shared" si="154"/>
        <v/>
      </c>
      <c r="AH952" s="10" t="str">
        <f>IF(AND(Q952&gt;0,Q952&lt;30,K952=216),'Udvaskning nøgletal'!$C$42,IF(AND(Q952&gt;0,Q952&lt;30,K952&gt;7,K952&lt;17),'Udvaskning nøgletal'!$C$61,IF(AND(Q952&gt;0,Q952&lt;30,K952&lt;7),'Udvaskning nøgletal'!$C$62,"")))</f>
        <v/>
      </c>
      <c r="AI952" s="10">
        <f t="shared" si="150"/>
        <v>263</v>
      </c>
      <c r="AJ952" s="10">
        <f>IF($X952=1,LOOKUP(AI952,'Udvaskning nøgletal'!$C$12:$C$62,'Udvaskning nøgletal'!$E$12:$E$62)+Markniveau!$Y952*Markniveau!$S952/100,IF($X952=2,LOOKUP(AI952,'Udvaskning nøgletal'!$C$12:$C$62,'Udvaskning nøgletal'!$F$12:$F$62)+Markniveau!$Y952*Markniveau!$S952/100,IF($X952=3,LOOKUP(AI952,'Udvaskning nøgletal'!$C$12:$C$62,'Udvaskning nøgletal'!Q962:Q1012)+Markniveau!$Y952*Markniveau!$S952/100,"")))</f>
        <v>33.723295792149436</v>
      </c>
      <c r="AK952" s="10">
        <f t="shared" si="149"/>
        <v>16.187181980231728</v>
      </c>
      <c r="AL952" s="10" t="str">
        <f t="shared" si="151"/>
        <v/>
      </c>
      <c r="AM952" s="10" t="str">
        <f t="shared" si="152"/>
        <v/>
      </c>
    </row>
    <row r="953" spans="1:39" x14ac:dyDescent="0.25">
      <c r="A953" s="15">
        <v>28540744</v>
      </c>
      <c r="B953" s="15">
        <v>90.4</v>
      </c>
      <c r="C953" s="15">
        <v>64652</v>
      </c>
      <c r="D953" s="15">
        <v>137119</v>
      </c>
      <c r="E953" s="15" t="s">
        <v>750</v>
      </c>
      <c r="F953" s="15">
        <v>2011</v>
      </c>
      <c r="G953" s="15">
        <v>20110406</v>
      </c>
      <c r="H953" s="15">
        <v>8383</v>
      </c>
      <c r="I953" s="15">
        <v>0.84</v>
      </c>
      <c r="J953" s="6" t="s">
        <v>71</v>
      </c>
      <c r="K953" s="15">
        <v>583</v>
      </c>
      <c r="L953" s="15" t="s">
        <v>154</v>
      </c>
      <c r="M953" s="15" t="s">
        <v>155</v>
      </c>
      <c r="N953" s="11" t="s">
        <v>1384</v>
      </c>
      <c r="O953" s="11" t="s">
        <v>28</v>
      </c>
      <c r="P953" s="11" t="s">
        <v>33</v>
      </c>
      <c r="Q953" s="15">
        <v>0</v>
      </c>
      <c r="R953" s="11" t="s">
        <v>1386</v>
      </c>
      <c r="S953" s="10">
        <v>157.46830381596001</v>
      </c>
      <c r="T953" s="15">
        <v>80</v>
      </c>
      <c r="U953" s="15">
        <v>0</v>
      </c>
      <c r="V953" s="15">
        <v>0</v>
      </c>
      <c r="W953" s="15">
        <v>0</v>
      </c>
      <c r="X953" s="15">
        <f>IF(O953='Udvaskning nøgletal'!$D$65,1,IF(O953='Udvaskning nøgletal'!$D$66,2,IF(O953='Udvaskning nøgletal'!$D$67,3,IF(O953='Udvaskning nøgletal'!$D$68,2,""))))</f>
        <v>1</v>
      </c>
      <c r="Y953" s="15">
        <f>LOOKUP(K953,'Udvaskning nøgletal'!$C$12:$C$60,'Udvaskning nøgletal'!$H$12:$H$60)</f>
        <v>0</v>
      </c>
      <c r="Z953" s="10">
        <f>IF(X953=1,LOOKUP(K953,'Udvaskning nøgletal'!$C$12:$C$60,'Udvaskning nøgletal'!$E$12:$E$60)+Markniveau!Y953*Markniveau!S953/100,IF(X953=2,LOOKUP(K953,'Udvaskning nøgletal'!$C$12:$C$60,'Udvaskning nøgletal'!$F$12:$F$60)+Markniveau!Y953*Markniveau!S953/100,IF(X953=3,LOOKUP(K953,'Udvaskning nøgletal'!$C$12:$C$60,'Udvaskning nøgletal'!G963:G1011)+Markniveau!Y953*Markniveau!S953/100,"")))</f>
        <v>10</v>
      </c>
      <c r="AA953" s="10">
        <f t="shared" si="146"/>
        <v>8.4</v>
      </c>
      <c r="AB953" s="10" t="str">
        <f t="shared" si="145"/>
        <v/>
      </c>
      <c r="AC953" s="10" t="str">
        <f t="shared" si="147"/>
        <v/>
      </c>
      <c r="AD953" s="10">
        <f>IF(AND(Q953&gt;0,Q953&lt;30,K953&lt;8),Markniveau!Z953*'Udvaskning nøgletal'!$I$12/100,IF(AND(Q953&gt;0,Q953&lt;30,K953=216),Markniveau!Z953*'Udvaskning nøgletal'!$I$34/100,Markniveau!Z953))</f>
        <v>10</v>
      </c>
      <c r="AE953" s="10">
        <f t="shared" si="153"/>
        <v>8.4</v>
      </c>
      <c r="AF953" s="10" t="str">
        <f t="shared" si="148"/>
        <v/>
      </c>
      <c r="AG953" s="10" t="str">
        <f t="shared" si="154"/>
        <v/>
      </c>
      <c r="AH953" s="10" t="str">
        <f>IF(AND(Q953&gt;0,Q953&lt;30,K953=216),'Udvaskning nøgletal'!$C$42,IF(AND(Q953&gt;0,Q953&lt;30,K953&gt;7,K953&lt;17),'Udvaskning nøgletal'!$C$61,IF(AND(Q953&gt;0,Q953&lt;30,K953&lt;7),'Udvaskning nøgletal'!$C$62,"")))</f>
        <v/>
      </c>
      <c r="AI953" s="10">
        <f t="shared" si="150"/>
        <v>583</v>
      </c>
      <c r="AJ953" s="10">
        <f>IF($X953=1,LOOKUP(AI953,'Udvaskning nøgletal'!$C$12:$C$62,'Udvaskning nøgletal'!$E$12:$E$62)+Markniveau!$Y953*Markniveau!$S953/100,IF($X953=2,LOOKUP(AI953,'Udvaskning nøgletal'!$C$12:$C$62,'Udvaskning nøgletal'!$F$12:$F$62)+Markniveau!$Y953*Markniveau!$S953/100,IF($X953=3,LOOKUP(AI953,'Udvaskning nøgletal'!$C$12:$C$62,'Udvaskning nøgletal'!Q963:Q1013)+Markniveau!$Y953*Markniveau!$S953/100,"")))</f>
        <v>10</v>
      </c>
      <c r="AK953" s="10">
        <f t="shared" si="149"/>
        <v>8.4</v>
      </c>
      <c r="AL953" s="10" t="str">
        <f t="shared" si="151"/>
        <v/>
      </c>
      <c r="AM953" s="10" t="str">
        <f t="shared" si="152"/>
        <v/>
      </c>
    </row>
    <row r="954" spans="1:39" x14ac:dyDescent="0.25">
      <c r="A954" s="15">
        <v>28540744</v>
      </c>
      <c r="B954" s="15">
        <v>90.4</v>
      </c>
      <c r="C954" s="15">
        <v>64653</v>
      </c>
      <c r="D954" s="15">
        <v>137119</v>
      </c>
      <c r="E954" s="15" t="s">
        <v>751</v>
      </c>
      <c r="F954" s="15">
        <v>2011</v>
      </c>
      <c r="G954" s="15">
        <v>20110406</v>
      </c>
      <c r="H954" s="15">
        <v>7285</v>
      </c>
      <c r="I954" s="15">
        <v>0.73</v>
      </c>
      <c r="J954" s="6" t="s">
        <v>752</v>
      </c>
      <c r="K954" s="15">
        <v>101</v>
      </c>
      <c r="L954" s="15" t="s">
        <v>313</v>
      </c>
      <c r="M954" s="15" t="s">
        <v>5</v>
      </c>
      <c r="N954" s="11" t="s">
        <v>1406</v>
      </c>
      <c r="O954" s="11" t="s">
        <v>46</v>
      </c>
      <c r="P954" s="11" t="s">
        <v>33</v>
      </c>
      <c r="Q954" s="15">
        <v>0</v>
      </c>
      <c r="R954" s="11" t="s">
        <v>1386</v>
      </c>
      <c r="S954" s="10">
        <v>157.46830381596001</v>
      </c>
      <c r="T954" s="15">
        <v>80</v>
      </c>
      <c r="U954" s="15">
        <v>0</v>
      </c>
      <c r="V954" s="15">
        <v>0</v>
      </c>
      <c r="W954" s="15">
        <v>0</v>
      </c>
      <c r="X954" s="15">
        <f>IF(O954='Udvaskning nøgletal'!$D$65,1,IF(O954='Udvaskning nøgletal'!$D$66,2,IF(O954='Udvaskning nøgletal'!$D$67,3,IF(O954='Udvaskning nøgletal'!$D$68,2,""))))</f>
        <v>2</v>
      </c>
      <c r="Y954" s="15">
        <f>LOOKUP(K954,'Udvaskning nøgletal'!$C$12:$C$60,'Udvaskning nøgletal'!$H$12:$H$60)</f>
        <v>5</v>
      </c>
      <c r="Z954" s="10">
        <f>IF(X954=1,LOOKUP(K954,'Udvaskning nøgletal'!$C$12:$C$60,'Udvaskning nøgletal'!$E$12:$E$60)+Markniveau!Y954*Markniveau!S954/100,IF(X954=2,LOOKUP(K954,'Udvaskning nøgletal'!$C$12:$C$60,'Udvaskning nøgletal'!$F$12:$F$60)+Markniveau!Y954*Markniveau!S954/100,IF(X954=3,LOOKUP(K954,'Udvaskning nøgletal'!$C$12:$C$60,'Udvaskning nøgletal'!G964:G1012)+Markniveau!Y954*Markniveau!S954/100,"")))</f>
        <v>31.193415190798</v>
      </c>
      <c r="AA954" s="10">
        <f t="shared" si="146"/>
        <v>22.771193089282541</v>
      </c>
      <c r="AB954" s="10" t="str">
        <f t="shared" si="145"/>
        <v/>
      </c>
      <c r="AC954" s="10" t="str">
        <f t="shared" si="147"/>
        <v/>
      </c>
      <c r="AD954" s="10">
        <f>IF(AND(Q954&gt;0,Q954&lt;30,K954&lt;8),Markniveau!Z954*'Udvaskning nøgletal'!$I$12/100,IF(AND(Q954&gt;0,Q954&lt;30,K954=216),Markniveau!Z954*'Udvaskning nøgletal'!$I$34/100,Markniveau!Z954))</f>
        <v>31.193415190798</v>
      </c>
      <c r="AE954" s="10">
        <f t="shared" si="153"/>
        <v>22.771193089282541</v>
      </c>
      <c r="AF954" s="10" t="str">
        <f t="shared" si="148"/>
        <v/>
      </c>
      <c r="AG954" s="10" t="str">
        <f t="shared" si="154"/>
        <v/>
      </c>
      <c r="AH954" s="10" t="str">
        <f>IF(AND(Q954&gt;0,Q954&lt;30,K954=216),'Udvaskning nøgletal'!$C$42,IF(AND(Q954&gt;0,Q954&lt;30,K954&gt;7,K954&lt;17),'Udvaskning nøgletal'!$C$61,IF(AND(Q954&gt;0,Q954&lt;30,K954&lt;7),'Udvaskning nøgletal'!$C$62,"")))</f>
        <v/>
      </c>
      <c r="AI954" s="10">
        <f t="shared" si="150"/>
        <v>101</v>
      </c>
      <c r="AJ954" s="10">
        <f>IF($X954=1,LOOKUP(AI954,'Udvaskning nøgletal'!$C$12:$C$62,'Udvaskning nøgletal'!$E$12:$E$62)+Markniveau!$Y954*Markniveau!$S954/100,IF($X954=2,LOOKUP(AI954,'Udvaskning nøgletal'!$C$12:$C$62,'Udvaskning nøgletal'!$F$12:$F$62)+Markniveau!$Y954*Markniveau!$S954/100,IF($X954=3,LOOKUP(AI954,'Udvaskning nøgletal'!$C$12:$C$62,'Udvaskning nøgletal'!Q964:Q1014)+Markniveau!$Y954*Markniveau!$S954/100,"")))</f>
        <v>31.193415190798</v>
      </c>
      <c r="AK954" s="10">
        <f t="shared" si="149"/>
        <v>22.771193089282541</v>
      </c>
      <c r="AL954" s="10" t="str">
        <f t="shared" si="151"/>
        <v/>
      </c>
      <c r="AM954" s="10" t="str">
        <f t="shared" si="152"/>
        <v/>
      </c>
    </row>
    <row r="955" spans="1:39" x14ac:dyDescent="0.25">
      <c r="A955" s="15">
        <v>28540744</v>
      </c>
      <c r="B955" s="15">
        <v>90.4</v>
      </c>
      <c r="C955" s="15">
        <v>64654</v>
      </c>
      <c r="D955" s="15">
        <v>137119</v>
      </c>
      <c r="E955" s="15" t="s">
        <v>751</v>
      </c>
      <c r="F955" s="15">
        <v>2011</v>
      </c>
      <c r="G955" s="15">
        <v>20110406</v>
      </c>
      <c r="H955" s="15">
        <v>377556</v>
      </c>
      <c r="I955" s="15">
        <v>37.76</v>
      </c>
      <c r="J955" s="6" t="s">
        <v>753</v>
      </c>
      <c r="K955" s="15">
        <v>101</v>
      </c>
      <c r="L955" s="15" t="s">
        <v>313</v>
      </c>
      <c r="M955" s="15" t="s">
        <v>5</v>
      </c>
      <c r="N955" s="11" t="s">
        <v>1406</v>
      </c>
      <c r="O955" s="11" t="s">
        <v>46</v>
      </c>
      <c r="P955" s="11" t="s">
        <v>33</v>
      </c>
      <c r="Q955" s="15">
        <v>0</v>
      </c>
      <c r="R955" s="11" t="s">
        <v>1386</v>
      </c>
      <c r="S955" s="10">
        <v>157.46830381596001</v>
      </c>
      <c r="T955" s="15">
        <v>80</v>
      </c>
      <c r="U955" s="15">
        <v>0</v>
      </c>
      <c r="V955" s="15">
        <v>0</v>
      </c>
      <c r="W955" s="15">
        <v>0</v>
      </c>
      <c r="X955" s="15">
        <f>IF(O955='Udvaskning nøgletal'!$D$65,1,IF(O955='Udvaskning nøgletal'!$D$66,2,IF(O955='Udvaskning nøgletal'!$D$67,3,IF(O955='Udvaskning nøgletal'!$D$68,2,""))))</f>
        <v>2</v>
      </c>
      <c r="Y955" s="15">
        <f>LOOKUP(K955,'Udvaskning nøgletal'!$C$12:$C$60,'Udvaskning nøgletal'!$H$12:$H$60)</f>
        <v>5</v>
      </c>
      <c r="Z955" s="10">
        <f>IF(X955=1,LOOKUP(K955,'Udvaskning nøgletal'!$C$12:$C$60,'Udvaskning nøgletal'!$E$12:$E$60)+Markniveau!Y955*Markniveau!S955/100,IF(X955=2,LOOKUP(K955,'Udvaskning nøgletal'!$C$12:$C$60,'Udvaskning nøgletal'!$F$12:$F$60)+Markniveau!Y955*Markniveau!S955/100,IF(X955=3,LOOKUP(K955,'Udvaskning nøgletal'!$C$12:$C$60,'Udvaskning nøgletal'!G965:G1013)+Markniveau!Y955*Markniveau!S955/100,"")))</f>
        <v>31.193415190798</v>
      </c>
      <c r="AA955" s="10">
        <f t="shared" si="146"/>
        <v>1177.8633576045324</v>
      </c>
      <c r="AB955" s="10" t="str">
        <f t="shared" si="145"/>
        <v/>
      </c>
      <c r="AC955" s="10" t="str">
        <f t="shared" si="147"/>
        <v/>
      </c>
      <c r="AD955" s="10">
        <f>IF(AND(Q955&gt;0,Q955&lt;30,K955&lt;8),Markniveau!Z955*'Udvaskning nøgletal'!$I$12/100,IF(AND(Q955&gt;0,Q955&lt;30,K955=216),Markniveau!Z955*'Udvaskning nøgletal'!$I$34/100,Markniveau!Z955))</f>
        <v>31.193415190798</v>
      </c>
      <c r="AE955" s="10">
        <f t="shared" si="153"/>
        <v>1177.8633576045324</v>
      </c>
      <c r="AF955" s="10" t="str">
        <f t="shared" si="148"/>
        <v/>
      </c>
      <c r="AG955" s="10" t="str">
        <f t="shared" si="154"/>
        <v/>
      </c>
      <c r="AH955" s="10" t="str">
        <f>IF(AND(Q955&gt;0,Q955&lt;30,K955=216),'Udvaskning nøgletal'!$C$42,IF(AND(Q955&gt;0,Q955&lt;30,K955&gt;7,K955&lt;17),'Udvaskning nøgletal'!$C$61,IF(AND(Q955&gt;0,Q955&lt;30,K955&lt;7),'Udvaskning nøgletal'!$C$62,"")))</f>
        <v/>
      </c>
      <c r="AI955" s="10">
        <f t="shared" si="150"/>
        <v>101</v>
      </c>
      <c r="AJ955" s="10">
        <f>IF($X955=1,LOOKUP(AI955,'Udvaskning nøgletal'!$C$12:$C$62,'Udvaskning nøgletal'!$E$12:$E$62)+Markniveau!$Y955*Markniveau!$S955/100,IF($X955=2,LOOKUP(AI955,'Udvaskning nøgletal'!$C$12:$C$62,'Udvaskning nøgletal'!$F$12:$F$62)+Markniveau!$Y955*Markniveau!$S955/100,IF($X955=3,LOOKUP(AI955,'Udvaskning nøgletal'!$C$12:$C$62,'Udvaskning nøgletal'!Q965:Q1015)+Markniveau!$Y955*Markniveau!$S955/100,"")))</f>
        <v>31.193415190798</v>
      </c>
      <c r="AK955" s="10">
        <f t="shared" si="149"/>
        <v>1177.8633576045324</v>
      </c>
      <c r="AL955" s="10" t="str">
        <f t="shared" si="151"/>
        <v/>
      </c>
      <c r="AM955" s="10" t="str">
        <f t="shared" si="152"/>
        <v/>
      </c>
    </row>
    <row r="956" spans="1:39" x14ac:dyDescent="0.25">
      <c r="A956" s="15">
        <v>28540744</v>
      </c>
      <c r="B956" s="15">
        <v>90.4</v>
      </c>
      <c r="C956" s="15">
        <v>64655</v>
      </c>
      <c r="D956" s="15">
        <v>137119</v>
      </c>
      <c r="E956" s="15" t="s">
        <v>754</v>
      </c>
      <c r="F956" s="15">
        <v>2011</v>
      </c>
      <c r="G956" s="15">
        <v>20110406</v>
      </c>
      <c r="H956" s="15">
        <v>10353</v>
      </c>
      <c r="I956" s="15">
        <v>1.04</v>
      </c>
      <c r="J956" s="6" t="s">
        <v>755</v>
      </c>
      <c r="K956" s="15">
        <v>101</v>
      </c>
      <c r="L956" s="15" t="s">
        <v>313</v>
      </c>
      <c r="M956" s="15" t="s">
        <v>5</v>
      </c>
      <c r="N956" s="11" t="s">
        <v>1406</v>
      </c>
      <c r="O956" s="11" t="s">
        <v>46</v>
      </c>
      <c r="P956" s="11" t="s">
        <v>33</v>
      </c>
      <c r="Q956" s="15">
        <v>0</v>
      </c>
      <c r="R956" s="11" t="s">
        <v>1386</v>
      </c>
      <c r="S956" s="10">
        <v>157.46830381596001</v>
      </c>
      <c r="T956" s="15">
        <v>80</v>
      </c>
      <c r="U956" s="15">
        <v>0</v>
      </c>
      <c r="V956" s="15">
        <v>0</v>
      </c>
      <c r="W956" s="15">
        <v>0</v>
      </c>
      <c r="X956" s="15">
        <f>IF(O956='Udvaskning nøgletal'!$D$65,1,IF(O956='Udvaskning nøgletal'!$D$66,2,IF(O956='Udvaskning nøgletal'!$D$67,3,IF(O956='Udvaskning nøgletal'!$D$68,2,""))))</f>
        <v>2</v>
      </c>
      <c r="Y956" s="15">
        <f>LOOKUP(K956,'Udvaskning nøgletal'!$C$12:$C$60,'Udvaskning nøgletal'!$H$12:$H$60)</f>
        <v>5</v>
      </c>
      <c r="Z956" s="10">
        <f>IF(X956=1,LOOKUP(K956,'Udvaskning nøgletal'!$C$12:$C$60,'Udvaskning nøgletal'!$E$12:$E$60)+Markniveau!Y956*Markniveau!S956/100,IF(X956=2,LOOKUP(K956,'Udvaskning nøgletal'!$C$12:$C$60,'Udvaskning nøgletal'!$F$12:$F$60)+Markniveau!Y956*Markniveau!S956/100,IF(X956=3,LOOKUP(K956,'Udvaskning nøgletal'!$C$12:$C$60,'Udvaskning nøgletal'!G966:G1014)+Markniveau!Y956*Markniveau!S956/100,"")))</f>
        <v>31.193415190798</v>
      </c>
      <c r="AA956" s="10">
        <f t="shared" si="146"/>
        <v>32.441151798429921</v>
      </c>
      <c r="AB956" s="10" t="str">
        <f t="shared" si="145"/>
        <v/>
      </c>
      <c r="AC956" s="10" t="str">
        <f t="shared" si="147"/>
        <v/>
      </c>
      <c r="AD956" s="10">
        <f>IF(AND(Q956&gt;0,Q956&lt;30,K956&lt;8),Markniveau!Z956*'Udvaskning nøgletal'!$I$12/100,IF(AND(Q956&gt;0,Q956&lt;30,K956=216),Markniveau!Z956*'Udvaskning nøgletal'!$I$34/100,Markniveau!Z956))</f>
        <v>31.193415190798</v>
      </c>
      <c r="AE956" s="10">
        <f t="shared" si="153"/>
        <v>32.441151798429921</v>
      </c>
      <c r="AF956" s="10" t="str">
        <f t="shared" si="148"/>
        <v/>
      </c>
      <c r="AG956" s="10" t="str">
        <f t="shared" si="154"/>
        <v/>
      </c>
      <c r="AH956" s="10" t="str">
        <f>IF(AND(Q956&gt;0,Q956&lt;30,K956=216),'Udvaskning nøgletal'!$C$42,IF(AND(Q956&gt;0,Q956&lt;30,K956&gt;7,K956&lt;17),'Udvaskning nøgletal'!$C$61,IF(AND(Q956&gt;0,Q956&lt;30,K956&lt;7),'Udvaskning nøgletal'!$C$62,"")))</f>
        <v/>
      </c>
      <c r="AI956" s="10">
        <f t="shared" si="150"/>
        <v>101</v>
      </c>
      <c r="AJ956" s="10">
        <f>IF($X956=1,LOOKUP(AI956,'Udvaskning nøgletal'!$C$12:$C$62,'Udvaskning nøgletal'!$E$12:$E$62)+Markniveau!$Y956*Markniveau!$S956/100,IF($X956=2,LOOKUP(AI956,'Udvaskning nøgletal'!$C$12:$C$62,'Udvaskning nøgletal'!$F$12:$F$62)+Markniveau!$Y956*Markniveau!$S956/100,IF($X956=3,LOOKUP(AI956,'Udvaskning nøgletal'!$C$12:$C$62,'Udvaskning nøgletal'!Q966:Q1016)+Markniveau!$Y956*Markniveau!$S956/100,"")))</f>
        <v>31.193415190798</v>
      </c>
      <c r="AK956" s="10">
        <f t="shared" si="149"/>
        <v>32.441151798429921</v>
      </c>
      <c r="AL956" s="10" t="str">
        <f t="shared" si="151"/>
        <v/>
      </c>
      <c r="AM956" s="10" t="str">
        <f t="shared" si="152"/>
        <v/>
      </c>
    </row>
    <row r="957" spans="1:39" x14ac:dyDescent="0.25">
      <c r="A957" s="15">
        <v>28540744</v>
      </c>
      <c r="B957" s="15">
        <v>90.4</v>
      </c>
      <c r="C957" s="15">
        <v>64656</v>
      </c>
      <c r="D957" s="15">
        <v>137119</v>
      </c>
      <c r="E957" s="15" t="s">
        <v>756</v>
      </c>
      <c r="F957" s="15">
        <v>2011</v>
      </c>
      <c r="G957" s="15">
        <v>20110406</v>
      </c>
      <c r="H957" s="15">
        <v>58151</v>
      </c>
      <c r="I957" s="15">
        <v>5.82</v>
      </c>
      <c r="J957" s="6" t="s">
        <v>757</v>
      </c>
      <c r="K957" s="15">
        <v>101</v>
      </c>
      <c r="L957" s="15" t="s">
        <v>313</v>
      </c>
      <c r="M957" s="15" t="s">
        <v>5</v>
      </c>
      <c r="N957" s="11" t="s">
        <v>1406</v>
      </c>
      <c r="O957" s="11" t="s">
        <v>46</v>
      </c>
      <c r="P957" s="11" t="s">
        <v>33</v>
      </c>
      <c r="Q957" s="15">
        <v>0</v>
      </c>
      <c r="R957" s="11" t="s">
        <v>1386</v>
      </c>
      <c r="S957" s="10">
        <v>157.46830381596001</v>
      </c>
      <c r="T957" s="15">
        <v>80</v>
      </c>
      <c r="U957" s="15">
        <v>0</v>
      </c>
      <c r="V957" s="15">
        <v>0</v>
      </c>
      <c r="W957" s="15">
        <v>0</v>
      </c>
      <c r="X957" s="15">
        <f>IF(O957='Udvaskning nøgletal'!$D$65,1,IF(O957='Udvaskning nøgletal'!$D$66,2,IF(O957='Udvaskning nøgletal'!$D$67,3,IF(O957='Udvaskning nøgletal'!$D$68,2,""))))</f>
        <v>2</v>
      </c>
      <c r="Y957" s="15">
        <f>LOOKUP(K957,'Udvaskning nøgletal'!$C$12:$C$60,'Udvaskning nøgletal'!$H$12:$H$60)</f>
        <v>5</v>
      </c>
      <c r="Z957" s="10">
        <f>IF(X957=1,LOOKUP(K957,'Udvaskning nøgletal'!$C$12:$C$60,'Udvaskning nøgletal'!$E$12:$E$60)+Markniveau!Y957*Markniveau!S957/100,IF(X957=2,LOOKUP(K957,'Udvaskning nøgletal'!$C$12:$C$60,'Udvaskning nøgletal'!$F$12:$F$60)+Markniveau!Y957*Markniveau!S957/100,IF(X957=3,LOOKUP(K957,'Udvaskning nøgletal'!$C$12:$C$60,'Udvaskning nøgletal'!G967:G1015)+Markniveau!Y957*Markniveau!S957/100,"")))</f>
        <v>31.193415190798</v>
      </c>
      <c r="AA957" s="10">
        <f t="shared" si="146"/>
        <v>181.54567641044437</v>
      </c>
      <c r="AB957" s="10" t="str">
        <f t="shared" si="145"/>
        <v/>
      </c>
      <c r="AC957" s="10" t="str">
        <f t="shared" si="147"/>
        <v/>
      </c>
      <c r="AD957" s="10">
        <f>IF(AND(Q957&gt;0,Q957&lt;30,K957&lt;8),Markniveau!Z957*'Udvaskning nøgletal'!$I$12/100,IF(AND(Q957&gt;0,Q957&lt;30,K957=216),Markniveau!Z957*'Udvaskning nøgletal'!$I$34/100,Markniveau!Z957))</f>
        <v>31.193415190798</v>
      </c>
      <c r="AE957" s="10">
        <f t="shared" si="153"/>
        <v>181.54567641044437</v>
      </c>
      <c r="AF957" s="10" t="str">
        <f t="shared" si="148"/>
        <v/>
      </c>
      <c r="AG957" s="10" t="str">
        <f t="shared" si="154"/>
        <v/>
      </c>
      <c r="AH957" s="10" t="str">
        <f>IF(AND(Q957&gt;0,Q957&lt;30,K957=216),'Udvaskning nøgletal'!$C$42,IF(AND(Q957&gt;0,Q957&lt;30,K957&gt;7,K957&lt;17),'Udvaskning nøgletal'!$C$61,IF(AND(Q957&gt;0,Q957&lt;30,K957&lt;7),'Udvaskning nøgletal'!$C$62,"")))</f>
        <v/>
      </c>
      <c r="AI957" s="10">
        <f t="shared" si="150"/>
        <v>101</v>
      </c>
      <c r="AJ957" s="10">
        <f>IF($X957=1,LOOKUP(AI957,'Udvaskning nøgletal'!$C$12:$C$62,'Udvaskning nøgletal'!$E$12:$E$62)+Markniveau!$Y957*Markniveau!$S957/100,IF($X957=2,LOOKUP(AI957,'Udvaskning nøgletal'!$C$12:$C$62,'Udvaskning nøgletal'!$F$12:$F$62)+Markniveau!$Y957*Markniveau!$S957/100,IF($X957=3,LOOKUP(AI957,'Udvaskning nøgletal'!$C$12:$C$62,'Udvaskning nøgletal'!Q967:Q1017)+Markniveau!$Y957*Markniveau!$S957/100,"")))</f>
        <v>31.193415190798</v>
      </c>
      <c r="AK957" s="10">
        <f t="shared" si="149"/>
        <v>181.54567641044437</v>
      </c>
      <c r="AL957" s="10" t="str">
        <f t="shared" si="151"/>
        <v/>
      </c>
      <c r="AM957" s="10" t="str">
        <f t="shared" si="152"/>
        <v/>
      </c>
    </row>
    <row r="958" spans="1:39" x14ac:dyDescent="0.25">
      <c r="A958" s="15">
        <v>28540744</v>
      </c>
      <c r="B958" s="15">
        <v>90.4</v>
      </c>
      <c r="C958" s="15">
        <v>64657</v>
      </c>
      <c r="D958" s="15">
        <v>137119</v>
      </c>
      <c r="E958" s="15" t="s">
        <v>758</v>
      </c>
      <c r="F958" s="15">
        <v>2011</v>
      </c>
      <c r="G958" s="15">
        <v>20110406</v>
      </c>
      <c r="H958" s="15">
        <v>9389</v>
      </c>
      <c r="I958" s="15">
        <v>0.94</v>
      </c>
      <c r="J958" s="6" t="s">
        <v>759</v>
      </c>
      <c r="K958" s="15">
        <v>263</v>
      </c>
      <c r="L958" s="15" t="s">
        <v>39</v>
      </c>
      <c r="M958" s="15" t="s">
        <v>5</v>
      </c>
      <c r="N958" s="11" t="s">
        <v>1406</v>
      </c>
      <c r="O958" s="11" t="s">
        <v>46</v>
      </c>
      <c r="P958" s="11" t="s">
        <v>33</v>
      </c>
      <c r="Q958" s="15">
        <v>0</v>
      </c>
      <c r="R958" s="11" t="s">
        <v>1386</v>
      </c>
      <c r="S958" s="10">
        <v>157.46830381596001</v>
      </c>
      <c r="T958" s="15">
        <v>80</v>
      </c>
      <c r="U958" s="15">
        <v>0</v>
      </c>
      <c r="V958" s="15">
        <v>0</v>
      </c>
      <c r="W958" s="15">
        <v>0</v>
      </c>
      <c r="X958" s="15">
        <f>IF(O958='Udvaskning nøgletal'!$D$65,1,IF(O958='Udvaskning nøgletal'!$D$66,2,IF(O958='Udvaskning nøgletal'!$D$67,3,IF(O958='Udvaskning nøgletal'!$D$68,2,""))))</f>
        <v>2</v>
      </c>
      <c r="Y958" s="15">
        <f>LOOKUP(K958,'Udvaskning nøgletal'!$C$12:$C$60,'Udvaskning nøgletal'!$H$12:$H$60)</f>
        <v>0</v>
      </c>
      <c r="Z958" s="10">
        <f>IF(X958=1,LOOKUP(K958,'Udvaskning nøgletal'!$C$12:$C$60,'Udvaskning nøgletal'!$E$12:$E$60)+Markniveau!Y958*Markniveau!S958/100,IF(X958=2,LOOKUP(K958,'Udvaskning nøgletal'!$C$12:$C$60,'Udvaskning nøgletal'!$F$12:$F$60)+Markniveau!Y958*Markniveau!S958/100,IF(X958=3,LOOKUP(K958,'Udvaskning nøgletal'!$C$12:$C$60,'Udvaskning nøgletal'!G968:G1016)+Markniveau!Y958*Markniveau!S958/100,"")))</f>
        <v>27.331185321443094</v>
      </c>
      <c r="AA958" s="10">
        <f t="shared" si="146"/>
        <v>25.691314202156509</v>
      </c>
      <c r="AB958" s="10" t="str">
        <f t="shared" si="145"/>
        <v/>
      </c>
      <c r="AC958" s="10" t="str">
        <f t="shared" si="147"/>
        <v/>
      </c>
      <c r="AD958" s="10">
        <f>IF(AND(Q958&gt;0,Q958&lt;30,K958&lt;8),Markniveau!Z958*'Udvaskning nøgletal'!$I$12/100,IF(AND(Q958&gt;0,Q958&lt;30,K958=216),Markniveau!Z958*'Udvaskning nøgletal'!$I$34/100,Markniveau!Z958))</f>
        <v>27.331185321443094</v>
      </c>
      <c r="AE958" s="10">
        <f t="shared" si="153"/>
        <v>25.691314202156509</v>
      </c>
      <c r="AF958" s="10" t="str">
        <f t="shared" si="148"/>
        <v/>
      </c>
      <c r="AG958" s="10" t="str">
        <f t="shared" si="154"/>
        <v/>
      </c>
      <c r="AH958" s="10" t="str">
        <f>IF(AND(Q958&gt;0,Q958&lt;30,K958=216),'Udvaskning nøgletal'!$C$42,IF(AND(Q958&gt;0,Q958&lt;30,K958&gt;7,K958&lt;17),'Udvaskning nøgletal'!$C$61,IF(AND(Q958&gt;0,Q958&lt;30,K958&lt;7),'Udvaskning nøgletal'!$C$62,"")))</f>
        <v/>
      </c>
      <c r="AI958" s="10">
        <f t="shared" si="150"/>
        <v>263</v>
      </c>
      <c r="AJ958" s="10">
        <f>IF($X958=1,LOOKUP(AI958,'Udvaskning nøgletal'!$C$12:$C$62,'Udvaskning nøgletal'!$E$12:$E$62)+Markniveau!$Y958*Markniveau!$S958/100,IF($X958=2,LOOKUP(AI958,'Udvaskning nøgletal'!$C$12:$C$62,'Udvaskning nøgletal'!$F$12:$F$62)+Markniveau!$Y958*Markniveau!$S958/100,IF($X958=3,LOOKUP(AI958,'Udvaskning nøgletal'!$C$12:$C$62,'Udvaskning nøgletal'!Q968:Q1018)+Markniveau!$Y958*Markniveau!$S958/100,"")))</f>
        <v>27.331185321443094</v>
      </c>
      <c r="AK958" s="10">
        <f t="shared" si="149"/>
        <v>25.691314202156509</v>
      </c>
      <c r="AL958" s="10" t="str">
        <f t="shared" si="151"/>
        <v/>
      </c>
      <c r="AM958" s="10" t="str">
        <f t="shared" si="152"/>
        <v/>
      </c>
    </row>
    <row r="959" spans="1:39" x14ac:dyDescent="0.25">
      <c r="A959" s="15">
        <v>28540744</v>
      </c>
      <c r="B959" s="15">
        <v>90.4</v>
      </c>
      <c r="C959" s="15">
        <v>64658</v>
      </c>
      <c r="D959" s="15">
        <v>137119</v>
      </c>
      <c r="E959" s="15" t="s">
        <v>758</v>
      </c>
      <c r="F959" s="15">
        <v>2011</v>
      </c>
      <c r="G959" s="15">
        <v>20110406</v>
      </c>
      <c r="H959" s="15">
        <v>16576</v>
      </c>
      <c r="I959" s="15">
        <v>1.66</v>
      </c>
      <c r="J959" s="6" t="s">
        <v>760</v>
      </c>
      <c r="K959" s="15">
        <v>101</v>
      </c>
      <c r="L959" s="15" t="s">
        <v>313</v>
      </c>
      <c r="M959" s="15" t="s">
        <v>5</v>
      </c>
      <c r="N959" s="11" t="s">
        <v>1406</v>
      </c>
      <c r="O959" s="11" t="s">
        <v>46</v>
      </c>
      <c r="P959" s="11" t="s">
        <v>33</v>
      </c>
      <c r="Q959" s="15">
        <v>0</v>
      </c>
      <c r="R959" s="11" t="s">
        <v>1386</v>
      </c>
      <c r="S959" s="10">
        <v>157.46830381596001</v>
      </c>
      <c r="T959" s="15">
        <v>80</v>
      </c>
      <c r="U959" s="15">
        <v>0</v>
      </c>
      <c r="V959" s="15">
        <v>0</v>
      </c>
      <c r="W959" s="15">
        <v>0</v>
      </c>
      <c r="X959" s="15">
        <f>IF(O959='Udvaskning nøgletal'!$D$65,1,IF(O959='Udvaskning nøgletal'!$D$66,2,IF(O959='Udvaskning nøgletal'!$D$67,3,IF(O959='Udvaskning nøgletal'!$D$68,2,""))))</f>
        <v>2</v>
      </c>
      <c r="Y959" s="15">
        <f>LOOKUP(K959,'Udvaskning nøgletal'!$C$12:$C$60,'Udvaskning nøgletal'!$H$12:$H$60)</f>
        <v>5</v>
      </c>
      <c r="Z959" s="10">
        <f>IF(X959=1,LOOKUP(K959,'Udvaskning nøgletal'!$C$12:$C$60,'Udvaskning nøgletal'!$E$12:$E$60)+Markniveau!Y959*Markniveau!S959/100,IF(X959=2,LOOKUP(K959,'Udvaskning nøgletal'!$C$12:$C$60,'Udvaskning nøgletal'!$F$12:$F$60)+Markniveau!Y959*Markniveau!S959/100,IF(X959=3,LOOKUP(K959,'Udvaskning nøgletal'!$C$12:$C$60,'Udvaskning nøgletal'!G969:G1017)+Markniveau!Y959*Markniveau!S959/100,"")))</f>
        <v>31.193415190798</v>
      </c>
      <c r="AA959" s="10">
        <f t="shared" si="146"/>
        <v>51.781069216724674</v>
      </c>
      <c r="AB959" s="10" t="str">
        <f t="shared" si="145"/>
        <v/>
      </c>
      <c r="AC959" s="10" t="str">
        <f t="shared" si="147"/>
        <v/>
      </c>
      <c r="AD959" s="10">
        <f>IF(AND(Q959&gt;0,Q959&lt;30,K959&lt;8),Markniveau!Z959*'Udvaskning nøgletal'!$I$12/100,IF(AND(Q959&gt;0,Q959&lt;30,K959=216),Markniveau!Z959*'Udvaskning nøgletal'!$I$34/100,Markniveau!Z959))</f>
        <v>31.193415190798</v>
      </c>
      <c r="AE959" s="10">
        <f t="shared" si="153"/>
        <v>51.781069216724674</v>
      </c>
      <c r="AF959" s="10" t="str">
        <f t="shared" si="148"/>
        <v/>
      </c>
      <c r="AG959" s="10" t="str">
        <f t="shared" si="154"/>
        <v/>
      </c>
      <c r="AH959" s="10" t="str">
        <f>IF(AND(Q959&gt;0,Q959&lt;30,K959=216),'Udvaskning nøgletal'!$C$42,IF(AND(Q959&gt;0,Q959&lt;30,K959&gt;7,K959&lt;17),'Udvaskning nøgletal'!$C$61,IF(AND(Q959&gt;0,Q959&lt;30,K959&lt;7),'Udvaskning nøgletal'!$C$62,"")))</f>
        <v/>
      </c>
      <c r="AI959" s="10">
        <f t="shared" si="150"/>
        <v>101</v>
      </c>
      <c r="AJ959" s="10">
        <f>IF($X959=1,LOOKUP(AI959,'Udvaskning nøgletal'!$C$12:$C$62,'Udvaskning nøgletal'!$E$12:$E$62)+Markniveau!$Y959*Markniveau!$S959/100,IF($X959=2,LOOKUP(AI959,'Udvaskning nøgletal'!$C$12:$C$62,'Udvaskning nøgletal'!$F$12:$F$62)+Markniveau!$Y959*Markniveau!$S959/100,IF($X959=3,LOOKUP(AI959,'Udvaskning nøgletal'!$C$12:$C$62,'Udvaskning nøgletal'!Q969:Q1019)+Markniveau!$Y959*Markniveau!$S959/100,"")))</f>
        <v>31.193415190798</v>
      </c>
      <c r="AK959" s="10">
        <f t="shared" si="149"/>
        <v>51.781069216724674</v>
      </c>
      <c r="AL959" s="10" t="str">
        <f t="shared" si="151"/>
        <v/>
      </c>
      <c r="AM959" s="10" t="str">
        <f t="shared" si="152"/>
        <v/>
      </c>
    </row>
    <row r="960" spans="1:39" x14ac:dyDescent="0.25">
      <c r="A960" s="15">
        <v>28540744</v>
      </c>
      <c r="B960" s="15">
        <v>90.4</v>
      </c>
      <c r="C960" s="15">
        <v>66189</v>
      </c>
      <c r="D960" s="15">
        <v>137119</v>
      </c>
      <c r="E960" s="15" t="s">
        <v>732</v>
      </c>
      <c r="F960" s="15">
        <v>2011</v>
      </c>
      <c r="G960" s="15">
        <v>20110406</v>
      </c>
      <c r="H960" s="15">
        <v>322361</v>
      </c>
      <c r="I960" s="15">
        <v>32.24</v>
      </c>
      <c r="J960" s="6" t="s">
        <v>761</v>
      </c>
      <c r="K960" s="15">
        <v>216</v>
      </c>
      <c r="L960" s="15" t="s">
        <v>116</v>
      </c>
      <c r="M960" s="15" t="s">
        <v>5</v>
      </c>
      <c r="N960" s="11" t="s">
        <v>1391</v>
      </c>
      <c r="O960" s="11" t="s">
        <v>46</v>
      </c>
      <c r="P960" s="11" t="s">
        <v>33</v>
      </c>
      <c r="Q960" s="15">
        <v>0</v>
      </c>
      <c r="R960" s="11" t="s">
        <v>1386</v>
      </c>
      <c r="S960" s="10">
        <v>157.46830381596001</v>
      </c>
      <c r="T960" s="15">
        <v>80</v>
      </c>
      <c r="U960" s="15">
        <v>0</v>
      </c>
      <c r="V960" s="15">
        <v>0</v>
      </c>
      <c r="W960" s="15">
        <v>0</v>
      </c>
      <c r="X960" s="15">
        <f>IF(O960='Udvaskning nøgletal'!$D$65,1,IF(O960='Udvaskning nøgletal'!$D$66,2,IF(O960='Udvaskning nøgletal'!$D$67,3,IF(O960='Udvaskning nøgletal'!$D$68,2,""))))</f>
        <v>2</v>
      </c>
      <c r="Y960" s="15">
        <f>LOOKUP(K960,'Udvaskning nøgletal'!$C$12:$C$60,'Udvaskning nøgletal'!$H$12:$H$60)</f>
        <v>0</v>
      </c>
      <c r="Z960" s="10">
        <f>IF(X960=1,LOOKUP(K960,'Udvaskning nøgletal'!$C$12:$C$60,'Udvaskning nøgletal'!$E$12:$E$60)+Markniveau!Y960*Markniveau!S960/100,IF(X960=2,LOOKUP(K960,'Udvaskning nøgletal'!$C$12:$C$60,'Udvaskning nøgletal'!$F$12:$F$60)+Markniveau!Y960*Markniveau!S960/100,IF(X960=3,LOOKUP(K960,'Udvaskning nøgletal'!$C$12:$C$60,'Udvaskning nøgletal'!G970:G1018)+Markniveau!Y960*Markniveau!S960/100,"")))</f>
        <v>101.66744640811392</v>
      </c>
      <c r="AA960" s="10">
        <f t="shared" si="146"/>
        <v>3277.7584721975927</v>
      </c>
      <c r="AB960" s="10" t="str">
        <f t="shared" si="145"/>
        <v/>
      </c>
      <c r="AC960" s="10" t="str">
        <f t="shared" si="147"/>
        <v/>
      </c>
      <c r="AD960" s="10">
        <f>IF(AND(Q960&gt;0,Q960&lt;30,K960&lt;8),Markniveau!Z960*'Udvaskning nøgletal'!$I$12/100,IF(AND(Q960&gt;0,Q960&lt;30,K960=216),Markniveau!Z960*'Udvaskning nøgletal'!$I$34/100,Markniveau!Z960))</f>
        <v>101.66744640811392</v>
      </c>
      <c r="AE960" s="10">
        <f t="shared" si="153"/>
        <v>3277.7584721975927</v>
      </c>
      <c r="AF960" s="10" t="str">
        <f t="shared" si="148"/>
        <v/>
      </c>
      <c r="AG960" s="10" t="str">
        <f t="shared" si="154"/>
        <v/>
      </c>
      <c r="AH960" s="10" t="str">
        <f>IF(AND(Q960&gt;0,Q960&lt;30,K960=216),'Udvaskning nøgletal'!$C$42,IF(AND(Q960&gt;0,Q960&lt;30,K960&gt;7,K960&lt;17),'Udvaskning nøgletal'!$C$61,IF(AND(Q960&gt;0,Q960&lt;30,K960&lt;7),'Udvaskning nøgletal'!$C$62,"")))</f>
        <v/>
      </c>
      <c r="AI960" s="10">
        <f t="shared" si="150"/>
        <v>216</v>
      </c>
      <c r="AJ960" s="10">
        <f>IF($X960=1,LOOKUP(AI960,'Udvaskning nøgletal'!$C$12:$C$62,'Udvaskning nøgletal'!$E$12:$E$62)+Markniveau!$Y960*Markniveau!$S960/100,IF($X960=2,LOOKUP(AI960,'Udvaskning nøgletal'!$C$12:$C$62,'Udvaskning nøgletal'!$F$12:$F$62)+Markniveau!$Y960*Markniveau!$S960/100,IF($X960=3,LOOKUP(AI960,'Udvaskning nøgletal'!$C$12:$C$62,'Udvaskning nøgletal'!Q970:Q1020)+Markniveau!$Y960*Markniveau!$S960/100,"")))</f>
        <v>101.66744640811392</v>
      </c>
      <c r="AK960" s="10">
        <f t="shared" si="149"/>
        <v>3277.7584721975927</v>
      </c>
      <c r="AL960" s="10" t="str">
        <f t="shared" si="151"/>
        <v/>
      </c>
      <c r="AM960" s="10" t="str">
        <f t="shared" si="152"/>
        <v/>
      </c>
    </row>
    <row r="961" spans="1:39" x14ac:dyDescent="0.25">
      <c r="A961" s="15">
        <v>28540744</v>
      </c>
      <c r="B961" s="15">
        <v>90.4</v>
      </c>
      <c r="C961" s="15">
        <v>71357</v>
      </c>
      <c r="D961" s="15">
        <v>137119</v>
      </c>
      <c r="E961" s="15" t="s">
        <v>715</v>
      </c>
      <c r="F961" s="15">
        <v>2011</v>
      </c>
      <c r="G961" s="15">
        <v>20110406</v>
      </c>
      <c r="H961" s="15">
        <v>10624</v>
      </c>
      <c r="I961" s="15">
        <v>1.06</v>
      </c>
      <c r="J961" s="6" t="s">
        <v>53</v>
      </c>
      <c r="K961" s="15">
        <v>11</v>
      </c>
      <c r="L961" s="15" t="s">
        <v>102</v>
      </c>
      <c r="M961" s="15" t="s">
        <v>5</v>
      </c>
      <c r="N961" s="11" t="s">
        <v>1391</v>
      </c>
      <c r="O961" s="11" t="s">
        <v>46</v>
      </c>
      <c r="P961" s="11" t="s">
        <v>33</v>
      </c>
      <c r="Q961" s="15">
        <v>0</v>
      </c>
      <c r="R961" s="11" t="s">
        <v>1386</v>
      </c>
      <c r="S961" s="10">
        <v>157.46830381596001</v>
      </c>
      <c r="T961" s="15">
        <v>80</v>
      </c>
      <c r="U961" s="15">
        <v>0</v>
      </c>
      <c r="V961" s="15">
        <v>0</v>
      </c>
      <c r="W961" s="15">
        <v>0</v>
      </c>
      <c r="X961" s="15">
        <f>IF(O961='Udvaskning nøgletal'!$D$65,1,IF(O961='Udvaskning nøgletal'!$D$66,2,IF(O961='Udvaskning nøgletal'!$D$67,3,IF(O961='Udvaskning nøgletal'!$D$68,2,""))))</f>
        <v>2</v>
      </c>
      <c r="Y961" s="15">
        <f>LOOKUP(K961,'Udvaskning nøgletal'!$C$12:$C$60,'Udvaskning nøgletal'!$H$12:$H$60)</f>
        <v>5</v>
      </c>
      <c r="Z961" s="10">
        <f>IF(X961=1,LOOKUP(K961,'Udvaskning nøgletal'!$C$12:$C$60,'Udvaskning nøgletal'!$E$12:$E$60)+Markniveau!Y961*Markniveau!S961/100,IF(X961=2,LOOKUP(K961,'Udvaskning nøgletal'!$C$12:$C$60,'Udvaskning nøgletal'!$F$12:$F$60)+Markniveau!Y961*Markniveau!S961/100,IF(X961=3,LOOKUP(K961,'Udvaskning nøgletal'!$C$12:$C$60,'Udvaskning nøgletal'!G971:G1019)+Markniveau!Y961*Markniveau!S961/100,"")))</f>
        <v>58.753415190798002</v>
      </c>
      <c r="AA961" s="10">
        <f t="shared" si="146"/>
        <v>62.278620102245888</v>
      </c>
      <c r="AB961" s="10" t="str">
        <f t="shared" si="145"/>
        <v/>
      </c>
      <c r="AC961" s="10" t="str">
        <f t="shared" si="147"/>
        <v/>
      </c>
      <c r="AD961" s="10">
        <f>IF(AND(Q961&gt;0,Q961&lt;30,K961&lt;8),Markniveau!Z961*'Udvaskning nøgletal'!$I$12/100,IF(AND(Q961&gt;0,Q961&lt;30,K961=216),Markniveau!Z961*'Udvaskning nøgletal'!$I$34/100,Markniveau!Z961))</f>
        <v>58.753415190798002</v>
      </c>
      <c r="AE961" s="10">
        <f t="shared" si="153"/>
        <v>62.278620102245888</v>
      </c>
      <c r="AF961" s="10" t="str">
        <f t="shared" si="148"/>
        <v/>
      </c>
      <c r="AG961" s="10" t="str">
        <f t="shared" si="154"/>
        <v/>
      </c>
      <c r="AH961" s="10" t="str">
        <f>IF(AND(Q961&gt;0,Q961&lt;30,K961=216),'Udvaskning nøgletal'!$C$42,IF(AND(Q961&gt;0,Q961&lt;30,K961&gt;7,K961&lt;17),'Udvaskning nøgletal'!$C$61,IF(AND(Q961&gt;0,Q961&lt;30,K961&lt;7),'Udvaskning nøgletal'!$C$62,"")))</f>
        <v/>
      </c>
      <c r="AI961" s="10">
        <f t="shared" si="150"/>
        <v>11</v>
      </c>
      <c r="AJ961" s="10">
        <f>IF($X961=1,LOOKUP(AI961,'Udvaskning nøgletal'!$C$12:$C$62,'Udvaskning nøgletal'!$E$12:$E$62)+Markniveau!$Y961*Markniveau!$S961/100,IF($X961=2,LOOKUP(AI961,'Udvaskning nøgletal'!$C$12:$C$62,'Udvaskning nøgletal'!$F$12:$F$62)+Markniveau!$Y961*Markniveau!$S961/100,IF($X961=3,LOOKUP(AI961,'Udvaskning nøgletal'!$C$12:$C$62,'Udvaskning nøgletal'!Q971:Q1021)+Markniveau!$Y961*Markniveau!$S961/100,"")))</f>
        <v>58.753415190798002</v>
      </c>
      <c r="AK961" s="10">
        <f t="shared" si="149"/>
        <v>62.278620102245888</v>
      </c>
      <c r="AL961" s="10" t="str">
        <f t="shared" si="151"/>
        <v/>
      </c>
      <c r="AM961" s="10" t="str">
        <f t="shared" si="152"/>
        <v/>
      </c>
    </row>
    <row r="962" spans="1:39" x14ac:dyDescent="0.25">
      <c r="A962" s="15">
        <v>28540744</v>
      </c>
      <c r="B962" s="15">
        <v>90.4</v>
      </c>
      <c r="C962" s="15">
        <v>74975</v>
      </c>
      <c r="D962" s="15">
        <v>137119</v>
      </c>
      <c r="E962" s="15" t="s">
        <v>762</v>
      </c>
      <c r="F962" s="15">
        <v>2011</v>
      </c>
      <c r="G962" s="15">
        <v>20110406</v>
      </c>
      <c r="H962" s="15">
        <v>203453</v>
      </c>
      <c r="I962" s="15">
        <v>20.350000000000001</v>
      </c>
      <c r="J962" s="6" t="s">
        <v>61</v>
      </c>
      <c r="K962" s="15">
        <v>11</v>
      </c>
      <c r="L962" s="15" t="s">
        <v>102</v>
      </c>
      <c r="M962" s="15" t="s">
        <v>5</v>
      </c>
      <c r="N962" s="11" t="s">
        <v>1384</v>
      </c>
      <c r="O962" s="11" t="s">
        <v>28</v>
      </c>
      <c r="P962" s="11" t="s">
        <v>29</v>
      </c>
      <c r="Q962" s="15">
        <v>90</v>
      </c>
      <c r="R962" s="11" t="s">
        <v>8</v>
      </c>
      <c r="S962" s="10">
        <v>157.46830381596001</v>
      </c>
      <c r="T962" s="15">
        <v>80</v>
      </c>
      <c r="U962" s="15">
        <v>0</v>
      </c>
      <c r="V962" s="15">
        <v>0</v>
      </c>
      <c r="W962" s="15">
        <v>0</v>
      </c>
      <c r="X962" s="15">
        <f>IF(O962='Udvaskning nøgletal'!$D$65,1,IF(O962='Udvaskning nøgletal'!$D$66,2,IF(O962='Udvaskning nøgletal'!$D$67,3,IF(O962='Udvaskning nøgletal'!$D$68,2,""))))</f>
        <v>1</v>
      </c>
      <c r="Y962" s="15">
        <f>LOOKUP(K962,'Udvaskning nøgletal'!$C$12:$C$60,'Udvaskning nøgletal'!$H$12:$H$60)</f>
        <v>5</v>
      </c>
      <c r="Z962" s="10">
        <f>IF(X962=1,LOOKUP(K962,'Udvaskning nøgletal'!$C$12:$C$60,'Udvaskning nøgletal'!$E$12:$E$60)+Markniveau!Y962*Markniveau!S962/100,IF(X962=2,LOOKUP(K962,'Udvaskning nøgletal'!$C$12:$C$60,'Udvaskning nøgletal'!$F$12:$F$60)+Markniveau!Y962*Markniveau!S962/100,IF(X962=3,LOOKUP(K962,'Udvaskning nøgletal'!$C$12:$C$60,'Udvaskning nøgletal'!G972:G1020)+Markniveau!Y962*Markniveau!S962/100,"")))</f>
        <v>72.533415190797996</v>
      </c>
      <c r="AA962" s="10">
        <f t="shared" si="146"/>
        <v>1476.0549991327393</v>
      </c>
      <c r="AB962" s="10">
        <f t="shared" ref="AB962:AB1025" si="155">IF(Q962&gt;0,(100-Q962)*Z962/100,"")</f>
        <v>7.2533415190797994</v>
      </c>
      <c r="AC962" s="10">
        <f t="shared" si="147"/>
        <v>147.60549991327392</v>
      </c>
      <c r="AD962" s="10">
        <f>IF(AND(Q962&gt;0,Q962&lt;30,K962&lt;8),Markniveau!Z962*'Udvaskning nøgletal'!$I$12/100,IF(AND(Q962&gt;0,Q962&lt;30,K962=216),Markniveau!Z962*'Udvaskning nøgletal'!$I$34/100,Markniveau!Z962))</f>
        <v>72.533415190797996</v>
      </c>
      <c r="AE962" s="10">
        <f t="shared" si="153"/>
        <v>1476.0549991327393</v>
      </c>
      <c r="AF962" s="10">
        <f t="shared" si="148"/>
        <v>7.2533415190797994</v>
      </c>
      <c r="AG962" s="10">
        <f t="shared" si="154"/>
        <v>147.60549991327392</v>
      </c>
      <c r="AH962" s="10" t="str">
        <f>IF(AND(Q962&gt;0,Q962&lt;30,K962=216),'Udvaskning nøgletal'!$C$42,IF(AND(Q962&gt;0,Q962&lt;30,K962&gt;7,K962&lt;17),'Udvaskning nøgletal'!$C$61,IF(AND(Q962&gt;0,Q962&lt;30,K962&lt;7),'Udvaskning nøgletal'!$C$62,"")))</f>
        <v/>
      </c>
      <c r="AI962" s="10">
        <f t="shared" si="150"/>
        <v>11</v>
      </c>
      <c r="AJ962" s="10">
        <f>IF($X962=1,LOOKUP(AI962,'Udvaskning nøgletal'!$C$12:$C$62,'Udvaskning nøgletal'!$E$12:$E$62)+Markniveau!$Y962*Markniveau!$S962/100,IF($X962=2,LOOKUP(AI962,'Udvaskning nøgletal'!$C$12:$C$62,'Udvaskning nøgletal'!$F$12:$F$62)+Markniveau!$Y962*Markniveau!$S962/100,IF($X962=3,LOOKUP(AI962,'Udvaskning nøgletal'!$C$12:$C$62,'Udvaskning nøgletal'!Q972:Q1022)+Markniveau!$Y962*Markniveau!$S962/100,"")))</f>
        <v>72.533415190797996</v>
      </c>
      <c r="AK962" s="10">
        <f t="shared" si="149"/>
        <v>1476.0549991327393</v>
      </c>
      <c r="AL962" s="10">
        <f t="shared" si="151"/>
        <v>7.2533415190797994</v>
      </c>
      <c r="AM962" s="10">
        <f t="shared" si="152"/>
        <v>147.60549991327392</v>
      </c>
    </row>
    <row r="963" spans="1:39" x14ac:dyDescent="0.25">
      <c r="A963" s="15">
        <v>28540744</v>
      </c>
      <c r="B963" s="15">
        <v>90.4</v>
      </c>
      <c r="C963" s="15">
        <v>75498</v>
      </c>
      <c r="D963" s="15">
        <v>137119</v>
      </c>
      <c r="E963" s="15" t="s">
        <v>763</v>
      </c>
      <c r="F963" s="15">
        <v>2011</v>
      </c>
      <c r="G963" s="15">
        <v>20110406</v>
      </c>
      <c r="H963" s="15">
        <v>150544</v>
      </c>
      <c r="I963" s="15">
        <v>15.05</v>
      </c>
      <c r="J963" s="6" t="s">
        <v>37</v>
      </c>
      <c r="K963" s="15">
        <v>11</v>
      </c>
      <c r="L963" s="15" t="s">
        <v>102</v>
      </c>
      <c r="M963" s="15" t="s">
        <v>5</v>
      </c>
      <c r="N963" s="11" t="s">
        <v>1406</v>
      </c>
      <c r="O963" s="11" t="s">
        <v>46</v>
      </c>
      <c r="P963" s="11" t="s">
        <v>29</v>
      </c>
      <c r="Q963" s="15">
        <v>90</v>
      </c>
      <c r="R963" s="11" t="s">
        <v>8</v>
      </c>
      <c r="S963" s="10">
        <v>157.46830381596001</v>
      </c>
      <c r="T963" s="15">
        <v>80</v>
      </c>
      <c r="U963" s="15">
        <v>0</v>
      </c>
      <c r="V963" s="15">
        <v>0</v>
      </c>
      <c r="W963" s="15">
        <v>0</v>
      </c>
      <c r="X963" s="15">
        <f>IF(O963='Udvaskning nøgletal'!$D$65,1,IF(O963='Udvaskning nøgletal'!$D$66,2,IF(O963='Udvaskning nøgletal'!$D$67,3,IF(O963='Udvaskning nøgletal'!$D$68,2,""))))</f>
        <v>2</v>
      </c>
      <c r="Y963" s="15">
        <f>LOOKUP(K963,'Udvaskning nøgletal'!$C$12:$C$60,'Udvaskning nøgletal'!$H$12:$H$60)</f>
        <v>5</v>
      </c>
      <c r="Z963" s="10">
        <f>IF(X963=1,LOOKUP(K963,'Udvaskning nøgletal'!$C$12:$C$60,'Udvaskning nøgletal'!$E$12:$E$60)+Markniveau!Y963*Markniveau!S963/100,IF(X963=2,LOOKUP(K963,'Udvaskning nøgletal'!$C$12:$C$60,'Udvaskning nøgletal'!$F$12:$F$60)+Markniveau!Y963*Markniveau!S963/100,IF(X963=3,LOOKUP(K963,'Udvaskning nøgletal'!$C$12:$C$60,'Udvaskning nøgletal'!G973:G1021)+Markniveau!Y963*Markniveau!S963/100,"")))</f>
        <v>58.753415190798002</v>
      </c>
      <c r="AA963" s="10">
        <f t="shared" ref="AA963:AA1026" si="156">Z963*I963</f>
        <v>884.23889862150997</v>
      </c>
      <c r="AB963" s="10">
        <f t="shared" si="155"/>
        <v>5.8753415190798002</v>
      </c>
      <c r="AC963" s="10">
        <f t="shared" ref="AC963:AC1026" si="157">IF(Q963&gt;0,AB963*I963,"")</f>
        <v>88.423889862151</v>
      </c>
      <c r="AD963" s="10">
        <f>IF(AND(Q963&gt;0,Q963&lt;30,K963&lt;8),Markniveau!Z963*'Udvaskning nøgletal'!$I$12/100,IF(AND(Q963&gt;0,Q963&lt;30,K963=216),Markniveau!Z963*'Udvaskning nøgletal'!$I$34/100,Markniveau!Z963))</f>
        <v>58.753415190798002</v>
      </c>
      <c r="AE963" s="10">
        <f t="shared" si="153"/>
        <v>884.23889862150997</v>
      </c>
      <c r="AF963" s="10">
        <f t="shared" ref="AF963:AF1026" si="158">IF($Q963&gt;0,(100-$Q963)*$AD963/100,"")</f>
        <v>5.8753415190798002</v>
      </c>
      <c r="AG963" s="10">
        <f t="shared" si="154"/>
        <v>88.423889862151</v>
      </c>
      <c r="AH963" s="10" t="str">
        <f>IF(AND(Q963&gt;0,Q963&lt;30,K963=216),'Udvaskning nøgletal'!$C$42,IF(AND(Q963&gt;0,Q963&lt;30,K963&gt;7,K963&lt;17),'Udvaskning nøgletal'!$C$61,IF(AND(Q963&gt;0,Q963&lt;30,K963&lt;7),'Udvaskning nøgletal'!$C$62,"")))</f>
        <v/>
      </c>
      <c r="AI963" s="10">
        <f t="shared" si="150"/>
        <v>11</v>
      </c>
      <c r="AJ963" s="10">
        <f>IF($X963=1,LOOKUP(AI963,'Udvaskning nøgletal'!$C$12:$C$62,'Udvaskning nøgletal'!$E$12:$E$62)+Markniveau!$Y963*Markniveau!$S963/100,IF($X963=2,LOOKUP(AI963,'Udvaskning nøgletal'!$C$12:$C$62,'Udvaskning nøgletal'!$F$12:$F$62)+Markniveau!$Y963*Markniveau!$S963/100,IF($X963=3,LOOKUP(AI963,'Udvaskning nøgletal'!$C$12:$C$62,'Udvaskning nøgletal'!Q973:Q1023)+Markniveau!$Y963*Markniveau!$S963/100,"")))</f>
        <v>58.753415190798002</v>
      </c>
      <c r="AK963" s="10">
        <f t="shared" ref="AK963:AK1026" si="159">AJ963*$I963</f>
        <v>884.23889862150997</v>
      </c>
      <c r="AL963" s="10">
        <f t="shared" si="151"/>
        <v>5.8753415190798002</v>
      </c>
      <c r="AM963" s="10">
        <f t="shared" si="152"/>
        <v>88.423889862151</v>
      </c>
    </row>
    <row r="964" spans="1:39" x14ac:dyDescent="0.25">
      <c r="A964" s="15">
        <v>28540744</v>
      </c>
      <c r="B964" s="15">
        <v>90.4</v>
      </c>
      <c r="C964" s="15">
        <v>75499</v>
      </c>
      <c r="D964" s="15">
        <v>137119</v>
      </c>
      <c r="E964" s="15" t="s">
        <v>276</v>
      </c>
      <c r="F964" s="15">
        <v>2011</v>
      </c>
      <c r="G964" s="15">
        <v>20110406</v>
      </c>
      <c r="H964" s="15">
        <v>29599</v>
      </c>
      <c r="I964" s="15">
        <v>2.96</v>
      </c>
      <c r="J964" s="6" t="s">
        <v>34</v>
      </c>
      <c r="K964" s="15">
        <v>11</v>
      </c>
      <c r="L964" s="15" t="s">
        <v>102</v>
      </c>
      <c r="M964" s="15" t="s">
        <v>5</v>
      </c>
      <c r="N964" s="11" t="s">
        <v>1384</v>
      </c>
      <c r="O964" s="11" t="s">
        <v>28</v>
      </c>
      <c r="P964" s="11" t="s">
        <v>33</v>
      </c>
      <c r="Q964" s="15">
        <v>25</v>
      </c>
      <c r="R964" s="11" t="s">
        <v>7</v>
      </c>
      <c r="S964" s="10">
        <v>157.46830381596001</v>
      </c>
      <c r="T964" s="15">
        <v>80</v>
      </c>
      <c r="U964" s="15">
        <v>0</v>
      </c>
      <c r="V964" s="15">
        <v>0</v>
      </c>
      <c r="W964" s="15">
        <v>0</v>
      </c>
      <c r="X964" s="15">
        <f>IF(O964='Udvaskning nøgletal'!$D$65,1,IF(O964='Udvaskning nøgletal'!$D$66,2,IF(O964='Udvaskning nøgletal'!$D$67,3,IF(O964='Udvaskning nøgletal'!$D$68,2,""))))</f>
        <v>1</v>
      </c>
      <c r="Y964" s="15">
        <f>LOOKUP(K964,'Udvaskning nøgletal'!$C$12:$C$60,'Udvaskning nøgletal'!$H$12:$H$60)</f>
        <v>5</v>
      </c>
      <c r="Z964" s="10">
        <f>IF(X964=1,LOOKUP(K964,'Udvaskning nøgletal'!$C$12:$C$60,'Udvaskning nøgletal'!$E$12:$E$60)+Markniveau!Y964*Markniveau!S964/100,IF(X964=2,LOOKUP(K964,'Udvaskning nøgletal'!$C$12:$C$60,'Udvaskning nøgletal'!$F$12:$F$60)+Markniveau!Y964*Markniveau!S964/100,IF(X964=3,LOOKUP(K964,'Udvaskning nøgletal'!$C$12:$C$60,'Udvaskning nøgletal'!G974:G1022)+Markniveau!Y964*Markniveau!S964/100,"")))</f>
        <v>72.533415190797996</v>
      </c>
      <c r="AA964" s="10">
        <f t="shared" si="156"/>
        <v>214.69890896476207</v>
      </c>
      <c r="AB964" s="10">
        <f t="shared" si="155"/>
        <v>54.400061393098497</v>
      </c>
      <c r="AC964" s="10">
        <f t="shared" si="157"/>
        <v>161.02418172357156</v>
      </c>
      <c r="AD964" s="10">
        <f>IF(AND(Q964&gt;0,Q964&lt;30,K964&lt;8),Markniveau!Z964*'Udvaskning nøgletal'!$I$12/100,IF(AND(Q964&gt;0,Q964&lt;30,K964=216),Markniveau!Z964*'Udvaskning nøgletal'!$I$34/100,Markniveau!Z964))</f>
        <v>72.533415190797996</v>
      </c>
      <c r="AE964" s="10">
        <f t="shared" si="153"/>
        <v>214.69890896476207</v>
      </c>
      <c r="AF964" s="10">
        <f t="shared" si="158"/>
        <v>54.400061393098497</v>
      </c>
      <c r="AG964" s="10">
        <f t="shared" si="154"/>
        <v>161.02418172357156</v>
      </c>
      <c r="AH964" s="10">
        <f>IF(AND(Q964&gt;0,Q964&lt;30,K964=216),'Udvaskning nøgletal'!$C$42,IF(AND(Q964&gt;0,Q964&lt;30,K964&gt;7,K964&lt;17),'Udvaskning nøgletal'!$C$61,IF(AND(Q964&gt;0,Q964&lt;30,K964&lt;7),'Udvaskning nøgletal'!$C$62,"")))</f>
        <v>1001</v>
      </c>
      <c r="AI964" s="10">
        <f t="shared" si="150"/>
        <v>1001</v>
      </c>
      <c r="AJ964" s="10">
        <f>IF($X964=1,LOOKUP(AI964,'Udvaskning nøgletal'!$C$12:$C$62,'Udvaskning nøgletal'!$E$12:$E$62)+Markniveau!$Y964*Markniveau!$S964/100,IF($X964=2,LOOKUP(AI964,'Udvaskning nøgletal'!$C$12:$C$62,'Udvaskning nøgletal'!$F$12:$F$62)+Markniveau!$Y964*Markniveau!$S964/100,IF($X964=3,LOOKUP(AI964,'Udvaskning nøgletal'!$C$12:$C$62,'Udvaskning nøgletal'!Q974:Q1024)+Markniveau!$Y964*Markniveau!$S964/100,"")))</f>
        <v>38.373415190797999</v>
      </c>
      <c r="AK964" s="10">
        <f t="shared" si="159"/>
        <v>113.58530896476208</v>
      </c>
      <c r="AL964" s="10">
        <f t="shared" si="151"/>
        <v>28.780061393098499</v>
      </c>
      <c r="AM964" s="10">
        <f t="shared" si="152"/>
        <v>85.188981723571558</v>
      </c>
    </row>
    <row r="965" spans="1:39" x14ac:dyDescent="0.25">
      <c r="A965" s="15">
        <v>28540744</v>
      </c>
      <c r="B965" s="15">
        <v>90.4</v>
      </c>
      <c r="C965" s="15">
        <v>75501</v>
      </c>
      <c r="D965" s="15">
        <v>137119</v>
      </c>
      <c r="E965" s="15" t="s">
        <v>381</v>
      </c>
      <c r="F965" s="15">
        <v>2011</v>
      </c>
      <c r="G965" s="15">
        <v>20110406</v>
      </c>
      <c r="H965" s="15">
        <v>46592</v>
      </c>
      <c r="I965" s="15">
        <v>4.66</v>
      </c>
      <c r="J965" s="6" t="s">
        <v>1410</v>
      </c>
      <c r="K965" s="15">
        <v>22</v>
      </c>
      <c r="L965" s="15" t="s">
        <v>213</v>
      </c>
      <c r="M965" s="15" t="s">
        <v>5</v>
      </c>
      <c r="N965" s="11" t="s">
        <v>1384</v>
      </c>
      <c r="O965" s="11" t="s">
        <v>28</v>
      </c>
      <c r="P965" s="11" t="s">
        <v>29</v>
      </c>
      <c r="Q965" s="15">
        <v>95</v>
      </c>
      <c r="R965" s="11" t="s">
        <v>3</v>
      </c>
      <c r="S965" s="10">
        <v>157.46830381596001</v>
      </c>
      <c r="T965" s="15">
        <v>80</v>
      </c>
      <c r="U965" s="15">
        <v>0</v>
      </c>
      <c r="V965" s="15">
        <v>0</v>
      </c>
      <c r="W965" s="15">
        <v>0</v>
      </c>
      <c r="X965" s="15">
        <f>IF(O965='Udvaskning nøgletal'!$D$65,1,IF(O965='Udvaskning nøgletal'!$D$66,2,IF(O965='Udvaskning nøgletal'!$D$67,3,IF(O965='Udvaskning nøgletal'!$D$68,2,""))))</f>
        <v>1</v>
      </c>
      <c r="Y965" s="15">
        <f>LOOKUP(K965,'Udvaskning nøgletal'!$C$12:$C$60,'Udvaskning nøgletal'!$H$12:$H$60)</f>
        <v>5</v>
      </c>
      <c r="Z965" s="10">
        <f>IF(X965=1,LOOKUP(K965,'Udvaskning nøgletal'!$C$12:$C$60,'Udvaskning nøgletal'!$E$12:$E$60)+Markniveau!Y965*Markniveau!S965/100,IF(X965=2,LOOKUP(K965,'Udvaskning nøgletal'!$C$12:$C$60,'Udvaskning nøgletal'!$F$12:$F$60)+Markniveau!Y965*Markniveau!S965/100,IF(X965=3,LOOKUP(K965,'Udvaskning nøgletal'!$C$12:$C$60,'Udvaskning nøgletal'!G975:G1023)+Markniveau!Y965*Markniveau!S965/100,"")))</f>
        <v>72.533415190797996</v>
      </c>
      <c r="AA965" s="10">
        <f t="shared" si="156"/>
        <v>338.00571478911866</v>
      </c>
      <c r="AB965" s="10">
        <f t="shared" si="155"/>
        <v>3.6266707595398997</v>
      </c>
      <c r="AC965" s="10">
        <f t="shared" si="157"/>
        <v>16.900285739455931</v>
      </c>
      <c r="AD965" s="10">
        <f>IF(AND(Q965&gt;0,Q965&lt;30,K965&lt;8),Markniveau!Z965*'Udvaskning nøgletal'!$I$12/100,IF(AND(Q965&gt;0,Q965&lt;30,K965=216),Markniveau!Z965*'Udvaskning nøgletal'!$I$34/100,Markniveau!Z965))</f>
        <v>72.533415190797996</v>
      </c>
      <c r="AE965" s="10">
        <f t="shared" si="153"/>
        <v>338.00571478911866</v>
      </c>
      <c r="AF965" s="10">
        <f t="shared" si="158"/>
        <v>3.6266707595398997</v>
      </c>
      <c r="AG965" s="10">
        <f t="shared" si="154"/>
        <v>16.900285739455931</v>
      </c>
      <c r="AH965" s="10" t="str">
        <f>IF(AND(Q965&gt;0,Q965&lt;30,K965=216),'Udvaskning nøgletal'!$C$42,IF(AND(Q965&gt;0,Q965&lt;30,K965&gt;7,K965&lt;17),'Udvaskning nøgletal'!$C$61,IF(AND(Q965&gt;0,Q965&lt;30,K965&lt;7),'Udvaskning nøgletal'!$C$62,"")))</f>
        <v/>
      </c>
      <c r="AI965" s="10">
        <f t="shared" si="150"/>
        <v>22</v>
      </c>
      <c r="AJ965" s="10">
        <f>IF($X965=1,LOOKUP(AI965,'Udvaskning nøgletal'!$C$12:$C$62,'Udvaskning nøgletal'!$E$12:$E$62)+Markniveau!$Y965*Markniveau!$S965/100,IF($X965=2,LOOKUP(AI965,'Udvaskning nøgletal'!$C$12:$C$62,'Udvaskning nøgletal'!$F$12:$F$62)+Markniveau!$Y965*Markniveau!$S965/100,IF($X965=3,LOOKUP(AI965,'Udvaskning nøgletal'!$C$12:$C$62,'Udvaskning nøgletal'!Q975:Q1025)+Markniveau!$Y965*Markniveau!$S965/100,"")))</f>
        <v>72.533415190797996</v>
      </c>
      <c r="AK965" s="10">
        <f t="shared" si="159"/>
        <v>338.00571478911866</v>
      </c>
      <c r="AL965" s="10">
        <f t="shared" si="151"/>
        <v>3.6266707595398997</v>
      </c>
      <c r="AM965" s="10">
        <f t="shared" si="152"/>
        <v>16.900285739455931</v>
      </c>
    </row>
    <row r="966" spans="1:39" x14ac:dyDescent="0.25">
      <c r="A966" s="15">
        <v>28540744</v>
      </c>
      <c r="B966" s="15">
        <v>90.4</v>
      </c>
      <c r="C966" s="15">
        <v>75502</v>
      </c>
      <c r="D966" s="15">
        <v>137119</v>
      </c>
      <c r="E966" s="15" t="s">
        <v>764</v>
      </c>
      <c r="F966" s="15">
        <v>2011</v>
      </c>
      <c r="G966" s="15">
        <v>20110406</v>
      </c>
      <c r="H966" s="15">
        <v>2208</v>
      </c>
      <c r="I966" s="15">
        <v>0.22</v>
      </c>
      <c r="J966" s="6" t="s">
        <v>1400</v>
      </c>
      <c r="K966" s="15">
        <v>263</v>
      </c>
      <c r="L966" s="15" t="s">
        <v>39</v>
      </c>
      <c r="M966" s="15" t="s">
        <v>5</v>
      </c>
      <c r="N966" s="11" t="s">
        <v>1406</v>
      </c>
      <c r="O966" s="11" t="s">
        <v>46</v>
      </c>
      <c r="P966" s="11" t="s">
        <v>33</v>
      </c>
      <c r="Q966" s="15">
        <v>1</v>
      </c>
      <c r="R966" s="11" t="s">
        <v>11</v>
      </c>
      <c r="S966" s="10">
        <v>157.46830381596001</v>
      </c>
      <c r="T966" s="15">
        <v>80</v>
      </c>
      <c r="U966" s="15">
        <v>0</v>
      </c>
      <c r="V966" s="15">
        <v>0</v>
      </c>
      <c r="W966" s="15">
        <v>0</v>
      </c>
      <c r="X966" s="15">
        <f>IF(O966='Udvaskning nøgletal'!$D$65,1,IF(O966='Udvaskning nøgletal'!$D$66,2,IF(O966='Udvaskning nøgletal'!$D$67,3,IF(O966='Udvaskning nøgletal'!$D$68,2,""))))</f>
        <v>2</v>
      </c>
      <c r="Y966" s="15">
        <f>LOOKUP(K966,'Udvaskning nøgletal'!$C$12:$C$60,'Udvaskning nøgletal'!$H$12:$H$60)</f>
        <v>0</v>
      </c>
      <c r="Z966" s="10">
        <f>IF(X966=1,LOOKUP(K966,'Udvaskning nøgletal'!$C$12:$C$60,'Udvaskning nøgletal'!$E$12:$E$60)+Markniveau!Y966*Markniveau!S966/100,IF(X966=2,LOOKUP(K966,'Udvaskning nøgletal'!$C$12:$C$60,'Udvaskning nøgletal'!$F$12:$F$60)+Markniveau!Y966*Markniveau!S966/100,IF(X966=3,LOOKUP(K966,'Udvaskning nøgletal'!$C$12:$C$60,'Udvaskning nøgletal'!G976:G1024)+Markniveau!Y966*Markniveau!S966/100,"")))</f>
        <v>27.331185321443094</v>
      </c>
      <c r="AA966" s="10">
        <f t="shared" si="156"/>
        <v>6.0128607707174808</v>
      </c>
      <c r="AB966" s="10">
        <f t="shared" si="155"/>
        <v>27.057873468228664</v>
      </c>
      <c r="AC966" s="10">
        <f t="shared" si="157"/>
        <v>5.9527321630103058</v>
      </c>
      <c r="AD966" s="10">
        <f>IF(AND(Q966&gt;0,Q966&lt;30,K966&lt;8),Markniveau!Z966*'Udvaskning nøgletal'!$I$12/100,IF(AND(Q966&gt;0,Q966&lt;30,K966=216),Markniveau!Z966*'Udvaskning nøgletal'!$I$34/100,Markniveau!Z966))</f>
        <v>27.331185321443094</v>
      </c>
      <c r="AE966" s="10">
        <f t="shared" si="153"/>
        <v>6.0128607707174808</v>
      </c>
      <c r="AF966" s="10">
        <f t="shared" si="158"/>
        <v>27.057873468228664</v>
      </c>
      <c r="AG966" s="10">
        <f t="shared" si="154"/>
        <v>5.9527321630103058</v>
      </c>
      <c r="AH966" s="10" t="str">
        <f>IF(AND(Q966&gt;0,Q966&lt;30,K966=216),'Udvaskning nøgletal'!$C$42,IF(AND(Q966&gt;0,Q966&lt;30,K966&gt;7,K966&lt;17),'Udvaskning nøgletal'!$C$61,IF(AND(Q966&gt;0,Q966&lt;30,K966&lt;7),'Udvaskning nøgletal'!$C$62,"")))</f>
        <v/>
      </c>
      <c r="AI966" s="10">
        <f t="shared" si="150"/>
        <v>263</v>
      </c>
      <c r="AJ966" s="10">
        <f>IF($X966=1,LOOKUP(AI966,'Udvaskning nøgletal'!$C$12:$C$62,'Udvaskning nøgletal'!$E$12:$E$62)+Markniveau!$Y966*Markniveau!$S966/100,IF($X966=2,LOOKUP(AI966,'Udvaskning nøgletal'!$C$12:$C$62,'Udvaskning nøgletal'!$F$12:$F$62)+Markniveau!$Y966*Markniveau!$S966/100,IF($X966=3,LOOKUP(AI966,'Udvaskning nøgletal'!$C$12:$C$62,'Udvaskning nøgletal'!Q976:Q1026)+Markniveau!$Y966*Markniveau!$S966/100,"")))</f>
        <v>27.331185321443094</v>
      </c>
      <c r="AK966" s="10">
        <f t="shared" si="159"/>
        <v>6.0128607707174808</v>
      </c>
      <c r="AL966" s="10">
        <f t="shared" si="151"/>
        <v>27.057873468228664</v>
      </c>
      <c r="AM966" s="10">
        <f t="shared" si="152"/>
        <v>5.9527321630103058</v>
      </c>
    </row>
    <row r="967" spans="1:39" x14ac:dyDescent="0.25">
      <c r="A967" s="15">
        <v>28540744</v>
      </c>
      <c r="B967" s="15">
        <v>90.4</v>
      </c>
      <c r="C967" s="15">
        <v>75504</v>
      </c>
      <c r="D967" s="15">
        <v>137119</v>
      </c>
      <c r="E967" s="15" t="s">
        <v>765</v>
      </c>
      <c r="F967" s="15">
        <v>2011</v>
      </c>
      <c r="G967" s="15">
        <v>20110406</v>
      </c>
      <c r="H967" s="15">
        <v>176830</v>
      </c>
      <c r="I967" s="15">
        <v>17.68</v>
      </c>
      <c r="J967" s="6" t="s">
        <v>766</v>
      </c>
      <c r="K967" s="15">
        <v>1</v>
      </c>
      <c r="L967" s="15" t="s">
        <v>32</v>
      </c>
      <c r="M967" s="15" t="s">
        <v>5</v>
      </c>
      <c r="N967" s="11" t="s">
        <v>1391</v>
      </c>
      <c r="O967" s="11" t="s">
        <v>46</v>
      </c>
      <c r="P967" s="11" t="s">
        <v>33</v>
      </c>
      <c r="Q967" s="15">
        <v>0</v>
      </c>
      <c r="R967" s="11" t="s">
        <v>1386</v>
      </c>
      <c r="S967" s="10">
        <v>157.46830381596001</v>
      </c>
      <c r="T967" s="15">
        <v>80</v>
      </c>
      <c r="U967" s="15">
        <v>0</v>
      </c>
      <c r="V967" s="15">
        <v>0</v>
      </c>
      <c r="W967" s="15">
        <v>0</v>
      </c>
      <c r="X967" s="15">
        <f>IF(O967='Udvaskning nøgletal'!$D$65,1,IF(O967='Udvaskning nøgletal'!$D$66,2,IF(O967='Udvaskning nøgletal'!$D$67,3,IF(O967='Udvaskning nøgletal'!$D$68,2,""))))</f>
        <v>2</v>
      </c>
      <c r="Y967" s="15">
        <f>LOOKUP(K967,'Udvaskning nøgletal'!$C$12:$C$60,'Udvaskning nøgletal'!$H$12:$H$60)</f>
        <v>5</v>
      </c>
      <c r="Z967" s="10">
        <f>IF(X967=1,LOOKUP(K967,'Udvaskning nøgletal'!$C$12:$C$60,'Udvaskning nøgletal'!$E$12:$E$60)+Markniveau!Y967*Markniveau!S967/100,IF(X967=2,LOOKUP(K967,'Udvaskning nøgletal'!$C$12:$C$60,'Udvaskning nøgletal'!$F$12:$F$60)+Markniveau!Y967*Markniveau!S967/100,IF(X967=3,LOOKUP(K967,'Udvaskning nøgletal'!$C$12:$C$60,'Udvaskning nøgletal'!G977:G1025)+Markniveau!Y967*Markniveau!S967/100,"")))</f>
        <v>58.753415190798002</v>
      </c>
      <c r="AA967" s="10">
        <f t="shared" si="156"/>
        <v>1038.7603805733086</v>
      </c>
      <c r="AB967" s="10" t="str">
        <f t="shared" si="155"/>
        <v/>
      </c>
      <c r="AC967" s="10" t="str">
        <f t="shared" si="157"/>
        <v/>
      </c>
      <c r="AD967" s="10">
        <f>IF(AND(Q967&gt;0,Q967&lt;30,K967&lt;8),Markniveau!Z967*'Udvaskning nøgletal'!$I$12/100,IF(AND(Q967&gt;0,Q967&lt;30,K967=216),Markniveau!Z967*'Udvaskning nøgletal'!$I$34/100,Markniveau!Z967))</f>
        <v>58.753415190798002</v>
      </c>
      <c r="AE967" s="10">
        <f t="shared" si="153"/>
        <v>1038.7603805733086</v>
      </c>
      <c r="AF967" s="10" t="str">
        <f t="shared" si="158"/>
        <v/>
      </c>
      <c r="AG967" s="10" t="str">
        <f t="shared" si="154"/>
        <v/>
      </c>
      <c r="AH967" s="10" t="str">
        <f>IF(AND(Q967&gt;0,Q967&lt;30,K967=216),'Udvaskning nøgletal'!$C$42,IF(AND(Q967&gt;0,Q967&lt;30,K967&gt;7,K967&lt;17),'Udvaskning nøgletal'!$C$61,IF(AND(Q967&gt;0,Q967&lt;30,K967&lt;7),'Udvaskning nøgletal'!$C$62,"")))</f>
        <v/>
      </c>
      <c r="AI967" s="10">
        <f t="shared" si="150"/>
        <v>1</v>
      </c>
      <c r="AJ967" s="10">
        <f>IF($X967=1,LOOKUP(AI967,'Udvaskning nøgletal'!$C$12:$C$62,'Udvaskning nøgletal'!$E$12:$E$62)+Markniveau!$Y967*Markniveau!$S967/100,IF($X967=2,LOOKUP(AI967,'Udvaskning nøgletal'!$C$12:$C$62,'Udvaskning nøgletal'!$F$12:$F$62)+Markniveau!$Y967*Markniveau!$S967/100,IF($X967=3,LOOKUP(AI967,'Udvaskning nøgletal'!$C$12:$C$62,'Udvaskning nøgletal'!Q977:Q1027)+Markniveau!$Y967*Markniveau!$S967/100,"")))</f>
        <v>58.753415190798002</v>
      </c>
      <c r="AK967" s="10">
        <f t="shared" si="159"/>
        <v>1038.7603805733086</v>
      </c>
      <c r="AL967" s="10" t="str">
        <f t="shared" si="151"/>
        <v/>
      </c>
      <c r="AM967" s="10" t="str">
        <f t="shared" si="152"/>
        <v/>
      </c>
    </row>
    <row r="968" spans="1:39" x14ac:dyDescent="0.25">
      <c r="A968" s="15">
        <v>28540744</v>
      </c>
      <c r="B968" s="15">
        <v>90.4</v>
      </c>
      <c r="C968" s="15">
        <v>76036</v>
      </c>
      <c r="D968" s="15">
        <v>137119</v>
      </c>
      <c r="E968" s="15" t="s">
        <v>767</v>
      </c>
      <c r="F968" s="15">
        <v>2011</v>
      </c>
      <c r="G968" s="15">
        <v>20110406</v>
      </c>
      <c r="H968" s="15">
        <v>12061</v>
      </c>
      <c r="I968" s="15">
        <v>1.21</v>
      </c>
      <c r="J968" s="6" t="s">
        <v>768</v>
      </c>
      <c r="K968" s="15">
        <v>260</v>
      </c>
      <c r="L968" s="15" t="s">
        <v>45</v>
      </c>
      <c r="M968" s="15" t="s">
        <v>5</v>
      </c>
      <c r="N968" s="11" t="s">
        <v>1391</v>
      </c>
      <c r="O968" s="11" t="s">
        <v>46</v>
      </c>
      <c r="P968" s="11" t="s">
        <v>33</v>
      </c>
      <c r="Q968" s="15">
        <v>0</v>
      </c>
      <c r="R968" s="11" t="s">
        <v>1386</v>
      </c>
      <c r="S968" s="10">
        <v>157.46830381596001</v>
      </c>
      <c r="T968" s="15">
        <v>80</v>
      </c>
      <c r="U968" s="15">
        <v>0</v>
      </c>
      <c r="V968" s="15">
        <v>0</v>
      </c>
      <c r="W968" s="15">
        <v>0</v>
      </c>
      <c r="X968" s="15">
        <f>IF(O968='Udvaskning nøgletal'!$D$65,1,IF(O968='Udvaskning nøgletal'!$D$66,2,IF(O968='Udvaskning nøgletal'!$D$67,3,IF(O968='Udvaskning nøgletal'!$D$68,2,""))))</f>
        <v>2</v>
      </c>
      <c r="Y968" s="15">
        <f>LOOKUP(K968,'Udvaskning nøgletal'!$C$12:$C$60,'Udvaskning nøgletal'!$H$12:$H$60)</f>
        <v>0</v>
      </c>
      <c r="Z968" s="10">
        <f>IF(X968=1,LOOKUP(K968,'Udvaskning nøgletal'!$C$12:$C$60,'Udvaskning nøgletal'!$E$12:$E$60)+Markniveau!Y968*Markniveau!S968/100,IF(X968=2,LOOKUP(K968,'Udvaskning nøgletal'!$C$12:$C$60,'Udvaskning nøgletal'!$F$12:$F$60)+Markniveau!Y968*Markniveau!S968/100,IF(X968=3,LOOKUP(K968,'Udvaskning nøgletal'!$C$12:$C$60,'Udvaskning nøgletal'!G978:G1026)+Markniveau!Y968*Markniveau!S968/100,"")))</f>
        <v>27.331185321443094</v>
      </c>
      <c r="AA968" s="10">
        <f t="shared" si="156"/>
        <v>33.070734238946145</v>
      </c>
      <c r="AB968" s="10" t="str">
        <f t="shared" si="155"/>
        <v/>
      </c>
      <c r="AC968" s="10" t="str">
        <f t="shared" si="157"/>
        <v/>
      </c>
      <c r="AD968" s="10">
        <f>IF(AND(Q968&gt;0,Q968&lt;30,K968&lt;8),Markniveau!Z968*'Udvaskning nøgletal'!$I$12/100,IF(AND(Q968&gt;0,Q968&lt;30,K968=216),Markniveau!Z968*'Udvaskning nøgletal'!$I$34/100,Markniveau!Z968))</f>
        <v>27.331185321443094</v>
      </c>
      <c r="AE968" s="10">
        <f t="shared" si="153"/>
        <v>33.070734238946145</v>
      </c>
      <c r="AF968" s="10" t="str">
        <f t="shared" si="158"/>
        <v/>
      </c>
      <c r="AG968" s="10" t="str">
        <f t="shared" si="154"/>
        <v/>
      </c>
      <c r="AH968" s="10" t="str">
        <f>IF(AND(Q968&gt;0,Q968&lt;30,K968=216),'Udvaskning nøgletal'!$C$42,IF(AND(Q968&gt;0,Q968&lt;30,K968&gt;7,K968&lt;17),'Udvaskning nøgletal'!$C$61,IF(AND(Q968&gt;0,Q968&lt;30,K968&lt;7),'Udvaskning nøgletal'!$C$62,"")))</f>
        <v/>
      </c>
      <c r="AI968" s="10">
        <f t="shared" ref="AI968:AI1031" si="160">IF(SUM(AH968)&gt;0,AH968,K968)</f>
        <v>260</v>
      </c>
      <c r="AJ968" s="10">
        <f>IF($X968=1,LOOKUP(AI968,'Udvaskning nøgletal'!$C$12:$C$62,'Udvaskning nøgletal'!$E$12:$E$62)+Markniveau!$Y968*Markniveau!$S968/100,IF($X968=2,LOOKUP(AI968,'Udvaskning nøgletal'!$C$12:$C$62,'Udvaskning nøgletal'!$F$12:$F$62)+Markniveau!$Y968*Markniveau!$S968/100,IF($X968=3,LOOKUP(AI968,'Udvaskning nøgletal'!$C$12:$C$62,'Udvaskning nøgletal'!Q978:Q1028)+Markniveau!$Y968*Markniveau!$S968/100,"")))</f>
        <v>27.331185321443094</v>
      </c>
      <c r="AK968" s="10">
        <f t="shared" si="159"/>
        <v>33.070734238946145</v>
      </c>
      <c r="AL968" s="10" t="str">
        <f t="shared" si="151"/>
        <v/>
      </c>
      <c r="AM968" s="10" t="str">
        <f t="shared" si="152"/>
        <v/>
      </c>
    </row>
    <row r="969" spans="1:39" x14ac:dyDescent="0.25">
      <c r="A969" s="15">
        <v>28540744</v>
      </c>
      <c r="B969" s="15">
        <v>90.4</v>
      </c>
      <c r="C969" s="15">
        <v>76546</v>
      </c>
      <c r="D969" s="15">
        <v>137119</v>
      </c>
      <c r="E969" s="15" t="s">
        <v>769</v>
      </c>
      <c r="F969" s="15">
        <v>2011</v>
      </c>
      <c r="G969" s="15">
        <v>20110406</v>
      </c>
      <c r="H969" s="15">
        <v>67987</v>
      </c>
      <c r="I969" s="15">
        <v>6.8</v>
      </c>
      <c r="J969" s="6" t="s">
        <v>770</v>
      </c>
      <c r="K969" s="15">
        <v>260</v>
      </c>
      <c r="L969" s="15" t="s">
        <v>45</v>
      </c>
      <c r="M969" s="15" t="s">
        <v>5</v>
      </c>
      <c r="N969" s="11" t="s">
        <v>1391</v>
      </c>
      <c r="O969" s="11" t="s">
        <v>46</v>
      </c>
      <c r="P969" s="11" t="s">
        <v>33</v>
      </c>
      <c r="Q969" s="15">
        <v>0</v>
      </c>
      <c r="R969" s="11" t="s">
        <v>1386</v>
      </c>
      <c r="S969" s="10">
        <v>157.46830381596001</v>
      </c>
      <c r="T969" s="15">
        <v>80</v>
      </c>
      <c r="U969" s="15">
        <v>0</v>
      </c>
      <c r="V969" s="15">
        <v>0</v>
      </c>
      <c r="W969" s="15">
        <v>0</v>
      </c>
      <c r="X969" s="15">
        <f>IF(O969='Udvaskning nøgletal'!$D$65,1,IF(O969='Udvaskning nøgletal'!$D$66,2,IF(O969='Udvaskning nøgletal'!$D$67,3,IF(O969='Udvaskning nøgletal'!$D$68,2,""))))</f>
        <v>2</v>
      </c>
      <c r="Y969" s="15">
        <f>LOOKUP(K969,'Udvaskning nøgletal'!$C$12:$C$60,'Udvaskning nøgletal'!$H$12:$H$60)</f>
        <v>0</v>
      </c>
      <c r="Z969" s="10">
        <f>IF(X969=1,LOOKUP(K969,'Udvaskning nøgletal'!$C$12:$C$60,'Udvaskning nøgletal'!$E$12:$E$60)+Markniveau!Y969*Markniveau!S969/100,IF(X969=2,LOOKUP(K969,'Udvaskning nøgletal'!$C$12:$C$60,'Udvaskning nøgletal'!$F$12:$F$60)+Markniveau!Y969*Markniveau!S969/100,IF(X969=3,LOOKUP(K969,'Udvaskning nøgletal'!$C$12:$C$60,'Udvaskning nøgletal'!G979:G1027)+Markniveau!Y969*Markniveau!S969/100,"")))</f>
        <v>27.331185321443094</v>
      </c>
      <c r="AA969" s="10">
        <f t="shared" si="156"/>
        <v>185.85206018581303</v>
      </c>
      <c r="AB969" s="10" t="str">
        <f t="shared" si="155"/>
        <v/>
      </c>
      <c r="AC969" s="10" t="str">
        <f t="shared" si="157"/>
        <v/>
      </c>
      <c r="AD969" s="10">
        <f>IF(AND(Q969&gt;0,Q969&lt;30,K969&lt;8),Markniveau!Z969*'Udvaskning nøgletal'!$I$12/100,IF(AND(Q969&gt;0,Q969&lt;30,K969=216),Markniveau!Z969*'Udvaskning nøgletal'!$I$34/100,Markniveau!Z969))</f>
        <v>27.331185321443094</v>
      </c>
      <c r="AE969" s="10">
        <f t="shared" si="153"/>
        <v>185.85206018581303</v>
      </c>
      <c r="AF969" s="10" t="str">
        <f t="shared" si="158"/>
        <v/>
      </c>
      <c r="AG969" s="10" t="str">
        <f t="shared" si="154"/>
        <v/>
      </c>
      <c r="AH969" s="10" t="str">
        <f>IF(AND(Q969&gt;0,Q969&lt;30,K969=216),'Udvaskning nøgletal'!$C$42,IF(AND(Q969&gt;0,Q969&lt;30,K969&gt;7,K969&lt;17),'Udvaskning nøgletal'!$C$61,IF(AND(Q969&gt;0,Q969&lt;30,K969&lt;7),'Udvaskning nøgletal'!$C$62,"")))</f>
        <v/>
      </c>
      <c r="AI969" s="10">
        <f t="shared" si="160"/>
        <v>260</v>
      </c>
      <c r="AJ969" s="10">
        <f>IF($X969=1,LOOKUP(AI969,'Udvaskning nøgletal'!$C$12:$C$62,'Udvaskning nøgletal'!$E$12:$E$62)+Markniveau!$Y969*Markniveau!$S969/100,IF($X969=2,LOOKUP(AI969,'Udvaskning nøgletal'!$C$12:$C$62,'Udvaskning nøgletal'!$F$12:$F$62)+Markniveau!$Y969*Markniveau!$S969/100,IF($X969=3,LOOKUP(AI969,'Udvaskning nøgletal'!$C$12:$C$62,'Udvaskning nøgletal'!Q979:Q1029)+Markniveau!$Y969*Markniveau!$S969/100,"")))</f>
        <v>27.331185321443094</v>
      </c>
      <c r="AK969" s="10">
        <f t="shared" si="159"/>
        <v>185.85206018581303</v>
      </c>
      <c r="AL969" s="10" t="str">
        <f t="shared" si="151"/>
        <v/>
      </c>
      <c r="AM969" s="10" t="str">
        <f t="shared" si="152"/>
        <v/>
      </c>
    </row>
    <row r="970" spans="1:39" x14ac:dyDescent="0.25">
      <c r="A970" s="15">
        <v>28540744</v>
      </c>
      <c r="B970" s="15">
        <v>90.4</v>
      </c>
      <c r="C970" s="15">
        <v>76547</v>
      </c>
      <c r="D970" s="15">
        <v>137119</v>
      </c>
      <c r="E970" s="15" t="s">
        <v>771</v>
      </c>
      <c r="F970" s="15">
        <v>2011</v>
      </c>
      <c r="G970" s="15">
        <v>20110406</v>
      </c>
      <c r="H970" s="15">
        <v>5796</v>
      </c>
      <c r="I970" s="15">
        <v>0.57999999999999996</v>
      </c>
      <c r="J970" s="6" t="s">
        <v>772</v>
      </c>
      <c r="K970" s="15">
        <v>260</v>
      </c>
      <c r="L970" s="15" t="s">
        <v>45</v>
      </c>
      <c r="M970" s="15" t="s">
        <v>5</v>
      </c>
      <c r="N970" s="11" t="s">
        <v>1384</v>
      </c>
      <c r="O970" s="11" t="s">
        <v>28</v>
      </c>
      <c r="P970" s="11" t="s">
        <v>33</v>
      </c>
      <c r="Q970" s="15">
        <v>0</v>
      </c>
      <c r="R970" s="11" t="s">
        <v>1386</v>
      </c>
      <c r="S970" s="10">
        <v>157.46830381596001</v>
      </c>
      <c r="T970" s="15">
        <v>80</v>
      </c>
      <c r="U970" s="15">
        <v>0</v>
      </c>
      <c r="V970" s="15">
        <v>0</v>
      </c>
      <c r="W970" s="15">
        <v>0</v>
      </c>
      <c r="X970" s="15">
        <f>IF(O970='Udvaskning nøgletal'!$D$65,1,IF(O970='Udvaskning nøgletal'!$D$66,2,IF(O970='Udvaskning nøgletal'!$D$67,3,IF(O970='Udvaskning nøgletal'!$D$68,2,""))))</f>
        <v>1</v>
      </c>
      <c r="Y970" s="15">
        <f>LOOKUP(K970,'Udvaskning nøgletal'!$C$12:$C$60,'Udvaskning nøgletal'!$H$12:$H$60)</f>
        <v>0</v>
      </c>
      <c r="Z970" s="10">
        <f>IF(X970=1,LOOKUP(K970,'Udvaskning nøgletal'!$C$12:$C$60,'Udvaskning nøgletal'!$E$12:$E$60)+Markniveau!Y970*Markniveau!S970/100,IF(X970=2,LOOKUP(K970,'Udvaskning nøgletal'!$C$12:$C$60,'Udvaskning nøgletal'!$F$12:$F$60)+Markniveau!Y970*Markniveau!S970/100,IF(X970=3,LOOKUP(K970,'Udvaskning nøgletal'!$C$12:$C$60,'Udvaskning nøgletal'!G980:G1028)+Markniveau!Y970*Markniveau!S970/100,"")))</f>
        <v>33.723295792149436</v>
      </c>
      <c r="AA970" s="10">
        <f t="shared" si="156"/>
        <v>19.559511559446673</v>
      </c>
      <c r="AB970" s="10" t="str">
        <f t="shared" si="155"/>
        <v/>
      </c>
      <c r="AC970" s="10" t="str">
        <f t="shared" si="157"/>
        <v/>
      </c>
      <c r="AD970" s="10">
        <f>IF(AND(Q970&gt;0,Q970&lt;30,K970&lt;8),Markniveau!Z970*'Udvaskning nøgletal'!$I$12/100,IF(AND(Q970&gt;0,Q970&lt;30,K970=216),Markniveau!Z970*'Udvaskning nøgletal'!$I$34/100,Markniveau!Z970))</f>
        <v>33.723295792149436</v>
      </c>
      <c r="AE970" s="10">
        <f t="shared" si="153"/>
        <v>19.559511559446673</v>
      </c>
      <c r="AF970" s="10" t="str">
        <f t="shared" si="158"/>
        <v/>
      </c>
      <c r="AG970" s="10" t="str">
        <f t="shared" si="154"/>
        <v/>
      </c>
      <c r="AH970" s="10" t="str">
        <f>IF(AND(Q970&gt;0,Q970&lt;30,K970=216),'Udvaskning nøgletal'!$C$42,IF(AND(Q970&gt;0,Q970&lt;30,K970&gt;7,K970&lt;17),'Udvaskning nøgletal'!$C$61,IF(AND(Q970&gt;0,Q970&lt;30,K970&lt;7),'Udvaskning nøgletal'!$C$62,"")))</f>
        <v/>
      </c>
      <c r="AI970" s="10">
        <f t="shared" si="160"/>
        <v>260</v>
      </c>
      <c r="AJ970" s="10">
        <f>IF($X970=1,LOOKUP(AI970,'Udvaskning nøgletal'!$C$12:$C$62,'Udvaskning nøgletal'!$E$12:$E$62)+Markniveau!$Y970*Markniveau!$S970/100,IF($X970=2,LOOKUP(AI970,'Udvaskning nøgletal'!$C$12:$C$62,'Udvaskning nøgletal'!$F$12:$F$62)+Markniveau!$Y970*Markniveau!$S970/100,IF($X970=3,LOOKUP(AI970,'Udvaskning nøgletal'!$C$12:$C$62,'Udvaskning nøgletal'!Q980:Q1030)+Markniveau!$Y970*Markniveau!$S970/100,"")))</f>
        <v>33.723295792149436</v>
      </c>
      <c r="AK970" s="10">
        <f t="shared" si="159"/>
        <v>19.559511559446673</v>
      </c>
      <c r="AL970" s="10" t="str">
        <f t="shared" si="151"/>
        <v/>
      </c>
      <c r="AM970" s="10" t="str">
        <f t="shared" si="152"/>
        <v/>
      </c>
    </row>
    <row r="971" spans="1:39" x14ac:dyDescent="0.25">
      <c r="A971" s="15">
        <v>28540744</v>
      </c>
      <c r="B971" s="15">
        <v>90.4</v>
      </c>
      <c r="C971" s="15">
        <v>76548</v>
      </c>
      <c r="D971" s="15">
        <v>137119</v>
      </c>
      <c r="E971" s="15" t="s">
        <v>773</v>
      </c>
      <c r="F971" s="15">
        <v>2011</v>
      </c>
      <c r="G971" s="15">
        <v>20110406</v>
      </c>
      <c r="H971" s="15">
        <v>5619</v>
      </c>
      <c r="I971" s="15">
        <v>0.56000000000000005</v>
      </c>
      <c r="J971" s="6" t="s">
        <v>774</v>
      </c>
      <c r="K971" s="15">
        <v>263</v>
      </c>
      <c r="L971" s="15" t="s">
        <v>39</v>
      </c>
      <c r="M971" s="15" t="s">
        <v>5</v>
      </c>
      <c r="N971" s="11" t="s">
        <v>1384</v>
      </c>
      <c r="O971" s="11" t="s">
        <v>28</v>
      </c>
      <c r="P971" s="11" t="s">
        <v>33</v>
      </c>
      <c r="Q971" s="15">
        <v>0</v>
      </c>
      <c r="R971" s="11" t="s">
        <v>1386</v>
      </c>
      <c r="S971" s="10">
        <v>157.46830381596001</v>
      </c>
      <c r="T971" s="15">
        <v>80</v>
      </c>
      <c r="U971" s="15">
        <v>0</v>
      </c>
      <c r="V971" s="15">
        <v>0</v>
      </c>
      <c r="W971" s="15">
        <v>0</v>
      </c>
      <c r="X971" s="15">
        <f>IF(O971='Udvaskning nøgletal'!$D$65,1,IF(O971='Udvaskning nøgletal'!$D$66,2,IF(O971='Udvaskning nøgletal'!$D$67,3,IF(O971='Udvaskning nøgletal'!$D$68,2,""))))</f>
        <v>1</v>
      </c>
      <c r="Y971" s="15">
        <f>LOOKUP(K971,'Udvaskning nøgletal'!$C$12:$C$60,'Udvaskning nøgletal'!$H$12:$H$60)</f>
        <v>0</v>
      </c>
      <c r="Z971" s="10">
        <f>IF(X971=1,LOOKUP(K971,'Udvaskning nøgletal'!$C$12:$C$60,'Udvaskning nøgletal'!$E$12:$E$60)+Markniveau!Y971*Markniveau!S971/100,IF(X971=2,LOOKUP(K971,'Udvaskning nøgletal'!$C$12:$C$60,'Udvaskning nøgletal'!$F$12:$F$60)+Markniveau!Y971*Markniveau!S971/100,IF(X971=3,LOOKUP(K971,'Udvaskning nøgletal'!$C$12:$C$60,'Udvaskning nøgletal'!G981:G1029)+Markniveau!Y971*Markniveau!S971/100,"")))</f>
        <v>33.723295792149436</v>
      </c>
      <c r="AA971" s="10">
        <f t="shared" si="156"/>
        <v>18.885045643603686</v>
      </c>
      <c r="AB971" s="10" t="str">
        <f t="shared" si="155"/>
        <v/>
      </c>
      <c r="AC971" s="10" t="str">
        <f t="shared" si="157"/>
        <v/>
      </c>
      <c r="AD971" s="10">
        <f>IF(AND(Q971&gt;0,Q971&lt;30,K971&lt;8),Markniveau!Z971*'Udvaskning nøgletal'!$I$12/100,IF(AND(Q971&gt;0,Q971&lt;30,K971=216),Markniveau!Z971*'Udvaskning nøgletal'!$I$34/100,Markniveau!Z971))</f>
        <v>33.723295792149436</v>
      </c>
      <c r="AE971" s="10">
        <f t="shared" si="153"/>
        <v>18.885045643603686</v>
      </c>
      <c r="AF971" s="10" t="str">
        <f t="shared" si="158"/>
        <v/>
      </c>
      <c r="AG971" s="10" t="str">
        <f t="shared" si="154"/>
        <v/>
      </c>
      <c r="AH971" s="10" t="str">
        <f>IF(AND(Q971&gt;0,Q971&lt;30,K971=216),'Udvaskning nøgletal'!$C$42,IF(AND(Q971&gt;0,Q971&lt;30,K971&gt;7,K971&lt;17),'Udvaskning nøgletal'!$C$61,IF(AND(Q971&gt;0,Q971&lt;30,K971&lt;7),'Udvaskning nøgletal'!$C$62,"")))</f>
        <v/>
      </c>
      <c r="AI971" s="10">
        <f t="shared" si="160"/>
        <v>263</v>
      </c>
      <c r="AJ971" s="10">
        <f>IF($X971=1,LOOKUP(AI971,'Udvaskning nøgletal'!$C$12:$C$62,'Udvaskning nøgletal'!$E$12:$E$62)+Markniveau!$Y971*Markniveau!$S971/100,IF($X971=2,LOOKUP(AI971,'Udvaskning nøgletal'!$C$12:$C$62,'Udvaskning nøgletal'!$F$12:$F$62)+Markniveau!$Y971*Markniveau!$S971/100,IF($X971=3,LOOKUP(AI971,'Udvaskning nøgletal'!$C$12:$C$62,'Udvaskning nøgletal'!Q981:Q1031)+Markniveau!$Y971*Markniveau!$S971/100,"")))</f>
        <v>33.723295792149436</v>
      </c>
      <c r="AK971" s="10">
        <f t="shared" si="159"/>
        <v>18.885045643603686</v>
      </c>
      <c r="AL971" s="10" t="str">
        <f t="shared" ref="AL971:AL1034" si="161">IF($Q971&gt;0,(100-$Q971)*AJ971/100,"")</f>
        <v/>
      </c>
      <c r="AM971" s="10" t="str">
        <f t="shared" ref="AM971:AM1034" si="162">IF($Q971&gt;0,(100-$Q971)*AJ971/100*I971,"")</f>
        <v/>
      </c>
    </row>
    <row r="972" spans="1:39" x14ac:dyDescent="0.25">
      <c r="A972" s="15">
        <v>28540744</v>
      </c>
      <c r="B972" s="15">
        <v>90.4</v>
      </c>
      <c r="C972" s="15">
        <v>76549</v>
      </c>
      <c r="D972" s="15">
        <v>137119</v>
      </c>
      <c r="E972" s="15" t="s">
        <v>773</v>
      </c>
      <c r="F972" s="15">
        <v>2011</v>
      </c>
      <c r="G972" s="15">
        <v>20110406</v>
      </c>
      <c r="H972" s="15">
        <v>137830</v>
      </c>
      <c r="I972" s="15">
        <v>13.78</v>
      </c>
      <c r="J972" s="6" t="s">
        <v>775</v>
      </c>
      <c r="K972" s="15">
        <v>216</v>
      </c>
      <c r="L972" s="15" t="s">
        <v>116</v>
      </c>
      <c r="M972" s="15" t="s">
        <v>5</v>
      </c>
      <c r="N972" s="11" t="s">
        <v>1384</v>
      </c>
      <c r="O972" s="11" t="s">
        <v>28</v>
      </c>
      <c r="P972" s="11" t="s">
        <v>33</v>
      </c>
      <c r="Q972" s="15">
        <v>0</v>
      </c>
      <c r="R972" s="11" t="s">
        <v>1386</v>
      </c>
      <c r="S972" s="10">
        <v>157.46830381596001</v>
      </c>
      <c r="T972" s="15">
        <v>80</v>
      </c>
      <c r="U972" s="15">
        <v>0</v>
      </c>
      <c r="V972" s="15">
        <v>0</v>
      </c>
      <c r="W972" s="15">
        <v>0</v>
      </c>
      <c r="X972" s="15">
        <f>IF(O972='Udvaskning nøgletal'!$D$65,1,IF(O972='Udvaskning nøgletal'!$D$66,2,IF(O972='Udvaskning nøgletal'!$D$67,3,IF(O972='Udvaskning nøgletal'!$D$68,2,""))))</f>
        <v>1</v>
      </c>
      <c r="Y972" s="15">
        <f>LOOKUP(K972,'Udvaskning nøgletal'!$C$12:$C$60,'Udvaskning nøgletal'!$H$12:$H$60)</f>
        <v>0</v>
      </c>
      <c r="Z972" s="10">
        <f>IF(X972=1,LOOKUP(K972,'Udvaskning nøgletal'!$C$12:$C$60,'Udvaskning nøgletal'!$E$12:$E$60)+Markniveau!Y972*Markniveau!S972/100,IF(X972=2,LOOKUP(K972,'Udvaskning nøgletal'!$C$12:$C$60,'Udvaskning nøgletal'!$F$12:$F$60)+Markniveau!Y972*Markniveau!S972/100,IF(X972=3,LOOKUP(K972,'Udvaskning nøgletal'!$C$12:$C$60,'Udvaskning nøgletal'!G982:G1030)+Markniveau!Y972*Markniveau!S972/100,"")))</f>
        <v>125.85383557148924</v>
      </c>
      <c r="AA972" s="10">
        <f t="shared" si="156"/>
        <v>1734.2658541751216</v>
      </c>
      <c r="AB972" s="10" t="str">
        <f t="shared" si="155"/>
        <v/>
      </c>
      <c r="AC972" s="10" t="str">
        <f t="shared" si="157"/>
        <v/>
      </c>
      <c r="AD972" s="10">
        <f>IF(AND(Q972&gt;0,Q972&lt;30,K972&lt;8),Markniveau!Z972*'Udvaskning nøgletal'!$I$12/100,IF(AND(Q972&gt;0,Q972&lt;30,K972=216),Markniveau!Z972*'Udvaskning nøgletal'!$I$34/100,Markniveau!Z972))</f>
        <v>125.85383557148924</v>
      </c>
      <c r="AE972" s="10">
        <f t="shared" si="153"/>
        <v>1734.2658541751216</v>
      </c>
      <c r="AF972" s="10" t="str">
        <f t="shared" si="158"/>
        <v/>
      </c>
      <c r="AG972" s="10" t="str">
        <f t="shared" si="154"/>
        <v/>
      </c>
      <c r="AH972" s="10" t="str">
        <f>IF(AND(Q972&gt;0,Q972&lt;30,K972=216),'Udvaskning nøgletal'!$C$42,IF(AND(Q972&gt;0,Q972&lt;30,K972&gt;7,K972&lt;17),'Udvaskning nøgletal'!$C$61,IF(AND(Q972&gt;0,Q972&lt;30,K972&lt;7),'Udvaskning nøgletal'!$C$62,"")))</f>
        <v/>
      </c>
      <c r="AI972" s="10">
        <f t="shared" si="160"/>
        <v>216</v>
      </c>
      <c r="AJ972" s="10">
        <f>IF($X972=1,LOOKUP(AI972,'Udvaskning nøgletal'!$C$12:$C$62,'Udvaskning nøgletal'!$E$12:$E$62)+Markniveau!$Y972*Markniveau!$S972/100,IF($X972=2,LOOKUP(AI972,'Udvaskning nøgletal'!$C$12:$C$62,'Udvaskning nøgletal'!$F$12:$F$62)+Markniveau!$Y972*Markniveau!$S972/100,IF($X972=3,LOOKUP(AI972,'Udvaskning nøgletal'!$C$12:$C$62,'Udvaskning nøgletal'!Q982:Q1032)+Markniveau!$Y972*Markniveau!$S972/100,"")))</f>
        <v>125.85383557148924</v>
      </c>
      <c r="AK972" s="10">
        <f t="shared" si="159"/>
        <v>1734.2658541751216</v>
      </c>
      <c r="AL972" s="10" t="str">
        <f t="shared" si="161"/>
        <v/>
      </c>
      <c r="AM972" s="10" t="str">
        <f t="shared" si="162"/>
        <v/>
      </c>
    </row>
    <row r="973" spans="1:39" x14ac:dyDescent="0.25">
      <c r="A973" s="15">
        <v>28540744</v>
      </c>
      <c r="B973" s="15">
        <v>90.4</v>
      </c>
      <c r="C973" s="15">
        <v>76959</v>
      </c>
      <c r="D973" s="15">
        <v>137119</v>
      </c>
      <c r="E973" s="15" t="s">
        <v>776</v>
      </c>
      <c r="F973" s="15">
        <v>2011</v>
      </c>
      <c r="G973" s="15">
        <v>20110406</v>
      </c>
      <c r="H973" s="15">
        <v>20481</v>
      </c>
      <c r="I973" s="15">
        <v>2.0499999999999998</v>
      </c>
      <c r="J973" s="6" t="s">
        <v>558</v>
      </c>
      <c r="K973" s="15">
        <v>252</v>
      </c>
      <c r="L973" s="15" t="s">
        <v>41</v>
      </c>
      <c r="M973" s="15" t="s">
        <v>4</v>
      </c>
      <c r="N973" s="11" t="s">
        <v>1390</v>
      </c>
      <c r="O973" s="11" t="s">
        <v>42</v>
      </c>
      <c r="P973" s="11" t="s">
        <v>33</v>
      </c>
      <c r="Q973" s="15">
        <v>0</v>
      </c>
      <c r="R973" s="11" t="s">
        <v>1386</v>
      </c>
      <c r="S973" s="10">
        <v>157.46830381596001</v>
      </c>
      <c r="T973" s="15">
        <v>80</v>
      </c>
      <c r="U973" s="15">
        <v>0</v>
      </c>
      <c r="V973" s="15">
        <v>0</v>
      </c>
      <c r="W973" s="15">
        <v>0</v>
      </c>
      <c r="X973" s="15">
        <f>IF(O973='Udvaskning nøgletal'!$D$65,1,IF(O973='Udvaskning nøgletal'!$D$66,2,IF(O973='Udvaskning nøgletal'!$D$67,3,IF(O973='Udvaskning nøgletal'!$D$68,2,""))))</f>
        <v>2</v>
      </c>
      <c r="Y973" s="15">
        <f>LOOKUP(K973,'Udvaskning nøgletal'!$C$12:$C$60,'Udvaskning nøgletal'!$H$12:$H$60)</f>
        <v>0</v>
      </c>
      <c r="Z973" s="10">
        <f>IF(X973=1,LOOKUP(K973,'Udvaskning nøgletal'!$C$12:$C$60,'Udvaskning nøgletal'!$E$12:$E$60)+Markniveau!Y973*Markniveau!S973/100,IF(X973=2,LOOKUP(K973,'Udvaskning nøgletal'!$C$12:$C$60,'Udvaskning nøgletal'!$F$12:$F$60)+Markniveau!Y973*Markniveau!S973/100,IF(X973=3,LOOKUP(K973,'Udvaskning nøgletal'!$C$12:$C$60,'Udvaskning nøgletal'!G983:G1031)+Markniveau!Y973*Markniveau!S973/100,"")))</f>
        <v>21.2</v>
      </c>
      <c r="AA973" s="10">
        <f t="shared" si="156"/>
        <v>43.459999999999994</v>
      </c>
      <c r="AB973" s="10" t="str">
        <f t="shared" si="155"/>
        <v/>
      </c>
      <c r="AC973" s="10" t="str">
        <f t="shared" si="157"/>
        <v/>
      </c>
      <c r="AD973" s="10">
        <f>IF(AND(Q973&gt;0,Q973&lt;30,K973&lt;8),Markniveau!Z973*'Udvaskning nøgletal'!$I$12/100,IF(AND(Q973&gt;0,Q973&lt;30,K973=216),Markniveau!Z973*'Udvaskning nøgletal'!$I$34/100,Markniveau!Z973))</f>
        <v>21.2</v>
      </c>
      <c r="AE973" s="10">
        <f t="shared" si="153"/>
        <v>43.459999999999994</v>
      </c>
      <c r="AF973" s="10" t="str">
        <f t="shared" si="158"/>
        <v/>
      </c>
      <c r="AG973" s="10" t="str">
        <f t="shared" si="154"/>
        <v/>
      </c>
      <c r="AH973" s="10" t="str">
        <f>IF(AND(Q973&gt;0,Q973&lt;30,K973=216),'Udvaskning nøgletal'!$C$42,IF(AND(Q973&gt;0,Q973&lt;30,K973&gt;7,K973&lt;17),'Udvaskning nøgletal'!$C$61,IF(AND(Q973&gt;0,Q973&lt;30,K973&lt;7),'Udvaskning nøgletal'!$C$62,"")))</f>
        <v/>
      </c>
      <c r="AI973" s="10">
        <f t="shared" si="160"/>
        <v>252</v>
      </c>
      <c r="AJ973" s="10">
        <f>IF($X973=1,LOOKUP(AI973,'Udvaskning nøgletal'!$C$12:$C$62,'Udvaskning nøgletal'!$E$12:$E$62)+Markniveau!$Y973*Markniveau!$S973/100,IF($X973=2,LOOKUP(AI973,'Udvaskning nøgletal'!$C$12:$C$62,'Udvaskning nøgletal'!$F$12:$F$62)+Markniveau!$Y973*Markniveau!$S973/100,IF($X973=3,LOOKUP(AI973,'Udvaskning nøgletal'!$C$12:$C$62,'Udvaskning nøgletal'!Q983:Q1033)+Markniveau!$Y973*Markniveau!$S973/100,"")))</f>
        <v>21.2</v>
      </c>
      <c r="AK973" s="10">
        <f t="shared" si="159"/>
        <v>43.459999999999994</v>
      </c>
      <c r="AL973" s="10" t="str">
        <f t="shared" si="161"/>
        <v/>
      </c>
      <c r="AM973" s="10" t="str">
        <f t="shared" si="162"/>
        <v/>
      </c>
    </row>
    <row r="974" spans="1:39" x14ac:dyDescent="0.25">
      <c r="A974" s="15">
        <v>28540744</v>
      </c>
      <c r="B974" s="15">
        <v>90.4</v>
      </c>
      <c r="C974" s="15">
        <v>77040</v>
      </c>
      <c r="D974" s="15">
        <v>137119</v>
      </c>
      <c r="E974" s="15" t="s">
        <v>777</v>
      </c>
      <c r="F974" s="15">
        <v>2011</v>
      </c>
      <c r="G974" s="15">
        <v>20110406</v>
      </c>
      <c r="H974" s="15">
        <v>5120</v>
      </c>
      <c r="I974" s="15">
        <v>0.51</v>
      </c>
      <c r="J974" s="6" t="s">
        <v>778</v>
      </c>
      <c r="K974" s="15">
        <v>263</v>
      </c>
      <c r="L974" s="15" t="s">
        <v>39</v>
      </c>
      <c r="M974" s="15" t="s">
        <v>5</v>
      </c>
      <c r="N974" s="11" t="s">
        <v>1384</v>
      </c>
      <c r="O974" s="11" t="s">
        <v>28</v>
      </c>
      <c r="P974" s="11" t="s">
        <v>33</v>
      </c>
      <c r="Q974" s="15">
        <v>0</v>
      </c>
      <c r="R974" s="11" t="s">
        <v>1386</v>
      </c>
      <c r="S974" s="10">
        <v>157.46830381596001</v>
      </c>
      <c r="T974" s="15">
        <v>80</v>
      </c>
      <c r="U974" s="15">
        <v>0</v>
      </c>
      <c r="V974" s="15">
        <v>0</v>
      </c>
      <c r="W974" s="15">
        <v>0</v>
      </c>
      <c r="X974" s="15">
        <f>IF(O974='Udvaskning nøgletal'!$D$65,1,IF(O974='Udvaskning nøgletal'!$D$66,2,IF(O974='Udvaskning nøgletal'!$D$67,3,IF(O974='Udvaskning nøgletal'!$D$68,2,""))))</f>
        <v>1</v>
      </c>
      <c r="Y974" s="15">
        <f>LOOKUP(K974,'Udvaskning nøgletal'!$C$12:$C$60,'Udvaskning nøgletal'!$H$12:$H$60)</f>
        <v>0</v>
      </c>
      <c r="Z974" s="10">
        <f>IF(X974=1,LOOKUP(K974,'Udvaskning nøgletal'!$C$12:$C$60,'Udvaskning nøgletal'!$E$12:$E$60)+Markniveau!Y974*Markniveau!S974/100,IF(X974=2,LOOKUP(K974,'Udvaskning nøgletal'!$C$12:$C$60,'Udvaskning nøgletal'!$F$12:$F$60)+Markniveau!Y974*Markniveau!S974/100,IF(X974=3,LOOKUP(K974,'Udvaskning nøgletal'!$C$12:$C$60,'Udvaskning nøgletal'!G984:G1032)+Markniveau!Y974*Markniveau!S974/100,"")))</f>
        <v>33.723295792149436</v>
      </c>
      <c r="AA974" s="10">
        <f t="shared" si="156"/>
        <v>17.198880853996211</v>
      </c>
      <c r="AB974" s="10" t="str">
        <f t="shared" si="155"/>
        <v/>
      </c>
      <c r="AC974" s="10" t="str">
        <f t="shared" si="157"/>
        <v/>
      </c>
      <c r="AD974" s="10">
        <f>IF(AND(Q974&gt;0,Q974&lt;30,K974&lt;8),Markniveau!Z974*'Udvaskning nøgletal'!$I$12/100,IF(AND(Q974&gt;0,Q974&lt;30,K974=216),Markniveau!Z974*'Udvaskning nøgletal'!$I$34/100,Markniveau!Z974))</f>
        <v>33.723295792149436</v>
      </c>
      <c r="AE974" s="10">
        <f t="shared" si="153"/>
        <v>17.198880853996211</v>
      </c>
      <c r="AF974" s="10" t="str">
        <f t="shared" si="158"/>
        <v/>
      </c>
      <c r="AG974" s="10" t="str">
        <f t="shared" si="154"/>
        <v/>
      </c>
      <c r="AH974" s="10" t="str">
        <f>IF(AND(Q974&gt;0,Q974&lt;30,K974=216),'Udvaskning nøgletal'!$C$42,IF(AND(Q974&gt;0,Q974&lt;30,K974&gt;7,K974&lt;17),'Udvaskning nøgletal'!$C$61,IF(AND(Q974&gt;0,Q974&lt;30,K974&lt;7),'Udvaskning nøgletal'!$C$62,"")))</f>
        <v/>
      </c>
      <c r="AI974" s="10">
        <f t="shared" si="160"/>
        <v>263</v>
      </c>
      <c r="AJ974" s="10">
        <f>IF($X974=1,LOOKUP(AI974,'Udvaskning nøgletal'!$C$12:$C$62,'Udvaskning nøgletal'!$E$12:$E$62)+Markniveau!$Y974*Markniveau!$S974/100,IF($X974=2,LOOKUP(AI974,'Udvaskning nøgletal'!$C$12:$C$62,'Udvaskning nøgletal'!$F$12:$F$62)+Markniveau!$Y974*Markniveau!$S974/100,IF($X974=3,LOOKUP(AI974,'Udvaskning nøgletal'!$C$12:$C$62,'Udvaskning nøgletal'!Q984:Q1034)+Markniveau!$Y974*Markniveau!$S974/100,"")))</f>
        <v>33.723295792149436</v>
      </c>
      <c r="AK974" s="10">
        <f t="shared" si="159"/>
        <v>17.198880853996211</v>
      </c>
      <c r="AL974" s="10" t="str">
        <f t="shared" si="161"/>
        <v/>
      </c>
      <c r="AM974" s="10" t="str">
        <f t="shared" si="162"/>
        <v/>
      </c>
    </row>
    <row r="975" spans="1:39" x14ac:dyDescent="0.25">
      <c r="A975" s="15">
        <v>28540744</v>
      </c>
      <c r="B975" s="15">
        <v>90.4</v>
      </c>
      <c r="C975" s="15">
        <v>77041</v>
      </c>
      <c r="D975" s="15">
        <v>137119</v>
      </c>
      <c r="E975" s="15" t="s">
        <v>777</v>
      </c>
      <c r="F975" s="15">
        <v>2011</v>
      </c>
      <c r="G975" s="15">
        <v>20110406</v>
      </c>
      <c r="H975" s="15">
        <v>188430</v>
      </c>
      <c r="I975" s="15">
        <v>18.84</v>
      </c>
      <c r="J975" s="6" t="s">
        <v>779</v>
      </c>
      <c r="K975" s="15">
        <v>216</v>
      </c>
      <c r="L975" s="15" t="s">
        <v>116</v>
      </c>
      <c r="M975" s="15" t="s">
        <v>5</v>
      </c>
      <c r="N975" s="11" t="s">
        <v>1391</v>
      </c>
      <c r="O975" s="11" t="s">
        <v>46</v>
      </c>
      <c r="P975" s="11" t="s">
        <v>33</v>
      </c>
      <c r="Q975" s="15">
        <v>0</v>
      </c>
      <c r="R975" s="11" t="s">
        <v>1386</v>
      </c>
      <c r="S975" s="10">
        <v>157.46830381596001</v>
      </c>
      <c r="T975" s="15">
        <v>80</v>
      </c>
      <c r="U975" s="15">
        <v>0</v>
      </c>
      <c r="V975" s="15">
        <v>0</v>
      </c>
      <c r="W975" s="15">
        <v>0</v>
      </c>
      <c r="X975" s="15">
        <f>IF(O975='Udvaskning nøgletal'!$D$65,1,IF(O975='Udvaskning nøgletal'!$D$66,2,IF(O975='Udvaskning nøgletal'!$D$67,3,IF(O975='Udvaskning nøgletal'!$D$68,2,""))))</f>
        <v>2</v>
      </c>
      <c r="Y975" s="15">
        <f>LOOKUP(K975,'Udvaskning nøgletal'!$C$12:$C$60,'Udvaskning nøgletal'!$H$12:$H$60)</f>
        <v>0</v>
      </c>
      <c r="Z975" s="10">
        <f>IF(X975=1,LOOKUP(K975,'Udvaskning nøgletal'!$C$12:$C$60,'Udvaskning nøgletal'!$E$12:$E$60)+Markniveau!Y975*Markniveau!S975/100,IF(X975=2,LOOKUP(K975,'Udvaskning nøgletal'!$C$12:$C$60,'Udvaskning nøgletal'!$F$12:$F$60)+Markniveau!Y975*Markniveau!S975/100,IF(X975=3,LOOKUP(K975,'Udvaskning nøgletal'!$C$12:$C$60,'Udvaskning nøgletal'!G985:G1033)+Markniveau!Y975*Markniveau!S975/100,"")))</f>
        <v>101.66744640811392</v>
      </c>
      <c r="AA975" s="10">
        <f t="shared" si="156"/>
        <v>1915.4146903288663</v>
      </c>
      <c r="AB975" s="10" t="str">
        <f t="shared" si="155"/>
        <v/>
      </c>
      <c r="AC975" s="10" t="str">
        <f t="shared" si="157"/>
        <v/>
      </c>
      <c r="AD975" s="10">
        <f>IF(AND(Q975&gt;0,Q975&lt;30,K975&lt;8),Markniveau!Z975*'Udvaskning nøgletal'!$I$12/100,IF(AND(Q975&gt;0,Q975&lt;30,K975=216),Markniveau!Z975*'Udvaskning nøgletal'!$I$34/100,Markniveau!Z975))</f>
        <v>101.66744640811392</v>
      </c>
      <c r="AE975" s="10">
        <f t="shared" si="153"/>
        <v>1915.4146903288663</v>
      </c>
      <c r="AF975" s="10" t="str">
        <f t="shared" si="158"/>
        <v/>
      </c>
      <c r="AG975" s="10" t="str">
        <f t="shared" si="154"/>
        <v/>
      </c>
      <c r="AH975" s="10" t="str">
        <f>IF(AND(Q975&gt;0,Q975&lt;30,K975=216),'Udvaskning nøgletal'!$C$42,IF(AND(Q975&gt;0,Q975&lt;30,K975&gt;7,K975&lt;17),'Udvaskning nøgletal'!$C$61,IF(AND(Q975&gt;0,Q975&lt;30,K975&lt;7),'Udvaskning nøgletal'!$C$62,"")))</f>
        <v/>
      </c>
      <c r="AI975" s="10">
        <f t="shared" si="160"/>
        <v>216</v>
      </c>
      <c r="AJ975" s="10">
        <f>IF($X975=1,LOOKUP(AI975,'Udvaskning nøgletal'!$C$12:$C$62,'Udvaskning nøgletal'!$E$12:$E$62)+Markniveau!$Y975*Markniveau!$S975/100,IF($X975=2,LOOKUP(AI975,'Udvaskning nøgletal'!$C$12:$C$62,'Udvaskning nøgletal'!$F$12:$F$62)+Markniveau!$Y975*Markniveau!$S975/100,IF($X975=3,LOOKUP(AI975,'Udvaskning nøgletal'!$C$12:$C$62,'Udvaskning nøgletal'!Q985:Q1035)+Markniveau!$Y975*Markniveau!$S975/100,"")))</f>
        <v>101.66744640811392</v>
      </c>
      <c r="AK975" s="10">
        <f t="shared" si="159"/>
        <v>1915.4146903288663</v>
      </c>
      <c r="AL975" s="10" t="str">
        <f t="shared" si="161"/>
        <v/>
      </c>
      <c r="AM975" s="10" t="str">
        <f t="shared" si="162"/>
        <v/>
      </c>
    </row>
    <row r="976" spans="1:39" x14ac:dyDescent="0.25">
      <c r="A976" s="15">
        <v>28540744</v>
      </c>
      <c r="B976" s="15">
        <v>90.4</v>
      </c>
      <c r="C976" s="15">
        <v>77042</v>
      </c>
      <c r="D976" s="15">
        <v>137119</v>
      </c>
      <c r="E976" s="15" t="s">
        <v>780</v>
      </c>
      <c r="F976" s="15">
        <v>2011</v>
      </c>
      <c r="G976" s="15">
        <v>20110406</v>
      </c>
      <c r="H976" s="15">
        <v>20285</v>
      </c>
      <c r="I976" s="15">
        <v>2.0299999999999998</v>
      </c>
      <c r="J976" s="6" t="s">
        <v>781</v>
      </c>
      <c r="K976" s="15">
        <v>252</v>
      </c>
      <c r="L976" s="15" t="s">
        <v>41</v>
      </c>
      <c r="M976" s="15" t="s">
        <v>4</v>
      </c>
      <c r="N976" s="11" t="s">
        <v>1406</v>
      </c>
      <c r="O976" s="11" t="s">
        <v>46</v>
      </c>
      <c r="P976" s="11" t="s">
        <v>33</v>
      </c>
      <c r="Q976" s="15">
        <v>0</v>
      </c>
      <c r="R976" s="11" t="s">
        <v>1386</v>
      </c>
      <c r="S976" s="10">
        <v>157.46830381596001</v>
      </c>
      <c r="T976" s="15">
        <v>80</v>
      </c>
      <c r="U976" s="15">
        <v>0</v>
      </c>
      <c r="V976" s="15">
        <v>0</v>
      </c>
      <c r="W976" s="15">
        <v>0</v>
      </c>
      <c r="X976" s="15">
        <f>IF(O976='Udvaskning nøgletal'!$D$65,1,IF(O976='Udvaskning nøgletal'!$D$66,2,IF(O976='Udvaskning nøgletal'!$D$67,3,IF(O976='Udvaskning nøgletal'!$D$68,2,""))))</f>
        <v>2</v>
      </c>
      <c r="Y976" s="15">
        <f>LOOKUP(K976,'Udvaskning nøgletal'!$C$12:$C$60,'Udvaskning nøgletal'!$H$12:$H$60)</f>
        <v>0</v>
      </c>
      <c r="Z976" s="10">
        <f>IF(X976=1,LOOKUP(K976,'Udvaskning nøgletal'!$C$12:$C$60,'Udvaskning nøgletal'!$E$12:$E$60)+Markniveau!Y976*Markniveau!S976/100,IF(X976=2,LOOKUP(K976,'Udvaskning nøgletal'!$C$12:$C$60,'Udvaskning nøgletal'!$F$12:$F$60)+Markniveau!Y976*Markniveau!S976/100,IF(X976=3,LOOKUP(K976,'Udvaskning nøgletal'!$C$12:$C$60,'Udvaskning nøgletal'!G986:G1034)+Markniveau!Y976*Markniveau!S976/100,"")))</f>
        <v>21.2</v>
      </c>
      <c r="AA976" s="10">
        <f t="shared" si="156"/>
        <v>43.035999999999994</v>
      </c>
      <c r="AB976" s="10" t="str">
        <f t="shared" si="155"/>
        <v/>
      </c>
      <c r="AC976" s="10" t="str">
        <f t="shared" si="157"/>
        <v/>
      </c>
      <c r="AD976" s="10">
        <f>IF(AND(Q976&gt;0,Q976&lt;30,K976&lt;8),Markniveau!Z976*'Udvaskning nøgletal'!$I$12/100,IF(AND(Q976&gt;0,Q976&lt;30,K976=216),Markniveau!Z976*'Udvaskning nøgletal'!$I$34/100,Markniveau!Z976))</f>
        <v>21.2</v>
      </c>
      <c r="AE976" s="10">
        <f t="shared" si="153"/>
        <v>43.035999999999994</v>
      </c>
      <c r="AF976" s="10" t="str">
        <f t="shared" si="158"/>
        <v/>
      </c>
      <c r="AG976" s="10" t="str">
        <f t="shared" si="154"/>
        <v/>
      </c>
      <c r="AH976" s="10" t="str">
        <f>IF(AND(Q976&gt;0,Q976&lt;30,K976=216),'Udvaskning nøgletal'!$C$42,IF(AND(Q976&gt;0,Q976&lt;30,K976&gt;7,K976&lt;17),'Udvaskning nøgletal'!$C$61,IF(AND(Q976&gt;0,Q976&lt;30,K976&lt;7),'Udvaskning nøgletal'!$C$62,"")))</f>
        <v/>
      </c>
      <c r="AI976" s="10">
        <f t="shared" si="160"/>
        <v>252</v>
      </c>
      <c r="AJ976" s="10">
        <f>IF($X976=1,LOOKUP(AI976,'Udvaskning nøgletal'!$C$12:$C$62,'Udvaskning nøgletal'!$E$12:$E$62)+Markniveau!$Y976*Markniveau!$S976/100,IF($X976=2,LOOKUP(AI976,'Udvaskning nøgletal'!$C$12:$C$62,'Udvaskning nøgletal'!$F$12:$F$62)+Markniveau!$Y976*Markniveau!$S976/100,IF($X976=3,LOOKUP(AI976,'Udvaskning nøgletal'!$C$12:$C$62,'Udvaskning nøgletal'!Q986:Q1036)+Markniveau!$Y976*Markniveau!$S976/100,"")))</f>
        <v>21.2</v>
      </c>
      <c r="AK976" s="10">
        <f t="shared" si="159"/>
        <v>43.035999999999994</v>
      </c>
      <c r="AL976" s="10" t="str">
        <f t="shared" si="161"/>
        <v/>
      </c>
      <c r="AM976" s="10" t="str">
        <f t="shared" si="162"/>
        <v/>
      </c>
    </row>
    <row r="977" spans="1:39" x14ac:dyDescent="0.25">
      <c r="A977" s="15">
        <v>28540744</v>
      </c>
      <c r="B977" s="15">
        <v>90.4</v>
      </c>
      <c r="C977" s="15">
        <v>77043</v>
      </c>
      <c r="D977" s="15">
        <v>137119</v>
      </c>
      <c r="E977" s="15" t="s">
        <v>782</v>
      </c>
      <c r="F977" s="15">
        <v>2011</v>
      </c>
      <c r="G977" s="15">
        <v>20110406</v>
      </c>
      <c r="H977" s="15">
        <v>3858</v>
      </c>
      <c r="I977" s="15">
        <v>0.39</v>
      </c>
      <c r="J977" s="6" t="s">
        <v>783</v>
      </c>
      <c r="K977" s="15">
        <v>252</v>
      </c>
      <c r="L977" s="15" t="s">
        <v>41</v>
      </c>
      <c r="M977" s="15" t="s">
        <v>4</v>
      </c>
      <c r="N977" s="11" t="s">
        <v>1406</v>
      </c>
      <c r="O977" s="11" t="s">
        <v>46</v>
      </c>
      <c r="P977" s="11" t="s">
        <v>33</v>
      </c>
      <c r="Q977" s="15">
        <v>0</v>
      </c>
      <c r="R977" s="11" t="s">
        <v>1386</v>
      </c>
      <c r="S977" s="10">
        <v>157.46830381596001</v>
      </c>
      <c r="T977" s="15">
        <v>80</v>
      </c>
      <c r="U977" s="15">
        <v>0</v>
      </c>
      <c r="V977" s="15">
        <v>0</v>
      </c>
      <c r="W977" s="15">
        <v>0</v>
      </c>
      <c r="X977" s="15">
        <f>IF(O977='Udvaskning nøgletal'!$D$65,1,IF(O977='Udvaskning nøgletal'!$D$66,2,IF(O977='Udvaskning nøgletal'!$D$67,3,IF(O977='Udvaskning nøgletal'!$D$68,2,""))))</f>
        <v>2</v>
      </c>
      <c r="Y977" s="15">
        <f>LOOKUP(K977,'Udvaskning nøgletal'!$C$12:$C$60,'Udvaskning nøgletal'!$H$12:$H$60)</f>
        <v>0</v>
      </c>
      <c r="Z977" s="10">
        <f>IF(X977=1,LOOKUP(K977,'Udvaskning nøgletal'!$C$12:$C$60,'Udvaskning nøgletal'!$E$12:$E$60)+Markniveau!Y977*Markniveau!S977/100,IF(X977=2,LOOKUP(K977,'Udvaskning nøgletal'!$C$12:$C$60,'Udvaskning nøgletal'!$F$12:$F$60)+Markniveau!Y977*Markniveau!S977/100,IF(X977=3,LOOKUP(K977,'Udvaskning nøgletal'!$C$12:$C$60,'Udvaskning nøgletal'!G987:G1035)+Markniveau!Y977*Markniveau!S977/100,"")))</f>
        <v>21.2</v>
      </c>
      <c r="AA977" s="10">
        <f t="shared" si="156"/>
        <v>8.2680000000000007</v>
      </c>
      <c r="AB977" s="10" t="str">
        <f t="shared" si="155"/>
        <v/>
      </c>
      <c r="AC977" s="10" t="str">
        <f t="shared" si="157"/>
        <v/>
      </c>
      <c r="AD977" s="10">
        <f>IF(AND(Q977&gt;0,Q977&lt;30,K977&lt;8),Markniveau!Z977*'Udvaskning nøgletal'!$I$12/100,IF(AND(Q977&gt;0,Q977&lt;30,K977=216),Markniveau!Z977*'Udvaskning nøgletal'!$I$34/100,Markniveau!Z977))</f>
        <v>21.2</v>
      </c>
      <c r="AE977" s="10">
        <f t="shared" ref="AE977:AE1040" si="163">AD977*I977</f>
        <v>8.2680000000000007</v>
      </c>
      <c r="AF977" s="10" t="str">
        <f t="shared" si="158"/>
        <v/>
      </c>
      <c r="AG977" s="10" t="str">
        <f t="shared" ref="AG977:AG1040" si="164">IF($Q977&gt;0,(100-$Q977)*$AD977/100*I977,"")</f>
        <v/>
      </c>
      <c r="AH977" s="10" t="str">
        <f>IF(AND(Q977&gt;0,Q977&lt;30,K977=216),'Udvaskning nøgletal'!$C$42,IF(AND(Q977&gt;0,Q977&lt;30,K977&gt;7,K977&lt;17),'Udvaskning nøgletal'!$C$61,IF(AND(Q977&gt;0,Q977&lt;30,K977&lt;7),'Udvaskning nøgletal'!$C$62,"")))</f>
        <v/>
      </c>
      <c r="AI977" s="10">
        <f t="shared" si="160"/>
        <v>252</v>
      </c>
      <c r="AJ977" s="10">
        <f>IF($X977=1,LOOKUP(AI977,'Udvaskning nøgletal'!$C$12:$C$62,'Udvaskning nøgletal'!$E$12:$E$62)+Markniveau!$Y977*Markniveau!$S977/100,IF($X977=2,LOOKUP(AI977,'Udvaskning nøgletal'!$C$12:$C$62,'Udvaskning nøgletal'!$F$12:$F$62)+Markniveau!$Y977*Markniveau!$S977/100,IF($X977=3,LOOKUP(AI977,'Udvaskning nøgletal'!$C$12:$C$62,'Udvaskning nøgletal'!Q987:Q1037)+Markniveau!$Y977*Markniveau!$S977/100,"")))</f>
        <v>21.2</v>
      </c>
      <c r="AK977" s="10">
        <f t="shared" si="159"/>
        <v>8.2680000000000007</v>
      </c>
      <c r="AL977" s="10" t="str">
        <f t="shared" si="161"/>
        <v/>
      </c>
      <c r="AM977" s="10" t="str">
        <f t="shared" si="162"/>
        <v/>
      </c>
    </row>
    <row r="978" spans="1:39" x14ac:dyDescent="0.25">
      <c r="A978" s="15">
        <v>28540744</v>
      </c>
      <c r="B978" s="15">
        <v>90.4</v>
      </c>
      <c r="C978" s="15">
        <v>77044</v>
      </c>
      <c r="D978" s="15">
        <v>137119</v>
      </c>
      <c r="E978" s="15" t="s">
        <v>784</v>
      </c>
      <c r="F978" s="15">
        <v>2011</v>
      </c>
      <c r="G978" s="15">
        <v>20110406</v>
      </c>
      <c r="H978" s="15">
        <v>3127</v>
      </c>
      <c r="I978" s="15">
        <v>0.31</v>
      </c>
      <c r="J978" s="6" t="s">
        <v>785</v>
      </c>
      <c r="K978" s="15">
        <v>252</v>
      </c>
      <c r="L978" s="15" t="s">
        <v>41</v>
      </c>
      <c r="M978" s="15" t="s">
        <v>4</v>
      </c>
      <c r="N978" s="11" t="s">
        <v>1406</v>
      </c>
      <c r="O978" s="11" t="s">
        <v>46</v>
      </c>
      <c r="P978" s="11" t="s">
        <v>33</v>
      </c>
      <c r="Q978" s="15">
        <v>0</v>
      </c>
      <c r="R978" s="11" t="s">
        <v>1386</v>
      </c>
      <c r="S978" s="10">
        <v>157.46830381596001</v>
      </c>
      <c r="T978" s="15">
        <v>80</v>
      </c>
      <c r="U978" s="15">
        <v>0</v>
      </c>
      <c r="V978" s="15">
        <v>0</v>
      </c>
      <c r="W978" s="15">
        <v>0</v>
      </c>
      <c r="X978" s="15">
        <f>IF(O978='Udvaskning nøgletal'!$D$65,1,IF(O978='Udvaskning nøgletal'!$D$66,2,IF(O978='Udvaskning nøgletal'!$D$67,3,IF(O978='Udvaskning nøgletal'!$D$68,2,""))))</f>
        <v>2</v>
      </c>
      <c r="Y978" s="15">
        <f>LOOKUP(K978,'Udvaskning nøgletal'!$C$12:$C$60,'Udvaskning nøgletal'!$H$12:$H$60)</f>
        <v>0</v>
      </c>
      <c r="Z978" s="10">
        <f>IF(X978=1,LOOKUP(K978,'Udvaskning nøgletal'!$C$12:$C$60,'Udvaskning nøgletal'!$E$12:$E$60)+Markniveau!Y978*Markniveau!S978/100,IF(X978=2,LOOKUP(K978,'Udvaskning nøgletal'!$C$12:$C$60,'Udvaskning nøgletal'!$F$12:$F$60)+Markniveau!Y978*Markniveau!S978/100,IF(X978=3,LOOKUP(K978,'Udvaskning nøgletal'!$C$12:$C$60,'Udvaskning nøgletal'!G988:G1036)+Markniveau!Y978*Markniveau!S978/100,"")))</f>
        <v>21.2</v>
      </c>
      <c r="AA978" s="10">
        <f t="shared" si="156"/>
        <v>6.5720000000000001</v>
      </c>
      <c r="AB978" s="10" t="str">
        <f t="shared" si="155"/>
        <v/>
      </c>
      <c r="AC978" s="10" t="str">
        <f t="shared" si="157"/>
        <v/>
      </c>
      <c r="AD978" s="10">
        <f>IF(AND(Q978&gt;0,Q978&lt;30,K978&lt;8),Markniveau!Z978*'Udvaskning nøgletal'!$I$12/100,IF(AND(Q978&gt;0,Q978&lt;30,K978=216),Markniveau!Z978*'Udvaskning nøgletal'!$I$34/100,Markniveau!Z978))</f>
        <v>21.2</v>
      </c>
      <c r="AE978" s="10">
        <f t="shared" si="163"/>
        <v>6.5720000000000001</v>
      </c>
      <c r="AF978" s="10" t="str">
        <f t="shared" si="158"/>
        <v/>
      </c>
      <c r="AG978" s="10" t="str">
        <f t="shared" si="164"/>
        <v/>
      </c>
      <c r="AH978" s="10" t="str">
        <f>IF(AND(Q978&gt;0,Q978&lt;30,K978=216),'Udvaskning nøgletal'!$C$42,IF(AND(Q978&gt;0,Q978&lt;30,K978&gt;7,K978&lt;17),'Udvaskning nøgletal'!$C$61,IF(AND(Q978&gt;0,Q978&lt;30,K978&lt;7),'Udvaskning nøgletal'!$C$62,"")))</f>
        <v/>
      </c>
      <c r="AI978" s="10">
        <f t="shared" si="160"/>
        <v>252</v>
      </c>
      <c r="AJ978" s="10">
        <f>IF($X978=1,LOOKUP(AI978,'Udvaskning nøgletal'!$C$12:$C$62,'Udvaskning nøgletal'!$E$12:$E$62)+Markniveau!$Y978*Markniveau!$S978/100,IF($X978=2,LOOKUP(AI978,'Udvaskning nøgletal'!$C$12:$C$62,'Udvaskning nøgletal'!$F$12:$F$62)+Markniveau!$Y978*Markniveau!$S978/100,IF($X978=3,LOOKUP(AI978,'Udvaskning nøgletal'!$C$12:$C$62,'Udvaskning nøgletal'!Q988:Q1038)+Markniveau!$Y978*Markniveau!$S978/100,"")))</f>
        <v>21.2</v>
      </c>
      <c r="AK978" s="10">
        <f t="shared" si="159"/>
        <v>6.5720000000000001</v>
      </c>
      <c r="AL978" s="10" t="str">
        <f t="shared" si="161"/>
        <v/>
      </c>
      <c r="AM978" s="10" t="str">
        <f t="shared" si="162"/>
        <v/>
      </c>
    </row>
    <row r="979" spans="1:39" x14ac:dyDescent="0.25">
      <c r="A979" s="15">
        <v>28540744</v>
      </c>
      <c r="B979" s="15">
        <v>90.4</v>
      </c>
      <c r="C979" s="15">
        <v>77594</v>
      </c>
      <c r="D979" s="15">
        <v>137119</v>
      </c>
      <c r="E979" s="15" t="s">
        <v>786</v>
      </c>
      <c r="F979" s="15">
        <v>2011</v>
      </c>
      <c r="G979" s="15">
        <v>20110406</v>
      </c>
      <c r="H979" s="15">
        <v>20427</v>
      </c>
      <c r="I979" s="15">
        <v>2.04</v>
      </c>
      <c r="J979" s="6" t="s">
        <v>137</v>
      </c>
      <c r="K979" s="15">
        <v>15</v>
      </c>
      <c r="L979" s="15" t="s">
        <v>362</v>
      </c>
      <c r="M979" s="15" t="s">
        <v>5</v>
      </c>
      <c r="N979" s="11" t="s">
        <v>1384</v>
      </c>
      <c r="O979" s="11" t="s">
        <v>28</v>
      </c>
      <c r="P979" s="11" t="s">
        <v>33</v>
      </c>
      <c r="Q979" s="15">
        <v>0</v>
      </c>
      <c r="R979" s="11" t="s">
        <v>1386</v>
      </c>
      <c r="S979" s="10">
        <v>157.46830381596001</v>
      </c>
      <c r="T979" s="15">
        <v>80</v>
      </c>
      <c r="U979" s="15">
        <v>0</v>
      </c>
      <c r="V979" s="15">
        <v>0</v>
      </c>
      <c r="W979" s="15">
        <v>0</v>
      </c>
      <c r="X979" s="15">
        <f>IF(O979='Udvaskning nøgletal'!$D$65,1,IF(O979='Udvaskning nøgletal'!$D$66,2,IF(O979='Udvaskning nøgletal'!$D$67,3,IF(O979='Udvaskning nøgletal'!$D$68,2,""))))</f>
        <v>1</v>
      </c>
      <c r="Y979" s="15">
        <f>LOOKUP(K979,'Udvaskning nøgletal'!$C$12:$C$60,'Udvaskning nøgletal'!$H$12:$H$60)</f>
        <v>5</v>
      </c>
      <c r="Z979" s="10">
        <f>IF(X979=1,LOOKUP(K979,'Udvaskning nøgletal'!$C$12:$C$60,'Udvaskning nøgletal'!$E$12:$E$60)+Markniveau!Y979*Markniveau!S979/100,IF(X979=2,LOOKUP(K979,'Udvaskning nøgletal'!$C$12:$C$60,'Udvaskning nøgletal'!$F$12:$F$60)+Markniveau!Y979*Markniveau!S979/100,IF(X979=3,LOOKUP(K979,'Udvaskning nøgletal'!$C$12:$C$60,'Udvaskning nøgletal'!G989:G1037)+Markniveau!Y979*Markniveau!S979/100,"")))</f>
        <v>72.533415190797996</v>
      </c>
      <c r="AA979" s="10">
        <f t="shared" si="156"/>
        <v>147.96816698922791</v>
      </c>
      <c r="AB979" s="10" t="str">
        <f t="shared" si="155"/>
        <v/>
      </c>
      <c r="AC979" s="10" t="str">
        <f t="shared" si="157"/>
        <v/>
      </c>
      <c r="AD979" s="10">
        <f>IF(AND(Q979&gt;0,Q979&lt;30,K979&lt;8),Markniveau!Z979*'Udvaskning nøgletal'!$I$12/100,IF(AND(Q979&gt;0,Q979&lt;30,K979=216),Markniveau!Z979*'Udvaskning nøgletal'!$I$34/100,Markniveau!Z979))</f>
        <v>72.533415190797996</v>
      </c>
      <c r="AE979" s="10">
        <f t="shared" si="163"/>
        <v>147.96816698922791</v>
      </c>
      <c r="AF979" s="10" t="str">
        <f t="shared" si="158"/>
        <v/>
      </c>
      <c r="AG979" s="10" t="str">
        <f t="shared" si="164"/>
        <v/>
      </c>
      <c r="AH979" s="10" t="str">
        <f>IF(AND(Q979&gt;0,Q979&lt;30,K979=216),'Udvaskning nøgletal'!$C$42,IF(AND(Q979&gt;0,Q979&lt;30,K979&gt;7,K979&lt;17),'Udvaskning nøgletal'!$C$61,IF(AND(Q979&gt;0,Q979&lt;30,K979&lt;7),'Udvaskning nøgletal'!$C$62,"")))</f>
        <v/>
      </c>
      <c r="AI979" s="10">
        <f t="shared" si="160"/>
        <v>15</v>
      </c>
      <c r="AJ979" s="10">
        <f>IF($X979=1,LOOKUP(AI979,'Udvaskning nøgletal'!$C$12:$C$62,'Udvaskning nøgletal'!$E$12:$E$62)+Markniveau!$Y979*Markniveau!$S979/100,IF($X979=2,LOOKUP(AI979,'Udvaskning nøgletal'!$C$12:$C$62,'Udvaskning nøgletal'!$F$12:$F$62)+Markniveau!$Y979*Markniveau!$S979/100,IF($X979=3,LOOKUP(AI979,'Udvaskning nøgletal'!$C$12:$C$62,'Udvaskning nøgletal'!Q989:Q1039)+Markniveau!$Y979*Markniveau!$S979/100,"")))</f>
        <v>72.533415190797996</v>
      </c>
      <c r="AK979" s="10">
        <f t="shared" si="159"/>
        <v>147.96816698922791</v>
      </c>
      <c r="AL979" s="10" t="str">
        <f t="shared" si="161"/>
        <v/>
      </c>
      <c r="AM979" s="10" t="str">
        <f t="shared" si="162"/>
        <v/>
      </c>
    </row>
    <row r="980" spans="1:39" x14ac:dyDescent="0.25">
      <c r="A980" s="15">
        <v>28540744</v>
      </c>
      <c r="B980" s="15">
        <v>90.4</v>
      </c>
      <c r="C980" s="15">
        <v>80339</v>
      </c>
      <c r="D980" s="15">
        <v>137119</v>
      </c>
      <c r="E980" s="15" t="s">
        <v>787</v>
      </c>
      <c r="F980" s="15">
        <v>2011</v>
      </c>
      <c r="G980" s="15">
        <v>20110406</v>
      </c>
      <c r="H980" s="15">
        <v>226580</v>
      </c>
      <c r="I980" s="15">
        <v>22.66</v>
      </c>
      <c r="J980" s="6" t="s">
        <v>38</v>
      </c>
      <c r="K980" s="15">
        <v>1</v>
      </c>
      <c r="L980" s="15" t="s">
        <v>32</v>
      </c>
      <c r="M980" s="15" t="s">
        <v>5</v>
      </c>
      <c r="N980" s="11" t="s">
        <v>1391</v>
      </c>
      <c r="O980" s="11" t="s">
        <v>46</v>
      </c>
      <c r="P980" s="11" t="s">
        <v>33</v>
      </c>
      <c r="Q980" s="15">
        <v>0</v>
      </c>
      <c r="R980" s="11" t="s">
        <v>1386</v>
      </c>
      <c r="S980" s="10">
        <v>157.46830381596001</v>
      </c>
      <c r="T980" s="15">
        <v>80</v>
      </c>
      <c r="U980" s="15">
        <v>0</v>
      </c>
      <c r="V980" s="15">
        <v>0</v>
      </c>
      <c r="W980" s="15">
        <v>0</v>
      </c>
      <c r="X980" s="15">
        <f>IF(O980='Udvaskning nøgletal'!$D$65,1,IF(O980='Udvaskning nøgletal'!$D$66,2,IF(O980='Udvaskning nøgletal'!$D$67,3,IF(O980='Udvaskning nøgletal'!$D$68,2,""))))</f>
        <v>2</v>
      </c>
      <c r="Y980" s="15">
        <f>LOOKUP(K980,'Udvaskning nøgletal'!$C$12:$C$60,'Udvaskning nøgletal'!$H$12:$H$60)</f>
        <v>5</v>
      </c>
      <c r="Z980" s="10">
        <f>IF(X980=1,LOOKUP(K980,'Udvaskning nøgletal'!$C$12:$C$60,'Udvaskning nøgletal'!$E$12:$E$60)+Markniveau!Y980*Markniveau!S980/100,IF(X980=2,LOOKUP(K980,'Udvaskning nøgletal'!$C$12:$C$60,'Udvaskning nøgletal'!$F$12:$F$60)+Markniveau!Y980*Markniveau!S980/100,IF(X980=3,LOOKUP(K980,'Udvaskning nøgletal'!$C$12:$C$60,'Udvaskning nøgletal'!G990:G1038)+Markniveau!Y980*Markniveau!S980/100,"")))</f>
        <v>58.753415190798002</v>
      </c>
      <c r="AA980" s="10">
        <f t="shared" si="156"/>
        <v>1331.3523882234826</v>
      </c>
      <c r="AB980" s="10" t="str">
        <f t="shared" si="155"/>
        <v/>
      </c>
      <c r="AC980" s="10" t="str">
        <f t="shared" si="157"/>
        <v/>
      </c>
      <c r="AD980" s="10">
        <f>IF(AND(Q980&gt;0,Q980&lt;30,K980&lt;8),Markniveau!Z980*'Udvaskning nøgletal'!$I$12/100,IF(AND(Q980&gt;0,Q980&lt;30,K980=216),Markniveau!Z980*'Udvaskning nøgletal'!$I$34/100,Markniveau!Z980))</f>
        <v>58.753415190798002</v>
      </c>
      <c r="AE980" s="10">
        <f t="shared" si="163"/>
        <v>1331.3523882234826</v>
      </c>
      <c r="AF980" s="10" t="str">
        <f t="shared" si="158"/>
        <v/>
      </c>
      <c r="AG980" s="10" t="str">
        <f t="shared" si="164"/>
        <v/>
      </c>
      <c r="AH980" s="10" t="str">
        <f>IF(AND(Q980&gt;0,Q980&lt;30,K980=216),'Udvaskning nøgletal'!$C$42,IF(AND(Q980&gt;0,Q980&lt;30,K980&gt;7,K980&lt;17),'Udvaskning nøgletal'!$C$61,IF(AND(Q980&gt;0,Q980&lt;30,K980&lt;7),'Udvaskning nøgletal'!$C$62,"")))</f>
        <v/>
      </c>
      <c r="AI980" s="10">
        <f t="shared" si="160"/>
        <v>1</v>
      </c>
      <c r="AJ980" s="10">
        <f>IF($X980=1,LOOKUP(AI980,'Udvaskning nøgletal'!$C$12:$C$62,'Udvaskning nøgletal'!$E$12:$E$62)+Markniveau!$Y980*Markniveau!$S980/100,IF($X980=2,LOOKUP(AI980,'Udvaskning nøgletal'!$C$12:$C$62,'Udvaskning nøgletal'!$F$12:$F$62)+Markniveau!$Y980*Markniveau!$S980/100,IF($X980=3,LOOKUP(AI980,'Udvaskning nøgletal'!$C$12:$C$62,'Udvaskning nøgletal'!Q990:Q1040)+Markniveau!$Y980*Markniveau!$S980/100,"")))</f>
        <v>58.753415190798002</v>
      </c>
      <c r="AK980" s="10">
        <f t="shared" si="159"/>
        <v>1331.3523882234826</v>
      </c>
      <c r="AL980" s="10" t="str">
        <f t="shared" si="161"/>
        <v/>
      </c>
      <c r="AM980" s="10" t="str">
        <f t="shared" si="162"/>
        <v/>
      </c>
    </row>
    <row r="981" spans="1:39" x14ac:dyDescent="0.25">
      <c r="A981" s="15">
        <v>28540744</v>
      </c>
      <c r="B981" s="15">
        <v>90.4</v>
      </c>
      <c r="C981" s="15">
        <v>83757</v>
      </c>
      <c r="D981" s="15">
        <v>137119</v>
      </c>
      <c r="E981" s="15" t="s">
        <v>788</v>
      </c>
      <c r="F981" s="15">
        <v>2011</v>
      </c>
      <c r="G981" s="15">
        <v>20110406</v>
      </c>
      <c r="H981" s="15">
        <v>302554</v>
      </c>
      <c r="I981" s="15">
        <v>30.26</v>
      </c>
      <c r="J981" s="6" t="s">
        <v>97</v>
      </c>
      <c r="K981" s="15">
        <v>22</v>
      </c>
      <c r="L981" s="15" t="s">
        <v>213</v>
      </c>
      <c r="M981" s="15" t="s">
        <v>5</v>
      </c>
      <c r="N981" s="11" t="s">
        <v>1384</v>
      </c>
      <c r="O981" s="11" t="s">
        <v>28</v>
      </c>
      <c r="P981" s="11" t="s">
        <v>29</v>
      </c>
      <c r="Q981" s="15">
        <v>95</v>
      </c>
      <c r="R981" s="11" t="s">
        <v>3</v>
      </c>
      <c r="S981" s="10">
        <v>157.46830381596001</v>
      </c>
      <c r="T981" s="15">
        <v>80</v>
      </c>
      <c r="U981" s="15">
        <v>0</v>
      </c>
      <c r="V981" s="15">
        <v>0</v>
      </c>
      <c r="W981" s="15">
        <v>0</v>
      </c>
      <c r="X981" s="15">
        <f>IF(O981='Udvaskning nøgletal'!$D$65,1,IF(O981='Udvaskning nøgletal'!$D$66,2,IF(O981='Udvaskning nøgletal'!$D$67,3,IF(O981='Udvaskning nøgletal'!$D$68,2,""))))</f>
        <v>1</v>
      </c>
      <c r="Y981" s="15">
        <f>LOOKUP(K981,'Udvaskning nøgletal'!$C$12:$C$60,'Udvaskning nøgletal'!$H$12:$H$60)</f>
        <v>5</v>
      </c>
      <c r="Z981" s="10">
        <f>IF(X981=1,LOOKUP(K981,'Udvaskning nøgletal'!$C$12:$C$60,'Udvaskning nøgletal'!$E$12:$E$60)+Markniveau!Y981*Markniveau!S981/100,IF(X981=2,LOOKUP(K981,'Udvaskning nøgletal'!$C$12:$C$60,'Udvaskning nøgletal'!$F$12:$F$60)+Markniveau!Y981*Markniveau!S981/100,IF(X981=3,LOOKUP(K981,'Udvaskning nøgletal'!$C$12:$C$60,'Udvaskning nøgletal'!G991:G1039)+Markniveau!Y981*Markniveau!S981/100,"")))</f>
        <v>72.533415190797996</v>
      </c>
      <c r="AA981" s="10">
        <f t="shared" si="156"/>
        <v>2194.8611436735473</v>
      </c>
      <c r="AB981" s="10">
        <f t="shared" si="155"/>
        <v>3.6266707595398997</v>
      </c>
      <c r="AC981" s="10">
        <f t="shared" si="157"/>
        <v>109.74305718367737</v>
      </c>
      <c r="AD981" s="10">
        <f>IF(AND(Q981&gt;0,Q981&lt;30,K981&lt;8),Markniveau!Z981*'Udvaskning nøgletal'!$I$12/100,IF(AND(Q981&gt;0,Q981&lt;30,K981=216),Markniveau!Z981*'Udvaskning nøgletal'!$I$34/100,Markniveau!Z981))</f>
        <v>72.533415190797996</v>
      </c>
      <c r="AE981" s="10">
        <f t="shared" si="163"/>
        <v>2194.8611436735473</v>
      </c>
      <c r="AF981" s="10">
        <f t="shared" si="158"/>
        <v>3.6266707595398997</v>
      </c>
      <c r="AG981" s="10">
        <f t="shared" si="164"/>
        <v>109.74305718367737</v>
      </c>
      <c r="AH981" s="10" t="str">
        <f>IF(AND(Q981&gt;0,Q981&lt;30,K981=216),'Udvaskning nøgletal'!$C$42,IF(AND(Q981&gt;0,Q981&lt;30,K981&gt;7,K981&lt;17),'Udvaskning nøgletal'!$C$61,IF(AND(Q981&gt;0,Q981&lt;30,K981&lt;7),'Udvaskning nøgletal'!$C$62,"")))</f>
        <v/>
      </c>
      <c r="AI981" s="10">
        <f t="shared" si="160"/>
        <v>22</v>
      </c>
      <c r="AJ981" s="10">
        <f>IF($X981=1,LOOKUP(AI981,'Udvaskning nøgletal'!$C$12:$C$62,'Udvaskning nøgletal'!$E$12:$E$62)+Markniveau!$Y981*Markniveau!$S981/100,IF($X981=2,LOOKUP(AI981,'Udvaskning nøgletal'!$C$12:$C$62,'Udvaskning nøgletal'!$F$12:$F$62)+Markniveau!$Y981*Markniveau!$S981/100,IF($X981=3,LOOKUP(AI981,'Udvaskning nøgletal'!$C$12:$C$62,'Udvaskning nøgletal'!Q991:Q1041)+Markniveau!$Y981*Markniveau!$S981/100,"")))</f>
        <v>72.533415190797996</v>
      </c>
      <c r="AK981" s="10">
        <f t="shared" si="159"/>
        <v>2194.8611436735473</v>
      </c>
      <c r="AL981" s="10">
        <f t="shared" si="161"/>
        <v>3.6266707595398997</v>
      </c>
      <c r="AM981" s="10">
        <f t="shared" si="162"/>
        <v>109.74305718367737</v>
      </c>
    </row>
    <row r="982" spans="1:39" x14ac:dyDescent="0.25">
      <c r="A982" s="15">
        <v>28540744</v>
      </c>
      <c r="B982" s="15">
        <v>90.4</v>
      </c>
      <c r="C982" s="15">
        <v>83758</v>
      </c>
      <c r="D982" s="15">
        <v>137119</v>
      </c>
      <c r="E982" s="15" t="s">
        <v>764</v>
      </c>
      <c r="F982" s="15">
        <v>2011</v>
      </c>
      <c r="G982" s="15">
        <v>20110406</v>
      </c>
      <c r="H982" s="15">
        <v>175234</v>
      </c>
      <c r="I982" s="15">
        <v>17.52</v>
      </c>
      <c r="J982" s="6" t="s">
        <v>36</v>
      </c>
      <c r="K982" s="15">
        <v>22</v>
      </c>
      <c r="L982" s="15" t="s">
        <v>213</v>
      </c>
      <c r="M982" s="15" t="s">
        <v>5</v>
      </c>
      <c r="N982" s="11" t="s">
        <v>1406</v>
      </c>
      <c r="O982" s="11" t="s">
        <v>46</v>
      </c>
      <c r="P982" s="11" t="s">
        <v>33</v>
      </c>
      <c r="Q982" s="15">
        <v>1</v>
      </c>
      <c r="R982" s="11" t="s">
        <v>11</v>
      </c>
      <c r="S982" s="10">
        <v>157.46830381596001</v>
      </c>
      <c r="T982" s="15">
        <v>80</v>
      </c>
      <c r="U982" s="15">
        <v>0</v>
      </c>
      <c r="V982" s="15">
        <v>0</v>
      </c>
      <c r="W982" s="15">
        <v>0</v>
      </c>
      <c r="X982" s="15">
        <f>IF(O982='Udvaskning nøgletal'!$D$65,1,IF(O982='Udvaskning nøgletal'!$D$66,2,IF(O982='Udvaskning nøgletal'!$D$67,3,IF(O982='Udvaskning nøgletal'!$D$68,2,""))))</f>
        <v>2</v>
      </c>
      <c r="Y982" s="15">
        <f>LOOKUP(K982,'Udvaskning nøgletal'!$C$12:$C$60,'Udvaskning nøgletal'!$H$12:$H$60)</f>
        <v>5</v>
      </c>
      <c r="Z982" s="10">
        <f>IF(X982=1,LOOKUP(K982,'Udvaskning nøgletal'!$C$12:$C$60,'Udvaskning nøgletal'!$E$12:$E$60)+Markniveau!Y982*Markniveau!S982/100,IF(X982=2,LOOKUP(K982,'Udvaskning nøgletal'!$C$12:$C$60,'Udvaskning nøgletal'!$F$12:$F$60)+Markniveau!Y982*Markniveau!S982/100,IF(X982=3,LOOKUP(K982,'Udvaskning nøgletal'!$C$12:$C$60,'Udvaskning nøgletal'!G992:G1040)+Markniveau!Y982*Markniveau!S982/100,"")))</f>
        <v>58.753415190798002</v>
      </c>
      <c r="AA982" s="10">
        <f t="shared" si="156"/>
        <v>1029.359834142781</v>
      </c>
      <c r="AB982" s="10">
        <f t="shared" si="155"/>
        <v>58.165881038890021</v>
      </c>
      <c r="AC982" s="10">
        <f t="shared" si="157"/>
        <v>1019.0662358013532</v>
      </c>
      <c r="AD982" s="10">
        <f>IF(AND(Q982&gt;0,Q982&lt;30,K982&lt;8),Markniveau!Z982*'Udvaskning nøgletal'!$I$12/100,IF(AND(Q982&gt;0,Q982&lt;30,K982=216),Markniveau!Z982*'Udvaskning nøgletal'!$I$34/100,Markniveau!Z982))</f>
        <v>58.753415190798002</v>
      </c>
      <c r="AE982" s="10">
        <f t="shared" si="163"/>
        <v>1029.359834142781</v>
      </c>
      <c r="AF982" s="10">
        <f t="shared" si="158"/>
        <v>58.165881038890021</v>
      </c>
      <c r="AG982" s="10">
        <f t="shared" si="164"/>
        <v>1019.0662358013532</v>
      </c>
      <c r="AH982" s="10" t="str">
        <f>IF(AND(Q982&gt;0,Q982&lt;30,K982=216),'Udvaskning nøgletal'!$C$42,IF(AND(Q982&gt;0,Q982&lt;30,K982&gt;7,K982&lt;17),'Udvaskning nøgletal'!$C$61,IF(AND(Q982&gt;0,Q982&lt;30,K982&lt;7),'Udvaskning nøgletal'!$C$62,"")))</f>
        <v/>
      </c>
      <c r="AI982" s="10">
        <f t="shared" si="160"/>
        <v>22</v>
      </c>
      <c r="AJ982" s="10">
        <f>IF($X982=1,LOOKUP(AI982,'Udvaskning nøgletal'!$C$12:$C$62,'Udvaskning nøgletal'!$E$12:$E$62)+Markniveau!$Y982*Markniveau!$S982/100,IF($X982=2,LOOKUP(AI982,'Udvaskning nøgletal'!$C$12:$C$62,'Udvaskning nøgletal'!$F$12:$F$62)+Markniveau!$Y982*Markniveau!$S982/100,IF($X982=3,LOOKUP(AI982,'Udvaskning nøgletal'!$C$12:$C$62,'Udvaskning nøgletal'!Q992:Q1042)+Markniveau!$Y982*Markniveau!$S982/100,"")))</f>
        <v>58.753415190798002</v>
      </c>
      <c r="AK982" s="10">
        <f t="shared" si="159"/>
        <v>1029.359834142781</v>
      </c>
      <c r="AL982" s="10">
        <f t="shared" si="161"/>
        <v>58.165881038890021</v>
      </c>
      <c r="AM982" s="10">
        <f t="shared" si="162"/>
        <v>1019.0662358013532</v>
      </c>
    </row>
    <row r="983" spans="1:39" x14ac:dyDescent="0.25">
      <c r="A983" s="15">
        <v>28540744</v>
      </c>
      <c r="B983" s="15">
        <v>90.4</v>
      </c>
      <c r="C983" s="15">
        <v>84798</v>
      </c>
      <c r="D983" s="15">
        <v>137119</v>
      </c>
      <c r="E983" s="15" t="s">
        <v>789</v>
      </c>
      <c r="F983" s="15">
        <v>2011</v>
      </c>
      <c r="G983" s="15">
        <v>20110406</v>
      </c>
      <c r="H983" s="15">
        <v>284094</v>
      </c>
      <c r="I983" s="15">
        <v>28.41</v>
      </c>
      <c r="J983" s="6" t="s">
        <v>790</v>
      </c>
      <c r="K983" s="15">
        <v>260</v>
      </c>
      <c r="L983" s="15" t="s">
        <v>45</v>
      </c>
      <c r="M983" s="15" t="s">
        <v>5</v>
      </c>
      <c r="N983" s="11" t="s">
        <v>1391</v>
      </c>
      <c r="O983" s="11" t="s">
        <v>46</v>
      </c>
      <c r="P983" s="11" t="s">
        <v>33</v>
      </c>
      <c r="Q983" s="15">
        <v>0</v>
      </c>
      <c r="R983" s="11" t="s">
        <v>1386</v>
      </c>
      <c r="S983" s="10">
        <v>157.46830381596001</v>
      </c>
      <c r="T983" s="15">
        <v>80</v>
      </c>
      <c r="U983" s="15">
        <v>0</v>
      </c>
      <c r="V983" s="15">
        <v>0</v>
      </c>
      <c r="W983" s="15">
        <v>0</v>
      </c>
      <c r="X983" s="15">
        <f>IF(O983='Udvaskning nøgletal'!$D$65,1,IF(O983='Udvaskning nøgletal'!$D$66,2,IF(O983='Udvaskning nøgletal'!$D$67,3,IF(O983='Udvaskning nøgletal'!$D$68,2,""))))</f>
        <v>2</v>
      </c>
      <c r="Y983" s="15">
        <f>LOOKUP(K983,'Udvaskning nøgletal'!$C$12:$C$60,'Udvaskning nøgletal'!$H$12:$H$60)</f>
        <v>0</v>
      </c>
      <c r="Z983" s="10">
        <f>IF(X983=1,LOOKUP(K983,'Udvaskning nøgletal'!$C$12:$C$60,'Udvaskning nøgletal'!$E$12:$E$60)+Markniveau!Y983*Markniveau!S983/100,IF(X983=2,LOOKUP(K983,'Udvaskning nøgletal'!$C$12:$C$60,'Udvaskning nøgletal'!$F$12:$F$60)+Markniveau!Y983*Markniveau!S983/100,IF(X983=3,LOOKUP(K983,'Udvaskning nøgletal'!$C$12:$C$60,'Udvaskning nøgletal'!G993:G1041)+Markniveau!Y983*Markniveau!S983/100,"")))</f>
        <v>27.331185321443094</v>
      </c>
      <c r="AA983" s="10">
        <f t="shared" si="156"/>
        <v>776.47897498219834</v>
      </c>
      <c r="AB983" s="10" t="str">
        <f t="shared" si="155"/>
        <v/>
      </c>
      <c r="AC983" s="10" t="str">
        <f t="shared" si="157"/>
        <v/>
      </c>
      <c r="AD983" s="10">
        <f>IF(AND(Q983&gt;0,Q983&lt;30,K983&lt;8),Markniveau!Z983*'Udvaskning nøgletal'!$I$12/100,IF(AND(Q983&gt;0,Q983&lt;30,K983=216),Markniveau!Z983*'Udvaskning nøgletal'!$I$34/100,Markniveau!Z983))</f>
        <v>27.331185321443094</v>
      </c>
      <c r="AE983" s="10">
        <f t="shared" si="163"/>
        <v>776.47897498219834</v>
      </c>
      <c r="AF983" s="10" t="str">
        <f t="shared" si="158"/>
        <v/>
      </c>
      <c r="AG983" s="10" t="str">
        <f t="shared" si="164"/>
        <v/>
      </c>
      <c r="AH983" s="10" t="str">
        <f>IF(AND(Q983&gt;0,Q983&lt;30,K983=216),'Udvaskning nøgletal'!$C$42,IF(AND(Q983&gt;0,Q983&lt;30,K983&gt;7,K983&lt;17),'Udvaskning nøgletal'!$C$61,IF(AND(Q983&gt;0,Q983&lt;30,K983&lt;7),'Udvaskning nøgletal'!$C$62,"")))</f>
        <v/>
      </c>
      <c r="AI983" s="10">
        <f t="shared" si="160"/>
        <v>260</v>
      </c>
      <c r="AJ983" s="10">
        <f>IF($X983=1,LOOKUP(AI983,'Udvaskning nøgletal'!$C$12:$C$62,'Udvaskning nøgletal'!$E$12:$E$62)+Markniveau!$Y983*Markniveau!$S983/100,IF($X983=2,LOOKUP(AI983,'Udvaskning nøgletal'!$C$12:$C$62,'Udvaskning nøgletal'!$F$12:$F$62)+Markniveau!$Y983*Markniveau!$S983/100,IF($X983=3,LOOKUP(AI983,'Udvaskning nøgletal'!$C$12:$C$62,'Udvaskning nøgletal'!Q993:Q1043)+Markniveau!$Y983*Markniveau!$S983/100,"")))</f>
        <v>27.331185321443094</v>
      </c>
      <c r="AK983" s="10">
        <f t="shared" si="159"/>
        <v>776.47897498219834</v>
      </c>
      <c r="AL983" s="10" t="str">
        <f t="shared" si="161"/>
        <v/>
      </c>
      <c r="AM983" s="10" t="str">
        <f t="shared" si="162"/>
        <v/>
      </c>
    </row>
    <row r="984" spans="1:39" x14ac:dyDescent="0.25">
      <c r="A984" s="15">
        <v>28540744</v>
      </c>
      <c r="B984" s="15">
        <v>90.4</v>
      </c>
      <c r="C984" s="15">
        <v>86870</v>
      </c>
      <c r="D984" s="15">
        <v>137119</v>
      </c>
      <c r="E984" s="15" t="s">
        <v>791</v>
      </c>
      <c r="F984" s="15">
        <v>2011</v>
      </c>
      <c r="G984" s="15">
        <v>20110406</v>
      </c>
      <c r="H984" s="15">
        <v>49017</v>
      </c>
      <c r="I984" s="15">
        <v>4.9000000000000004</v>
      </c>
      <c r="J984" s="6" t="s">
        <v>301</v>
      </c>
      <c r="K984" s="15">
        <v>1</v>
      </c>
      <c r="L984" s="15" t="s">
        <v>32</v>
      </c>
      <c r="M984" s="15" t="s">
        <v>5</v>
      </c>
      <c r="N984" s="11" t="s">
        <v>1406</v>
      </c>
      <c r="O984" s="11" t="s">
        <v>46</v>
      </c>
      <c r="P984" s="11" t="s">
        <v>33</v>
      </c>
      <c r="Q984" s="15">
        <v>0</v>
      </c>
      <c r="R984" s="11" t="s">
        <v>1386</v>
      </c>
      <c r="S984" s="10">
        <v>157.46830381596001</v>
      </c>
      <c r="T984" s="15">
        <v>80</v>
      </c>
      <c r="U984" s="15">
        <v>0</v>
      </c>
      <c r="V984" s="15">
        <v>0</v>
      </c>
      <c r="W984" s="15">
        <v>0</v>
      </c>
      <c r="X984" s="15">
        <f>IF(O984='Udvaskning nøgletal'!$D$65,1,IF(O984='Udvaskning nøgletal'!$D$66,2,IF(O984='Udvaskning nøgletal'!$D$67,3,IF(O984='Udvaskning nøgletal'!$D$68,2,""))))</f>
        <v>2</v>
      </c>
      <c r="Y984" s="15">
        <f>LOOKUP(K984,'Udvaskning nøgletal'!$C$12:$C$60,'Udvaskning nøgletal'!$H$12:$H$60)</f>
        <v>5</v>
      </c>
      <c r="Z984" s="10">
        <f>IF(X984=1,LOOKUP(K984,'Udvaskning nøgletal'!$C$12:$C$60,'Udvaskning nøgletal'!$E$12:$E$60)+Markniveau!Y984*Markniveau!S984/100,IF(X984=2,LOOKUP(K984,'Udvaskning nøgletal'!$C$12:$C$60,'Udvaskning nøgletal'!$F$12:$F$60)+Markniveau!Y984*Markniveau!S984/100,IF(X984=3,LOOKUP(K984,'Udvaskning nøgletal'!$C$12:$C$60,'Udvaskning nøgletal'!G994:G1042)+Markniveau!Y984*Markniveau!S984/100,"")))</f>
        <v>58.753415190798002</v>
      </c>
      <c r="AA984" s="10">
        <f t="shared" si="156"/>
        <v>287.89173443491023</v>
      </c>
      <c r="AB984" s="10" t="str">
        <f t="shared" si="155"/>
        <v/>
      </c>
      <c r="AC984" s="10" t="str">
        <f t="shared" si="157"/>
        <v/>
      </c>
      <c r="AD984" s="10">
        <f>IF(AND(Q984&gt;0,Q984&lt;30,K984&lt;8),Markniveau!Z984*'Udvaskning nøgletal'!$I$12/100,IF(AND(Q984&gt;0,Q984&lt;30,K984=216),Markniveau!Z984*'Udvaskning nøgletal'!$I$34/100,Markniveau!Z984))</f>
        <v>58.753415190798002</v>
      </c>
      <c r="AE984" s="10">
        <f t="shared" si="163"/>
        <v>287.89173443491023</v>
      </c>
      <c r="AF984" s="10" t="str">
        <f t="shared" si="158"/>
        <v/>
      </c>
      <c r="AG984" s="10" t="str">
        <f t="shared" si="164"/>
        <v/>
      </c>
      <c r="AH984" s="10" t="str">
        <f>IF(AND(Q984&gt;0,Q984&lt;30,K984=216),'Udvaskning nøgletal'!$C$42,IF(AND(Q984&gt;0,Q984&lt;30,K984&gt;7,K984&lt;17),'Udvaskning nøgletal'!$C$61,IF(AND(Q984&gt;0,Q984&lt;30,K984&lt;7),'Udvaskning nøgletal'!$C$62,"")))</f>
        <v/>
      </c>
      <c r="AI984" s="10">
        <f t="shared" si="160"/>
        <v>1</v>
      </c>
      <c r="AJ984" s="10">
        <f>IF($X984=1,LOOKUP(AI984,'Udvaskning nøgletal'!$C$12:$C$62,'Udvaskning nøgletal'!$E$12:$E$62)+Markniveau!$Y984*Markniveau!$S984/100,IF($X984=2,LOOKUP(AI984,'Udvaskning nøgletal'!$C$12:$C$62,'Udvaskning nøgletal'!$F$12:$F$62)+Markniveau!$Y984*Markniveau!$S984/100,IF($X984=3,LOOKUP(AI984,'Udvaskning nøgletal'!$C$12:$C$62,'Udvaskning nøgletal'!Q994:Q1044)+Markniveau!$Y984*Markniveau!$S984/100,"")))</f>
        <v>58.753415190798002</v>
      </c>
      <c r="AK984" s="10">
        <f t="shared" si="159"/>
        <v>287.89173443491023</v>
      </c>
      <c r="AL984" s="10" t="str">
        <f t="shared" si="161"/>
        <v/>
      </c>
      <c r="AM984" s="10" t="str">
        <f t="shared" si="162"/>
        <v/>
      </c>
    </row>
    <row r="985" spans="1:39" x14ac:dyDescent="0.25">
      <c r="A985" s="15">
        <v>28540744</v>
      </c>
      <c r="B985" s="15">
        <v>90.4</v>
      </c>
      <c r="C985" s="15">
        <v>88676</v>
      </c>
      <c r="D985" s="15">
        <v>137119</v>
      </c>
      <c r="E985" s="15" t="s">
        <v>717</v>
      </c>
      <c r="F985" s="15">
        <v>2011</v>
      </c>
      <c r="G985" s="15">
        <v>20110406</v>
      </c>
      <c r="H985" s="15">
        <v>43077</v>
      </c>
      <c r="I985" s="15">
        <v>4.3099999999999996</v>
      </c>
      <c r="J985" s="6" t="s">
        <v>458</v>
      </c>
      <c r="K985" s="15">
        <v>901</v>
      </c>
      <c r="L985" s="15" t="s">
        <v>80</v>
      </c>
      <c r="M985" s="15" t="s">
        <v>81</v>
      </c>
      <c r="N985" s="11" t="s">
        <v>1390</v>
      </c>
      <c r="O985" s="11" t="s">
        <v>42</v>
      </c>
      <c r="P985" s="11" t="s">
        <v>33</v>
      </c>
      <c r="Q985" s="15">
        <v>0</v>
      </c>
      <c r="R985" s="11" t="s">
        <v>1386</v>
      </c>
      <c r="S985" s="10">
        <v>157.46830381596001</v>
      </c>
      <c r="T985" s="15">
        <v>80</v>
      </c>
      <c r="U985" s="15">
        <v>0</v>
      </c>
      <c r="V985" s="15">
        <v>0</v>
      </c>
      <c r="W985" s="15">
        <v>0</v>
      </c>
      <c r="X985" s="15">
        <f>IF(O985='Udvaskning nøgletal'!$D$65,1,IF(O985='Udvaskning nøgletal'!$D$66,2,IF(O985='Udvaskning nøgletal'!$D$67,3,IF(O985='Udvaskning nøgletal'!$D$68,2,""))))</f>
        <v>2</v>
      </c>
      <c r="Y985" s="15">
        <f>LOOKUP(K985,'Udvaskning nøgletal'!$C$12:$C$60,'Udvaskning nøgletal'!$H$12:$H$60)</f>
        <v>0</v>
      </c>
      <c r="Z985" s="10">
        <f>IF(X985=1,LOOKUP(K985,'Udvaskning nøgletal'!$C$12:$C$60,'Udvaskning nøgletal'!$E$12:$E$60)+Markniveau!Y985*Markniveau!S985/100,IF(X985=2,LOOKUP(K985,'Udvaskning nøgletal'!$C$12:$C$60,'Udvaskning nøgletal'!$F$12:$F$60)+Markniveau!Y985*Markniveau!S985/100,IF(X985=3,LOOKUP(K985,'Udvaskning nøgletal'!$C$12:$C$60,'Udvaskning nøgletal'!G995:G1043)+Markniveau!Y985*Markniveau!S985/100,"")))</f>
        <v>10</v>
      </c>
      <c r="AA985" s="10">
        <f t="shared" si="156"/>
        <v>43.099999999999994</v>
      </c>
      <c r="AB985" s="10" t="str">
        <f t="shared" si="155"/>
        <v/>
      </c>
      <c r="AC985" s="10" t="str">
        <f t="shared" si="157"/>
        <v/>
      </c>
      <c r="AD985" s="10">
        <f>IF(AND(Q985&gt;0,Q985&lt;30,K985&lt;8),Markniveau!Z985*'Udvaskning nøgletal'!$I$12/100,IF(AND(Q985&gt;0,Q985&lt;30,K985=216),Markniveau!Z985*'Udvaskning nøgletal'!$I$34/100,Markniveau!Z985))</f>
        <v>10</v>
      </c>
      <c r="AE985" s="10">
        <f t="shared" si="163"/>
        <v>43.099999999999994</v>
      </c>
      <c r="AF985" s="10" t="str">
        <f t="shared" si="158"/>
        <v/>
      </c>
      <c r="AG985" s="10" t="str">
        <f t="shared" si="164"/>
        <v/>
      </c>
      <c r="AH985" s="10" t="str">
        <f>IF(AND(Q985&gt;0,Q985&lt;30,K985=216),'Udvaskning nøgletal'!$C$42,IF(AND(Q985&gt;0,Q985&lt;30,K985&gt;7,K985&lt;17),'Udvaskning nøgletal'!$C$61,IF(AND(Q985&gt;0,Q985&lt;30,K985&lt;7),'Udvaskning nøgletal'!$C$62,"")))</f>
        <v/>
      </c>
      <c r="AI985" s="10">
        <f t="shared" si="160"/>
        <v>901</v>
      </c>
      <c r="AJ985" s="10">
        <f>IF($X985=1,LOOKUP(AI985,'Udvaskning nøgletal'!$C$12:$C$62,'Udvaskning nøgletal'!$E$12:$E$62)+Markniveau!$Y985*Markniveau!$S985/100,IF($X985=2,LOOKUP(AI985,'Udvaskning nøgletal'!$C$12:$C$62,'Udvaskning nøgletal'!$F$12:$F$62)+Markniveau!$Y985*Markniveau!$S985/100,IF($X985=3,LOOKUP(AI985,'Udvaskning nøgletal'!$C$12:$C$62,'Udvaskning nøgletal'!Q995:Q1045)+Markniveau!$Y985*Markniveau!$S985/100,"")))</f>
        <v>10</v>
      </c>
      <c r="AK985" s="10">
        <f t="shared" si="159"/>
        <v>43.099999999999994</v>
      </c>
      <c r="AL985" s="10" t="str">
        <f t="shared" si="161"/>
        <v/>
      </c>
      <c r="AM985" s="10" t="str">
        <f t="shared" si="162"/>
        <v/>
      </c>
    </row>
    <row r="986" spans="1:39" x14ac:dyDescent="0.25">
      <c r="A986" s="15">
        <v>28540744</v>
      </c>
      <c r="B986" s="15">
        <v>90.4</v>
      </c>
      <c r="C986" s="15">
        <v>100605</v>
      </c>
      <c r="D986" s="15">
        <v>137119</v>
      </c>
      <c r="E986" s="15" t="s">
        <v>717</v>
      </c>
      <c r="F986" s="15">
        <v>2011</v>
      </c>
      <c r="G986" s="15">
        <v>20110406</v>
      </c>
      <c r="H986" s="15">
        <v>86446</v>
      </c>
      <c r="I986" s="15">
        <v>8.64</v>
      </c>
      <c r="J986" s="6" t="s">
        <v>35</v>
      </c>
      <c r="K986" s="15">
        <v>230</v>
      </c>
      <c r="L986" s="15" t="s">
        <v>120</v>
      </c>
      <c r="M986" s="15" t="s">
        <v>5</v>
      </c>
      <c r="N986" s="11" t="s">
        <v>1390</v>
      </c>
      <c r="O986" s="11" t="s">
        <v>42</v>
      </c>
      <c r="P986" s="11" t="s">
        <v>33</v>
      </c>
      <c r="Q986" s="15">
        <v>0</v>
      </c>
      <c r="R986" s="11" t="s">
        <v>1386</v>
      </c>
      <c r="S986" s="10">
        <v>157.46830381596001</v>
      </c>
      <c r="T986" s="15">
        <v>80</v>
      </c>
      <c r="U986" s="15">
        <v>0</v>
      </c>
      <c r="V986" s="15">
        <v>0</v>
      </c>
      <c r="W986" s="15">
        <v>0</v>
      </c>
      <c r="X986" s="15">
        <f>IF(O986='Udvaskning nøgletal'!$D$65,1,IF(O986='Udvaskning nøgletal'!$D$66,2,IF(O986='Udvaskning nøgletal'!$D$67,3,IF(O986='Udvaskning nøgletal'!$D$68,2,""))))</f>
        <v>2</v>
      </c>
      <c r="Y986" s="15">
        <f>LOOKUP(K986,'Udvaskning nøgletal'!$C$12:$C$60,'Udvaskning nøgletal'!$H$12:$H$60)</f>
        <v>0</v>
      </c>
      <c r="Z986" s="10">
        <f>IF(X986=1,LOOKUP(K986,'Udvaskning nøgletal'!$C$12:$C$60,'Udvaskning nøgletal'!$E$12:$E$60)+Markniveau!Y986*Markniveau!S986/100,IF(X986=2,LOOKUP(K986,'Udvaskning nøgletal'!$C$12:$C$60,'Udvaskning nøgletal'!$F$12:$F$60)+Markniveau!Y986*Markniveau!S986/100,IF(X986=3,LOOKUP(K986,'Udvaskning nøgletal'!$C$12:$C$60,'Udvaskning nøgletal'!G996:G1044)+Markniveau!Y986*Markniveau!S986/100,"")))</f>
        <v>31.161328188970323</v>
      </c>
      <c r="AA986" s="10">
        <f t="shared" si="156"/>
        <v>269.23387555270364</v>
      </c>
      <c r="AB986" s="10" t="str">
        <f t="shared" si="155"/>
        <v/>
      </c>
      <c r="AC986" s="10" t="str">
        <f t="shared" si="157"/>
        <v/>
      </c>
      <c r="AD986" s="10">
        <f>IF(AND(Q986&gt;0,Q986&lt;30,K986&lt;8),Markniveau!Z986*'Udvaskning nøgletal'!$I$12/100,IF(AND(Q986&gt;0,Q986&lt;30,K986=216),Markniveau!Z986*'Udvaskning nøgletal'!$I$34/100,Markniveau!Z986))</f>
        <v>31.161328188970323</v>
      </c>
      <c r="AE986" s="10">
        <f t="shared" si="163"/>
        <v>269.23387555270364</v>
      </c>
      <c r="AF986" s="10" t="str">
        <f t="shared" si="158"/>
        <v/>
      </c>
      <c r="AG986" s="10" t="str">
        <f t="shared" si="164"/>
        <v/>
      </c>
      <c r="AH986" s="10" t="str">
        <f>IF(AND(Q986&gt;0,Q986&lt;30,K986=216),'Udvaskning nøgletal'!$C$42,IF(AND(Q986&gt;0,Q986&lt;30,K986&gt;7,K986&lt;17),'Udvaskning nøgletal'!$C$61,IF(AND(Q986&gt;0,Q986&lt;30,K986&lt;7),'Udvaskning nøgletal'!$C$62,"")))</f>
        <v/>
      </c>
      <c r="AI986" s="10">
        <f t="shared" si="160"/>
        <v>230</v>
      </c>
      <c r="AJ986" s="10">
        <f>IF($X986=1,LOOKUP(AI986,'Udvaskning nøgletal'!$C$12:$C$62,'Udvaskning nøgletal'!$E$12:$E$62)+Markniveau!$Y986*Markniveau!$S986/100,IF($X986=2,LOOKUP(AI986,'Udvaskning nøgletal'!$C$12:$C$62,'Udvaskning nøgletal'!$F$12:$F$62)+Markniveau!$Y986*Markniveau!$S986/100,IF($X986=3,LOOKUP(AI986,'Udvaskning nøgletal'!$C$12:$C$62,'Udvaskning nøgletal'!Q996:Q1046)+Markniveau!$Y986*Markniveau!$S986/100,"")))</f>
        <v>31.161328188970323</v>
      </c>
      <c r="AK986" s="10">
        <f t="shared" si="159"/>
        <v>269.23387555270364</v>
      </c>
      <c r="AL986" s="10" t="str">
        <f t="shared" si="161"/>
        <v/>
      </c>
      <c r="AM986" s="10" t="str">
        <f t="shared" si="162"/>
        <v/>
      </c>
    </row>
    <row r="987" spans="1:39" x14ac:dyDescent="0.25">
      <c r="A987" s="15">
        <v>28540744</v>
      </c>
      <c r="B987" s="15">
        <v>90.4</v>
      </c>
      <c r="C987" s="15">
        <v>105656</v>
      </c>
      <c r="D987" s="15">
        <v>137119</v>
      </c>
      <c r="E987" s="15" t="s">
        <v>717</v>
      </c>
      <c r="F987" s="15">
        <v>2011</v>
      </c>
      <c r="G987" s="15">
        <v>20110406</v>
      </c>
      <c r="H987" s="15">
        <v>18503</v>
      </c>
      <c r="I987" s="15">
        <v>1.85</v>
      </c>
      <c r="J987" s="6" t="s">
        <v>549</v>
      </c>
      <c r="K987" s="15">
        <v>1</v>
      </c>
      <c r="L987" s="15" t="s">
        <v>32</v>
      </c>
      <c r="M987" s="15" t="s">
        <v>5</v>
      </c>
      <c r="N987" s="11" t="s">
        <v>1406</v>
      </c>
      <c r="O987" s="11" t="s">
        <v>46</v>
      </c>
      <c r="P987" s="11" t="s">
        <v>33</v>
      </c>
      <c r="Q987" s="15">
        <v>0</v>
      </c>
      <c r="R987" s="11" t="s">
        <v>1386</v>
      </c>
      <c r="S987" s="10">
        <v>157.46830381596001</v>
      </c>
      <c r="T987" s="15">
        <v>80</v>
      </c>
      <c r="U987" s="15">
        <v>0</v>
      </c>
      <c r="V987" s="15">
        <v>0</v>
      </c>
      <c r="W987" s="15">
        <v>0</v>
      </c>
      <c r="X987" s="15">
        <f>IF(O987='Udvaskning nøgletal'!$D$65,1,IF(O987='Udvaskning nøgletal'!$D$66,2,IF(O987='Udvaskning nøgletal'!$D$67,3,IF(O987='Udvaskning nøgletal'!$D$68,2,""))))</f>
        <v>2</v>
      </c>
      <c r="Y987" s="15">
        <f>LOOKUP(K987,'Udvaskning nøgletal'!$C$12:$C$60,'Udvaskning nøgletal'!$H$12:$H$60)</f>
        <v>5</v>
      </c>
      <c r="Z987" s="10">
        <f>IF(X987=1,LOOKUP(K987,'Udvaskning nøgletal'!$C$12:$C$60,'Udvaskning nøgletal'!$E$12:$E$60)+Markniveau!Y987*Markniveau!S987/100,IF(X987=2,LOOKUP(K987,'Udvaskning nøgletal'!$C$12:$C$60,'Udvaskning nøgletal'!$F$12:$F$60)+Markniveau!Y987*Markniveau!S987/100,IF(X987=3,LOOKUP(K987,'Udvaskning nøgletal'!$C$12:$C$60,'Udvaskning nøgletal'!G997:G1045)+Markniveau!Y987*Markniveau!S987/100,"")))</f>
        <v>58.753415190798002</v>
      </c>
      <c r="AA987" s="10">
        <f t="shared" si="156"/>
        <v>108.69381810297631</v>
      </c>
      <c r="AB987" s="10" t="str">
        <f t="shared" si="155"/>
        <v/>
      </c>
      <c r="AC987" s="10" t="str">
        <f t="shared" si="157"/>
        <v/>
      </c>
      <c r="AD987" s="10">
        <f>IF(AND(Q987&gt;0,Q987&lt;30,K987&lt;8),Markniveau!Z987*'Udvaskning nøgletal'!$I$12/100,IF(AND(Q987&gt;0,Q987&lt;30,K987=216),Markniveau!Z987*'Udvaskning nøgletal'!$I$34/100,Markniveau!Z987))</f>
        <v>58.753415190798002</v>
      </c>
      <c r="AE987" s="10">
        <f t="shared" si="163"/>
        <v>108.69381810297631</v>
      </c>
      <c r="AF987" s="10" t="str">
        <f t="shared" si="158"/>
        <v/>
      </c>
      <c r="AG987" s="10" t="str">
        <f t="shared" si="164"/>
        <v/>
      </c>
      <c r="AH987" s="10" t="str">
        <f>IF(AND(Q987&gt;0,Q987&lt;30,K987=216),'Udvaskning nøgletal'!$C$42,IF(AND(Q987&gt;0,Q987&lt;30,K987&gt;7,K987&lt;17),'Udvaskning nøgletal'!$C$61,IF(AND(Q987&gt;0,Q987&lt;30,K987&lt;7),'Udvaskning nøgletal'!$C$62,"")))</f>
        <v/>
      </c>
      <c r="AI987" s="10">
        <f t="shared" si="160"/>
        <v>1</v>
      </c>
      <c r="AJ987" s="10">
        <f>IF($X987=1,LOOKUP(AI987,'Udvaskning nøgletal'!$C$12:$C$62,'Udvaskning nøgletal'!$E$12:$E$62)+Markniveau!$Y987*Markniveau!$S987/100,IF($X987=2,LOOKUP(AI987,'Udvaskning nøgletal'!$C$12:$C$62,'Udvaskning nøgletal'!$F$12:$F$62)+Markniveau!$Y987*Markniveau!$S987/100,IF($X987=3,LOOKUP(AI987,'Udvaskning nøgletal'!$C$12:$C$62,'Udvaskning nøgletal'!Q997:Q1047)+Markniveau!$Y987*Markniveau!$S987/100,"")))</f>
        <v>58.753415190798002</v>
      </c>
      <c r="AK987" s="10">
        <f t="shared" si="159"/>
        <v>108.69381810297631</v>
      </c>
      <c r="AL987" s="10" t="str">
        <f t="shared" si="161"/>
        <v/>
      </c>
      <c r="AM987" s="10" t="str">
        <f t="shared" si="162"/>
        <v/>
      </c>
    </row>
    <row r="988" spans="1:39" x14ac:dyDescent="0.25">
      <c r="A988" s="15">
        <v>28540744</v>
      </c>
      <c r="B988" s="15">
        <v>90.4</v>
      </c>
      <c r="C988" s="15">
        <v>109112</v>
      </c>
      <c r="D988" s="15">
        <v>137119</v>
      </c>
      <c r="E988" s="15" t="s">
        <v>723</v>
      </c>
      <c r="F988" s="15">
        <v>2011</v>
      </c>
      <c r="G988" s="15">
        <v>20110406</v>
      </c>
      <c r="H988" s="15">
        <v>73555</v>
      </c>
      <c r="I988" s="15">
        <v>7.36</v>
      </c>
      <c r="J988" s="6" t="s">
        <v>87</v>
      </c>
      <c r="K988" s="15">
        <v>15</v>
      </c>
      <c r="L988" s="15" t="s">
        <v>362</v>
      </c>
      <c r="M988" s="15" t="s">
        <v>5</v>
      </c>
      <c r="N988" s="11" t="s">
        <v>1384</v>
      </c>
      <c r="O988" s="11" t="s">
        <v>28</v>
      </c>
      <c r="P988" s="11" t="s">
        <v>33</v>
      </c>
      <c r="Q988" s="15">
        <v>0</v>
      </c>
      <c r="R988" s="11" t="s">
        <v>1386</v>
      </c>
      <c r="S988" s="10">
        <v>157.46830381596001</v>
      </c>
      <c r="T988" s="15">
        <v>80</v>
      </c>
      <c r="U988" s="15">
        <v>0</v>
      </c>
      <c r="V988" s="15">
        <v>0</v>
      </c>
      <c r="W988" s="15">
        <v>0</v>
      </c>
      <c r="X988" s="15">
        <f>IF(O988='Udvaskning nøgletal'!$D$65,1,IF(O988='Udvaskning nøgletal'!$D$66,2,IF(O988='Udvaskning nøgletal'!$D$67,3,IF(O988='Udvaskning nøgletal'!$D$68,2,""))))</f>
        <v>1</v>
      </c>
      <c r="Y988" s="15">
        <f>LOOKUP(K988,'Udvaskning nøgletal'!$C$12:$C$60,'Udvaskning nøgletal'!$H$12:$H$60)</f>
        <v>5</v>
      </c>
      <c r="Z988" s="10">
        <f>IF(X988=1,LOOKUP(K988,'Udvaskning nøgletal'!$C$12:$C$60,'Udvaskning nøgletal'!$E$12:$E$60)+Markniveau!Y988*Markniveau!S988/100,IF(X988=2,LOOKUP(K988,'Udvaskning nøgletal'!$C$12:$C$60,'Udvaskning nøgletal'!$F$12:$F$60)+Markniveau!Y988*Markniveau!S988/100,IF(X988=3,LOOKUP(K988,'Udvaskning nøgletal'!$C$12:$C$60,'Udvaskning nøgletal'!G998:G1046)+Markniveau!Y988*Markniveau!S988/100,"")))</f>
        <v>72.533415190797996</v>
      </c>
      <c r="AA988" s="10">
        <f t="shared" si="156"/>
        <v>533.84593580427327</v>
      </c>
      <c r="AB988" s="10" t="str">
        <f t="shared" si="155"/>
        <v/>
      </c>
      <c r="AC988" s="10" t="str">
        <f t="shared" si="157"/>
        <v/>
      </c>
      <c r="AD988" s="10">
        <f>IF(AND(Q988&gt;0,Q988&lt;30,K988&lt;8),Markniveau!Z988*'Udvaskning nøgletal'!$I$12/100,IF(AND(Q988&gt;0,Q988&lt;30,K988=216),Markniveau!Z988*'Udvaskning nøgletal'!$I$34/100,Markniveau!Z988))</f>
        <v>72.533415190797996</v>
      </c>
      <c r="AE988" s="10">
        <f t="shared" si="163"/>
        <v>533.84593580427327</v>
      </c>
      <c r="AF988" s="10" t="str">
        <f t="shared" si="158"/>
        <v/>
      </c>
      <c r="AG988" s="10" t="str">
        <f t="shared" si="164"/>
        <v/>
      </c>
      <c r="AH988" s="10" t="str">
        <f>IF(AND(Q988&gt;0,Q988&lt;30,K988=216),'Udvaskning nøgletal'!$C$42,IF(AND(Q988&gt;0,Q988&lt;30,K988&gt;7,K988&lt;17),'Udvaskning nøgletal'!$C$61,IF(AND(Q988&gt;0,Q988&lt;30,K988&lt;7),'Udvaskning nøgletal'!$C$62,"")))</f>
        <v/>
      </c>
      <c r="AI988" s="10">
        <f t="shared" si="160"/>
        <v>15</v>
      </c>
      <c r="AJ988" s="10">
        <f>IF($X988=1,LOOKUP(AI988,'Udvaskning nøgletal'!$C$12:$C$62,'Udvaskning nøgletal'!$E$12:$E$62)+Markniveau!$Y988*Markniveau!$S988/100,IF($X988=2,LOOKUP(AI988,'Udvaskning nøgletal'!$C$12:$C$62,'Udvaskning nøgletal'!$F$12:$F$62)+Markniveau!$Y988*Markniveau!$S988/100,IF($X988=3,LOOKUP(AI988,'Udvaskning nøgletal'!$C$12:$C$62,'Udvaskning nøgletal'!Q998:Q1048)+Markniveau!$Y988*Markniveau!$S988/100,"")))</f>
        <v>72.533415190797996</v>
      </c>
      <c r="AK988" s="10">
        <f t="shared" si="159"/>
        <v>533.84593580427327</v>
      </c>
      <c r="AL988" s="10" t="str">
        <f t="shared" si="161"/>
        <v/>
      </c>
      <c r="AM988" s="10" t="str">
        <f t="shared" si="162"/>
        <v/>
      </c>
    </row>
    <row r="989" spans="1:39" x14ac:dyDescent="0.25">
      <c r="A989" s="15">
        <v>28540744</v>
      </c>
      <c r="B989" s="15">
        <v>90.4</v>
      </c>
      <c r="C989" s="15">
        <v>154786</v>
      </c>
      <c r="D989" s="15">
        <v>137119</v>
      </c>
      <c r="E989" s="15" t="s">
        <v>792</v>
      </c>
      <c r="F989" s="15">
        <v>2011</v>
      </c>
      <c r="G989" s="15">
        <v>20110418</v>
      </c>
      <c r="H989" s="15">
        <v>15815</v>
      </c>
      <c r="I989" s="15">
        <v>1.58</v>
      </c>
      <c r="J989" s="6" t="s">
        <v>793</v>
      </c>
      <c r="K989" s="15">
        <v>260</v>
      </c>
      <c r="L989" s="15" t="s">
        <v>45</v>
      </c>
      <c r="M989" s="15" t="s">
        <v>5</v>
      </c>
      <c r="N989" s="11" t="s">
        <v>1391</v>
      </c>
      <c r="O989" s="11" t="s">
        <v>46</v>
      </c>
      <c r="P989" s="11" t="s">
        <v>33</v>
      </c>
      <c r="Q989" s="15">
        <v>0</v>
      </c>
      <c r="R989" s="11" t="s">
        <v>1386</v>
      </c>
      <c r="S989" s="10">
        <v>157.46830381596001</v>
      </c>
      <c r="T989" s="15">
        <v>80</v>
      </c>
      <c r="U989" s="15">
        <v>0</v>
      </c>
      <c r="V989" s="15">
        <v>0</v>
      </c>
      <c r="W989" s="15">
        <v>0</v>
      </c>
      <c r="X989" s="15">
        <f>IF(O989='Udvaskning nøgletal'!$D$65,1,IF(O989='Udvaskning nøgletal'!$D$66,2,IF(O989='Udvaskning nøgletal'!$D$67,3,IF(O989='Udvaskning nøgletal'!$D$68,2,""))))</f>
        <v>2</v>
      </c>
      <c r="Y989" s="15">
        <f>LOOKUP(K989,'Udvaskning nøgletal'!$C$12:$C$60,'Udvaskning nøgletal'!$H$12:$H$60)</f>
        <v>0</v>
      </c>
      <c r="Z989" s="10">
        <f>IF(X989=1,LOOKUP(K989,'Udvaskning nøgletal'!$C$12:$C$60,'Udvaskning nøgletal'!$E$12:$E$60)+Markniveau!Y989*Markniveau!S989/100,IF(X989=2,LOOKUP(K989,'Udvaskning nøgletal'!$C$12:$C$60,'Udvaskning nøgletal'!$F$12:$F$60)+Markniveau!Y989*Markniveau!S989/100,IF(X989=3,LOOKUP(K989,'Udvaskning nøgletal'!$C$12:$C$60,'Udvaskning nøgletal'!G999:G1047)+Markniveau!Y989*Markniveau!S989/100,"")))</f>
        <v>27.331185321443094</v>
      </c>
      <c r="AA989" s="10">
        <f t="shared" si="156"/>
        <v>43.183272807880087</v>
      </c>
      <c r="AB989" s="10" t="str">
        <f t="shared" si="155"/>
        <v/>
      </c>
      <c r="AC989" s="10" t="str">
        <f t="shared" si="157"/>
        <v/>
      </c>
      <c r="AD989" s="10">
        <f>IF(AND(Q989&gt;0,Q989&lt;30,K989&lt;8),Markniveau!Z989*'Udvaskning nøgletal'!$I$12/100,IF(AND(Q989&gt;0,Q989&lt;30,K989=216),Markniveau!Z989*'Udvaskning nøgletal'!$I$34/100,Markniveau!Z989))</f>
        <v>27.331185321443094</v>
      </c>
      <c r="AE989" s="10">
        <f t="shared" si="163"/>
        <v>43.183272807880087</v>
      </c>
      <c r="AF989" s="10" t="str">
        <f t="shared" si="158"/>
        <v/>
      </c>
      <c r="AG989" s="10" t="str">
        <f t="shared" si="164"/>
        <v/>
      </c>
      <c r="AH989" s="10" t="str">
        <f>IF(AND(Q989&gt;0,Q989&lt;30,K989=216),'Udvaskning nøgletal'!$C$42,IF(AND(Q989&gt;0,Q989&lt;30,K989&gt;7,K989&lt;17),'Udvaskning nøgletal'!$C$61,IF(AND(Q989&gt;0,Q989&lt;30,K989&lt;7),'Udvaskning nøgletal'!$C$62,"")))</f>
        <v/>
      </c>
      <c r="AI989" s="10">
        <f t="shared" si="160"/>
        <v>260</v>
      </c>
      <c r="AJ989" s="10">
        <f>IF($X989=1,LOOKUP(AI989,'Udvaskning nøgletal'!$C$12:$C$62,'Udvaskning nøgletal'!$E$12:$E$62)+Markniveau!$Y989*Markniveau!$S989/100,IF($X989=2,LOOKUP(AI989,'Udvaskning nøgletal'!$C$12:$C$62,'Udvaskning nøgletal'!$F$12:$F$62)+Markniveau!$Y989*Markniveau!$S989/100,IF($X989=3,LOOKUP(AI989,'Udvaskning nøgletal'!$C$12:$C$62,'Udvaskning nøgletal'!Q999:Q1049)+Markniveau!$Y989*Markniveau!$S989/100,"")))</f>
        <v>27.331185321443094</v>
      </c>
      <c r="AK989" s="10">
        <f t="shared" si="159"/>
        <v>43.183272807880087</v>
      </c>
      <c r="AL989" s="10" t="str">
        <f t="shared" si="161"/>
        <v/>
      </c>
      <c r="AM989" s="10" t="str">
        <f t="shared" si="162"/>
        <v/>
      </c>
    </row>
    <row r="990" spans="1:39" x14ac:dyDescent="0.25">
      <c r="A990" s="15">
        <v>28540744</v>
      </c>
      <c r="B990" s="15">
        <v>90.4</v>
      </c>
      <c r="C990" s="15">
        <v>157791</v>
      </c>
      <c r="D990" s="15">
        <v>137119</v>
      </c>
      <c r="E990" s="15" t="s">
        <v>794</v>
      </c>
      <c r="F990" s="15">
        <v>2011</v>
      </c>
      <c r="G990" s="15">
        <v>20110418</v>
      </c>
      <c r="H990" s="15">
        <v>27437</v>
      </c>
      <c r="I990" s="15">
        <v>2.74</v>
      </c>
      <c r="J990" s="6" t="s">
        <v>51</v>
      </c>
      <c r="K990" s="15">
        <v>230</v>
      </c>
      <c r="L990" s="15" t="s">
        <v>120</v>
      </c>
      <c r="M990" s="15" t="s">
        <v>5</v>
      </c>
      <c r="N990" s="11" t="s">
        <v>1384</v>
      </c>
      <c r="O990" s="11" t="s">
        <v>28</v>
      </c>
      <c r="P990" s="11" t="s">
        <v>33</v>
      </c>
      <c r="Q990" s="15">
        <v>0</v>
      </c>
      <c r="R990" s="11" t="s">
        <v>1386</v>
      </c>
      <c r="S990" s="10">
        <v>157.46830381596001</v>
      </c>
      <c r="T990" s="15">
        <v>80</v>
      </c>
      <c r="U990" s="15">
        <v>0</v>
      </c>
      <c r="V990" s="15">
        <v>0</v>
      </c>
      <c r="W990" s="15">
        <v>0</v>
      </c>
      <c r="X990" s="15">
        <f>IF(O990='Udvaskning nøgletal'!$D$65,1,IF(O990='Udvaskning nøgletal'!$D$66,2,IF(O990='Udvaskning nøgletal'!$D$67,3,IF(O990='Udvaskning nøgletal'!$D$68,2,""))))</f>
        <v>1</v>
      </c>
      <c r="Y990" s="15">
        <f>LOOKUP(K990,'Udvaskning nøgletal'!$C$12:$C$60,'Udvaskning nøgletal'!$H$12:$H$60)</f>
        <v>0</v>
      </c>
      <c r="Z990" s="10">
        <f>IF(X990=1,LOOKUP(K990,'Udvaskning nøgletal'!$C$12:$C$60,'Udvaskning nøgletal'!$E$12:$E$60)+Markniveau!Y990*Markniveau!S990/100,IF(X990=2,LOOKUP(K990,'Udvaskning nøgletal'!$C$12:$C$60,'Udvaskning nøgletal'!$F$12:$F$60)+Markniveau!Y990*Markniveau!S990/100,IF(X990=3,LOOKUP(K990,'Udvaskning nøgletal'!$C$12:$C$60,'Udvaskning nøgletal'!G1000:G1048)+Markniveau!Y990*Markniveau!S990/100,"")))</f>
        <v>38.620385460262987</v>
      </c>
      <c r="AA990" s="10">
        <f t="shared" si="156"/>
        <v>105.8198561611206</v>
      </c>
      <c r="AB990" s="10" t="str">
        <f t="shared" si="155"/>
        <v/>
      </c>
      <c r="AC990" s="10" t="str">
        <f t="shared" si="157"/>
        <v/>
      </c>
      <c r="AD990" s="10">
        <f>IF(AND(Q990&gt;0,Q990&lt;30,K990&lt;8),Markniveau!Z990*'Udvaskning nøgletal'!$I$12/100,IF(AND(Q990&gt;0,Q990&lt;30,K990=216),Markniveau!Z990*'Udvaskning nøgletal'!$I$34/100,Markniveau!Z990))</f>
        <v>38.620385460262987</v>
      </c>
      <c r="AE990" s="10">
        <f t="shared" si="163"/>
        <v>105.8198561611206</v>
      </c>
      <c r="AF990" s="10" t="str">
        <f t="shared" si="158"/>
        <v/>
      </c>
      <c r="AG990" s="10" t="str">
        <f t="shared" si="164"/>
        <v/>
      </c>
      <c r="AH990" s="10" t="str">
        <f>IF(AND(Q990&gt;0,Q990&lt;30,K990=216),'Udvaskning nøgletal'!$C$42,IF(AND(Q990&gt;0,Q990&lt;30,K990&gt;7,K990&lt;17),'Udvaskning nøgletal'!$C$61,IF(AND(Q990&gt;0,Q990&lt;30,K990&lt;7),'Udvaskning nøgletal'!$C$62,"")))</f>
        <v/>
      </c>
      <c r="AI990" s="10">
        <f t="shared" si="160"/>
        <v>230</v>
      </c>
      <c r="AJ990" s="10">
        <f>IF($X990=1,LOOKUP(AI990,'Udvaskning nøgletal'!$C$12:$C$62,'Udvaskning nøgletal'!$E$12:$E$62)+Markniveau!$Y990*Markniveau!$S990/100,IF($X990=2,LOOKUP(AI990,'Udvaskning nøgletal'!$C$12:$C$62,'Udvaskning nøgletal'!$F$12:$F$62)+Markniveau!$Y990*Markniveau!$S990/100,IF($X990=3,LOOKUP(AI990,'Udvaskning nøgletal'!$C$12:$C$62,'Udvaskning nøgletal'!Q1000:Q1050)+Markniveau!$Y990*Markniveau!$S990/100,"")))</f>
        <v>38.620385460262987</v>
      </c>
      <c r="AK990" s="10">
        <f t="shared" si="159"/>
        <v>105.8198561611206</v>
      </c>
      <c r="AL990" s="10" t="str">
        <f t="shared" si="161"/>
        <v/>
      </c>
      <c r="AM990" s="10" t="str">
        <f t="shared" si="162"/>
        <v/>
      </c>
    </row>
    <row r="991" spans="1:39" x14ac:dyDescent="0.25">
      <c r="A991" s="15">
        <v>28540744</v>
      </c>
      <c r="B991" s="15">
        <v>90.4</v>
      </c>
      <c r="C991" s="15">
        <v>161457</v>
      </c>
      <c r="D991" s="15">
        <v>137119</v>
      </c>
      <c r="E991" s="15" t="s">
        <v>749</v>
      </c>
      <c r="F991" s="15">
        <v>2011</v>
      </c>
      <c r="G991" s="15">
        <v>20110418</v>
      </c>
      <c r="H991" s="15">
        <v>52049</v>
      </c>
      <c r="I991" s="15">
        <v>5.2</v>
      </c>
      <c r="J991" s="6" t="s">
        <v>127</v>
      </c>
      <c r="K991" s="15">
        <v>15</v>
      </c>
      <c r="L991" s="15" t="s">
        <v>362</v>
      </c>
      <c r="M991" s="15" t="s">
        <v>5</v>
      </c>
      <c r="N991" s="11" t="s">
        <v>1384</v>
      </c>
      <c r="O991" s="11" t="s">
        <v>28</v>
      </c>
      <c r="P991" s="11" t="s">
        <v>33</v>
      </c>
      <c r="Q991" s="15">
        <v>0</v>
      </c>
      <c r="R991" s="11" t="s">
        <v>1386</v>
      </c>
      <c r="S991" s="10">
        <v>157.46830381596001</v>
      </c>
      <c r="T991" s="15">
        <v>80</v>
      </c>
      <c r="U991" s="15">
        <v>0</v>
      </c>
      <c r="V991" s="15">
        <v>0</v>
      </c>
      <c r="W991" s="15">
        <v>0</v>
      </c>
      <c r="X991" s="15">
        <f>IF(O991='Udvaskning nøgletal'!$D$65,1,IF(O991='Udvaskning nøgletal'!$D$66,2,IF(O991='Udvaskning nøgletal'!$D$67,3,IF(O991='Udvaskning nøgletal'!$D$68,2,""))))</f>
        <v>1</v>
      </c>
      <c r="Y991" s="15">
        <f>LOOKUP(K991,'Udvaskning nøgletal'!$C$12:$C$60,'Udvaskning nøgletal'!$H$12:$H$60)</f>
        <v>5</v>
      </c>
      <c r="Z991" s="10">
        <f>IF(X991=1,LOOKUP(K991,'Udvaskning nøgletal'!$C$12:$C$60,'Udvaskning nøgletal'!$E$12:$E$60)+Markniveau!Y991*Markniveau!S991/100,IF(X991=2,LOOKUP(K991,'Udvaskning nøgletal'!$C$12:$C$60,'Udvaskning nøgletal'!$F$12:$F$60)+Markniveau!Y991*Markniveau!S991/100,IF(X991=3,LOOKUP(K991,'Udvaskning nøgletal'!$C$12:$C$60,'Udvaskning nøgletal'!G1001:G1049)+Markniveau!Y991*Markniveau!S991/100,"")))</f>
        <v>72.533415190797996</v>
      </c>
      <c r="AA991" s="10">
        <f t="shared" si="156"/>
        <v>377.1737589921496</v>
      </c>
      <c r="AB991" s="10" t="str">
        <f t="shared" si="155"/>
        <v/>
      </c>
      <c r="AC991" s="10" t="str">
        <f t="shared" si="157"/>
        <v/>
      </c>
      <c r="AD991" s="10">
        <f>IF(AND(Q991&gt;0,Q991&lt;30,K991&lt;8),Markniveau!Z991*'Udvaskning nøgletal'!$I$12/100,IF(AND(Q991&gt;0,Q991&lt;30,K991=216),Markniveau!Z991*'Udvaskning nøgletal'!$I$34/100,Markniveau!Z991))</f>
        <v>72.533415190797996</v>
      </c>
      <c r="AE991" s="10">
        <f t="shared" si="163"/>
        <v>377.1737589921496</v>
      </c>
      <c r="AF991" s="10" t="str">
        <f t="shared" si="158"/>
        <v/>
      </c>
      <c r="AG991" s="10" t="str">
        <f t="shared" si="164"/>
        <v/>
      </c>
      <c r="AH991" s="10" t="str">
        <f>IF(AND(Q991&gt;0,Q991&lt;30,K991=216),'Udvaskning nøgletal'!$C$42,IF(AND(Q991&gt;0,Q991&lt;30,K991&gt;7,K991&lt;17),'Udvaskning nøgletal'!$C$61,IF(AND(Q991&gt;0,Q991&lt;30,K991&lt;7),'Udvaskning nøgletal'!$C$62,"")))</f>
        <v/>
      </c>
      <c r="AI991" s="10">
        <f t="shared" si="160"/>
        <v>15</v>
      </c>
      <c r="AJ991" s="10">
        <f>IF($X991=1,LOOKUP(AI991,'Udvaskning nøgletal'!$C$12:$C$62,'Udvaskning nøgletal'!$E$12:$E$62)+Markniveau!$Y991*Markniveau!$S991/100,IF($X991=2,LOOKUP(AI991,'Udvaskning nøgletal'!$C$12:$C$62,'Udvaskning nøgletal'!$F$12:$F$62)+Markniveau!$Y991*Markniveau!$S991/100,IF($X991=3,LOOKUP(AI991,'Udvaskning nøgletal'!$C$12:$C$62,'Udvaskning nøgletal'!Q1001:Q1051)+Markniveau!$Y991*Markniveau!$S991/100,"")))</f>
        <v>72.533415190797996</v>
      </c>
      <c r="AK991" s="10">
        <f t="shared" si="159"/>
        <v>377.1737589921496</v>
      </c>
      <c r="AL991" s="10" t="str">
        <f t="shared" si="161"/>
        <v/>
      </c>
      <c r="AM991" s="10" t="str">
        <f t="shared" si="162"/>
        <v/>
      </c>
    </row>
    <row r="992" spans="1:39" x14ac:dyDescent="0.25">
      <c r="A992" s="15">
        <v>28540744</v>
      </c>
      <c r="B992" s="15">
        <v>90.4</v>
      </c>
      <c r="C992" s="15">
        <v>238993</v>
      </c>
      <c r="D992" s="15">
        <v>137119</v>
      </c>
      <c r="E992" s="15" t="s">
        <v>776</v>
      </c>
      <c r="F992" s="15">
        <v>2011</v>
      </c>
      <c r="G992" s="15">
        <v>20110418</v>
      </c>
      <c r="H992" s="15">
        <v>13584</v>
      </c>
      <c r="I992" s="15">
        <v>1.36</v>
      </c>
      <c r="J992" s="6" t="s">
        <v>545</v>
      </c>
      <c r="K992" s="15">
        <v>1</v>
      </c>
      <c r="L992" s="15" t="s">
        <v>32</v>
      </c>
      <c r="M992" s="15" t="s">
        <v>5</v>
      </c>
      <c r="N992" s="11" t="s">
        <v>1390</v>
      </c>
      <c r="O992" s="11" t="s">
        <v>42</v>
      </c>
      <c r="P992" s="11" t="s">
        <v>33</v>
      </c>
      <c r="Q992" s="15">
        <v>0</v>
      </c>
      <c r="R992" s="11" t="s">
        <v>1386</v>
      </c>
      <c r="S992" s="10">
        <v>157.46830381596001</v>
      </c>
      <c r="T992" s="15">
        <v>80</v>
      </c>
      <c r="U992" s="15">
        <v>0</v>
      </c>
      <c r="V992" s="15">
        <v>0</v>
      </c>
      <c r="W992" s="15">
        <v>0</v>
      </c>
      <c r="X992" s="15">
        <f>IF(O992='Udvaskning nøgletal'!$D$65,1,IF(O992='Udvaskning nøgletal'!$D$66,2,IF(O992='Udvaskning nøgletal'!$D$67,3,IF(O992='Udvaskning nøgletal'!$D$68,2,""))))</f>
        <v>2</v>
      </c>
      <c r="Y992" s="15">
        <f>LOOKUP(K992,'Udvaskning nøgletal'!$C$12:$C$60,'Udvaskning nøgletal'!$H$12:$H$60)</f>
        <v>5</v>
      </c>
      <c r="Z992" s="10">
        <f>IF(X992=1,LOOKUP(K992,'Udvaskning nøgletal'!$C$12:$C$60,'Udvaskning nøgletal'!$E$12:$E$60)+Markniveau!Y992*Markniveau!S992/100,IF(X992=2,LOOKUP(K992,'Udvaskning nøgletal'!$C$12:$C$60,'Udvaskning nøgletal'!$F$12:$F$60)+Markniveau!Y992*Markniveau!S992/100,IF(X992=3,LOOKUP(K992,'Udvaskning nøgletal'!$C$12:$C$60,'Udvaskning nøgletal'!G1002:G1050)+Markniveau!Y992*Markniveau!S992/100,"")))</f>
        <v>58.753415190798002</v>
      </c>
      <c r="AA992" s="10">
        <f t="shared" si="156"/>
        <v>79.904644659485285</v>
      </c>
      <c r="AB992" s="10" t="str">
        <f t="shared" si="155"/>
        <v/>
      </c>
      <c r="AC992" s="10" t="str">
        <f t="shared" si="157"/>
        <v/>
      </c>
      <c r="AD992" s="10">
        <f>IF(AND(Q992&gt;0,Q992&lt;30,K992&lt;8),Markniveau!Z992*'Udvaskning nøgletal'!$I$12/100,IF(AND(Q992&gt;0,Q992&lt;30,K992=216),Markniveau!Z992*'Udvaskning nøgletal'!$I$34/100,Markniveau!Z992))</f>
        <v>58.753415190798002</v>
      </c>
      <c r="AE992" s="10">
        <f t="shared" si="163"/>
        <v>79.904644659485285</v>
      </c>
      <c r="AF992" s="10" t="str">
        <f t="shared" si="158"/>
        <v/>
      </c>
      <c r="AG992" s="10" t="str">
        <f t="shared" si="164"/>
        <v/>
      </c>
      <c r="AH992" s="10" t="str">
        <f>IF(AND(Q992&gt;0,Q992&lt;30,K992=216),'Udvaskning nøgletal'!$C$42,IF(AND(Q992&gt;0,Q992&lt;30,K992&gt;7,K992&lt;17),'Udvaskning nøgletal'!$C$61,IF(AND(Q992&gt;0,Q992&lt;30,K992&lt;7),'Udvaskning nøgletal'!$C$62,"")))</f>
        <v/>
      </c>
      <c r="AI992" s="10">
        <f t="shared" si="160"/>
        <v>1</v>
      </c>
      <c r="AJ992" s="10">
        <f>IF($X992=1,LOOKUP(AI992,'Udvaskning nøgletal'!$C$12:$C$62,'Udvaskning nøgletal'!$E$12:$E$62)+Markniveau!$Y992*Markniveau!$S992/100,IF($X992=2,LOOKUP(AI992,'Udvaskning nøgletal'!$C$12:$C$62,'Udvaskning nøgletal'!$F$12:$F$62)+Markniveau!$Y992*Markniveau!$S992/100,IF($X992=3,LOOKUP(AI992,'Udvaskning nøgletal'!$C$12:$C$62,'Udvaskning nøgletal'!Q1002:Q1052)+Markniveau!$Y992*Markniveau!$S992/100,"")))</f>
        <v>58.753415190798002</v>
      </c>
      <c r="AK992" s="10">
        <f t="shared" si="159"/>
        <v>79.904644659485285</v>
      </c>
      <c r="AL992" s="10" t="str">
        <f t="shared" si="161"/>
        <v/>
      </c>
      <c r="AM992" s="10" t="str">
        <f t="shared" si="162"/>
        <v/>
      </c>
    </row>
    <row r="993" spans="1:39" x14ac:dyDescent="0.25">
      <c r="A993" s="15">
        <v>28540744</v>
      </c>
      <c r="B993" s="15">
        <v>90.4</v>
      </c>
      <c r="C993" s="15">
        <v>498681</v>
      </c>
      <c r="D993" s="15">
        <v>137119</v>
      </c>
      <c r="E993" s="15" t="s">
        <v>795</v>
      </c>
      <c r="F993" s="15">
        <v>2011</v>
      </c>
      <c r="G993" s="15">
        <v>20110406</v>
      </c>
      <c r="H993" s="15">
        <v>40719</v>
      </c>
      <c r="I993" s="15">
        <v>4.07</v>
      </c>
      <c r="J993" s="6" t="s">
        <v>555</v>
      </c>
      <c r="K993" s="15">
        <v>1</v>
      </c>
      <c r="L993" s="15" t="s">
        <v>32</v>
      </c>
      <c r="M993" s="15" t="s">
        <v>5</v>
      </c>
      <c r="N993" s="11" t="s">
        <v>1406</v>
      </c>
      <c r="O993" s="11" t="s">
        <v>46</v>
      </c>
      <c r="P993" s="11" t="s">
        <v>33</v>
      </c>
      <c r="Q993" s="15">
        <v>0</v>
      </c>
      <c r="R993" s="11" t="s">
        <v>1386</v>
      </c>
      <c r="S993" s="10">
        <v>157.46830381596001</v>
      </c>
      <c r="T993" s="15">
        <v>80</v>
      </c>
      <c r="U993" s="15">
        <v>0</v>
      </c>
      <c r="V993" s="15">
        <v>0</v>
      </c>
      <c r="W993" s="15">
        <v>0</v>
      </c>
      <c r="X993" s="15">
        <f>IF(O993='Udvaskning nøgletal'!$D$65,1,IF(O993='Udvaskning nøgletal'!$D$66,2,IF(O993='Udvaskning nøgletal'!$D$67,3,IF(O993='Udvaskning nøgletal'!$D$68,2,""))))</f>
        <v>2</v>
      </c>
      <c r="Y993" s="15">
        <f>LOOKUP(K993,'Udvaskning nøgletal'!$C$12:$C$60,'Udvaskning nøgletal'!$H$12:$H$60)</f>
        <v>5</v>
      </c>
      <c r="Z993" s="10">
        <f>IF(X993=1,LOOKUP(K993,'Udvaskning nøgletal'!$C$12:$C$60,'Udvaskning nøgletal'!$E$12:$E$60)+Markniveau!Y993*Markniveau!S993/100,IF(X993=2,LOOKUP(K993,'Udvaskning nøgletal'!$C$12:$C$60,'Udvaskning nøgletal'!$F$12:$F$60)+Markniveau!Y993*Markniveau!S993/100,IF(X993=3,LOOKUP(K993,'Udvaskning nøgletal'!$C$12:$C$60,'Udvaskning nøgletal'!G1003:G1051)+Markniveau!Y993*Markniveau!S993/100,"")))</f>
        <v>58.753415190798002</v>
      </c>
      <c r="AA993" s="10">
        <f t="shared" si="156"/>
        <v>239.1263998265479</v>
      </c>
      <c r="AB993" s="10" t="str">
        <f t="shared" si="155"/>
        <v/>
      </c>
      <c r="AC993" s="10" t="str">
        <f t="shared" si="157"/>
        <v/>
      </c>
      <c r="AD993" s="10">
        <f>IF(AND(Q993&gt;0,Q993&lt;30,K993&lt;8),Markniveau!Z993*'Udvaskning nøgletal'!$I$12/100,IF(AND(Q993&gt;0,Q993&lt;30,K993=216),Markniveau!Z993*'Udvaskning nøgletal'!$I$34/100,Markniveau!Z993))</f>
        <v>58.753415190798002</v>
      </c>
      <c r="AE993" s="10">
        <f t="shared" si="163"/>
        <v>239.1263998265479</v>
      </c>
      <c r="AF993" s="10" t="str">
        <f t="shared" si="158"/>
        <v/>
      </c>
      <c r="AG993" s="10" t="str">
        <f t="shared" si="164"/>
        <v/>
      </c>
      <c r="AH993" s="10" t="str">
        <f>IF(AND(Q993&gt;0,Q993&lt;30,K993=216),'Udvaskning nøgletal'!$C$42,IF(AND(Q993&gt;0,Q993&lt;30,K993&gt;7,K993&lt;17),'Udvaskning nøgletal'!$C$61,IF(AND(Q993&gt;0,Q993&lt;30,K993&lt;7),'Udvaskning nøgletal'!$C$62,"")))</f>
        <v/>
      </c>
      <c r="AI993" s="10">
        <f t="shared" si="160"/>
        <v>1</v>
      </c>
      <c r="AJ993" s="10">
        <f>IF($X993=1,LOOKUP(AI993,'Udvaskning nøgletal'!$C$12:$C$62,'Udvaskning nøgletal'!$E$12:$E$62)+Markniveau!$Y993*Markniveau!$S993/100,IF($X993=2,LOOKUP(AI993,'Udvaskning nøgletal'!$C$12:$C$62,'Udvaskning nøgletal'!$F$12:$F$62)+Markniveau!$Y993*Markniveau!$S993/100,IF($X993=3,LOOKUP(AI993,'Udvaskning nøgletal'!$C$12:$C$62,'Udvaskning nøgletal'!Q1003:Q1053)+Markniveau!$Y993*Markniveau!$S993/100,"")))</f>
        <v>58.753415190798002</v>
      </c>
      <c r="AK993" s="10">
        <f t="shared" si="159"/>
        <v>239.1263998265479</v>
      </c>
      <c r="AL993" s="10" t="str">
        <f t="shared" si="161"/>
        <v/>
      </c>
      <c r="AM993" s="10" t="str">
        <f t="shared" si="162"/>
        <v/>
      </c>
    </row>
    <row r="994" spans="1:39" x14ac:dyDescent="0.25">
      <c r="A994" s="15">
        <v>28540744</v>
      </c>
      <c r="B994" s="15">
        <v>90.4</v>
      </c>
      <c r="C994" s="15">
        <v>571335</v>
      </c>
      <c r="D994" s="15">
        <v>137119</v>
      </c>
      <c r="E994" s="15" t="s">
        <v>796</v>
      </c>
      <c r="F994" s="15">
        <v>2011</v>
      </c>
      <c r="G994" s="15">
        <v>20110406</v>
      </c>
      <c r="H994" s="15">
        <v>26680</v>
      </c>
      <c r="I994" s="15">
        <v>2.67</v>
      </c>
      <c r="J994" s="6" t="s">
        <v>92</v>
      </c>
      <c r="K994" s="15">
        <v>263</v>
      </c>
      <c r="L994" s="15" t="s">
        <v>39</v>
      </c>
      <c r="M994" s="15" t="s">
        <v>5</v>
      </c>
      <c r="N994" s="11" t="s">
        <v>1384</v>
      </c>
      <c r="O994" s="11" t="s">
        <v>28</v>
      </c>
      <c r="P994" s="11" t="s">
        <v>33</v>
      </c>
      <c r="Q994" s="15">
        <v>0</v>
      </c>
      <c r="R994" s="11" t="s">
        <v>1386</v>
      </c>
      <c r="S994" s="10">
        <v>157.46830381596001</v>
      </c>
      <c r="T994" s="15">
        <v>80</v>
      </c>
      <c r="U994" s="15">
        <v>0</v>
      </c>
      <c r="V994" s="15">
        <v>0</v>
      </c>
      <c r="W994" s="15">
        <v>0</v>
      </c>
      <c r="X994" s="15">
        <f>IF(O994='Udvaskning nøgletal'!$D$65,1,IF(O994='Udvaskning nøgletal'!$D$66,2,IF(O994='Udvaskning nøgletal'!$D$67,3,IF(O994='Udvaskning nøgletal'!$D$68,2,""))))</f>
        <v>1</v>
      </c>
      <c r="Y994" s="15">
        <f>LOOKUP(K994,'Udvaskning nøgletal'!$C$12:$C$60,'Udvaskning nøgletal'!$H$12:$H$60)</f>
        <v>0</v>
      </c>
      <c r="Z994" s="10">
        <f>IF(X994=1,LOOKUP(K994,'Udvaskning nøgletal'!$C$12:$C$60,'Udvaskning nøgletal'!$E$12:$E$60)+Markniveau!Y994*Markniveau!S994/100,IF(X994=2,LOOKUP(K994,'Udvaskning nøgletal'!$C$12:$C$60,'Udvaskning nøgletal'!$F$12:$F$60)+Markniveau!Y994*Markniveau!S994/100,IF(X994=3,LOOKUP(K994,'Udvaskning nøgletal'!$C$12:$C$60,'Udvaskning nøgletal'!G1004:G1052)+Markniveau!Y994*Markniveau!S994/100,"")))</f>
        <v>33.723295792149436</v>
      </c>
      <c r="AA994" s="10">
        <f t="shared" si="156"/>
        <v>90.041199765038996</v>
      </c>
      <c r="AB994" s="10" t="str">
        <f t="shared" si="155"/>
        <v/>
      </c>
      <c r="AC994" s="10" t="str">
        <f t="shared" si="157"/>
        <v/>
      </c>
      <c r="AD994" s="10">
        <f>IF(AND(Q994&gt;0,Q994&lt;30,K994&lt;8),Markniveau!Z994*'Udvaskning nøgletal'!$I$12/100,IF(AND(Q994&gt;0,Q994&lt;30,K994=216),Markniveau!Z994*'Udvaskning nøgletal'!$I$34/100,Markniveau!Z994))</f>
        <v>33.723295792149436</v>
      </c>
      <c r="AE994" s="10">
        <f t="shared" si="163"/>
        <v>90.041199765038996</v>
      </c>
      <c r="AF994" s="10" t="str">
        <f t="shared" si="158"/>
        <v/>
      </c>
      <c r="AG994" s="10" t="str">
        <f t="shared" si="164"/>
        <v/>
      </c>
      <c r="AH994" s="10" t="str">
        <f>IF(AND(Q994&gt;0,Q994&lt;30,K994=216),'Udvaskning nøgletal'!$C$42,IF(AND(Q994&gt;0,Q994&lt;30,K994&gt;7,K994&lt;17),'Udvaskning nøgletal'!$C$61,IF(AND(Q994&gt;0,Q994&lt;30,K994&lt;7),'Udvaskning nøgletal'!$C$62,"")))</f>
        <v/>
      </c>
      <c r="AI994" s="10">
        <f t="shared" si="160"/>
        <v>263</v>
      </c>
      <c r="AJ994" s="10">
        <f>IF($X994=1,LOOKUP(AI994,'Udvaskning nøgletal'!$C$12:$C$62,'Udvaskning nøgletal'!$E$12:$E$62)+Markniveau!$Y994*Markniveau!$S994/100,IF($X994=2,LOOKUP(AI994,'Udvaskning nøgletal'!$C$12:$C$62,'Udvaskning nøgletal'!$F$12:$F$62)+Markniveau!$Y994*Markniveau!$S994/100,IF($X994=3,LOOKUP(AI994,'Udvaskning nøgletal'!$C$12:$C$62,'Udvaskning nøgletal'!Q1004:Q1054)+Markniveau!$Y994*Markniveau!$S994/100,"")))</f>
        <v>33.723295792149436</v>
      </c>
      <c r="AK994" s="10">
        <f t="shared" si="159"/>
        <v>90.041199765038996</v>
      </c>
      <c r="AL994" s="10" t="str">
        <f t="shared" si="161"/>
        <v/>
      </c>
      <c r="AM994" s="10" t="str">
        <f t="shared" si="162"/>
        <v/>
      </c>
    </row>
    <row r="995" spans="1:39" x14ac:dyDescent="0.25">
      <c r="A995" s="15">
        <v>28540744</v>
      </c>
      <c r="B995" s="15">
        <v>90.4</v>
      </c>
      <c r="C995" s="15">
        <v>732</v>
      </c>
      <c r="D995" s="15">
        <v>137119</v>
      </c>
      <c r="E995" s="15" t="s">
        <v>381</v>
      </c>
      <c r="F995" s="15">
        <v>2011</v>
      </c>
      <c r="G995" s="15">
        <v>20110406</v>
      </c>
      <c r="H995" s="15">
        <v>200789</v>
      </c>
      <c r="I995" s="15">
        <v>20.079999999999998</v>
      </c>
      <c r="J995" s="6" t="s">
        <v>31</v>
      </c>
      <c r="K995" s="15">
        <v>11</v>
      </c>
      <c r="L995" s="15" t="s">
        <v>102</v>
      </c>
      <c r="M995" s="15" t="s">
        <v>5</v>
      </c>
      <c r="N995" s="11" t="s">
        <v>1384</v>
      </c>
      <c r="O995" s="11" t="s">
        <v>28</v>
      </c>
      <c r="P995" s="11" t="s">
        <v>29</v>
      </c>
      <c r="Q995" s="15">
        <v>90</v>
      </c>
      <c r="R995" s="11" t="s">
        <v>8</v>
      </c>
      <c r="S995" s="10">
        <v>157.46830381596001</v>
      </c>
      <c r="T995" s="15">
        <v>80</v>
      </c>
      <c r="U995" s="15">
        <v>0</v>
      </c>
      <c r="V995" s="15">
        <v>0</v>
      </c>
      <c r="W995" s="15">
        <v>0</v>
      </c>
      <c r="X995" s="15">
        <f>IF(O995='Udvaskning nøgletal'!$D$65,1,IF(O995='Udvaskning nøgletal'!$D$66,2,IF(O995='Udvaskning nøgletal'!$D$67,3,IF(O995='Udvaskning nøgletal'!$D$68,2,""))))</f>
        <v>1</v>
      </c>
      <c r="Y995" s="15">
        <f>LOOKUP(K995,'Udvaskning nøgletal'!$C$12:$C$60,'Udvaskning nøgletal'!$H$12:$H$60)</f>
        <v>5</v>
      </c>
      <c r="Z995" s="10">
        <f>IF(X995=1,LOOKUP(K995,'Udvaskning nøgletal'!$C$12:$C$60,'Udvaskning nøgletal'!$E$12:$E$60)+Markniveau!Y995*Markniveau!S995/100,IF(X995=2,LOOKUP(K995,'Udvaskning nøgletal'!$C$12:$C$60,'Udvaskning nøgletal'!$F$12:$F$60)+Markniveau!Y995*Markniveau!S995/100,IF(X995=3,LOOKUP(K995,'Udvaskning nøgletal'!$C$12:$C$60,'Udvaskning nøgletal'!G1005:G1053)+Markniveau!Y995*Markniveau!S995/100,"")))</f>
        <v>72.533415190797996</v>
      </c>
      <c r="AA995" s="10">
        <f t="shared" si="156"/>
        <v>1456.4709770312236</v>
      </c>
      <c r="AB995" s="10">
        <f t="shared" si="155"/>
        <v>7.2533415190797994</v>
      </c>
      <c r="AC995" s="10">
        <f t="shared" si="157"/>
        <v>145.64709770312237</v>
      </c>
      <c r="AD995" s="10">
        <f>IF(AND(Q995&gt;0,Q995&lt;30,K995&lt;8),Markniveau!Z995*'Udvaskning nøgletal'!$I$12/100,IF(AND(Q995&gt;0,Q995&lt;30,K995=216),Markniveau!Z995*'Udvaskning nøgletal'!$I$34/100,Markniveau!Z995))</f>
        <v>72.533415190797996</v>
      </c>
      <c r="AE995" s="10">
        <f t="shared" si="163"/>
        <v>1456.4709770312236</v>
      </c>
      <c r="AF995" s="10">
        <f t="shared" si="158"/>
        <v>7.2533415190797994</v>
      </c>
      <c r="AG995" s="10">
        <f t="shared" si="164"/>
        <v>145.64709770312237</v>
      </c>
      <c r="AH995" s="10" t="str">
        <f>IF(AND(Q995&gt;0,Q995&lt;30,K995=216),'Udvaskning nøgletal'!$C$42,IF(AND(Q995&gt;0,Q995&lt;30,K995&gt;7,K995&lt;17),'Udvaskning nøgletal'!$C$61,IF(AND(Q995&gt;0,Q995&lt;30,K995&lt;7),'Udvaskning nøgletal'!$C$62,"")))</f>
        <v/>
      </c>
      <c r="AI995" s="10">
        <f t="shared" si="160"/>
        <v>11</v>
      </c>
      <c r="AJ995" s="10">
        <f>IF($X995=1,LOOKUP(AI995,'Udvaskning nøgletal'!$C$12:$C$62,'Udvaskning nøgletal'!$E$12:$E$62)+Markniveau!$Y995*Markniveau!$S995/100,IF($X995=2,LOOKUP(AI995,'Udvaskning nøgletal'!$C$12:$C$62,'Udvaskning nøgletal'!$F$12:$F$62)+Markniveau!$Y995*Markniveau!$S995/100,IF($X995=3,LOOKUP(AI995,'Udvaskning nøgletal'!$C$12:$C$62,'Udvaskning nøgletal'!Q1005:Q1055)+Markniveau!$Y995*Markniveau!$S995/100,"")))</f>
        <v>72.533415190797996</v>
      </c>
      <c r="AK995" s="10">
        <f t="shared" si="159"/>
        <v>1456.4709770312236</v>
      </c>
      <c r="AL995" s="10">
        <f t="shared" si="161"/>
        <v>7.2533415190797994</v>
      </c>
      <c r="AM995" s="10">
        <f t="shared" si="162"/>
        <v>145.64709770312237</v>
      </c>
    </row>
    <row r="996" spans="1:39" x14ac:dyDescent="0.25">
      <c r="A996" s="15">
        <v>28540744</v>
      </c>
      <c r="B996" s="15">
        <v>90.4</v>
      </c>
      <c r="C996" s="15">
        <v>2603</v>
      </c>
      <c r="D996" s="15">
        <v>137119</v>
      </c>
      <c r="E996" s="15" t="s">
        <v>797</v>
      </c>
      <c r="F996" s="15">
        <v>2011</v>
      </c>
      <c r="G996" s="15">
        <v>20110406</v>
      </c>
      <c r="H996" s="15">
        <v>366164</v>
      </c>
      <c r="I996" s="15">
        <v>36.619999999999997</v>
      </c>
      <c r="J996" s="6" t="s">
        <v>798</v>
      </c>
      <c r="K996" s="15">
        <v>260</v>
      </c>
      <c r="L996" s="15" t="s">
        <v>45</v>
      </c>
      <c r="M996" s="15" t="s">
        <v>5</v>
      </c>
      <c r="N996" s="11" t="s">
        <v>1384</v>
      </c>
      <c r="O996" s="11" t="s">
        <v>28</v>
      </c>
      <c r="P996" s="11" t="s">
        <v>33</v>
      </c>
      <c r="Q996" s="15">
        <v>0</v>
      </c>
      <c r="R996" s="11" t="s">
        <v>1386</v>
      </c>
      <c r="S996" s="10">
        <v>157.46830381596001</v>
      </c>
      <c r="T996" s="15">
        <v>80</v>
      </c>
      <c r="U996" s="15">
        <v>0</v>
      </c>
      <c r="V996" s="15">
        <v>0</v>
      </c>
      <c r="W996" s="15">
        <v>0</v>
      </c>
      <c r="X996" s="15">
        <f>IF(O996='Udvaskning nøgletal'!$D$65,1,IF(O996='Udvaskning nøgletal'!$D$66,2,IF(O996='Udvaskning nøgletal'!$D$67,3,IF(O996='Udvaskning nøgletal'!$D$68,2,""))))</f>
        <v>1</v>
      </c>
      <c r="Y996" s="15">
        <f>LOOKUP(K996,'Udvaskning nøgletal'!$C$12:$C$60,'Udvaskning nøgletal'!$H$12:$H$60)</f>
        <v>0</v>
      </c>
      <c r="Z996" s="10">
        <f>IF(X996=1,LOOKUP(K996,'Udvaskning nøgletal'!$C$12:$C$60,'Udvaskning nøgletal'!$E$12:$E$60)+Markniveau!Y996*Markniveau!S996/100,IF(X996=2,LOOKUP(K996,'Udvaskning nøgletal'!$C$12:$C$60,'Udvaskning nøgletal'!$F$12:$F$60)+Markniveau!Y996*Markniveau!S996/100,IF(X996=3,LOOKUP(K996,'Udvaskning nøgletal'!$C$12:$C$60,'Udvaskning nøgletal'!G1006:G1054)+Markniveau!Y996*Markniveau!S996/100,"")))</f>
        <v>33.723295792149436</v>
      </c>
      <c r="AA996" s="10">
        <f t="shared" si="156"/>
        <v>1234.9470919085122</v>
      </c>
      <c r="AB996" s="10" t="str">
        <f t="shared" si="155"/>
        <v/>
      </c>
      <c r="AC996" s="10" t="str">
        <f t="shared" si="157"/>
        <v/>
      </c>
      <c r="AD996" s="10">
        <f>IF(AND(Q996&gt;0,Q996&lt;30,K996&lt;8),Markniveau!Z996*'Udvaskning nøgletal'!$I$12/100,IF(AND(Q996&gt;0,Q996&lt;30,K996=216),Markniveau!Z996*'Udvaskning nøgletal'!$I$34/100,Markniveau!Z996))</f>
        <v>33.723295792149436</v>
      </c>
      <c r="AE996" s="10">
        <f t="shared" si="163"/>
        <v>1234.9470919085122</v>
      </c>
      <c r="AF996" s="10" t="str">
        <f t="shared" si="158"/>
        <v/>
      </c>
      <c r="AG996" s="10" t="str">
        <f t="shared" si="164"/>
        <v/>
      </c>
      <c r="AH996" s="10" t="str">
        <f>IF(AND(Q996&gt;0,Q996&lt;30,K996=216),'Udvaskning nøgletal'!$C$42,IF(AND(Q996&gt;0,Q996&lt;30,K996&gt;7,K996&lt;17),'Udvaskning nøgletal'!$C$61,IF(AND(Q996&gt;0,Q996&lt;30,K996&lt;7),'Udvaskning nøgletal'!$C$62,"")))</f>
        <v/>
      </c>
      <c r="AI996" s="10">
        <f t="shared" si="160"/>
        <v>260</v>
      </c>
      <c r="AJ996" s="10">
        <f>IF($X996=1,LOOKUP(AI996,'Udvaskning nøgletal'!$C$12:$C$62,'Udvaskning nøgletal'!$E$12:$E$62)+Markniveau!$Y996*Markniveau!$S996/100,IF($X996=2,LOOKUP(AI996,'Udvaskning nøgletal'!$C$12:$C$62,'Udvaskning nøgletal'!$F$12:$F$62)+Markniveau!$Y996*Markniveau!$S996/100,IF($X996=3,LOOKUP(AI996,'Udvaskning nøgletal'!$C$12:$C$62,'Udvaskning nøgletal'!Q1006:Q1056)+Markniveau!$Y996*Markniveau!$S996/100,"")))</f>
        <v>33.723295792149436</v>
      </c>
      <c r="AK996" s="10">
        <f t="shared" si="159"/>
        <v>1234.9470919085122</v>
      </c>
      <c r="AL996" s="10" t="str">
        <f t="shared" si="161"/>
        <v/>
      </c>
      <c r="AM996" s="10" t="str">
        <f t="shared" si="162"/>
        <v/>
      </c>
    </row>
    <row r="997" spans="1:39" x14ac:dyDescent="0.25">
      <c r="A997" s="15">
        <v>29110727</v>
      </c>
      <c r="B997" s="15">
        <v>8.56</v>
      </c>
      <c r="C997" s="15">
        <v>397225</v>
      </c>
      <c r="D997" s="15">
        <v>140551</v>
      </c>
      <c r="E997" s="15" t="s">
        <v>799</v>
      </c>
      <c r="F997" s="15">
        <v>2011</v>
      </c>
      <c r="G997" s="15">
        <v>20110224</v>
      </c>
      <c r="H997" s="15">
        <v>52799</v>
      </c>
      <c r="I997" s="15">
        <v>5.28</v>
      </c>
      <c r="J997" s="6" t="s">
        <v>37</v>
      </c>
      <c r="K997" s="15">
        <v>1</v>
      </c>
      <c r="L997" s="15" t="s">
        <v>32</v>
      </c>
      <c r="M997" s="15" t="s">
        <v>5</v>
      </c>
      <c r="N997" s="11" t="s">
        <v>1384</v>
      </c>
      <c r="O997" s="11" t="s">
        <v>28</v>
      </c>
      <c r="P997" s="11" t="s">
        <v>29</v>
      </c>
      <c r="Q997" s="15">
        <v>95</v>
      </c>
      <c r="R997" s="11" t="s">
        <v>3</v>
      </c>
      <c r="S997" s="10">
        <v>135.23975903613999</v>
      </c>
      <c r="T997" s="15">
        <v>80</v>
      </c>
      <c r="U997" s="15">
        <v>0</v>
      </c>
      <c r="V997" s="15">
        <v>0</v>
      </c>
      <c r="W997" s="15">
        <v>0</v>
      </c>
      <c r="X997" s="15">
        <f>IF(O997='Udvaskning nøgletal'!$D$65,1,IF(O997='Udvaskning nøgletal'!$D$66,2,IF(O997='Udvaskning nøgletal'!$D$67,3,IF(O997='Udvaskning nøgletal'!$D$68,2,""))))</f>
        <v>1</v>
      </c>
      <c r="Y997" s="15">
        <f>LOOKUP(K997,'Udvaskning nøgletal'!$C$12:$C$60,'Udvaskning nøgletal'!$H$12:$H$60)</f>
        <v>5</v>
      </c>
      <c r="Z997" s="10">
        <f>IF(X997=1,LOOKUP(K997,'Udvaskning nøgletal'!$C$12:$C$60,'Udvaskning nøgletal'!$E$12:$E$60)+Markniveau!Y997*Markniveau!S997/100,IF(X997=2,LOOKUP(K997,'Udvaskning nøgletal'!$C$12:$C$60,'Udvaskning nøgletal'!$F$12:$F$60)+Markniveau!Y997*Markniveau!S997/100,IF(X997=3,LOOKUP(K997,'Udvaskning nøgletal'!$C$12:$C$60,'Udvaskning nøgletal'!G1007:G1055)+Markniveau!Y997*Markniveau!S997/100,"")))</f>
        <v>71.421987951806997</v>
      </c>
      <c r="AA997" s="10">
        <f t="shared" si="156"/>
        <v>377.10809638554099</v>
      </c>
      <c r="AB997" s="10">
        <f t="shared" si="155"/>
        <v>3.5710993975903502</v>
      </c>
      <c r="AC997" s="10">
        <f t="shared" si="157"/>
        <v>18.855404819277052</v>
      </c>
      <c r="AD997" s="10">
        <f>IF(AND(Q997&gt;0,Q997&lt;30,K997&lt;8),Markniveau!Z997*'Udvaskning nøgletal'!$I$12/100,IF(AND(Q997&gt;0,Q997&lt;30,K997=216),Markniveau!Z997*'Udvaskning nøgletal'!$I$34/100,Markniveau!Z997))</f>
        <v>71.421987951806997</v>
      </c>
      <c r="AE997" s="10">
        <f t="shared" si="163"/>
        <v>377.10809638554099</v>
      </c>
      <c r="AF997" s="10">
        <f t="shared" si="158"/>
        <v>3.5710993975903502</v>
      </c>
      <c r="AG997" s="10">
        <f t="shared" si="164"/>
        <v>18.855404819277052</v>
      </c>
      <c r="AH997" s="10" t="str">
        <f>IF(AND(Q997&gt;0,Q997&lt;30,K997=216),'Udvaskning nøgletal'!$C$42,IF(AND(Q997&gt;0,Q997&lt;30,K997&gt;7,K997&lt;17),'Udvaskning nøgletal'!$C$61,IF(AND(Q997&gt;0,Q997&lt;30,K997&lt;7),'Udvaskning nøgletal'!$C$62,"")))</f>
        <v/>
      </c>
      <c r="AI997" s="10">
        <f t="shared" si="160"/>
        <v>1</v>
      </c>
      <c r="AJ997" s="10">
        <f>IF($X997=1,LOOKUP(AI997,'Udvaskning nøgletal'!$C$12:$C$62,'Udvaskning nøgletal'!$E$12:$E$62)+Markniveau!$Y997*Markniveau!$S997/100,IF($X997=2,LOOKUP(AI997,'Udvaskning nøgletal'!$C$12:$C$62,'Udvaskning nøgletal'!$F$12:$F$62)+Markniveau!$Y997*Markniveau!$S997/100,IF($X997=3,LOOKUP(AI997,'Udvaskning nøgletal'!$C$12:$C$62,'Udvaskning nøgletal'!Q1007:Q1057)+Markniveau!$Y997*Markniveau!$S997/100,"")))</f>
        <v>71.421987951806997</v>
      </c>
      <c r="AK997" s="10">
        <f t="shared" si="159"/>
        <v>377.10809638554099</v>
      </c>
      <c r="AL997" s="10">
        <f t="shared" si="161"/>
        <v>3.5710993975903502</v>
      </c>
      <c r="AM997" s="10">
        <f t="shared" si="162"/>
        <v>18.855404819277052</v>
      </c>
    </row>
    <row r="998" spans="1:39" x14ac:dyDescent="0.25">
      <c r="A998" s="15">
        <v>29110727</v>
      </c>
      <c r="B998" s="15">
        <v>8.56</v>
      </c>
      <c r="C998" s="15">
        <v>397226</v>
      </c>
      <c r="D998" s="15">
        <v>140551</v>
      </c>
      <c r="E998" s="15" t="s">
        <v>799</v>
      </c>
      <c r="F998" s="15">
        <v>2011</v>
      </c>
      <c r="G998" s="15">
        <v>20110224</v>
      </c>
      <c r="H998" s="15">
        <v>13357</v>
      </c>
      <c r="I998" s="15">
        <v>1.34</v>
      </c>
      <c r="J998" s="6" t="s">
        <v>1409</v>
      </c>
      <c r="K998" s="15">
        <v>1</v>
      </c>
      <c r="L998" s="15" t="s">
        <v>32</v>
      </c>
      <c r="M998" s="15" t="s">
        <v>5</v>
      </c>
      <c r="N998" s="11" t="s">
        <v>1384</v>
      </c>
      <c r="O998" s="11" t="s">
        <v>28</v>
      </c>
      <c r="P998" s="11" t="s">
        <v>29</v>
      </c>
      <c r="Q998" s="15">
        <v>5</v>
      </c>
      <c r="R998" s="11" t="s">
        <v>11</v>
      </c>
      <c r="S998" s="10">
        <v>135.23975903613999</v>
      </c>
      <c r="T998" s="15">
        <v>80</v>
      </c>
      <c r="U998" s="15">
        <v>0</v>
      </c>
      <c r="V998" s="15">
        <v>0</v>
      </c>
      <c r="W998" s="15">
        <v>0</v>
      </c>
      <c r="X998" s="15">
        <f>IF(O998='Udvaskning nøgletal'!$D$65,1,IF(O998='Udvaskning nøgletal'!$D$66,2,IF(O998='Udvaskning nøgletal'!$D$67,3,IF(O998='Udvaskning nøgletal'!$D$68,2,""))))</f>
        <v>1</v>
      </c>
      <c r="Y998" s="15">
        <f>LOOKUP(K998,'Udvaskning nøgletal'!$C$12:$C$60,'Udvaskning nøgletal'!$H$12:$H$60)</f>
        <v>5</v>
      </c>
      <c r="Z998" s="10">
        <f>IF(X998=1,LOOKUP(K998,'Udvaskning nøgletal'!$C$12:$C$60,'Udvaskning nøgletal'!$E$12:$E$60)+Markniveau!Y998*Markniveau!S998/100,IF(X998=2,LOOKUP(K998,'Udvaskning nøgletal'!$C$12:$C$60,'Udvaskning nøgletal'!$F$12:$F$60)+Markniveau!Y998*Markniveau!S998/100,IF(X998=3,LOOKUP(K998,'Udvaskning nøgletal'!$C$12:$C$60,'Udvaskning nøgletal'!G1008:G1056)+Markniveau!Y998*Markniveau!S998/100,"")))</f>
        <v>71.421987951806997</v>
      </c>
      <c r="AA998" s="10">
        <f t="shared" si="156"/>
        <v>95.705463855421385</v>
      </c>
      <c r="AB998" s="10">
        <f t="shared" si="155"/>
        <v>67.850888554216638</v>
      </c>
      <c r="AC998" s="10">
        <f t="shared" si="157"/>
        <v>90.920190662650299</v>
      </c>
      <c r="AD998" s="10">
        <f>IF(AND(Q998&gt;0,Q998&lt;30,K998&lt;8),Markniveau!Z998*'Udvaskning nøgletal'!$I$12/100,IF(AND(Q998&gt;0,Q998&lt;30,K998=216),Markniveau!Z998*'Udvaskning nøgletal'!$I$34/100,Markniveau!Z998))</f>
        <v>35.710993975903499</v>
      </c>
      <c r="AE998" s="10">
        <f t="shared" si="163"/>
        <v>47.852731927710693</v>
      </c>
      <c r="AF998" s="10">
        <f t="shared" si="158"/>
        <v>33.925444277108319</v>
      </c>
      <c r="AG998" s="10">
        <f t="shared" si="164"/>
        <v>45.460095331325149</v>
      </c>
      <c r="AH998" s="10">
        <f>IF(AND(Q998&gt;0,Q998&lt;30,K998=216),'Udvaskning nøgletal'!$C$42,IF(AND(Q998&gt;0,Q998&lt;30,K998&gt;7,K998&lt;17),'Udvaskning nøgletal'!$C$61,IF(AND(Q998&gt;0,Q998&lt;30,K998&lt;7),'Udvaskning nøgletal'!$C$62,"")))</f>
        <v>1002</v>
      </c>
      <c r="AI998" s="10">
        <f t="shared" si="160"/>
        <v>1002</v>
      </c>
      <c r="AJ998" s="10">
        <f>IF($X998=1,LOOKUP(AI998,'Udvaskning nøgletal'!$C$12:$C$62,'Udvaskning nøgletal'!$E$12:$E$62)+Markniveau!$Y998*Markniveau!$S998/100,IF($X998=2,LOOKUP(AI998,'Udvaskning nøgletal'!$C$12:$C$62,'Udvaskning nøgletal'!$F$12:$F$62)+Markniveau!$Y998*Markniveau!$S998/100,IF($X998=3,LOOKUP(AI998,'Udvaskning nøgletal'!$C$12:$C$62,'Udvaskning nøgletal'!Q1008:Q1058)+Markniveau!$Y998*Markniveau!$S998/100,"")))</f>
        <v>37.261987951807001</v>
      </c>
      <c r="AK998" s="10">
        <f t="shared" si="159"/>
        <v>49.931063855421385</v>
      </c>
      <c r="AL998" s="10">
        <f t="shared" si="161"/>
        <v>35.398888554216654</v>
      </c>
      <c r="AM998" s="10">
        <f t="shared" si="162"/>
        <v>47.434510662650318</v>
      </c>
    </row>
    <row r="999" spans="1:39" x14ac:dyDescent="0.25">
      <c r="A999" s="15">
        <v>29110727</v>
      </c>
      <c r="B999" s="15">
        <v>8.56</v>
      </c>
      <c r="C999" s="15">
        <v>397227</v>
      </c>
      <c r="D999" s="15">
        <v>140551</v>
      </c>
      <c r="E999" s="15" t="s">
        <v>330</v>
      </c>
      <c r="F999" s="15">
        <v>2011</v>
      </c>
      <c r="G999" s="15">
        <v>20110224</v>
      </c>
      <c r="H999" s="15">
        <v>12715</v>
      </c>
      <c r="I999" s="15">
        <v>1.27</v>
      </c>
      <c r="J999" s="6" t="s">
        <v>61</v>
      </c>
      <c r="K999" s="15">
        <v>1</v>
      </c>
      <c r="L999" s="15" t="s">
        <v>32</v>
      </c>
      <c r="M999" s="15" t="s">
        <v>5</v>
      </c>
      <c r="N999" s="11" t="s">
        <v>1384</v>
      </c>
      <c r="O999" s="11" t="s">
        <v>28</v>
      </c>
      <c r="P999" s="11" t="s">
        <v>29</v>
      </c>
      <c r="Q999" s="15">
        <v>5</v>
      </c>
      <c r="R999" s="11" t="s">
        <v>11</v>
      </c>
      <c r="S999" s="10">
        <v>135.23975903613999</v>
      </c>
      <c r="T999" s="15">
        <v>80</v>
      </c>
      <c r="U999" s="15">
        <v>0</v>
      </c>
      <c r="V999" s="15">
        <v>0</v>
      </c>
      <c r="W999" s="15">
        <v>0</v>
      </c>
      <c r="X999" s="15">
        <f>IF(O999='Udvaskning nøgletal'!$D$65,1,IF(O999='Udvaskning nøgletal'!$D$66,2,IF(O999='Udvaskning nøgletal'!$D$67,3,IF(O999='Udvaskning nøgletal'!$D$68,2,""))))</f>
        <v>1</v>
      </c>
      <c r="Y999" s="15">
        <f>LOOKUP(K999,'Udvaskning nøgletal'!$C$12:$C$60,'Udvaskning nøgletal'!$H$12:$H$60)</f>
        <v>5</v>
      </c>
      <c r="Z999" s="10">
        <f>IF(X999=1,LOOKUP(K999,'Udvaskning nøgletal'!$C$12:$C$60,'Udvaskning nøgletal'!$E$12:$E$60)+Markniveau!Y999*Markniveau!S999/100,IF(X999=2,LOOKUP(K999,'Udvaskning nøgletal'!$C$12:$C$60,'Udvaskning nøgletal'!$F$12:$F$60)+Markniveau!Y999*Markniveau!S999/100,IF(X999=3,LOOKUP(K999,'Udvaskning nøgletal'!$C$12:$C$60,'Udvaskning nøgletal'!G1009:G1057)+Markniveau!Y999*Markniveau!S999/100,"")))</f>
        <v>71.421987951806997</v>
      </c>
      <c r="AA999" s="10">
        <f t="shared" si="156"/>
        <v>90.705924698794888</v>
      </c>
      <c r="AB999" s="10">
        <f t="shared" si="155"/>
        <v>67.850888554216638</v>
      </c>
      <c r="AC999" s="10">
        <f t="shared" si="157"/>
        <v>86.170628463855138</v>
      </c>
      <c r="AD999" s="10">
        <f>IF(AND(Q999&gt;0,Q999&lt;30,K999&lt;8),Markniveau!Z999*'Udvaskning nøgletal'!$I$12/100,IF(AND(Q999&gt;0,Q999&lt;30,K999=216),Markniveau!Z999*'Udvaskning nøgletal'!$I$34/100,Markniveau!Z999))</f>
        <v>35.710993975903499</v>
      </c>
      <c r="AE999" s="10">
        <f t="shared" si="163"/>
        <v>45.352962349397444</v>
      </c>
      <c r="AF999" s="10">
        <f t="shared" si="158"/>
        <v>33.925444277108319</v>
      </c>
      <c r="AG999" s="10">
        <f t="shared" si="164"/>
        <v>43.085314231927569</v>
      </c>
      <c r="AH999" s="10">
        <f>IF(AND(Q999&gt;0,Q999&lt;30,K999=216),'Udvaskning nøgletal'!$C$42,IF(AND(Q999&gt;0,Q999&lt;30,K999&gt;7,K999&lt;17),'Udvaskning nøgletal'!$C$61,IF(AND(Q999&gt;0,Q999&lt;30,K999&lt;7),'Udvaskning nøgletal'!$C$62,"")))</f>
        <v>1002</v>
      </c>
      <c r="AI999" s="10">
        <f t="shared" si="160"/>
        <v>1002</v>
      </c>
      <c r="AJ999" s="10">
        <f>IF($X999=1,LOOKUP(AI999,'Udvaskning nøgletal'!$C$12:$C$62,'Udvaskning nøgletal'!$E$12:$E$62)+Markniveau!$Y999*Markniveau!$S999/100,IF($X999=2,LOOKUP(AI999,'Udvaskning nøgletal'!$C$12:$C$62,'Udvaskning nøgletal'!$F$12:$F$62)+Markniveau!$Y999*Markniveau!$S999/100,IF($X999=3,LOOKUP(AI999,'Udvaskning nøgletal'!$C$12:$C$62,'Udvaskning nøgletal'!Q1009:Q1059)+Markniveau!$Y999*Markniveau!$S999/100,"")))</f>
        <v>37.261987951807001</v>
      </c>
      <c r="AK999" s="10">
        <f t="shared" si="159"/>
        <v>47.322724698794893</v>
      </c>
      <c r="AL999" s="10">
        <f t="shared" si="161"/>
        <v>35.398888554216654</v>
      </c>
      <c r="AM999" s="10">
        <f t="shared" si="162"/>
        <v>44.956588463855148</v>
      </c>
    </row>
    <row r="1000" spans="1:39" x14ac:dyDescent="0.25">
      <c r="A1000" s="15">
        <v>29110727</v>
      </c>
      <c r="B1000" s="15">
        <v>8.56</v>
      </c>
      <c r="C1000" s="15">
        <v>397223</v>
      </c>
      <c r="D1000" s="15">
        <v>140551</v>
      </c>
      <c r="E1000" s="15" t="s">
        <v>799</v>
      </c>
      <c r="F1000" s="15">
        <v>2011</v>
      </c>
      <c r="G1000" s="15">
        <v>20110224</v>
      </c>
      <c r="H1000" s="15">
        <v>4097</v>
      </c>
      <c r="I1000" s="15">
        <v>0.41</v>
      </c>
      <c r="J1000" s="6" t="s">
        <v>1512</v>
      </c>
      <c r="K1000" s="15">
        <v>263</v>
      </c>
      <c r="L1000" s="15" t="s">
        <v>39</v>
      </c>
      <c r="M1000" s="15" t="s">
        <v>5</v>
      </c>
      <c r="N1000" s="11" t="s">
        <v>1384</v>
      </c>
      <c r="O1000" s="11" t="s">
        <v>28</v>
      </c>
      <c r="P1000" s="11" t="s">
        <v>29</v>
      </c>
      <c r="Q1000" s="15">
        <v>95</v>
      </c>
      <c r="R1000" s="11" t="s">
        <v>3</v>
      </c>
      <c r="S1000" s="10">
        <v>135.23975903613999</v>
      </c>
      <c r="T1000" s="15">
        <v>80</v>
      </c>
      <c r="U1000" s="15">
        <v>0</v>
      </c>
      <c r="V1000" s="15">
        <v>0</v>
      </c>
      <c r="W1000" s="15">
        <v>0</v>
      </c>
      <c r="X1000" s="15">
        <f>IF(O1000='Udvaskning nøgletal'!$D$65,1,IF(O1000='Udvaskning nøgletal'!$D$66,2,IF(O1000='Udvaskning nøgletal'!$D$67,3,IF(O1000='Udvaskning nøgletal'!$D$68,2,""))))</f>
        <v>1</v>
      </c>
      <c r="Y1000" s="15">
        <f>LOOKUP(K1000,'Udvaskning nøgletal'!$C$12:$C$60,'Udvaskning nøgletal'!$H$12:$H$60)</f>
        <v>0</v>
      </c>
      <c r="Z1000" s="10">
        <f>IF(X1000=1,LOOKUP(K1000,'Udvaskning nøgletal'!$C$12:$C$60,'Udvaskning nøgletal'!$E$12:$E$60)+Markniveau!Y1000*Markniveau!S1000/100,IF(X1000=2,LOOKUP(K1000,'Udvaskning nøgletal'!$C$12:$C$60,'Udvaskning nøgletal'!$F$12:$F$60)+Markniveau!Y1000*Markniveau!S1000/100,IF(X1000=3,LOOKUP(K1000,'Udvaskning nøgletal'!$C$12:$C$60,'Udvaskning nøgletal'!G1010:G1058)+Markniveau!Y1000*Markniveau!S1000/100,"")))</f>
        <v>33.723295792149436</v>
      </c>
      <c r="AA1000" s="10">
        <f t="shared" si="156"/>
        <v>13.826551274781268</v>
      </c>
      <c r="AB1000" s="10">
        <f t="shared" si="155"/>
        <v>1.6861647896074716</v>
      </c>
      <c r="AC1000" s="10">
        <f t="shared" si="157"/>
        <v>0.69132756373906334</v>
      </c>
      <c r="AD1000" s="10">
        <f>IF(AND(Q1000&gt;0,Q1000&lt;30,K1000&lt;8),Markniveau!Z1000*'Udvaskning nøgletal'!$I$12/100,IF(AND(Q1000&gt;0,Q1000&lt;30,K1000=216),Markniveau!Z1000*'Udvaskning nøgletal'!$I$34/100,Markniveau!Z1000))</f>
        <v>33.723295792149436</v>
      </c>
      <c r="AE1000" s="10">
        <f t="shared" si="163"/>
        <v>13.826551274781268</v>
      </c>
      <c r="AF1000" s="10">
        <f t="shared" si="158"/>
        <v>1.6861647896074716</v>
      </c>
      <c r="AG1000" s="10">
        <f t="shared" si="164"/>
        <v>0.69132756373906334</v>
      </c>
      <c r="AH1000" s="10" t="str">
        <f>IF(AND(Q1000&gt;0,Q1000&lt;30,K1000=216),'Udvaskning nøgletal'!$C$42,IF(AND(Q1000&gt;0,Q1000&lt;30,K1000&gt;7,K1000&lt;17),'Udvaskning nøgletal'!$C$61,IF(AND(Q1000&gt;0,Q1000&lt;30,K1000&lt;7),'Udvaskning nøgletal'!$C$62,"")))</f>
        <v/>
      </c>
      <c r="AI1000" s="10">
        <f t="shared" si="160"/>
        <v>263</v>
      </c>
      <c r="AJ1000" s="10">
        <f>IF($X1000=1,LOOKUP(AI1000,'Udvaskning nøgletal'!$C$12:$C$62,'Udvaskning nøgletal'!$E$12:$E$62)+Markniveau!$Y1000*Markniveau!$S1000/100,IF($X1000=2,LOOKUP(AI1000,'Udvaskning nøgletal'!$C$12:$C$62,'Udvaskning nøgletal'!$F$12:$F$62)+Markniveau!$Y1000*Markniveau!$S1000/100,IF($X1000=3,LOOKUP(AI1000,'Udvaskning nøgletal'!$C$12:$C$62,'Udvaskning nøgletal'!Q1010:Q1060)+Markniveau!$Y1000*Markniveau!$S1000/100,"")))</f>
        <v>33.723295792149436</v>
      </c>
      <c r="AK1000" s="10">
        <f t="shared" si="159"/>
        <v>13.826551274781268</v>
      </c>
      <c r="AL1000" s="10">
        <f t="shared" si="161"/>
        <v>1.6861647896074716</v>
      </c>
      <c r="AM1000" s="10">
        <f t="shared" si="162"/>
        <v>0.69132756373906334</v>
      </c>
    </row>
    <row r="1001" spans="1:39" x14ac:dyDescent="0.25">
      <c r="A1001" s="15">
        <v>29110727</v>
      </c>
      <c r="B1001" s="15">
        <v>8.56</v>
      </c>
      <c r="C1001" s="15">
        <v>397224</v>
      </c>
      <c r="D1001" s="15">
        <v>140551</v>
      </c>
      <c r="E1001" s="15" t="s">
        <v>799</v>
      </c>
      <c r="F1001" s="15">
        <v>2011</v>
      </c>
      <c r="G1001" s="15">
        <v>20110224</v>
      </c>
      <c r="H1001" s="15">
        <v>2572</v>
      </c>
      <c r="I1001" s="15">
        <v>0.26</v>
      </c>
      <c r="J1001" s="6" t="s">
        <v>97</v>
      </c>
      <c r="K1001" s="15">
        <v>250</v>
      </c>
      <c r="L1001" s="15" t="s">
        <v>626</v>
      </c>
      <c r="M1001" s="15" t="s">
        <v>4</v>
      </c>
      <c r="N1001" s="11" t="s">
        <v>1384</v>
      </c>
      <c r="O1001" s="11" t="s">
        <v>28</v>
      </c>
      <c r="P1001" s="11" t="s">
        <v>29</v>
      </c>
      <c r="Q1001" s="15">
        <v>95</v>
      </c>
      <c r="R1001" s="11" t="s">
        <v>3</v>
      </c>
      <c r="S1001" s="10">
        <v>135.23975903613999</v>
      </c>
      <c r="T1001" s="15">
        <v>80</v>
      </c>
      <c r="U1001" s="15">
        <v>0</v>
      </c>
      <c r="V1001" s="15">
        <v>0</v>
      </c>
      <c r="W1001" s="15">
        <v>0</v>
      </c>
      <c r="X1001" s="15">
        <f>IF(O1001='Udvaskning nøgletal'!$D$65,1,IF(O1001='Udvaskning nøgletal'!$D$66,2,IF(O1001='Udvaskning nøgletal'!$D$67,3,IF(O1001='Udvaskning nøgletal'!$D$68,2,""))))</f>
        <v>1</v>
      </c>
      <c r="Y1001" s="15">
        <f>LOOKUP(K1001,'Udvaskning nøgletal'!$C$12:$C$60,'Udvaskning nøgletal'!$H$12:$H$60)</f>
        <v>0</v>
      </c>
      <c r="Z1001" s="10">
        <f>IF(X1001=1,LOOKUP(K1001,'Udvaskning nøgletal'!$C$12:$C$60,'Udvaskning nøgletal'!$E$12:$E$60)+Markniveau!Y1001*Markniveau!S1001/100,IF(X1001=2,LOOKUP(K1001,'Udvaskning nøgletal'!$C$12:$C$60,'Udvaskning nøgletal'!$F$12:$F$60)+Markniveau!Y1001*Markniveau!S1001/100,IF(X1001=3,LOOKUP(K1001,'Udvaskning nøgletal'!$C$12:$C$60,'Udvaskning nøgletal'!G1011:G1059)+Markniveau!Y1001*Markniveau!S1001/100,"")))</f>
        <v>21.2</v>
      </c>
      <c r="AA1001" s="10">
        <f t="shared" si="156"/>
        <v>5.5119999999999996</v>
      </c>
      <c r="AB1001" s="10">
        <f t="shared" si="155"/>
        <v>1.06</v>
      </c>
      <c r="AC1001" s="10">
        <f t="shared" si="157"/>
        <v>0.27560000000000001</v>
      </c>
      <c r="AD1001" s="10">
        <f>IF(AND(Q1001&gt;0,Q1001&lt;30,K1001&lt;8),Markniveau!Z1001*'Udvaskning nøgletal'!$I$12/100,IF(AND(Q1001&gt;0,Q1001&lt;30,K1001=216),Markniveau!Z1001*'Udvaskning nøgletal'!$I$34/100,Markniveau!Z1001))</f>
        <v>21.2</v>
      </c>
      <c r="AE1001" s="10">
        <f t="shared" si="163"/>
        <v>5.5119999999999996</v>
      </c>
      <c r="AF1001" s="10">
        <f t="shared" si="158"/>
        <v>1.06</v>
      </c>
      <c r="AG1001" s="10">
        <f t="shared" si="164"/>
        <v>0.27560000000000001</v>
      </c>
      <c r="AH1001" s="10" t="str">
        <f>IF(AND(Q1001&gt;0,Q1001&lt;30,K1001=216),'Udvaskning nøgletal'!$C$42,IF(AND(Q1001&gt;0,Q1001&lt;30,K1001&gt;7,K1001&lt;17),'Udvaskning nøgletal'!$C$61,IF(AND(Q1001&gt;0,Q1001&lt;30,K1001&lt;7),'Udvaskning nøgletal'!$C$62,"")))</f>
        <v/>
      </c>
      <c r="AI1001" s="10">
        <f t="shared" si="160"/>
        <v>250</v>
      </c>
      <c r="AJ1001" s="10">
        <f>IF($X1001=1,LOOKUP(AI1001,'Udvaskning nøgletal'!$C$12:$C$62,'Udvaskning nøgletal'!$E$12:$E$62)+Markniveau!$Y1001*Markniveau!$S1001/100,IF($X1001=2,LOOKUP(AI1001,'Udvaskning nøgletal'!$C$12:$C$62,'Udvaskning nøgletal'!$F$12:$F$62)+Markniveau!$Y1001*Markniveau!$S1001/100,IF($X1001=3,LOOKUP(AI1001,'Udvaskning nøgletal'!$C$12:$C$62,'Udvaskning nøgletal'!Q1011:Q1061)+Markniveau!$Y1001*Markniveau!$S1001/100,"")))</f>
        <v>21.2</v>
      </c>
      <c r="AK1001" s="10">
        <f t="shared" si="159"/>
        <v>5.5119999999999996</v>
      </c>
      <c r="AL1001" s="10">
        <f t="shared" si="161"/>
        <v>1.06</v>
      </c>
      <c r="AM1001" s="10">
        <f t="shared" si="162"/>
        <v>0.27560000000000001</v>
      </c>
    </row>
    <row r="1002" spans="1:39" x14ac:dyDescent="0.25">
      <c r="A1002" s="15">
        <v>30840305</v>
      </c>
      <c r="B1002" s="15">
        <v>7.73</v>
      </c>
      <c r="C1002" s="15">
        <v>563803</v>
      </c>
      <c r="D1002" s="15">
        <v>146400</v>
      </c>
      <c r="E1002" s="15" t="s">
        <v>800</v>
      </c>
      <c r="F1002" s="15">
        <v>2011</v>
      </c>
      <c r="G1002" s="15">
        <v>20110329</v>
      </c>
      <c r="H1002" s="15">
        <v>12409</v>
      </c>
      <c r="I1002" s="15">
        <v>1.24</v>
      </c>
      <c r="J1002" s="6" t="s">
        <v>34</v>
      </c>
      <c r="K1002" s="15">
        <v>11</v>
      </c>
      <c r="L1002" s="15" t="s">
        <v>102</v>
      </c>
      <c r="M1002" s="15" t="s">
        <v>5</v>
      </c>
      <c r="N1002" s="11" t="s">
        <v>1406</v>
      </c>
      <c r="O1002" s="11" t="s">
        <v>46</v>
      </c>
      <c r="P1002" s="11" t="s">
        <v>29</v>
      </c>
      <c r="Q1002" s="15">
        <v>95</v>
      </c>
      <c r="R1002" s="11" t="s">
        <v>3</v>
      </c>
      <c r="S1002" s="10">
        <v>0</v>
      </c>
      <c r="T1002" s="15">
        <v>80</v>
      </c>
      <c r="U1002" s="15">
        <v>0</v>
      </c>
      <c r="V1002" s="15">
        <v>0</v>
      </c>
      <c r="W1002" s="15">
        <v>0</v>
      </c>
      <c r="X1002" s="15">
        <f>IF(O1002='Udvaskning nøgletal'!$D$65,1,IF(O1002='Udvaskning nøgletal'!$D$66,2,IF(O1002='Udvaskning nøgletal'!$D$67,3,IF(O1002='Udvaskning nøgletal'!$D$68,2,""))))</f>
        <v>2</v>
      </c>
      <c r="Y1002" s="15">
        <f>LOOKUP(K1002,'Udvaskning nøgletal'!$C$12:$C$60,'Udvaskning nøgletal'!$H$12:$H$60)</f>
        <v>5</v>
      </c>
      <c r="Z1002" s="10">
        <f>IF(X1002=1,LOOKUP(K1002,'Udvaskning nøgletal'!$C$12:$C$60,'Udvaskning nøgletal'!$E$12:$E$60)+Markniveau!Y1002*Markniveau!S1002/100,IF(X1002=2,LOOKUP(K1002,'Udvaskning nøgletal'!$C$12:$C$60,'Udvaskning nøgletal'!$F$12:$F$60)+Markniveau!Y1002*Markniveau!S1002/100,IF(X1002=3,LOOKUP(K1002,'Udvaskning nøgletal'!$C$12:$C$60,'Udvaskning nøgletal'!G1012:G1060)+Markniveau!Y1002*Markniveau!S1002/100,"")))</f>
        <v>50.88</v>
      </c>
      <c r="AA1002" s="10">
        <f t="shared" si="156"/>
        <v>63.091200000000001</v>
      </c>
      <c r="AB1002" s="10">
        <f t="shared" si="155"/>
        <v>2.544</v>
      </c>
      <c r="AC1002" s="10">
        <f t="shared" si="157"/>
        <v>3.15456</v>
      </c>
      <c r="AD1002" s="10">
        <f>IF(AND(Q1002&gt;0,Q1002&lt;30,K1002&lt;8),Markniveau!Z1002*'Udvaskning nøgletal'!$I$12/100,IF(AND(Q1002&gt;0,Q1002&lt;30,K1002=216),Markniveau!Z1002*'Udvaskning nøgletal'!$I$34/100,Markniveau!Z1002))</f>
        <v>50.88</v>
      </c>
      <c r="AE1002" s="10">
        <f t="shared" si="163"/>
        <v>63.091200000000001</v>
      </c>
      <c r="AF1002" s="10">
        <f t="shared" si="158"/>
        <v>2.544</v>
      </c>
      <c r="AG1002" s="10">
        <f t="shared" si="164"/>
        <v>3.15456</v>
      </c>
      <c r="AH1002" s="10" t="str">
        <f>IF(AND(Q1002&gt;0,Q1002&lt;30,K1002=216),'Udvaskning nøgletal'!$C$42,IF(AND(Q1002&gt;0,Q1002&lt;30,K1002&gt;7,K1002&lt;17),'Udvaskning nøgletal'!$C$61,IF(AND(Q1002&gt;0,Q1002&lt;30,K1002&lt;7),'Udvaskning nøgletal'!$C$62,"")))</f>
        <v/>
      </c>
      <c r="AI1002" s="10">
        <f t="shared" si="160"/>
        <v>11</v>
      </c>
      <c r="AJ1002" s="10">
        <f>IF($X1002=1,LOOKUP(AI1002,'Udvaskning nøgletal'!$C$12:$C$62,'Udvaskning nøgletal'!$E$12:$E$62)+Markniveau!$Y1002*Markniveau!$S1002/100,IF($X1002=2,LOOKUP(AI1002,'Udvaskning nøgletal'!$C$12:$C$62,'Udvaskning nøgletal'!$F$12:$F$62)+Markniveau!$Y1002*Markniveau!$S1002/100,IF($X1002=3,LOOKUP(AI1002,'Udvaskning nøgletal'!$C$12:$C$62,'Udvaskning nøgletal'!Q1012:Q1062)+Markniveau!$Y1002*Markniveau!$S1002/100,"")))</f>
        <v>50.88</v>
      </c>
      <c r="AK1002" s="10">
        <f t="shared" si="159"/>
        <v>63.091200000000001</v>
      </c>
      <c r="AL1002" s="10">
        <f t="shared" si="161"/>
        <v>2.544</v>
      </c>
      <c r="AM1002" s="10">
        <f t="shared" si="162"/>
        <v>3.15456</v>
      </c>
    </row>
    <row r="1003" spans="1:39" x14ac:dyDescent="0.25">
      <c r="A1003" s="15">
        <v>30840305</v>
      </c>
      <c r="B1003" s="15">
        <v>7.73</v>
      </c>
      <c r="C1003" s="15">
        <v>563804</v>
      </c>
      <c r="D1003" s="15">
        <v>146400</v>
      </c>
      <c r="E1003" s="15" t="s">
        <v>800</v>
      </c>
      <c r="F1003" s="15">
        <v>2011</v>
      </c>
      <c r="G1003" s="15">
        <v>20110329</v>
      </c>
      <c r="H1003" s="15">
        <v>3444</v>
      </c>
      <c r="I1003" s="15">
        <v>0.34</v>
      </c>
      <c r="J1003" s="6" t="s">
        <v>69</v>
      </c>
      <c r="K1003" s="15">
        <v>254</v>
      </c>
      <c r="L1003" s="15" t="s">
        <v>27</v>
      </c>
      <c r="M1003" s="15" t="s">
        <v>4</v>
      </c>
      <c r="N1003" s="11" t="s">
        <v>1406</v>
      </c>
      <c r="O1003" s="11" t="s">
        <v>46</v>
      </c>
      <c r="P1003" s="11" t="s">
        <v>29</v>
      </c>
      <c r="Q1003" s="15">
        <v>2</v>
      </c>
      <c r="R1003" s="11" t="s">
        <v>11</v>
      </c>
      <c r="S1003" s="10">
        <v>0</v>
      </c>
      <c r="T1003" s="15">
        <v>80</v>
      </c>
      <c r="U1003" s="15">
        <v>0</v>
      </c>
      <c r="V1003" s="15">
        <v>0</v>
      </c>
      <c r="W1003" s="15">
        <v>0</v>
      </c>
      <c r="X1003" s="15">
        <f>IF(O1003='Udvaskning nøgletal'!$D$65,1,IF(O1003='Udvaskning nøgletal'!$D$66,2,IF(O1003='Udvaskning nøgletal'!$D$67,3,IF(O1003='Udvaskning nøgletal'!$D$68,2,""))))</f>
        <v>2</v>
      </c>
      <c r="Y1003" s="15">
        <f>LOOKUP(K1003,'Udvaskning nøgletal'!$C$12:$C$60,'Udvaskning nøgletal'!$H$12:$H$60)</f>
        <v>0</v>
      </c>
      <c r="Z1003" s="10">
        <f>IF(X1003=1,LOOKUP(K1003,'Udvaskning nøgletal'!$C$12:$C$60,'Udvaskning nøgletal'!$E$12:$E$60)+Markniveau!Y1003*Markniveau!S1003/100,IF(X1003=2,LOOKUP(K1003,'Udvaskning nøgletal'!$C$12:$C$60,'Udvaskning nøgletal'!$F$12:$F$60)+Markniveau!Y1003*Markniveau!S1003/100,IF(X1003=3,LOOKUP(K1003,'Udvaskning nøgletal'!$C$12:$C$60,'Udvaskning nøgletal'!G1013:G1061)+Markniveau!Y1003*Markniveau!S1003/100,"")))</f>
        <v>21.2</v>
      </c>
      <c r="AA1003" s="10">
        <f t="shared" si="156"/>
        <v>7.2080000000000002</v>
      </c>
      <c r="AB1003" s="10">
        <f t="shared" si="155"/>
        <v>20.776</v>
      </c>
      <c r="AC1003" s="10">
        <f t="shared" si="157"/>
        <v>7.0638400000000008</v>
      </c>
      <c r="AD1003" s="10">
        <f>IF(AND(Q1003&gt;0,Q1003&lt;30,K1003&lt;8),Markniveau!Z1003*'Udvaskning nøgletal'!$I$12/100,IF(AND(Q1003&gt;0,Q1003&lt;30,K1003=216),Markniveau!Z1003*'Udvaskning nøgletal'!$I$34/100,Markniveau!Z1003))</f>
        <v>21.2</v>
      </c>
      <c r="AE1003" s="10">
        <f t="shared" si="163"/>
        <v>7.2080000000000002</v>
      </c>
      <c r="AF1003" s="10">
        <f t="shared" si="158"/>
        <v>20.776</v>
      </c>
      <c r="AG1003" s="10">
        <f t="shared" si="164"/>
        <v>7.0638400000000008</v>
      </c>
      <c r="AH1003" s="10" t="str">
        <f>IF(AND(Q1003&gt;0,Q1003&lt;30,K1003=216),'Udvaskning nøgletal'!$C$42,IF(AND(Q1003&gt;0,Q1003&lt;30,K1003&gt;7,K1003&lt;17),'Udvaskning nøgletal'!$C$61,IF(AND(Q1003&gt;0,Q1003&lt;30,K1003&lt;7),'Udvaskning nøgletal'!$C$62,"")))</f>
        <v/>
      </c>
      <c r="AI1003" s="10">
        <f t="shared" si="160"/>
        <v>254</v>
      </c>
      <c r="AJ1003" s="10">
        <f>IF($X1003=1,LOOKUP(AI1003,'Udvaskning nøgletal'!$C$12:$C$62,'Udvaskning nøgletal'!$E$12:$E$62)+Markniveau!$Y1003*Markniveau!$S1003/100,IF($X1003=2,LOOKUP(AI1003,'Udvaskning nøgletal'!$C$12:$C$62,'Udvaskning nøgletal'!$F$12:$F$62)+Markniveau!$Y1003*Markniveau!$S1003/100,IF($X1003=3,LOOKUP(AI1003,'Udvaskning nøgletal'!$C$12:$C$62,'Udvaskning nøgletal'!Q1013:Q1063)+Markniveau!$Y1003*Markniveau!$S1003/100,"")))</f>
        <v>21.2</v>
      </c>
      <c r="AK1003" s="10">
        <f t="shared" si="159"/>
        <v>7.2080000000000002</v>
      </c>
      <c r="AL1003" s="10">
        <f t="shared" si="161"/>
        <v>20.776</v>
      </c>
      <c r="AM1003" s="10">
        <f t="shared" si="162"/>
        <v>7.0638400000000008</v>
      </c>
    </row>
    <row r="1004" spans="1:39" x14ac:dyDescent="0.25">
      <c r="A1004" s="15">
        <v>30840305</v>
      </c>
      <c r="B1004" s="15">
        <v>7.73</v>
      </c>
      <c r="C1004" s="15">
        <v>563805</v>
      </c>
      <c r="D1004" s="15">
        <v>146400</v>
      </c>
      <c r="E1004" s="15" t="s">
        <v>800</v>
      </c>
      <c r="F1004" s="15">
        <v>2011</v>
      </c>
      <c r="G1004" s="15">
        <v>20110329</v>
      </c>
      <c r="H1004" s="15">
        <v>9739</v>
      </c>
      <c r="I1004" s="15">
        <v>0.97</v>
      </c>
      <c r="J1004" s="6" t="s">
        <v>97</v>
      </c>
      <c r="K1004" s="15">
        <v>11</v>
      </c>
      <c r="L1004" s="15" t="s">
        <v>102</v>
      </c>
      <c r="M1004" s="15" t="s">
        <v>5</v>
      </c>
      <c r="N1004" s="11" t="s">
        <v>1406</v>
      </c>
      <c r="O1004" s="11" t="s">
        <v>46</v>
      </c>
      <c r="P1004" s="11" t="s">
        <v>29</v>
      </c>
      <c r="Q1004" s="15">
        <v>2</v>
      </c>
      <c r="R1004" s="11" t="s">
        <v>11</v>
      </c>
      <c r="S1004" s="10">
        <v>0</v>
      </c>
      <c r="T1004" s="15">
        <v>80</v>
      </c>
      <c r="U1004" s="15">
        <v>0</v>
      </c>
      <c r="V1004" s="15">
        <v>0</v>
      </c>
      <c r="W1004" s="15">
        <v>0</v>
      </c>
      <c r="X1004" s="15">
        <f>IF(O1004='Udvaskning nøgletal'!$D$65,1,IF(O1004='Udvaskning nøgletal'!$D$66,2,IF(O1004='Udvaskning nøgletal'!$D$67,3,IF(O1004='Udvaskning nøgletal'!$D$68,2,""))))</f>
        <v>2</v>
      </c>
      <c r="Y1004" s="15">
        <f>LOOKUP(K1004,'Udvaskning nøgletal'!$C$12:$C$60,'Udvaskning nøgletal'!$H$12:$H$60)</f>
        <v>5</v>
      </c>
      <c r="Z1004" s="10">
        <f>IF(X1004=1,LOOKUP(K1004,'Udvaskning nøgletal'!$C$12:$C$60,'Udvaskning nøgletal'!$E$12:$E$60)+Markniveau!Y1004*Markniveau!S1004/100,IF(X1004=2,LOOKUP(K1004,'Udvaskning nøgletal'!$C$12:$C$60,'Udvaskning nøgletal'!$F$12:$F$60)+Markniveau!Y1004*Markniveau!S1004/100,IF(X1004=3,LOOKUP(K1004,'Udvaskning nøgletal'!$C$12:$C$60,'Udvaskning nøgletal'!G1014:G1062)+Markniveau!Y1004*Markniveau!S1004/100,"")))</f>
        <v>50.88</v>
      </c>
      <c r="AA1004" s="10">
        <f t="shared" si="156"/>
        <v>49.3536</v>
      </c>
      <c r="AB1004" s="10">
        <f t="shared" si="155"/>
        <v>49.862400000000008</v>
      </c>
      <c r="AC1004" s="10">
        <f t="shared" si="157"/>
        <v>48.36652800000001</v>
      </c>
      <c r="AD1004" s="10">
        <f>IF(AND(Q1004&gt;0,Q1004&lt;30,K1004&lt;8),Markniveau!Z1004*'Udvaskning nøgletal'!$I$12/100,IF(AND(Q1004&gt;0,Q1004&lt;30,K1004=216),Markniveau!Z1004*'Udvaskning nøgletal'!$I$34/100,Markniveau!Z1004))</f>
        <v>50.88</v>
      </c>
      <c r="AE1004" s="10">
        <f t="shared" si="163"/>
        <v>49.3536</v>
      </c>
      <c r="AF1004" s="10">
        <f t="shared" si="158"/>
        <v>49.862400000000008</v>
      </c>
      <c r="AG1004" s="10">
        <f t="shared" si="164"/>
        <v>48.36652800000001</v>
      </c>
      <c r="AH1004" s="10">
        <f>IF(AND(Q1004&gt;0,Q1004&lt;30,K1004=216),'Udvaskning nøgletal'!$C$42,IF(AND(Q1004&gt;0,Q1004&lt;30,K1004&gt;7,K1004&lt;17),'Udvaskning nøgletal'!$C$61,IF(AND(Q1004&gt;0,Q1004&lt;30,K1004&lt;7),'Udvaskning nøgletal'!$C$62,"")))</f>
        <v>1001</v>
      </c>
      <c r="AI1004" s="10">
        <f t="shared" si="160"/>
        <v>1001</v>
      </c>
      <c r="AJ1004" s="10">
        <f>IF($X1004=1,LOOKUP(AI1004,'Udvaskning nøgletal'!$C$12:$C$62,'Udvaskning nøgletal'!$E$12:$E$62)+Markniveau!$Y1004*Markniveau!$S1004/100,IF($X1004=2,LOOKUP(AI1004,'Udvaskning nøgletal'!$C$12:$C$62,'Udvaskning nøgletal'!$F$12:$F$62)+Markniveau!$Y1004*Markniveau!$S1004/100,IF($X1004=3,LOOKUP(AI1004,'Udvaskning nøgletal'!$C$12:$C$62,'Udvaskning nøgletal'!Q1014:Q1064)+Markniveau!$Y1004*Markniveau!$S1004/100,"")))</f>
        <v>24</v>
      </c>
      <c r="AK1004" s="10">
        <f t="shared" si="159"/>
        <v>23.28</v>
      </c>
      <c r="AL1004" s="10">
        <f t="shared" si="161"/>
        <v>23.52</v>
      </c>
      <c r="AM1004" s="10">
        <f t="shared" si="162"/>
        <v>22.814399999999999</v>
      </c>
    </row>
    <row r="1005" spans="1:39" x14ac:dyDescent="0.25">
      <c r="A1005" s="15">
        <v>30840305</v>
      </c>
      <c r="B1005" s="15">
        <v>7.73</v>
      </c>
      <c r="C1005" s="15">
        <v>563806</v>
      </c>
      <c r="D1005" s="15">
        <v>146400</v>
      </c>
      <c r="E1005" s="15" t="s">
        <v>800</v>
      </c>
      <c r="F1005" s="15">
        <v>2011</v>
      </c>
      <c r="G1005" s="15">
        <v>20110329</v>
      </c>
      <c r="H1005" s="15">
        <v>11472</v>
      </c>
      <c r="I1005" s="15">
        <v>1.1499999999999999</v>
      </c>
      <c r="J1005" s="6" t="s">
        <v>37</v>
      </c>
      <c r="K1005" s="15">
        <v>11</v>
      </c>
      <c r="L1005" s="15" t="s">
        <v>102</v>
      </c>
      <c r="M1005" s="15" t="s">
        <v>5</v>
      </c>
      <c r="N1005" s="11" t="s">
        <v>1406</v>
      </c>
      <c r="O1005" s="11" t="s">
        <v>46</v>
      </c>
      <c r="P1005" s="11" t="s">
        <v>29</v>
      </c>
      <c r="Q1005" s="15">
        <v>2</v>
      </c>
      <c r="R1005" s="11" t="s">
        <v>11</v>
      </c>
      <c r="S1005" s="10">
        <v>0</v>
      </c>
      <c r="T1005" s="15">
        <v>80</v>
      </c>
      <c r="U1005" s="15">
        <v>0</v>
      </c>
      <c r="V1005" s="15">
        <v>0</v>
      </c>
      <c r="W1005" s="15">
        <v>0</v>
      </c>
      <c r="X1005" s="15">
        <f>IF(O1005='Udvaskning nøgletal'!$D$65,1,IF(O1005='Udvaskning nøgletal'!$D$66,2,IF(O1005='Udvaskning nøgletal'!$D$67,3,IF(O1005='Udvaskning nøgletal'!$D$68,2,""))))</f>
        <v>2</v>
      </c>
      <c r="Y1005" s="15">
        <f>LOOKUP(K1005,'Udvaskning nøgletal'!$C$12:$C$60,'Udvaskning nøgletal'!$H$12:$H$60)</f>
        <v>5</v>
      </c>
      <c r="Z1005" s="10">
        <f>IF(X1005=1,LOOKUP(K1005,'Udvaskning nøgletal'!$C$12:$C$60,'Udvaskning nøgletal'!$E$12:$E$60)+Markniveau!Y1005*Markniveau!S1005/100,IF(X1005=2,LOOKUP(K1005,'Udvaskning nøgletal'!$C$12:$C$60,'Udvaskning nøgletal'!$F$12:$F$60)+Markniveau!Y1005*Markniveau!S1005/100,IF(X1005=3,LOOKUP(K1005,'Udvaskning nøgletal'!$C$12:$C$60,'Udvaskning nøgletal'!G1015:G1063)+Markniveau!Y1005*Markniveau!S1005/100,"")))</f>
        <v>50.88</v>
      </c>
      <c r="AA1005" s="10">
        <f t="shared" si="156"/>
        <v>58.512</v>
      </c>
      <c r="AB1005" s="10">
        <f t="shared" si="155"/>
        <v>49.862400000000008</v>
      </c>
      <c r="AC1005" s="10">
        <f t="shared" si="157"/>
        <v>57.341760000000008</v>
      </c>
      <c r="AD1005" s="10">
        <f>IF(AND(Q1005&gt;0,Q1005&lt;30,K1005&lt;8),Markniveau!Z1005*'Udvaskning nøgletal'!$I$12/100,IF(AND(Q1005&gt;0,Q1005&lt;30,K1005=216),Markniveau!Z1005*'Udvaskning nøgletal'!$I$34/100,Markniveau!Z1005))</f>
        <v>50.88</v>
      </c>
      <c r="AE1005" s="10">
        <f t="shared" si="163"/>
        <v>58.512</v>
      </c>
      <c r="AF1005" s="10">
        <f t="shared" si="158"/>
        <v>49.862400000000008</v>
      </c>
      <c r="AG1005" s="10">
        <f t="shared" si="164"/>
        <v>57.341760000000008</v>
      </c>
      <c r="AH1005" s="10">
        <f>IF(AND(Q1005&gt;0,Q1005&lt;30,K1005=216),'Udvaskning nøgletal'!$C$42,IF(AND(Q1005&gt;0,Q1005&lt;30,K1005&gt;7,K1005&lt;17),'Udvaskning nøgletal'!$C$61,IF(AND(Q1005&gt;0,Q1005&lt;30,K1005&lt;7),'Udvaskning nøgletal'!$C$62,"")))</f>
        <v>1001</v>
      </c>
      <c r="AI1005" s="10">
        <f t="shared" si="160"/>
        <v>1001</v>
      </c>
      <c r="AJ1005" s="10">
        <f>IF($X1005=1,LOOKUP(AI1005,'Udvaskning nøgletal'!$C$12:$C$62,'Udvaskning nøgletal'!$E$12:$E$62)+Markniveau!$Y1005*Markniveau!$S1005/100,IF($X1005=2,LOOKUP(AI1005,'Udvaskning nøgletal'!$C$12:$C$62,'Udvaskning nøgletal'!$F$12:$F$62)+Markniveau!$Y1005*Markniveau!$S1005/100,IF($X1005=3,LOOKUP(AI1005,'Udvaskning nøgletal'!$C$12:$C$62,'Udvaskning nøgletal'!Q1015:Q1065)+Markniveau!$Y1005*Markniveau!$S1005/100,"")))</f>
        <v>24</v>
      </c>
      <c r="AK1005" s="10">
        <f t="shared" si="159"/>
        <v>27.599999999999998</v>
      </c>
      <c r="AL1005" s="10">
        <f t="shared" si="161"/>
        <v>23.52</v>
      </c>
      <c r="AM1005" s="10">
        <f t="shared" si="162"/>
        <v>27.047999999999998</v>
      </c>
    </row>
    <row r="1006" spans="1:39" x14ac:dyDescent="0.25">
      <c r="A1006" s="15">
        <v>30840305</v>
      </c>
      <c r="B1006" s="15">
        <v>7.73</v>
      </c>
      <c r="C1006" s="15">
        <v>564361</v>
      </c>
      <c r="D1006" s="15">
        <v>146400</v>
      </c>
      <c r="E1006" s="15" t="s">
        <v>801</v>
      </c>
      <c r="F1006" s="15">
        <v>2011</v>
      </c>
      <c r="G1006" s="15">
        <v>20110329</v>
      </c>
      <c r="H1006" s="15">
        <v>9444</v>
      </c>
      <c r="I1006" s="15">
        <v>0.94</v>
      </c>
      <c r="J1006" s="6" t="s">
        <v>35</v>
      </c>
      <c r="K1006" s="15">
        <v>902</v>
      </c>
      <c r="L1006" s="15" t="s">
        <v>160</v>
      </c>
      <c r="M1006" s="15" t="s">
        <v>81</v>
      </c>
      <c r="N1006" s="11" t="s">
        <v>1406</v>
      </c>
      <c r="O1006" s="11" t="s">
        <v>46</v>
      </c>
      <c r="P1006" s="11" t="s">
        <v>29</v>
      </c>
      <c r="Q1006" s="15">
        <v>2</v>
      </c>
      <c r="R1006" s="11" t="s">
        <v>11</v>
      </c>
      <c r="S1006" s="10">
        <v>0</v>
      </c>
      <c r="T1006" s="15">
        <v>80</v>
      </c>
      <c r="U1006" s="15">
        <v>0</v>
      </c>
      <c r="V1006" s="15">
        <v>0</v>
      </c>
      <c r="W1006" s="15">
        <v>0</v>
      </c>
      <c r="X1006" s="15">
        <f>IF(O1006='Udvaskning nøgletal'!$D$65,1,IF(O1006='Udvaskning nøgletal'!$D$66,2,IF(O1006='Udvaskning nøgletal'!$D$67,3,IF(O1006='Udvaskning nøgletal'!$D$68,2,""))))</f>
        <v>2</v>
      </c>
      <c r="Y1006" s="15">
        <f>LOOKUP(K1006,'Udvaskning nøgletal'!$C$12:$C$60,'Udvaskning nøgletal'!$H$12:$H$60)</f>
        <v>0</v>
      </c>
      <c r="Z1006" s="10">
        <f>IF(X1006=1,LOOKUP(K1006,'Udvaskning nøgletal'!$C$12:$C$60,'Udvaskning nøgletal'!$E$12:$E$60)+Markniveau!Y1006*Markniveau!S1006/100,IF(X1006=2,LOOKUP(K1006,'Udvaskning nøgletal'!$C$12:$C$60,'Udvaskning nøgletal'!$F$12:$F$60)+Markniveau!Y1006*Markniveau!S1006/100,IF(X1006=3,LOOKUP(K1006,'Udvaskning nøgletal'!$C$12:$C$60,'Udvaskning nøgletal'!G1016:G1064)+Markniveau!Y1006*Markniveau!S1006/100,"")))</f>
        <v>10</v>
      </c>
      <c r="AA1006" s="10">
        <f t="shared" si="156"/>
        <v>9.3999999999999986</v>
      </c>
      <c r="AB1006" s="10">
        <f t="shared" si="155"/>
        <v>9.8000000000000007</v>
      </c>
      <c r="AC1006" s="10">
        <f t="shared" si="157"/>
        <v>9.2119999999999997</v>
      </c>
      <c r="AD1006" s="10">
        <f>IF(AND(Q1006&gt;0,Q1006&lt;30,K1006&lt;8),Markniveau!Z1006*'Udvaskning nøgletal'!$I$12/100,IF(AND(Q1006&gt;0,Q1006&lt;30,K1006=216),Markniveau!Z1006*'Udvaskning nøgletal'!$I$34/100,Markniveau!Z1006))</f>
        <v>10</v>
      </c>
      <c r="AE1006" s="10">
        <f t="shared" si="163"/>
        <v>9.3999999999999986</v>
      </c>
      <c r="AF1006" s="10">
        <f t="shared" si="158"/>
        <v>9.8000000000000007</v>
      </c>
      <c r="AG1006" s="10">
        <f t="shared" si="164"/>
        <v>9.2119999999999997</v>
      </c>
      <c r="AH1006" s="10" t="str">
        <f>IF(AND(Q1006&gt;0,Q1006&lt;30,K1006=216),'Udvaskning nøgletal'!$C$42,IF(AND(Q1006&gt;0,Q1006&lt;30,K1006&gt;7,K1006&lt;17),'Udvaskning nøgletal'!$C$61,IF(AND(Q1006&gt;0,Q1006&lt;30,K1006&lt;7),'Udvaskning nøgletal'!$C$62,"")))</f>
        <v/>
      </c>
      <c r="AI1006" s="10">
        <f t="shared" si="160"/>
        <v>902</v>
      </c>
      <c r="AJ1006" s="10">
        <f>IF($X1006=1,LOOKUP(AI1006,'Udvaskning nøgletal'!$C$12:$C$62,'Udvaskning nøgletal'!$E$12:$E$62)+Markniveau!$Y1006*Markniveau!$S1006/100,IF($X1006=2,LOOKUP(AI1006,'Udvaskning nøgletal'!$C$12:$C$62,'Udvaskning nøgletal'!$F$12:$F$62)+Markniveau!$Y1006*Markniveau!$S1006/100,IF($X1006=3,LOOKUP(AI1006,'Udvaskning nøgletal'!$C$12:$C$62,'Udvaskning nøgletal'!Q1016:Q1066)+Markniveau!$Y1006*Markniveau!$S1006/100,"")))</f>
        <v>10</v>
      </c>
      <c r="AK1006" s="10">
        <f t="shared" si="159"/>
        <v>9.3999999999999986</v>
      </c>
      <c r="AL1006" s="10">
        <f t="shared" si="161"/>
        <v>9.8000000000000007</v>
      </c>
      <c r="AM1006" s="10">
        <f t="shared" si="162"/>
        <v>9.2119999999999997</v>
      </c>
    </row>
    <row r="1007" spans="1:39" x14ac:dyDescent="0.25">
      <c r="A1007" s="15">
        <v>30840305</v>
      </c>
      <c r="B1007" s="15">
        <v>7.73</v>
      </c>
      <c r="C1007" s="15">
        <v>564362</v>
      </c>
      <c r="D1007" s="15">
        <v>146400</v>
      </c>
      <c r="E1007" s="15" t="s">
        <v>801</v>
      </c>
      <c r="F1007" s="15">
        <v>2011</v>
      </c>
      <c r="G1007" s="15">
        <v>20110329</v>
      </c>
      <c r="H1007" s="15">
        <v>9137</v>
      </c>
      <c r="I1007" s="15">
        <v>0.91</v>
      </c>
      <c r="J1007" s="6" t="s">
        <v>36</v>
      </c>
      <c r="K1007" s="15">
        <v>11</v>
      </c>
      <c r="L1007" s="15" t="s">
        <v>102</v>
      </c>
      <c r="M1007" s="15" t="s">
        <v>5</v>
      </c>
      <c r="N1007" s="11" t="s">
        <v>1406</v>
      </c>
      <c r="O1007" s="11" t="s">
        <v>46</v>
      </c>
      <c r="P1007" s="11" t="s">
        <v>29</v>
      </c>
      <c r="Q1007" s="15">
        <v>2</v>
      </c>
      <c r="R1007" s="11" t="s">
        <v>11</v>
      </c>
      <c r="S1007" s="10">
        <v>0</v>
      </c>
      <c r="T1007" s="15">
        <v>80</v>
      </c>
      <c r="U1007" s="15">
        <v>0</v>
      </c>
      <c r="V1007" s="15">
        <v>0</v>
      </c>
      <c r="W1007" s="15">
        <v>0</v>
      </c>
      <c r="X1007" s="15">
        <f>IF(O1007='Udvaskning nøgletal'!$D$65,1,IF(O1007='Udvaskning nøgletal'!$D$66,2,IF(O1007='Udvaskning nøgletal'!$D$67,3,IF(O1007='Udvaskning nøgletal'!$D$68,2,""))))</f>
        <v>2</v>
      </c>
      <c r="Y1007" s="15">
        <f>LOOKUP(K1007,'Udvaskning nøgletal'!$C$12:$C$60,'Udvaskning nøgletal'!$H$12:$H$60)</f>
        <v>5</v>
      </c>
      <c r="Z1007" s="10">
        <f>IF(X1007=1,LOOKUP(K1007,'Udvaskning nøgletal'!$C$12:$C$60,'Udvaskning nøgletal'!$E$12:$E$60)+Markniveau!Y1007*Markniveau!S1007/100,IF(X1007=2,LOOKUP(K1007,'Udvaskning nøgletal'!$C$12:$C$60,'Udvaskning nøgletal'!$F$12:$F$60)+Markniveau!Y1007*Markniveau!S1007/100,IF(X1007=3,LOOKUP(K1007,'Udvaskning nøgletal'!$C$12:$C$60,'Udvaskning nøgletal'!G1017:G1065)+Markniveau!Y1007*Markniveau!S1007/100,"")))</f>
        <v>50.88</v>
      </c>
      <c r="AA1007" s="10">
        <f t="shared" si="156"/>
        <v>46.300800000000002</v>
      </c>
      <c r="AB1007" s="10">
        <f t="shared" si="155"/>
        <v>49.862400000000008</v>
      </c>
      <c r="AC1007" s="10">
        <f t="shared" si="157"/>
        <v>45.374784000000005</v>
      </c>
      <c r="AD1007" s="10">
        <f>IF(AND(Q1007&gt;0,Q1007&lt;30,K1007&lt;8),Markniveau!Z1007*'Udvaskning nøgletal'!$I$12/100,IF(AND(Q1007&gt;0,Q1007&lt;30,K1007=216),Markniveau!Z1007*'Udvaskning nøgletal'!$I$34/100,Markniveau!Z1007))</f>
        <v>50.88</v>
      </c>
      <c r="AE1007" s="10">
        <f t="shared" si="163"/>
        <v>46.300800000000002</v>
      </c>
      <c r="AF1007" s="10">
        <f t="shared" si="158"/>
        <v>49.862400000000008</v>
      </c>
      <c r="AG1007" s="10">
        <f t="shared" si="164"/>
        <v>45.374784000000005</v>
      </c>
      <c r="AH1007" s="10">
        <f>IF(AND(Q1007&gt;0,Q1007&lt;30,K1007=216),'Udvaskning nøgletal'!$C$42,IF(AND(Q1007&gt;0,Q1007&lt;30,K1007&gt;7,K1007&lt;17),'Udvaskning nøgletal'!$C$61,IF(AND(Q1007&gt;0,Q1007&lt;30,K1007&lt;7),'Udvaskning nøgletal'!$C$62,"")))</f>
        <v>1001</v>
      </c>
      <c r="AI1007" s="10">
        <f t="shared" si="160"/>
        <v>1001</v>
      </c>
      <c r="AJ1007" s="10">
        <f>IF($X1007=1,LOOKUP(AI1007,'Udvaskning nøgletal'!$C$12:$C$62,'Udvaskning nøgletal'!$E$12:$E$62)+Markniveau!$Y1007*Markniveau!$S1007/100,IF($X1007=2,LOOKUP(AI1007,'Udvaskning nøgletal'!$C$12:$C$62,'Udvaskning nøgletal'!$F$12:$F$62)+Markniveau!$Y1007*Markniveau!$S1007/100,IF($X1007=3,LOOKUP(AI1007,'Udvaskning nøgletal'!$C$12:$C$62,'Udvaskning nøgletal'!Q1017:Q1067)+Markniveau!$Y1007*Markniveau!$S1007/100,"")))</f>
        <v>24</v>
      </c>
      <c r="AK1007" s="10">
        <f t="shared" si="159"/>
        <v>21.84</v>
      </c>
      <c r="AL1007" s="10">
        <f t="shared" si="161"/>
        <v>23.52</v>
      </c>
      <c r="AM1007" s="10">
        <f t="shared" si="162"/>
        <v>21.403200000000002</v>
      </c>
    </row>
    <row r="1008" spans="1:39" x14ac:dyDescent="0.25">
      <c r="A1008" s="15">
        <v>30840305</v>
      </c>
      <c r="B1008" s="15">
        <v>7.73</v>
      </c>
      <c r="C1008" s="15">
        <v>564363</v>
      </c>
      <c r="D1008" s="15">
        <v>146400</v>
      </c>
      <c r="E1008" s="15" t="s">
        <v>802</v>
      </c>
      <c r="F1008" s="15">
        <v>2011</v>
      </c>
      <c r="G1008" s="15">
        <v>20110329</v>
      </c>
      <c r="H1008" s="15">
        <v>10974</v>
      </c>
      <c r="I1008" s="15">
        <v>1.1000000000000001</v>
      </c>
      <c r="J1008" s="6" t="s">
        <v>1389</v>
      </c>
      <c r="K1008" s="15">
        <v>902</v>
      </c>
      <c r="L1008" s="15" t="s">
        <v>160</v>
      </c>
      <c r="M1008" s="15" t="s">
        <v>81</v>
      </c>
      <c r="N1008" s="11" t="s">
        <v>1406</v>
      </c>
      <c r="O1008" s="11" t="s">
        <v>46</v>
      </c>
      <c r="P1008" s="11" t="s">
        <v>29</v>
      </c>
      <c r="Q1008" s="15">
        <v>95</v>
      </c>
      <c r="R1008" s="11" t="s">
        <v>3</v>
      </c>
      <c r="S1008" s="10">
        <v>0</v>
      </c>
      <c r="T1008" s="15">
        <v>80</v>
      </c>
      <c r="U1008" s="15">
        <v>0</v>
      </c>
      <c r="V1008" s="15">
        <v>0</v>
      </c>
      <c r="W1008" s="15">
        <v>0</v>
      </c>
      <c r="X1008" s="15">
        <f>IF(O1008='Udvaskning nøgletal'!$D$65,1,IF(O1008='Udvaskning nøgletal'!$D$66,2,IF(O1008='Udvaskning nøgletal'!$D$67,3,IF(O1008='Udvaskning nøgletal'!$D$68,2,""))))</f>
        <v>2</v>
      </c>
      <c r="Y1008" s="15">
        <f>LOOKUP(K1008,'Udvaskning nøgletal'!$C$12:$C$60,'Udvaskning nøgletal'!$H$12:$H$60)</f>
        <v>0</v>
      </c>
      <c r="Z1008" s="10">
        <f>IF(X1008=1,LOOKUP(K1008,'Udvaskning nøgletal'!$C$12:$C$60,'Udvaskning nøgletal'!$E$12:$E$60)+Markniveau!Y1008*Markniveau!S1008/100,IF(X1008=2,LOOKUP(K1008,'Udvaskning nøgletal'!$C$12:$C$60,'Udvaskning nøgletal'!$F$12:$F$60)+Markniveau!Y1008*Markniveau!S1008/100,IF(X1008=3,LOOKUP(K1008,'Udvaskning nøgletal'!$C$12:$C$60,'Udvaskning nøgletal'!G1018:G1066)+Markniveau!Y1008*Markniveau!S1008/100,"")))</f>
        <v>10</v>
      </c>
      <c r="AA1008" s="10">
        <f t="shared" si="156"/>
        <v>11</v>
      </c>
      <c r="AB1008" s="10">
        <f t="shared" si="155"/>
        <v>0.5</v>
      </c>
      <c r="AC1008" s="10">
        <f t="shared" si="157"/>
        <v>0.55000000000000004</v>
      </c>
      <c r="AD1008" s="10">
        <f>IF(AND(Q1008&gt;0,Q1008&lt;30,K1008&lt;8),Markniveau!Z1008*'Udvaskning nøgletal'!$I$12/100,IF(AND(Q1008&gt;0,Q1008&lt;30,K1008=216),Markniveau!Z1008*'Udvaskning nøgletal'!$I$34/100,Markniveau!Z1008))</f>
        <v>10</v>
      </c>
      <c r="AE1008" s="10">
        <f t="shared" si="163"/>
        <v>11</v>
      </c>
      <c r="AF1008" s="10">
        <f t="shared" si="158"/>
        <v>0.5</v>
      </c>
      <c r="AG1008" s="10">
        <f t="shared" si="164"/>
        <v>0.55000000000000004</v>
      </c>
      <c r="AH1008" s="10" t="str">
        <f>IF(AND(Q1008&gt;0,Q1008&lt;30,K1008=216),'Udvaskning nøgletal'!$C$42,IF(AND(Q1008&gt;0,Q1008&lt;30,K1008&gt;7,K1008&lt;17),'Udvaskning nøgletal'!$C$61,IF(AND(Q1008&gt;0,Q1008&lt;30,K1008&lt;7),'Udvaskning nøgletal'!$C$62,"")))</f>
        <v/>
      </c>
      <c r="AI1008" s="10">
        <f t="shared" si="160"/>
        <v>902</v>
      </c>
      <c r="AJ1008" s="10">
        <f>IF($X1008=1,LOOKUP(AI1008,'Udvaskning nøgletal'!$C$12:$C$62,'Udvaskning nøgletal'!$E$12:$E$62)+Markniveau!$Y1008*Markniveau!$S1008/100,IF($X1008=2,LOOKUP(AI1008,'Udvaskning nøgletal'!$C$12:$C$62,'Udvaskning nøgletal'!$F$12:$F$62)+Markniveau!$Y1008*Markniveau!$S1008/100,IF($X1008=3,LOOKUP(AI1008,'Udvaskning nøgletal'!$C$12:$C$62,'Udvaskning nøgletal'!Q1018:Q1068)+Markniveau!$Y1008*Markniveau!$S1008/100,"")))</f>
        <v>10</v>
      </c>
      <c r="AK1008" s="10">
        <f t="shared" si="159"/>
        <v>11</v>
      </c>
      <c r="AL1008" s="10">
        <f t="shared" si="161"/>
        <v>0.5</v>
      </c>
      <c r="AM1008" s="10">
        <f t="shared" si="162"/>
        <v>0.55000000000000004</v>
      </c>
    </row>
    <row r="1009" spans="1:39" x14ac:dyDescent="0.25">
      <c r="A1009" s="15">
        <v>30840305</v>
      </c>
      <c r="B1009" s="15">
        <v>7.73</v>
      </c>
      <c r="C1009" s="15">
        <v>563801</v>
      </c>
      <c r="D1009" s="15">
        <v>146400</v>
      </c>
      <c r="E1009" s="15" t="s">
        <v>800</v>
      </c>
      <c r="F1009" s="15">
        <v>2011</v>
      </c>
      <c r="G1009" s="15">
        <v>20110329</v>
      </c>
      <c r="H1009" s="15">
        <v>5193</v>
      </c>
      <c r="I1009" s="15">
        <v>0.52</v>
      </c>
      <c r="J1009" s="6" t="s">
        <v>31</v>
      </c>
      <c r="K1009" s="15">
        <v>11</v>
      </c>
      <c r="L1009" s="15" t="s">
        <v>102</v>
      </c>
      <c r="M1009" s="15" t="s">
        <v>5</v>
      </c>
      <c r="N1009" s="11" t="s">
        <v>1406</v>
      </c>
      <c r="O1009" s="11" t="s">
        <v>46</v>
      </c>
      <c r="P1009" s="11" t="s">
        <v>29</v>
      </c>
      <c r="Q1009" s="15">
        <v>95</v>
      </c>
      <c r="R1009" s="11" t="s">
        <v>3</v>
      </c>
      <c r="S1009" s="10">
        <v>0</v>
      </c>
      <c r="T1009" s="15">
        <v>80</v>
      </c>
      <c r="U1009" s="15">
        <v>0</v>
      </c>
      <c r="V1009" s="15">
        <v>0</v>
      </c>
      <c r="W1009" s="15">
        <v>0</v>
      </c>
      <c r="X1009" s="15">
        <f>IF(O1009='Udvaskning nøgletal'!$D$65,1,IF(O1009='Udvaskning nøgletal'!$D$66,2,IF(O1009='Udvaskning nøgletal'!$D$67,3,IF(O1009='Udvaskning nøgletal'!$D$68,2,""))))</f>
        <v>2</v>
      </c>
      <c r="Y1009" s="15">
        <f>LOOKUP(K1009,'Udvaskning nøgletal'!$C$12:$C$60,'Udvaskning nøgletal'!$H$12:$H$60)</f>
        <v>5</v>
      </c>
      <c r="Z1009" s="10">
        <f>IF(X1009=1,LOOKUP(K1009,'Udvaskning nøgletal'!$C$12:$C$60,'Udvaskning nøgletal'!$E$12:$E$60)+Markniveau!Y1009*Markniveau!S1009/100,IF(X1009=2,LOOKUP(K1009,'Udvaskning nøgletal'!$C$12:$C$60,'Udvaskning nøgletal'!$F$12:$F$60)+Markniveau!Y1009*Markniveau!S1009/100,IF(X1009=3,LOOKUP(K1009,'Udvaskning nøgletal'!$C$12:$C$60,'Udvaskning nøgletal'!G1019:G1067)+Markniveau!Y1009*Markniveau!S1009/100,"")))</f>
        <v>50.88</v>
      </c>
      <c r="AA1009" s="10">
        <f t="shared" si="156"/>
        <v>26.457600000000003</v>
      </c>
      <c r="AB1009" s="10">
        <f t="shared" si="155"/>
        <v>2.544</v>
      </c>
      <c r="AC1009" s="10">
        <f t="shared" si="157"/>
        <v>1.3228800000000001</v>
      </c>
      <c r="AD1009" s="10">
        <f>IF(AND(Q1009&gt;0,Q1009&lt;30,K1009&lt;8),Markniveau!Z1009*'Udvaskning nøgletal'!$I$12/100,IF(AND(Q1009&gt;0,Q1009&lt;30,K1009=216),Markniveau!Z1009*'Udvaskning nøgletal'!$I$34/100,Markniveau!Z1009))</f>
        <v>50.88</v>
      </c>
      <c r="AE1009" s="10">
        <f t="shared" si="163"/>
        <v>26.457600000000003</v>
      </c>
      <c r="AF1009" s="10">
        <f t="shared" si="158"/>
        <v>2.544</v>
      </c>
      <c r="AG1009" s="10">
        <f t="shared" si="164"/>
        <v>1.3228800000000001</v>
      </c>
      <c r="AH1009" s="10" t="str">
        <f>IF(AND(Q1009&gt;0,Q1009&lt;30,K1009=216),'Udvaskning nøgletal'!$C$42,IF(AND(Q1009&gt;0,Q1009&lt;30,K1009&gt;7,K1009&lt;17),'Udvaskning nøgletal'!$C$61,IF(AND(Q1009&gt;0,Q1009&lt;30,K1009&lt;7),'Udvaskning nøgletal'!$C$62,"")))</f>
        <v/>
      </c>
      <c r="AI1009" s="10">
        <f t="shared" si="160"/>
        <v>11</v>
      </c>
      <c r="AJ1009" s="10">
        <f>IF($X1009=1,LOOKUP(AI1009,'Udvaskning nøgletal'!$C$12:$C$62,'Udvaskning nøgletal'!$E$12:$E$62)+Markniveau!$Y1009*Markniveau!$S1009/100,IF($X1009=2,LOOKUP(AI1009,'Udvaskning nøgletal'!$C$12:$C$62,'Udvaskning nøgletal'!$F$12:$F$62)+Markniveau!$Y1009*Markniveau!$S1009/100,IF($X1009=3,LOOKUP(AI1009,'Udvaskning nøgletal'!$C$12:$C$62,'Udvaskning nøgletal'!Q1019:Q1069)+Markniveau!$Y1009*Markniveau!$S1009/100,"")))</f>
        <v>50.88</v>
      </c>
      <c r="AK1009" s="10">
        <f t="shared" si="159"/>
        <v>26.457600000000003</v>
      </c>
      <c r="AL1009" s="10">
        <f t="shared" si="161"/>
        <v>2.544</v>
      </c>
      <c r="AM1009" s="10">
        <f t="shared" si="162"/>
        <v>1.3228800000000001</v>
      </c>
    </row>
    <row r="1010" spans="1:39" x14ac:dyDescent="0.25">
      <c r="A1010" s="15">
        <v>30840305</v>
      </c>
      <c r="B1010" s="15">
        <v>7.73</v>
      </c>
      <c r="C1010" s="15">
        <v>563802</v>
      </c>
      <c r="D1010" s="15">
        <v>146400</v>
      </c>
      <c r="E1010" s="15" t="s">
        <v>800</v>
      </c>
      <c r="F1010" s="15">
        <v>2011</v>
      </c>
      <c r="G1010" s="15">
        <v>20110329</v>
      </c>
      <c r="H1010" s="15">
        <v>5558</v>
      </c>
      <c r="I1010" s="15">
        <v>0.56000000000000005</v>
      </c>
      <c r="J1010" s="6" t="s">
        <v>38</v>
      </c>
      <c r="K1010" s="15">
        <v>254</v>
      </c>
      <c r="L1010" s="15" t="s">
        <v>27</v>
      </c>
      <c r="M1010" s="15" t="s">
        <v>4</v>
      </c>
      <c r="N1010" s="11" t="s">
        <v>1406</v>
      </c>
      <c r="O1010" s="11" t="s">
        <v>46</v>
      </c>
      <c r="P1010" s="11" t="s">
        <v>29</v>
      </c>
      <c r="Q1010" s="15">
        <v>95</v>
      </c>
      <c r="R1010" s="11" t="s">
        <v>3</v>
      </c>
      <c r="S1010" s="10">
        <v>0</v>
      </c>
      <c r="T1010" s="15">
        <v>80</v>
      </c>
      <c r="U1010" s="15">
        <v>0</v>
      </c>
      <c r="V1010" s="15">
        <v>0</v>
      </c>
      <c r="W1010" s="15">
        <v>0</v>
      </c>
      <c r="X1010" s="15">
        <f>IF(O1010='Udvaskning nøgletal'!$D$65,1,IF(O1010='Udvaskning nøgletal'!$D$66,2,IF(O1010='Udvaskning nøgletal'!$D$67,3,IF(O1010='Udvaskning nøgletal'!$D$68,2,""))))</f>
        <v>2</v>
      </c>
      <c r="Y1010" s="15">
        <f>LOOKUP(K1010,'Udvaskning nøgletal'!$C$12:$C$60,'Udvaskning nøgletal'!$H$12:$H$60)</f>
        <v>0</v>
      </c>
      <c r="Z1010" s="10">
        <f>IF(X1010=1,LOOKUP(K1010,'Udvaskning nøgletal'!$C$12:$C$60,'Udvaskning nøgletal'!$E$12:$E$60)+Markniveau!Y1010*Markniveau!S1010/100,IF(X1010=2,LOOKUP(K1010,'Udvaskning nøgletal'!$C$12:$C$60,'Udvaskning nøgletal'!$F$12:$F$60)+Markniveau!Y1010*Markniveau!S1010/100,IF(X1010=3,LOOKUP(K1010,'Udvaskning nøgletal'!$C$12:$C$60,'Udvaskning nøgletal'!G1020:G1068)+Markniveau!Y1010*Markniveau!S1010/100,"")))</f>
        <v>21.2</v>
      </c>
      <c r="AA1010" s="10">
        <f t="shared" si="156"/>
        <v>11.872</v>
      </c>
      <c r="AB1010" s="10">
        <f t="shared" si="155"/>
        <v>1.06</v>
      </c>
      <c r="AC1010" s="10">
        <f t="shared" si="157"/>
        <v>0.59360000000000013</v>
      </c>
      <c r="AD1010" s="10">
        <f>IF(AND(Q1010&gt;0,Q1010&lt;30,K1010&lt;8),Markniveau!Z1010*'Udvaskning nøgletal'!$I$12/100,IF(AND(Q1010&gt;0,Q1010&lt;30,K1010=216),Markniveau!Z1010*'Udvaskning nøgletal'!$I$34/100,Markniveau!Z1010))</f>
        <v>21.2</v>
      </c>
      <c r="AE1010" s="10">
        <f t="shared" si="163"/>
        <v>11.872</v>
      </c>
      <c r="AF1010" s="10">
        <f t="shared" si="158"/>
        <v>1.06</v>
      </c>
      <c r="AG1010" s="10">
        <f t="shared" si="164"/>
        <v>0.59360000000000013</v>
      </c>
      <c r="AH1010" s="10" t="str">
        <f>IF(AND(Q1010&gt;0,Q1010&lt;30,K1010=216),'Udvaskning nøgletal'!$C$42,IF(AND(Q1010&gt;0,Q1010&lt;30,K1010&gt;7,K1010&lt;17),'Udvaskning nøgletal'!$C$61,IF(AND(Q1010&gt;0,Q1010&lt;30,K1010&lt;7),'Udvaskning nøgletal'!$C$62,"")))</f>
        <v/>
      </c>
      <c r="AI1010" s="10">
        <f t="shared" si="160"/>
        <v>254</v>
      </c>
      <c r="AJ1010" s="10">
        <f>IF($X1010=1,LOOKUP(AI1010,'Udvaskning nøgletal'!$C$12:$C$62,'Udvaskning nøgletal'!$E$12:$E$62)+Markniveau!$Y1010*Markniveau!$S1010/100,IF($X1010=2,LOOKUP(AI1010,'Udvaskning nøgletal'!$C$12:$C$62,'Udvaskning nøgletal'!$F$12:$F$62)+Markniveau!$Y1010*Markniveau!$S1010/100,IF($X1010=3,LOOKUP(AI1010,'Udvaskning nøgletal'!$C$12:$C$62,'Udvaskning nøgletal'!Q1020:Q1070)+Markniveau!$Y1010*Markniveau!$S1010/100,"")))</f>
        <v>21.2</v>
      </c>
      <c r="AK1010" s="10">
        <f t="shared" si="159"/>
        <v>11.872</v>
      </c>
      <c r="AL1010" s="10">
        <f t="shared" si="161"/>
        <v>1.06</v>
      </c>
      <c r="AM1010" s="10">
        <f t="shared" si="162"/>
        <v>0.59360000000000013</v>
      </c>
    </row>
    <row r="1011" spans="1:39" x14ac:dyDescent="0.25">
      <c r="A1011" s="15">
        <v>30941500</v>
      </c>
      <c r="B1011" s="15">
        <v>2.83</v>
      </c>
      <c r="C1011" s="15">
        <v>307731</v>
      </c>
      <c r="D1011" s="15">
        <v>146862</v>
      </c>
      <c r="E1011" s="15" t="s">
        <v>803</v>
      </c>
      <c r="F1011" s="15">
        <v>2011</v>
      </c>
      <c r="G1011" s="15">
        <v>20110113</v>
      </c>
      <c r="H1011" s="15">
        <v>9740</v>
      </c>
      <c r="I1011" s="15">
        <v>0.97</v>
      </c>
      <c r="J1011" s="6" t="s">
        <v>1407</v>
      </c>
      <c r="K1011" s="15">
        <v>263</v>
      </c>
      <c r="L1011" s="15" t="s">
        <v>39</v>
      </c>
      <c r="M1011" s="15" t="s">
        <v>5</v>
      </c>
      <c r="N1011" s="11" t="s">
        <v>1406</v>
      </c>
      <c r="O1011" s="11" t="s">
        <v>46</v>
      </c>
      <c r="P1011" s="11" t="s">
        <v>29</v>
      </c>
      <c r="Q1011" s="15">
        <v>25</v>
      </c>
      <c r="R1011" s="11" t="s">
        <v>7</v>
      </c>
      <c r="S1011" s="10">
        <v>78.186440677966004</v>
      </c>
      <c r="T1011" s="15">
        <v>80</v>
      </c>
      <c r="U1011" s="15">
        <v>0</v>
      </c>
      <c r="V1011" s="15">
        <v>0</v>
      </c>
      <c r="W1011" s="15">
        <v>0</v>
      </c>
      <c r="X1011" s="15">
        <f>IF(O1011='Udvaskning nøgletal'!$D$65,1,IF(O1011='Udvaskning nøgletal'!$D$66,2,IF(O1011='Udvaskning nøgletal'!$D$67,3,IF(O1011='Udvaskning nøgletal'!$D$68,2,""))))</f>
        <v>2</v>
      </c>
      <c r="Y1011" s="15">
        <f>LOOKUP(K1011,'Udvaskning nøgletal'!$C$12:$C$60,'Udvaskning nøgletal'!$H$12:$H$60)</f>
        <v>0</v>
      </c>
      <c r="Z1011" s="10">
        <f>IF(X1011=1,LOOKUP(K1011,'Udvaskning nøgletal'!$C$12:$C$60,'Udvaskning nøgletal'!$E$12:$E$60)+Markniveau!Y1011*Markniveau!S1011/100,IF(X1011=2,LOOKUP(K1011,'Udvaskning nøgletal'!$C$12:$C$60,'Udvaskning nøgletal'!$F$12:$F$60)+Markniveau!Y1011*Markniveau!S1011/100,IF(X1011=3,LOOKUP(K1011,'Udvaskning nøgletal'!$C$12:$C$60,'Udvaskning nøgletal'!G1021:G1069)+Markniveau!Y1011*Markniveau!S1011/100,"")))</f>
        <v>27.331185321443094</v>
      </c>
      <c r="AA1011" s="10">
        <f t="shared" si="156"/>
        <v>26.5112497617998</v>
      </c>
      <c r="AB1011" s="10">
        <f t="shared" si="155"/>
        <v>20.498388991082319</v>
      </c>
      <c r="AC1011" s="10">
        <f t="shared" si="157"/>
        <v>19.883437321349849</v>
      </c>
      <c r="AD1011" s="10">
        <f>IF(AND(Q1011&gt;0,Q1011&lt;30,K1011&lt;8),Markniveau!Z1011*'Udvaskning nøgletal'!$I$12/100,IF(AND(Q1011&gt;0,Q1011&lt;30,K1011=216),Markniveau!Z1011*'Udvaskning nøgletal'!$I$34/100,Markniveau!Z1011))</f>
        <v>27.331185321443094</v>
      </c>
      <c r="AE1011" s="10">
        <f t="shared" si="163"/>
        <v>26.5112497617998</v>
      </c>
      <c r="AF1011" s="10">
        <f t="shared" si="158"/>
        <v>20.498388991082319</v>
      </c>
      <c r="AG1011" s="10">
        <f t="shared" si="164"/>
        <v>19.883437321349849</v>
      </c>
      <c r="AH1011" s="10" t="str">
        <f>IF(AND(Q1011&gt;0,Q1011&lt;30,K1011=216),'Udvaskning nøgletal'!$C$42,IF(AND(Q1011&gt;0,Q1011&lt;30,K1011&gt;7,K1011&lt;17),'Udvaskning nøgletal'!$C$61,IF(AND(Q1011&gt;0,Q1011&lt;30,K1011&lt;7),'Udvaskning nøgletal'!$C$62,"")))</f>
        <v/>
      </c>
      <c r="AI1011" s="10">
        <f t="shared" si="160"/>
        <v>263</v>
      </c>
      <c r="AJ1011" s="10">
        <f>IF($X1011=1,LOOKUP(AI1011,'Udvaskning nøgletal'!$C$12:$C$62,'Udvaskning nøgletal'!$E$12:$E$62)+Markniveau!$Y1011*Markniveau!$S1011/100,IF($X1011=2,LOOKUP(AI1011,'Udvaskning nøgletal'!$C$12:$C$62,'Udvaskning nøgletal'!$F$12:$F$62)+Markniveau!$Y1011*Markniveau!$S1011/100,IF($X1011=3,LOOKUP(AI1011,'Udvaskning nøgletal'!$C$12:$C$62,'Udvaskning nøgletal'!Q1021:Q1071)+Markniveau!$Y1011*Markniveau!$S1011/100,"")))</f>
        <v>27.331185321443094</v>
      </c>
      <c r="AK1011" s="10">
        <f t="shared" si="159"/>
        <v>26.5112497617998</v>
      </c>
      <c r="AL1011" s="10">
        <f t="shared" si="161"/>
        <v>20.498388991082319</v>
      </c>
      <c r="AM1011" s="10">
        <f t="shared" si="162"/>
        <v>19.883437321349849</v>
      </c>
    </row>
    <row r="1012" spans="1:39" x14ac:dyDescent="0.25">
      <c r="A1012" s="15">
        <v>30941500</v>
      </c>
      <c r="B1012" s="15">
        <v>2.83</v>
      </c>
      <c r="C1012" s="15">
        <v>540234</v>
      </c>
      <c r="D1012" s="15">
        <v>146862</v>
      </c>
      <c r="E1012" s="15" t="s">
        <v>804</v>
      </c>
      <c r="F1012" s="15">
        <v>2011</v>
      </c>
      <c r="G1012" s="15">
        <v>20110317</v>
      </c>
      <c r="H1012" s="15">
        <v>815</v>
      </c>
      <c r="I1012" s="15">
        <v>0.08</v>
      </c>
      <c r="J1012" s="6" t="s">
        <v>31</v>
      </c>
      <c r="K1012" s="15">
        <v>250</v>
      </c>
      <c r="L1012" s="15" t="s">
        <v>626</v>
      </c>
      <c r="M1012" s="15" t="s">
        <v>4</v>
      </c>
      <c r="N1012" s="11" t="s">
        <v>1390</v>
      </c>
      <c r="O1012" s="11" t="s">
        <v>42</v>
      </c>
      <c r="P1012" s="11" t="s">
        <v>29</v>
      </c>
      <c r="Q1012" s="15">
        <v>25</v>
      </c>
      <c r="R1012" s="11" t="s">
        <v>7</v>
      </c>
      <c r="S1012" s="10">
        <v>78.186440677966004</v>
      </c>
      <c r="T1012" s="15">
        <v>80</v>
      </c>
      <c r="U1012" s="15">
        <v>0</v>
      </c>
      <c r="V1012" s="15">
        <v>0</v>
      </c>
      <c r="W1012" s="15">
        <v>0</v>
      </c>
      <c r="X1012" s="15">
        <f>IF(O1012='Udvaskning nøgletal'!$D$65,1,IF(O1012='Udvaskning nøgletal'!$D$66,2,IF(O1012='Udvaskning nøgletal'!$D$67,3,IF(O1012='Udvaskning nøgletal'!$D$68,2,""))))</f>
        <v>2</v>
      </c>
      <c r="Y1012" s="15">
        <f>LOOKUP(K1012,'Udvaskning nøgletal'!$C$12:$C$60,'Udvaskning nøgletal'!$H$12:$H$60)</f>
        <v>0</v>
      </c>
      <c r="Z1012" s="10">
        <f>IF(X1012=1,LOOKUP(K1012,'Udvaskning nøgletal'!$C$12:$C$60,'Udvaskning nøgletal'!$E$12:$E$60)+Markniveau!Y1012*Markniveau!S1012/100,IF(X1012=2,LOOKUP(K1012,'Udvaskning nøgletal'!$C$12:$C$60,'Udvaskning nøgletal'!$F$12:$F$60)+Markniveau!Y1012*Markniveau!S1012/100,IF(X1012=3,LOOKUP(K1012,'Udvaskning nøgletal'!$C$12:$C$60,'Udvaskning nøgletal'!G1022:G1070)+Markniveau!Y1012*Markniveau!S1012/100,"")))</f>
        <v>21.2</v>
      </c>
      <c r="AA1012" s="10">
        <f t="shared" si="156"/>
        <v>1.696</v>
      </c>
      <c r="AB1012" s="10">
        <f t="shared" si="155"/>
        <v>15.9</v>
      </c>
      <c r="AC1012" s="10">
        <f t="shared" si="157"/>
        <v>1.272</v>
      </c>
      <c r="AD1012" s="10">
        <f>IF(AND(Q1012&gt;0,Q1012&lt;30,K1012&lt;8),Markniveau!Z1012*'Udvaskning nøgletal'!$I$12/100,IF(AND(Q1012&gt;0,Q1012&lt;30,K1012=216),Markniveau!Z1012*'Udvaskning nøgletal'!$I$34/100,Markniveau!Z1012))</f>
        <v>21.2</v>
      </c>
      <c r="AE1012" s="10">
        <f t="shared" si="163"/>
        <v>1.696</v>
      </c>
      <c r="AF1012" s="10">
        <f t="shared" si="158"/>
        <v>15.9</v>
      </c>
      <c r="AG1012" s="10">
        <f t="shared" si="164"/>
        <v>1.272</v>
      </c>
      <c r="AH1012" s="10" t="str">
        <f>IF(AND(Q1012&gt;0,Q1012&lt;30,K1012=216),'Udvaskning nøgletal'!$C$42,IF(AND(Q1012&gt;0,Q1012&lt;30,K1012&gt;7,K1012&lt;17),'Udvaskning nøgletal'!$C$61,IF(AND(Q1012&gt;0,Q1012&lt;30,K1012&lt;7),'Udvaskning nøgletal'!$C$62,"")))</f>
        <v/>
      </c>
      <c r="AI1012" s="10">
        <f t="shared" si="160"/>
        <v>250</v>
      </c>
      <c r="AJ1012" s="10">
        <f>IF($X1012=1,LOOKUP(AI1012,'Udvaskning nøgletal'!$C$12:$C$62,'Udvaskning nøgletal'!$E$12:$E$62)+Markniveau!$Y1012*Markniveau!$S1012/100,IF($X1012=2,LOOKUP(AI1012,'Udvaskning nøgletal'!$C$12:$C$62,'Udvaskning nøgletal'!$F$12:$F$62)+Markniveau!$Y1012*Markniveau!$S1012/100,IF($X1012=3,LOOKUP(AI1012,'Udvaskning nøgletal'!$C$12:$C$62,'Udvaskning nøgletal'!Q1022:Q1072)+Markniveau!$Y1012*Markniveau!$S1012/100,"")))</f>
        <v>21.2</v>
      </c>
      <c r="AK1012" s="10">
        <f t="shared" si="159"/>
        <v>1.696</v>
      </c>
      <c r="AL1012" s="10">
        <f t="shared" si="161"/>
        <v>15.9</v>
      </c>
      <c r="AM1012" s="10">
        <f t="shared" si="162"/>
        <v>1.272</v>
      </c>
    </row>
    <row r="1013" spans="1:39" x14ac:dyDescent="0.25">
      <c r="A1013" s="15">
        <v>30941500</v>
      </c>
      <c r="B1013" s="15">
        <v>2.83</v>
      </c>
      <c r="C1013" s="15">
        <v>581775</v>
      </c>
      <c r="D1013" s="15">
        <v>146862</v>
      </c>
      <c r="E1013" s="15" t="s">
        <v>804</v>
      </c>
      <c r="F1013" s="15">
        <v>2011</v>
      </c>
      <c r="G1013" s="15">
        <v>20110317</v>
      </c>
      <c r="H1013" s="15">
        <v>3909</v>
      </c>
      <c r="I1013" s="15">
        <v>0.39</v>
      </c>
      <c r="J1013" s="6" t="s">
        <v>34</v>
      </c>
      <c r="K1013" s="15">
        <v>250</v>
      </c>
      <c r="L1013" s="15" t="s">
        <v>626</v>
      </c>
      <c r="M1013" s="15" t="s">
        <v>4</v>
      </c>
      <c r="N1013" s="11" t="s">
        <v>1406</v>
      </c>
      <c r="O1013" s="11" t="s">
        <v>46</v>
      </c>
      <c r="P1013" s="11" t="s">
        <v>29</v>
      </c>
      <c r="Q1013" s="15">
        <v>25</v>
      </c>
      <c r="R1013" s="11" t="s">
        <v>7</v>
      </c>
      <c r="S1013" s="10">
        <v>78.186440677966004</v>
      </c>
      <c r="T1013" s="15">
        <v>80</v>
      </c>
      <c r="U1013" s="15">
        <v>0</v>
      </c>
      <c r="V1013" s="15">
        <v>0</v>
      </c>
      <c r="W1013" s="15">
        <v>0</v>
      </c>
      <c r="X1013" s="15">
        <f>IF(O1013='Udvaskning nøgletal'!$D$65,1,IF(O1013='Udvaskning nøgletal'!$D$66,2,IF(O1013='Udvaskning nøgletal'!$D$67,3,IF(O1013='Udvaskning nøgletal'!$D$68,2,""))))</f>
        <v>2</v>
      </c>
      <c r="Y1013" s="15">
        <f>LOOKUP(K1013,'Udvaskning nøgletal'!$C$12:$C$60,'Udvaskning nøgletal'!$H$12:$H$60)</f>
        <v>0</v>
      </c>
      <c r="Z1013" s="10">
        <f>IF(X1013=1,LOOKUP(K1013,'Udvaskning nøgletal'!$C$12:$C$60,'Udvaskning nøgletal'!$E$12:$E$60)+Markniveau!Y1013*Markniveau!S1013/100,IF(X1013=2,LOOKUP(K1013,'Udvaskning nøgletal'!$C$12:$C$60,'Udvaskning nøgletal'!$F$12:$F$60)+Markniveau!Y1013*Markniveau!S1013/100,IF(X1013=3,LOOKUP(K1013,'Udvaskning nøgletal'!$C$12:$C$60,'Udvaskning nøgletal'!G1023:G1071)+Markniveau!Y1013*Markniveau!S1013/100,"")))</f>
        <v>21.2</v>
      </c>
      <c r="AA1013" s="10">
        <f t="shared" si="156"/>
        <v>8.2680000000000007</v>
      </c>
      <c r="AB1013" s="10">
        <f t="shared" si="155"/>
        <v>15.9</v>
      </c>
      <c r="AC1013" s="10">
        <f t="shared" si="157"/>
        <v>6.2010000000000005</v>
      </c>
      <c r="AD1013" s="10">
        <f>IF(AND(Q1013&gt;0,Q1013&lt;30,K1013&lt;8),Markniveau!Z1013*'Udvaskning nøgletal'!$I$12/100,IF(AND(Q1013&gt;0,Q1013&lt;30,K1013=216),Markniveau!Z1013*'Udvaskning nøgletal'!$I$34/100,Markniveau!Z1013))</f>
        <v>21.2</v>
      </c>
      <c r="AE1013" s="10">
        <f t="shared" si="163"/>
        <v>8.2680000000000007</v>
      </c>
      <c r="AF1013" s="10">
        <f t="shared" si="158"/>
        <v>15.9</v>
      </c>
      <c r="AG1013" s="10">
        <f t="shared" si="164"/>
        <v>6.2010000000000005</v>
      </c>
      <c r="AH1013" s="10" t="str">
        <f>IF(AND(Q1013&gt;0,Q1013&lt;30,K1013=216),'Udvaskning nøgletal'!$C$42,IF(AND(Q1013&gt;0,Q1013&lt;30,K1013&gt;7,K1013&lt;17),'Udvaskning nøgletal'!$C$61,IF(AND(Q1013&gt;0,Q1013&lt;30,K1013&lt;7),'Udvaskning nøgletal'!$C$62,"")))</f>
        <v/>
      </c>
      <c r="AI1013" s="10">
        <f t="shared" si="160"/>
        <v>250</v>
      </c>
      <c r="AJ1013" s="10">
        <f>IF($X1013=1,LOOKUP(AI1013,'Udvaskning nøgletal'!$C$12:$C$62,'Udvaskning nøgletal'!$E$12:$E$62)+Markniveau!$Y1013*Markniveau!$S1013/100,IF($X1013=2,LOOKUP(AI1013,'Udvaskning nøgletal'!$C$12:$C$62,'Udvaskning nøgletal'!$F$12:$F$62)+Markniveau!$Y1013*Markniveau!$S1013/100,IF($X1013=3,LOOKUP(AI1013,'Udvaskning nøgletal'!$C$12:$C$62,'Udvaskning nøgletal'!Q1023:Q1073)+Markniveau!$Y1013*Markniveau!$S1013/100,"")))</f>
        <v>21.2</v>
      </c>
      <c r="AK1013" s="10">
        <f t="shared" si="159"/>
        <v>8.2680000000000007</v>
      </c>
      <c r="AL1013" s="10">
        <f t="shared" si="161"/>
        <v>15.9</v>
      </c>
      <c r="AM1013" s="10">
        <f t="shared" si="162"/>
        <v>6.2010000000000005</v>
      </c>
    </row>
    <row r="1014" spans="1:39" x14ac:dyDescent="0.25">
      <c r="A1014" s="15">
        <v>30941500</v>
      </c>
      <c r="B1014" s="15">
        <v>2.83</v>
      </c>
      <c r="C1014" s="15">
        <v>306559</v>
      </c>
      <c r="D1014" s="15">
        <v>146862</v>
      </c>
      <c r="E1014" s="15" t="s">
        <v>803</v>
      </c>
      <c r="F1014" s="15">
        <v>2011</v>
      </c>
      <c r="G1014" s="15">
        <v>20110113</v>
      </c>
      <c r="H1014" s="15">
        <v>5016</v>
      </c>
      <c r="I1014" s="15">
        <v>0.5</v>
      </c>
      <c r="J1014" s="6" t="s">
        <v>1402</v>
      </c>
      <c r="K1014" s="15">
        <v>263</v>
      </c>
      <c r="L1014" s="15" t="s">
        <v>39</v>
      </c>
      <c r="M1014" s="15" t="s">
        <v>5</v>
      </c>
      <c r="N1014" s="11" t="s">
        <v>1406</v>
      </c>
      <c r="O1014" s="11" t="s">
        <v>46</v>
      </c>
      <c r="P1014" s="11" t="s">
        <v>29</v>
      </c>
      <c r="Q1014" s="15">
        <v>1</v>
      </c>
      <c r="R1014" s="11" t="s">
        <v>11</v>
      </c>
      <c r="S1014" s="10">
        <v>78.186440677966004</v>
      </c>
      <c r="T1014" s="15">
        <v>80</v>
      </c>
      <c r="U1014" s="15">
        <v>0</v>
      </c>
      <c r="V1014" s="15">
        <v>0</v>
      </c>
      <c r="W1014" s="15">
        <v>0</v>
      </c>
      <c r="X1014" s="15">
        <f>IF(O1014='Udvaskning nøgletal'!$D$65,1,IF(O1014='Udvaskning nøgletal'!$D$66,2,IF(O1014='Udvaskning nøgletal'!$D$67,3,IF(O1014='Udvaskning nøgletal'!$D$68,2,""))))</f>
        <v>2</v>
      </c>
      <c r="Y1014" s="15">
        <f>LOOKUP(K1014,'Udvaskning nøgletal'!$C$12:$C$60,'Udvaskning nøgletal'!$H$12:$H$60)</f>
        <v>0</v>
      </c>
      <c r="Z1014" s="10">
        <f>IF(X1014=1,LOOKUP(K1014,'Udvaskning nøgletal'!$C$12:$C$60,'Udvaskning nøgletal'!$E$12:$E$60)+Markniveau!Y1014*Markniveau!S1014/100,IF(X1014=2,LOOKUP(K1014,'Udvaskning nøgletal'!$C$12:$C$60,'Udvaskning nøgletal'!$F$12:$F$60)+Markniveau!Y1014*Markniveau!S1014/100,IF(X1014=3,LOOKUP(K1014,'Udvaskning nøgletal'!$C$12:$C$60,'Udvaskning nøgletal'!G1024:G1072)+Markniveau!Y1014*Markniveau!S1014/100,"")))</f>
        <v>27.331185321443094</v>
      </c>
      <c r="AA1014" s="10">
        <f t="shared" si="156"/>
        <v>13.665592660721547</v>
      </c>
      <c r="AB1014" s="10">
        <f t="shared" si="155"/>
        <v>27.057873468228664</v>
      </c>
      <c r="AC1014" s="10">
        <f t="shared" si="157"/>
        <v>13.528936734114332</v>
      </c>
      <c r="AD1014" s="10">
        <f>IF(AND(Q1014&gt;0,Q1014&lt;30,K1014&lt;8),Markniveau!Z1014*'Udvaskning nøgletal'!$I$12/100,IF(AND(Q1014&gt;0,Q1014&lt;30,K1014=216),Markniveau!Z1014*'Udvaskning nøgletal'!$I$34/100,Markniveau!Z1014))</f>
        <v>27.331185321443094</v>
      </c>
      <c r="AE1014" s="10">
        <f t="shared" si="163"/>
        <v>13.665592660721547</v>
      </c>
      <c r="AF1014" s="10">
        <f t="shared" si="158"/>
        <v>27.057873468228664</v>
      </c>
      <c r="AG1014" s="10">
        <f t="shared" si="164"/>
        <v>13.528936734114332</v>
      </c>
      <c r="AH1014" s="10" t="str">
        <f>IF(AND(Q1014&gt;0,Q1014&lt;30,K1014=216),'Udvaskning nøgletal'!$C$42,IF(AND(Q1014&gt;0,Q1014&lt;30,K1014&gt;7,K1014&lt;17),'Udvaskning nøgletal'!$C$61,IF(AND(Q1014&gt;0,Q1014&lt;30,K1014&lt;7),'Udvaskning nøgletal'!$C$62,"")))</f>
        <v/>
      </c>
      <c r="AI1014" s="10">
        <f t="shared" si="160"/>
        <v>263</v>
      </c>
      <c r="AJ1014" s="10">
        <f>IF($X1014=1,LOOKUP(AI1014,'Udvaskning nøgletal'!$C$12:$C$62,'Udvaskning nøgletal'!$E$12:$E$62)+Markniveau!$Y1014*Markniveau!$S1014/100,IF($X1014=2,LOOKUP(AI1014,'Udvaskning nøgletal'!$C$12:$C$62,'Udvaskning nøgletal'!$F$12:$F$62)+Markniveau!$Y1014*Markniveau!$S1014/100,IF($X1014=3,LOOKUP(AI1014,'Udvaskning nøgletal'!$C$12:$C$62,'Udvaskning nøgletal'!Q1024:Q1074)+Markniveau!$Y1014*Markniveau!$S1014/100,"")))</f>
        <v>27.331185321443094</v>
      </c>
      <c r="AK1014" s="10">
        <f t="shared" si="159"/>
        <v>13.665592660721547</v>
      </c>
      <c r="AL1014" s="10">
        <f t="shared" si="161"/>
        <v>27.057873468228664</v>
      </c>
      <c r="AM1014" s="10">
        <f t="shared" si="162"/>
        <v>13.528936734114332</v>
      </c>
    </row>
    <row r="1015" spans="1:39" x14ac:dyDescent="0.25">
      <c r="A1015" s="15">
        <v>30941500</v>
      </c>
      <c r="B1015" s="15">
        <v>2.83</v>
      </c>
      <c r="C1015" s="15">
        <v>307730</v>
      </c>
      <c r="D1015" s="15">
        <v>146862</v>
      </c>
      <c r="E1015" s="15" t="s">
        <v>803</v>
      </c>
      <c r="F1015" s="15">
        <v>2011</v>
      </c>
      <c r="G1015" s="15">
        <v>20110113</v>
      </c>
      <c r="H1015" s="15">
        <v>8934</v>
      </c>
      <c r="I1015" s="15">
        <v>0.89</v>
      </c>
      <c r="J1015" s="6" t="s">
        <v>61</v>
      </c>
      <c r="K1015" s="15">
        <v>263</v>
      </c>
      <c r="L1015" s="15" t="s">
        <v>39</v>
      </c>
      <c r="M1015" s="15" t="s">
        <v>5</v>
      </c>
      <c r="N1015" s="11" t="s">
        <v>1406</v>
      </c>
      <c r="O1015" s="11" t="s">
        <v>46</v>
      </c>
      <c r="P1015" s="11" t="s">
        <v>29</v>
      </c>
      <c r="Q1015" s="15">
        <v>25</v>
      </c>
      <c r="R1015" s="11" t="s">
        <v>7</v>
      </c>
      <c r="S1015" s="10">
        <v>78.186440677966004</v>
      </c>
      <c r="T1015" s="15">
        <v>80</v>
      </c>
      <c r="U1015" s="15">
        <v>0</v>
      </c>
      <c r="V1015" s="15">
        <v>0</v>
      </c>
      <c r="W1015" s="15">
        <v>0</v>
      </c>
      <c r="X1015" s="15">
        <f>IF(O1015='Udvaskning nøgletal'!$D$65,1,IF(O1015='Udvaskning nøgletal'!$D$66,2,IF(O1015='Udvaskning nøgletal'!$D$67,3,IF(O1015='Udvaskning nøgletal'!$D$68,2,""))))</f>
        <v>2</v>
      </c>
      <c r="Y1015" s="15">
        <f>LOOKUP(K1015,'Udvaskning nøgletal'!$C$12:$C$60,'Udvaskning nøgletal'!$H$12:$H$60)</f>
        <v>0</v>
      </c>
      <c r="Z1015" s="10">
        <f>IF(X1015=1,LOOKUP(K1015,'Udvaskning nøgletal'!$C$12:$C$60,'Udvaskning nøgletal'!$E$12:$E$60)+Markniveau!Y1015*Markniveau!S1015/100,IF(X1015=2,LOOKUP(K1015,'Udvaskning nøgletal'!$C$12:$C$60,'Udvaskning nøgletal'!$F$12:$F$60)+Markniveau!Y1015*Markniveau!S1015/100,IF(X1015=3,LOOKUP(K1015,'Udvaskning nøgletal'!$C$12:$C$60,'Udvaskning nøgletal'!G1025:G1073)+Markniveau!Y1015*Markniveau!S1015/100,"")))</f>
        <v>27.331185321443094</v>
      </c>
      <c r="AA1015" s="10">
        <f t="shared" si="156"/>
        <v>24.324754936084354</v>
      </c>
      <c r="AB1015" s="10">
        <f t="shared" si="155"/>
        <v>20.498388991082319</v>
      </c>
      <c r="AC1015" s="10">
        <f t="shared" si="157"/>
        <v>18.243566202063263</v>
      </c>
      <c r="AD1015" s="10">
        <f>IF(AND(Q1015&gt;0,Q1015&lt;30,K1015&lt;8),Markniveau!Z1015*'Udvaskning nøgletal'!$I$12/100,IF(AND(Q1015&gt;0,Q1015&lt;30,K1015=216),Markniveau!Z1015*'Udvaskning nøgletal'!$I$34/100,Markniveau!Z1015))</f>
        <v>27.331185321443094</v>
      </c>
      <c r="AE1015" s="10">
        <f t="shared" si="163"/>
        <v>24.324754936084354</v>
      </c>
      <c r="AF1015" s="10">
        <f t="shared" si="158"/>
        <v>20.498388991082319</v>
      </c>
      <c r="AG1015" s="10">
        <f t="shared" si="164"/>
        <v>18.243566202063263</v>
      </c>
      <c r="AH1015" s="10" t="str">
        <f>IF(AND(Q1015&gt;0,Q1015&lt;30,K1015=216),'Udvaskning nøgletal'!$C$42,IF(AND(Q1015&gt;0,Q1015&lt;30,K1015&gt;7,K1015&lt;17),'Udvaskning nøgletal'!$C$61,IF(AND(Q1015&gt;0,Q1015&lt;30,K1015&lt;7),'Udvaskning nøgletal'!$C$62,"")))</f>
        <v/>
      </c>
      <c r="AI1015" s="10">
        <f t="shared" si="160"/>
        <v>263</v>
      </c>
      <c r="AJ1015" s="10">
        <f>IF($X1015=1,LOOKUP(AI1015,'Udvaskning nøgletal'!$C$12:$C$62,'Udvaskning nøgletal'!$E$12:$E$62)+Markniveau!$Y1015*Markniveau!$S1015/100,IF($X1015=2,LOOKUP(AI1015,'Udvaskning nøgletal'!$C$12:$C$62,'Udvaskning nøgletal'!$F$12:$F$62)+Markniveau!$Y1015*Markniveau!$S1015/100,IF($X1015=3,LOOKUP(AI1015,'Udvaskning nøgletal'!$C$12:$C$62,'Udvaskning nøgletal'!Q1025:Q1075)+Markniveau!$Y1015*Markniveau!$S1015/100,"")))</f>
        <v>27.331185321443094</v>
      </c>
      <c r="AK1015" s="10">
        <f t="shared" si="159"/>
        <v>24.324754936084354</v>
      </c>
      <c r="AL1015" s="10">
        <f t="shared" si="161"/>
        <v>20.498388991082319</v>
      </c>
      <c r="AM1015" s="10">
        <f t="shared" si="162"/>
        <v>18.243566202063263</v>
      </c>
    </row>
    <row r="1016" spans="1:39" x14ac:dyDescent="0.25">
      <c r="A1016" s="15">
        <v>31220203</v>
      </c>
      <c r="B1016" s="15">
        <v>0.77</v>
      </c>
      <c r="C1016" s="15">
        <v>90382</v>
      </c>
      <c r="D1016" s="15">
        <v>154138</v>
      </c>
      <c r="E1016" s="15" t="s">
        <v>432</v>
      </c>
      <c r="F1016" s="15">
        <v>2011</v>
      </c>
      <c r="G1016" s="15">
        <v>20110411</v>
      </c>
      <c r="H1016" s="15">
        <v>3925</v>
      </c>
      <c r="I1016" s="15">
        <v>0.39</v>
      </c>
      <c r="J1016" s="6" t="s">
        <v>61</v>
      </c>
      <c r="K1016" s="15">
        <v>260</v>
      </c>
      <c r="L1016" s="15" t="s">
        <v>45</v>
      </c>
      <c r="M1016" s="15" t="s">
        <v>5</v>
      </c>
      <c r="N1016" s="11" t="s">
        <v>1391</v>
      </c>
      <c r="O1016" s="11" t="s">
        <v>46</v>
      </c>
      <c r="P1016" s="11" t="s">
        <v>33</v>
      </c>
      <c r="Q1016" s="15">
        <v>0</v>
      </c>
      <c r="R1016" s="11" t="s">
        <v>1386</v>
      </c>
      <c r="S1016" s="10">
        <v>0</v>
      </c>
      <c r="T1016" s="15">
        <v>80</v>
      </c>
      <c r="U1016" s="15">
        <v>0</v>
      </c>
      <c r="V1016" s="15">
        <v>0</v>
      </c>
      <c r="W1016" s="15">
        <v>0</v>
      </c>
      <c r="X1016" s="15">
        <f>IF(O1016='Udvaskning nøgletal'!$D$65,1,IF(O1016='Udvaskning nøgletal'!$D$66,2,IF(O1016='Udvaskning nøgletal'!$D$67,3,IF(O1016='Udvaskning nøgletal'!$D$68,2,""))))</f>
        <v>2</v>
      </c>
      <c r="Y1016" s="15">
        <f>LOOKUP(K1016,'Udvaskning nøgletal'!$C$12:$C$60,'Udvaskning nøgletal'!$H$12:$H$60)</f>
        <v>0</v>
      </c>
      <c r="Z1016" s="10">
        <f>IF(X1016=1,LOOKUP(K1016,'Udvaskning nøgletal'!$C$12:$C$60,'Udvaskning nøgletal'!$E$12:$E$60)+Markniveau!Y1016*Markniveau!S1016/100,IF(X1016=2,LOOKUP(K1016,'Udvaskning nøgletal'!$C$12:$C$60,'Udvaskning nøgletal'!$F$12:$F$60)+Markniveau!Y1016*Markniveau!S1016/100,IF(X1016=3,LOOKUP(K1016,'Udvaskning nøgletal'!$C$12:$C$60,'Udvaskning nøgletal'!G1026:G1074)+Markniveau!Y1016*Markniveau!S1016/100,"")))</f>
        <v>27.331185321443094</v>
      </c>
      <c r="AA1016" s="10">
        <f t="shared" si="156"/>
        <v>10.659162275362807</v>
      </c>
      <c r="AB1016" s="10" t="str">
        <f t="shared" si="155"/>
        <v/>
      </c>
      <c r="AC1016" s="10" t="str">
        <f t="shared" si="157"/>
        <v/>
      </c>
      <c r="AD1016" s="10">
        <f>IF(AND(Q1016&gt;0,Q1016&lt;30,K1016&lt;8),Markniveau!Z1016*'Udvaskning nøgletal'!$I$12/100,IF(AND(Q1016&gt;0,Q1016&lt;30,K1016=216),Markniveau!Z1016*'Udvaskning nøgletal'!$I$34/100,Markniveau!Z1016))</f>
        <v>27.331185321443094</v>
      </c>
      <c r="AE1016" s="10">
        <f t="shared" si="163"/>
        <v>10.659162275362807</v>
      </c>
      <c r="AF1016" s="10" t="str">
        <f t="shared" si="158"/>
        <v/>
      </c>
      <c r="AG1016" s="10" t="str">
        <f t="shared" si="164"/>
        <v/>
      </c>
      <c r="AH1016" s="10" t="str">
        <f>IF(AND(Q1016&gt;0,Q1016&lt;30,K1016=216),'Udvaskning nøgletal'!$C$42,IF(AND(Q1016&gt;0,Q1016&lt;30,K1016&gt;7,K1016&lt;17),'Udvaskning nøgletal'!$C$61,IF(AND(Q1016&gt;0,Q1016&lt;30,K1016&lt;7),'Udvaskning nøgletal'!$C$62,"")))</f>
        <v/>
      </c>
      <c r="AI1016" s="10">
        <f t="shared" si="160"/>
        <v>260</v>
      </c>
      <c r="AJ1016" s="10">
        <f>IF($X1016=1,LOOKUP(AI1016,'Udvaskning nøgletal'!$C$12:$C$62,'Udvaskning nøgletal'!$E$12:$E$62)+Markniveau!$Y1016*Markniveau!$S1016/100,IF($X1016=2,LOOKUP(AI1016,'Udvaskning nøgletal'!$C$12:$C$62,'Udvaskning nøgletal'!$F$12:$F$62)+Markniveau!$Y1016*Markniveau!$S1016/100,IF($X1016=3,LOOKUP(AI1016,'Udvaskning nøgletal'!$C$12:$C$62,'Udvaskning nøgletal'!Q1026:Q1076)+Markniveau!$Y1016*Markniveau!$S1016/100,"")))</f>
        <v>27.331185321443094</v>
      </c>
      <c r="AK1016" s="10">
        <f t="shared" si="159"/>
        <v>10.659162275362807</v>
      </c>
      <c r="AL1016" s="10" t="str">
        <f t="shared" si="161"/>
        <v/>
      </c>
      <c r="AM1016" s="10" t="str">
        <f t="shared" si="162"/>
        <v/>
      </c>
    </row>
    <row r="1017" spans="1:39" x14ac:dyDescent="0.25">
      <c r="A1017" s="15">
        <v>31220203</v>
      </c>
      <c r="B1017" s="15">
        <v>0.77</v>
      </c>
      <c r="C1017" s="15">
        <v>57556</v>
      </c>
      <c r="D1017" s="15">
        <v>154138</v>
      </c>
      <c r="E1017" s="15" t="s">
        <v>805</v>
      </c>
      <c r="F1017" s="15">
        <v>2011</v>
      </c>
      <c r="G1017" s="15">
        <v>20110411</v>
      </c>
      <c r="H1017" s="15">
        <v>16950</v>
      </c>
      <c r="I1017" s="15">
        <v>1.7</v>
      </c>
      <c r="J1017" s="6" t="s">
        <v>97</v>
      </c>
      <c r="K1017" s="15">
        <v>1</v>
      </c>
      <c r="L1017" s="15" t="s">
        <v>32</v>
      </c>
      <c r="M1017" s="15" t="s">
        <v>5</v>
      </c>
      <c r="N1017" s="11" t="s">
        <v>1391</v>
      </c>
      <c r="O1017" s="11" t="s">
        <v>46</v>
      </c>
      <c r="P1017" s="11" t="s">
        <v>33</v>
      </c>
      <c r="Q1017" s="15">
        <v>0</v>
      </c>
      <c r="R1017" s="11" t="s">
        <v>1386</v>
      </c>
      <c r="S1017" s="10">
        <v>0</v>
      </c>
      <c r="T1017" s="15">
        <v>80</v>
      </c>
      <c r="U1017" s="15">
        <v>0</v>
      </c>
      <c r="V1017" s="15">
        <v>0</v>
      </c>
      <c r="W1017" s="15">
        <v>0</v>
      </c>
      <c r="X1017" s="15">
        <f>IF(O1017='Udvaskning nøgletal'!$D$65,1,IF(O1017='Udvaskning nøgletal'!$D$66,2,IF(O1017='Udvaskning nøgletal'!$D$67,3,IF(O1017='Udvaskning nøgletal'!$D$68,2,""))))</f>
        <v>2</v>
      </c>
      <c r="Y1017" s="15">
        <f>LOOKUP(K1017,'Udvaskning nøgletal'!$C$12:$C$60,'Udvaskning nøgletal'!$H$12:$H$60)</f>
        <v>5</v>
      </c>
      <c r="Z1017" s="10">
        <f>IF(X1017=1,LOOKUP(K1017,'Udvaskning nøgletal'!$C$12:$C$60,'Udvaskning nøgletal'!$E$12:$E$60)+Markniveau!Y1017*Markniveau!S1017/100,IF(X1017=2,LOOKUP(K1017,'Udvaskning nøgletal'!$C$12:$C$60,'Udvaskning nøgletal'!$F$12:$F$60)+Markniveau!Y1017*Markniveau!S1017/100,IF(X1017=3,LOOKUP(K1017,'Udvaskning nøgletal'!$C$12:$C$60,'Udvaskning nøgletal'!G1027:G1075)+Markniveau!Y1017*Markniveau!S1017/100,"")))</f>
        <v>50.88</v>
      </c>
      <c r="AA1017" s="10">
        <f t="shared" si="156"/>
        <v>86.495999999999995</v>
      </c>
      <c r="AB1017" s="10" t="str">
        <f t="shared" si="155"/>
        <v/>
      </c>
      <c r="AC1017" s="10" t="str">
        <f t="shared" si="157"/>
        <v/>
      </c>
      <c r="AD1017" s="10">
        <f>IF(AND(Q1017&gt;0,Q1017&lt;30,K1017&lt;8),Markniveau!Z1017*'Udvaskning nøgletal'!$I$12/100,IF(AND(Q1017&gt;0,Q1017&lt;30,K1017=216),Markniveau!Z1017*'Udvaskning nøgletal'!$I$34/100,Markniveau!Z1017))</f>
        <v>50.88</v>
      </c>
      <c r="AE1017" s="10">
        <f t="shared" si="163"/>
        <v>86.495999999999995</v>
      </c>
      <c r="AF1017" s="10" t="str">
        <f t="shared" si="158"/>
        <v/>
      </c>
      <c r="AG1017" s="10" t="str">
        <f t="shared" si="164"/>
        <v/>
      </c>
      <c r="AH1017" s="10" t="str">
        <f>IF(AND(Q1017&gt;0,Q1017&lt;30,K1017=216),'Udvaskning nøgletal'!$C$42,IF(AND(Q1017&gt;0,Q1017&lt;30,K1017&gt;7,K1017&lt;17),'Udvaskning nøgletal'!$C$61,IF(AND(Q1017&gt;0,Q1017&lt;30,K1017&lt;7),'Udvaskning nøgletal'!$C$62,"")))</f>
        <v/>
      </c>
      <c r="AI1017" s="10">
        <f t="shared" si="160"/>
        <v>1</v>
      </c>
      <c r="AJ1017" s="10">
        <f>IF($X1017=1,LOOKUP(AI1017,'Udvaskning nøgletal'!$C$12:$C$62,'Udvaskning nøgletal'!$E$12:$E$62)+Markniveau!$Y1017*Markniveau!$S1017/100,IF($X1017=2,LOOKUP(AI1017,'Udvaskning nøgletal'!$C$12:$C$62,'Udvaskning nøgletal'!$F$12:$F$62)+Markniveau!$Y1017*Markniveau!$S1017/100,IF($X1017=3,LOOKUP(AI1017,'Udvaskning nøgletal'!$C$12:$C$62,'Udvaskning nøgletal'!Q1027:Q1077)+Markniveau!$Y1017*Markniveau!$S1017/100,"")))</f>
        <v>50.88</v>
      </c>
      <c r="AK1017" s="10">
        <f t="shared" si="159"/>
        <v>86.495999999999995</v>
      </c>
      <c r="AL1017" s="10" t="str">
        <f t="shared" si="161"/>
        <v/>
      </c>
      <c r="AM1017" s="10" t="str">
        <f t="shared" si="162"/>
        <v/>
      </c>
    </row>
    <row r="1018" spans="1:39" x14ac:dyDescent="0.25">
      <c r="A1018" s="15">
        <v>31220203</v>
      </c>
      <c r="B1018" s="15">
        <v>0.77</v>
      </c>
      <c r="C1018" s="15">
        <v>67839</v>
      </c>
      <c r="D1018" s="15">
        <v>154138</v>
      </c>
      <c r="E1018" s="15" t="s">
        <v>185</v>
      </c>
      <c r="F1018" s="15">
        <v>2011</v>
      </c>
      <c r="G1018" s="15">
        <v>20110411</v>
      </c>
      <c r="H1018" s="15">
        <v>7724</v>
      </c>
      <c r="I1018" s="15">
        <v>0.77</v>
      </c>
      <c r="J1018" s="6" t="s">
        <v>37</v>
      </c>
      <c r="K1018" s="15">
        <v>210</v>
      </c>
      <c r="L1018" s="15" t="s">
        <v>262</v>
      </c>
      <c r="M1018" s="15" t="s">
        <v>5</v>
      </c>
      <c r="N1018" s="11" t="s">
        <v>1391</v>
      </c>
      <c r="O1018" s="11" t="s">
        <v>46</v>
      </c>
      <c r="P1018" s="11" t="s">
        <v>29</v>
      </c>
      <c r="Q1018" s="15">
        <v>95</v>
      </c>
      <c r="R1018" s="11" t="s">
        <v>3</v>
      </c>
      <c r="S1018" s="10">
        <v>0</v>
      </c>
      <c r="T1018" s="15">
        <v>80</v>
      </c>
      <c r="U1018" s="15">
        <v>0</v>
      </c>
      <c r="V1018" s="15">
        <v>0</v>
      </c>
      <c r="W1018" s="15">
        <v>0</v>
      </c>
      <c r="X1018" s="15">
        <f>IF(O1018='Udvaskning nøgletal'!$D$65,1,IF(O1018='Udvaskning nøgletal'!$D$66,2,IF(O1018='Udvaskning nøgletal'!$D$67,3,IF(O1018='Udvaskning nøgletal'!$D$68,2,""))))</f>
        <v>2</v>
      </c>
      <c r="Y1018" s="15">
        <f>LOOKUP(K1018,'Udvaskning nøgletal'!$C$12:$C$60,'Udvaskning nøgletal'!$H$12:$H$60)</f>
        <v>0</v>
      </c>
      <c r="Z1018" s="10">
        <f>IF(X1018=1,LOOKUP(K1018,'Udvaskning nøgletal'!$C$12:$C$60,'Udvaskning nøgletal'!$E$12:$E$60)+Markniveau!Y1018*Markniveau!S1018/100,IF(X1018=2,LOOKUP(K1018,'Udvaskning nøgletal'!$C$12:$C$60,'Udvaskning nøgletal'!$F$12:$F$60)+Markniveau!Y1018*Markniveau!S1018/100,IF(X1018=3,LOOKUP(K1018,'Udvaskning nøgletal'!$C$12:$C$60,'Udvaskning nøgletal'!G1028:G1076)+Markniveau!Y1018*Markniveau!S1018/100,"")))</f>
        <v>31.161328188970323</v>
      </c>
      <c r="AA1018" s="10">
        <f t="shared" si="156"/>
        <v>23.994222705507148</v>
      </c>
      <c r="AB1018" s="10">
        <f t="shared" si="155"/>
        <v>1.5580664094485162</v>
      </c>
      <c r="AC1018" s="10">
        <f t="shared" si="157"/>
        <v>1.1997111352753576</v>
      </c>
      <c r="AD1018" s="10">
        <f>IF(AND(Q1018&gt;0,Q1018&lt;30,K1018&lt;8),Markniveau!Z1018*'Udvaskning nøgletal'!$I$12/100,IF(AND(Q1018&gt;0,Q1018&lt;30,K1018=216),Markniveau!Z1018*'Udvaskning nøgletal'!$I$34/100,Markniveau!Z1018))</f>
        <v>31.161328188970323</v>
      </c>
      <c r="AE1018" s="10">
        <f t="shared" si="163"/>
        <v>23.994222705507148</v>
      </c>
      <c r="AF1018" s="10">
        <f t="shared" si="158"/>
        <v>1.5580664094485162</v>
      </c>
      <c r="AG1018" s="10">
        <f t="shared" si="164"/>
        <v>1.1997111352753576</v>
      </c>
      <c r="AH1018" s="10" t="str">
        <f>IF(AND(Q1018&gt;0,Q1018&lt;30,K1018=216),'Udvaskning nøgletal'!$C$42,IF(AND(Q1018&gt;0,Q1018&lt;30,K1018&gt;7,K1018&lt;17),'Udvaskning nøgletal'!$C$61,IF(AND(Q1018&gt;0,Q1018&lt;30,K1018&lt;7),'Udvaskning nøgletal'!$C$62,"")))</f>
        <v/>
      </c>
      <c r="AI1018" s="10">
        <f t="shared" si="160"/>
        <v>210</v>
      </c>
      <c r="AJ1018" s="10">
        <f>IF($X1018=1,LOOKUP(AI1018,'Udvaskning nøgletal'!$C$12:$C$62,'Udvaskning nøgletal'!$E$12:$E$62)+Markniveau!$Y1018*Markniveau!$S1018/100,IF($X1018=2,LOOKUP(AI1018,'Udvaskning nøgletal'!$C$12:$C$62,'Udvaskning nøgletal'!$F$12:$F$62)+Markniveau!$Y1018*Markniveau!$S1018/100,IF($X1018=3,LOOKUP(AI1018,'Udvaskning nøgletal'!$C$12:$C$62,'Udvaskning nøgletal'!Q1028:Q1078)+Markniveau!$Y1018*Markniveau!$S1018/100,"")))</f>
        <v>31.161328188970323</v>
      </c>
      <c r="AK1018" s="10">
        <f t="shared" si="159"/>
        <v>23.994222705507148</v>
      </c>
      <c r="AL1018" s="10">
        <f t="shared" si="161"/>
        <v>1.5580664094485162</v>
      </c>
      <c r="AM1018" s="10">
        <f t="shared" si="162"/>
        <v>1.1997111352753576</v>
      </c>
    </row>
    <row r="1019" spans="1:39" x14ac:dyDescent="0.25">
      <c r="A1019" s="15">
        <v>31385881</v>
      </c>
      <c r="B1019" s="15">
        <v>8.73</v>
      </c>
      <c r="C1019" s="15">
        <v>507840</v>
      </c>
      <c r="D1019" s="15">
        <v>151222</v>
      </c>
      <c r="E1019" s="15" t="s">
        <v>806</v>
      </c>
      <c r="F1019" s="15">
        <v>2011</v>
      </c>
      <c r="G1019" s="15">
        <v>20110324</v>
      </c>
      <c r="H1019" s="15">
        <v>5292</v>
      </c>
      <c r="I1019" s="15">
        <v>0.53</v>
      </c>
      <c r="J1019" s="6" t="s">
        <v>37</v>
      </c>
      <c r="K1019" s="15">
        <v>1</v>
      </c>
      <c r="L1019" s="15" t="s">
        <v>32</v>
      </c>
      <c r="M1019" s="15" t="s">
        <v>5</v>
      </c>
      <c r="N1019" s="11" t="s">
        <v>1384</v>
      </c>
      <c r="O1019" s="11" t="s">
        <v>28</v>
      </c>
      <c r="P1019" s="11" t="s">
        <v>33</v>
      </c>
      <c r="Q1019" s="15">
        <v>90</v>
      </c>
      <c r="R1019" s="11" t="s">
        <v>8</v>
      </c>
      <c r="S1019" s="10">
        <v>160.51713709677</v>
      </c>
      <c r="T1019" s="15">
        <v>80</v>
      </c>
      <c r="U1019" s="15">
        <v>0</v>
      </c>
      <c r="V1019" s="15">
        <v>0</v>
      </c>
      <c r="W1019" s="15">
        <v>0</v>
      </c>
      <c r="X1019" s="15">
        <f>IF(O1019='Udvaskning nøgletal'!$D$65,1,IF(O1019='Udvaskning nøgletal'!$D$66,2,IF(O1019='Udvaskning nøgletal'!$D$67,3,IF(O1019='Udvaskning nøgletal'!$D$68,2,""))))</f>
        <v>1</v>
      </c>
      <c r="Y1019" s="15">
        <f>LOOKUP(K1019,'Udvaskning nøgletal'!$C$12:$C$60,'Udvaskning nøgletal'!$H$12:$H$60)</f>
        <v>5</v>
      </c>
      <c r="Z1019" s="10">
        <f>IF(X1019=1,LOOKUP(K1019,'Udvaskning nøgletal'!$C$12:$C$60,'Udvaskning nøgletal'!$E$12:$E$60)+Markniveau!Y1019*Markniveau!S1019/100,IF(X1019=2,LOOKUP(K1019,'Udvaskning nøgletal'!$C$12:$C$60,'Udvaskning nøgletal'!$F$12:$F$60)+Markniveau!Y1019*Markniveau!S1019/100,IF(X1019=3,LOOKUP(K1019,'Udvaskning nøgletal'!$C$12:$C$60,'Udvaskning nøgletal'!G1029:G1077)+Markniveau!Y1019*Markniveau!S1019/100,"")))</f>
        <v>72.685856854838505</v>
      </c>
      <c r="AA1019" s="10">
        <f t="shared" si="156"/>
        <v>38.523504133064407</v>
      </c>
      <c r="AB1019" s="10">
        <f t="shared" si="155"/>
        <v>7.2685856854838509</v>
      </c>
      <c r="AC1019" s="10">
        <f t="shared" si="157"/>
        <v>3.852350413306441</v>
      </c>
      <c r="AD1019" s="10">
        <f>IF(AND(Q1019&gt;0,Q1019&lt;30,K1019&lt;8),Markniveau!Z1019*'Udvaskning nøgletal'!$I$12/100,IF(AND(Q1019&gt;0,Q1019&lt;30,K1019=216),Markniveau!Z1019*'Udvaskning nøgletal'!$I$34/100,Markniveau!Z1019))</f>
        <v>72.685856854838505</v>
      </c>
      <c r="AE1019" s="10">
        <f t="shared" si="163"/>
        <v>38.523504133064407</v>
      </c>
      <c r="AF1019" s="10">
        <f t="shared" si="158"/>
        <v>7.2685856854838509</v>
      </c>
      <c r="AG1019" s="10">
        <f t="shared" si="164"/>
        <v>3.852350413306441</v>
      </c>
      <c r="AH1019" s="10" t="str">
        <f>IF(AND(Q1019&gt;0,Q1019&lt;30,K1019=216),'Udvaskning nøgletal'!$C$42,IF(AND(Q1019&gt;0,Q1019&lt;30,K1019&gt;7,K1019&lt;17),'Udvaskning nøgletal'!$C$61,IF(AND(Q1019&gt;0,Q1019&lt;30,K1019&lt;7),'Udvaskning nøgletal'!$C$62,"")))</f>
        <v/>
      </c>
      <c r="AI1019" s="10">
        <f t="shared" si="160"/>
        <v>1</v>
      </c>
      <c r="AJ1019" s="10">
        <f>IF($X1019=1,LOOKUP(AI1019,'Udvaskning nøgletal'!$C$12:$C$62,'Udvaskning nøgletal'!$E$12:$E$62)+Markniveau!$Y1019*Markniveau!$S1019/100,IF($X1019=2,LOOKUP(AI1019,'Udvaskning nøgletal'!$C$12:$C$62,'Udvaskning nøgletal'!$F$12:$F$62)+Markniveau!$Y1019*Markniveau!$S1019/100,IF($X1019=3,LOOKUP(AI1019,'Udvaskning nøgletal'!$C$12:$C$62,'Udvaskning nøgletal'!Q1029:Q1079)+Markniveau!$Y1019*Markniveau!$S1019/100,"")))</f>
        <v>72.685856854838505</v>
      </c>
      <c r="AK1019" s="10">
        <f t="shared" si="159"/>
        <v>38.523504133064407</v>
      </c>
      <c r="AL1019" s="10">
        <f t="shared" si="161"/>
        <v>7.2685856854838509</v>
      </c>
      <c r="AM1019" s="10">
        <f t="shared" si="162"/>
        <v>3.852350413306441</v>
      </c>
    </row>
    <row r="1020" spans="1:39" x14ac:dyDescent="0.25">
      <c r="A1020" s="15">
        <v>31385881</v>
      </c>
      <c r="B1020" s="15">
        <v>8.73</v>
      </c>
      <c r="C1020" s="15">
        <v>507841</v>
      </c>
      <c r="D1020" s="15">
        <v>151222</v>
      </c>
      <c r="E1020" s="15" t="s">
        <v>807</v>
      </c>
      <c r="F1020" s="15">
        <v>2011</v>
      </c>
      <c r="G1020" s="15">
        <v>20110324</v>
      </c>
      <c r="H1020" s="15">
        <v>9434</v>
      </c>
      <c r="I1020" s="15">
        <v>0.94</v>
      </c>
      <c r="J1020" s="6" t="s">
        <v>97</v>
      </c>
      <c r="K1020" s="15">
        <v>583</v>
      </c>
      <c r="L1020" s="15" t="s">
        <v>154</v>
      </c>
      <c r="M1020" s="15" t="s">
        <v>155</v>
      </c>
      <c r="N1020" s="11" t="s">
        <v>1384</v>
      </c>
      <c r="O1020" s="11" t="s">
        <v>28</v>
      </c>
      <c r="P1020" s="11" t="s">
        <v>33</v>
      </c>
      <c r="Q1020" s="15">
        <v>90</v>
      </c>
      <c r="R1020" s="11" t="s">
        <v>8</v>
      </c>
      <c r="S1020" s="10">
        <v>160.51713709677</v>
      </c>
      <c r="T1020" s="15">
        <v>80</v>
      </c>
      <c r="U1020" s="15">
        <v>0</v>
      </c>
      <c r="V1020" s="15">
        <v>0</v>
      </c>
      <c r="W1020" s="15">
        <v>0</v>
      </c>
      <c r="X1020" s="15">
        <f>IF(O1020='Udvaskning nøgletal'!$D$65,1,IF(O1020='Udvaskning nøgletal'!$D$66,2,IF(O1020='Udvaskning nøgletal'!$D$67,3,IF(O1020='Udvaskning nøgletal'!$D$68,2,""))))</f>
        <v>1</v>
      </c>
      <c r="Y1020" s="15">
        <f>LOOKUP(K1020,'Udvaskning nøgletal'!$C$12:$C$60,'Udvaskning nøgletal'!$H$12:$H$60)</f>
        <v>0</v>
      </c>
      <c r="Z1020" s="10">
        <f>IF(X1020=1,LOOKUP(K1020,'Udvaskning nøgletal'!$C$12:$C$60,'Udvaskning nøgletal'!$E$12:$E$60)+Markniveau!Y1020*Markniveau!S1020/100,IF(X1020=2,LOOKUP(K1020,'Udvaskning nøgletal'!$C$12:$C$60,'Udvaskning nøgletal'!$F$12:$F$60)+Markniveau!Y1020*Markniveau!S1020/100,IF(X1020=3,LOOKUP(K1020,'Udvaskning nøgletal'!$C$12:$C$60,'Udvaskning nøgletal'!G1030:G1078)+Markniveau!Y1020*Markniveau!S1020/100,"")))</f>
        <v>10</v>
      </c>
      <c r="AA1020" s="10">
        <f t="shared" si="156"/>
        <v>9.3999999999999986</v>
      </c>
      <c r="AB1020" s="10">
        <f t="shared" si="155"/>
        <v>1</v>
      </c>
      <c r="AC1020" s="10">
        <f t="shared" si="157"/>
        <v>0.94</v>
      </c>
      <c r="AD1020" s="10">
        <f>IF(AND(Q1020&gt;0,Q1020&lt;30,K1020&lt;8),Markniveau!Z1020*'Udvaskning nøgletal'!$I$12/100,IF(AND(Q1020&gt;0,Q1020&lt;30,K1020=216),Markniveau!Z1020*'Udvaskning nøgletal'!$I$34/100,Markniveau!Z1020))</f>
        <v>10</v>
      </c>
      <c r="AE1020" s="10">
        <f t="shared" si="163"/>
        <v>9.3999999999999986</v>
      </c>
      <c r="AF1020" s="10">
        <f t="shared" si="158"/>
        <v>1</v>
      </c>
      <c r="AG1020" s="10">
        <f t="shared" si="164"/>
        <v>0.94</v>
      </c>
      <c r="AH1020" s="10" t="str">
        <f>IF(AND(Q1020&gt;0,Q1020&lt;30,K1020=216),'Udvaskning nøgletal'!$C$42,IF(AND(Q1020&gt;0,Q1020&lt;30,K1020&gt;7,K1020&lt;17),'Udvaskning nøgletal'!$C$61,IF(AND(Q1020&gt;0,Q1020&lt;30,K1020&lt;7),'Udvaskning nøgletal'!$C$62,"")))</f>
        <v/>
      </c>
      <c r="AI1020" s="10">
        <f t="shared" si="160"/>
        <v>583</v>
      </c>
      <c r="AJ1020" s="10">
        <f>IF($X1020=1,LOOKUP(AI1020,'Udvaskning nøgletal'!$C$12:$C$62,'Udvaskning nøgletal'!$E$12:$E$62)+Markniveau!$Y1020*Markniveau!$S1020/100,IF($X1020=2,LOOKUP(AI1020,'Udvaskning nøgletal'!$C$12:$C$62,'Udvaskning nøgletal'!$F$12:$F$62)+Markniveau!$Y1020*Markniveau!$S1020/100,IF($X1020=3,LOOKUP(AI1020,'Udvaskning nøgletal'!$C$12:$C$62,'Udvaskning nøgletal'!Q1030:Q1080)+Markniveau!$Y1020*Markniveau!$S1020/100,"")))</f>
        <v>10</v>
      </c>
      <c r="AK1020" s="10">
        <f t="shared" si="159"/>
        <v>9.3999999999999986</v>
      </c>
      <c r="AL1020" s="10">
        <f t="shared" si="161"/>
        <v>1</v>
      </c>
      <c r="AM1020" s="10">
        <f t="shared" si="162"/>
        <v>0.94</v>
      </c>
    </row>
    <row r="1021" spans="1:39" x14ac:dyDescent="0.25">
      <c r="A1021" s="15">
        <v>31385881</v>
      </c>
      <c r="B1021" s="15">
        <v>8.73</v>
      </c>
      <c r="C1021" s="15">
        <v>507842</v>
      </c>
      <c r="D1021" s="15">
        <v>151222</v>
      </c>
      <c r="E1021" s="15" t="s">
        <v>808</v>
      </c>
      <c r="F1021" s="15">
        <v>2011</v>
      </c>
      <c r="G1021" s="15">
        <v>20110324</v>
      </c>
      <c r="H1021" s="15">
        <v>2116</v>
      </c>
      <c r="I1021" s="15">
        <v>0.21</v>
      </c>
      <c r="J1021" s="6" t="s">
        <v>31</v>
      </c>
      <c r="K1021" s="15">
        <v>583</v>
      </c>
      <c r="L1021" s="15" t="s">
        <v>154</v>
      </c>
      <c r="M1021" s="15" t="s">
        <v>155</v>
      </c>
      <c r="N1021" s="11" t="s">
        <v>1384</v>
      </c>
      <c r="O1021" s="11" t="s">
        <v>28</v>
      </c>
      <c r="P1021" s="11" t="s">
        <v>29</v>
      </c>
      <c r="Q1021" s="15">
        <v>90</v>
      </c>
      <c r="R1021" s="11" t="s">
        <v>8</v>
      </c>
      <c r="S1021" s="10">
        <v>160.51713709677</v>
      </c>
      <c r="T1021" s="15">
        <v>80</v>
      </c>
      <c r="U1021" s="15">
        <v>0</v>
      </c>
      <c r="V1021" s="15">
        <v>0</v>
      </c>
      <c r="W1021" s="15">
        <v>0</v>
      </c>
      <c r="X1021" s="15">
        <f>IF(O1021='Udvaskning nøgletal'!$D$65,1,IF(O1021='Udvaskning nøgletal'!$D$66,2,IF(O1021='Udvaskning nøgletal'!$D$67,3,IF(O1021='Udvaskning nøgletal'!$D$68,2,""))))</f>
        <v>1</v>
      </c>
      <c r="Y1021" s="15">
        <f>LOOKUP(K1021,'Udvaskning nøgletal'!$C$12:$C$60,'Udvaskning nøgletal'!$H$12:$H$60)</f>
        <v>0</v>
      </c>
      <c r="Z1021" s="10">
        <f>IF(X1021=1,LOOKUP(K1021,'Udvaskning nøgletal'!$C$12:$C$60,'Udvaskning nøgletal'!$E$12:$E$60)+Markniveau!Y1021*Markniveau!S1021/100,IF(X1021=2,LOOKUP(K1021,'Udvaskning nøgletal'!$C$12:$C$60,'Udvaskning nøgletal'!$F$12:$F$60)+Markniveau!Y1021*Markniveau!S1021/100,IF(X1021=3,LOOKUP(K1021,'Udvaskning nøgletal'!$C$12:$C$60,'Udvaskning nøgletal'!G1031:G1079)+Markniveau!Y1021*Markniveau!S1021/100,"")))</f>
        <v>10</v>
      </c>
      <c r="AA1021" s="10">
        <f t="shared" si="156"/>
        <v>2.1</v>
      </c>
      <c r="AB1021" s="10">
        <f t="shared" si="155"/>
        <v>1</v>
      </c>
      <c r="AC1021" s="10">
        <f t="shared" si="157"/>
        <v>0.21</v>
      </c>
      <c r="AD1021" s="10">
        <f>IF(AND(Q1021&gt;0,Q1021&lt;30,K1021&lt;8),Markniveau!Z1021*'Udvaskning nøgletal'!$I$12/100,IF(AND(Q1021&gt;0,Q1021&lt;30,K1021=216),Markniveau!Z1021*'Udvaskning nøgletal'!$I$34/100,Markniveau!Z1021))</f>
        <v>10</v>
      </c>
      <c r="AE1021" s="10">
        <f t="shared" si="163"/>
        <v>2.1</v>
      </c>
      <c r="AF1021" s="10">
        <f t="shared" si="158"/>
        <v>1</v>
      </c>
      <c r="AG1021" s="10">
        <f t="shared" si="164"/>
        <v>0.21</v>
      </c>
      <c r="AH1021" s="10" t="str">
        <f>IF(AND(Q1021&gt;0,Q1021&lt;30,K1021=216),'Udvaskning nøgletal'!$C$42,IF(AND(Q1021&gt;0,Q1021&lt;30,K1021&gt;7,K1021&lt;17),'Udvaskning nøgletal'!$C$61,IF(AND(Q1021&gt;0,Q1021&lt;30,K1021&lt;7),'Udvaskning nøgletal'!$C$62,"")))</f>
        <v/>
      </c>
      <c r="AI1021" s="10">
        <f t="shared" si="160"/>
        <v>583</v>
      </c>
      <c r="AJ1021" s="10">
        <f>IF($X1021=1,LOOKUP(AI1021,'Udvaskning nøgletal'!$C$12:$C$62,'Udvaskning nøgletal'!$E$12:$E$62)+Markniveau!$Y1021*Markniveau!$S1021/100,IF($X1021=2,LOOKUP(AI1021,'Udvaskning nøgletal'!$C$12:$C$62,'Udvaskning nøgletal'!$F$12:$F$62)+Markniveau!$Y1021*Markniveau!$S1021/100,IF($X1021=3,LOOKUP(AI1021,'Udvaskning nøgletal'!$C$12:$C$62,'Udvaskning nøgletal'!Q1031:Q1081)+Markniveau!$Y1021*Markniveau!$S1021/100,"")))</f>
        <v>10</v>
      </c>
      <c r="AK1021" s="10">
        <f t="shared" si="159"/>
        <v>2.1</v>
      </c>
      <c r="AL1021" s="10">
        <f t="shared" si="161"/>
        <v>1</v>
      </c>
      <c r="AM1021" s="10">
        <f t="shared" si="162"/>
        <v>0.21</v>
      </c>
    </row>
    <row r="1022" spans="1:39" x14ac:dyDescent="0.25">
      <c r="A1022" s="15">
        <v>31385881</v>
      </c>
      <c r="B1022" s="15">
        <v>8.73</v>
      </c>
      <c r="C1022" s="15">
        <v>507843</v>
      </c>
      <c r="D1022" s="15">
        <v>151222</v>
      </c>
      <c r="E1022" s="15" t="s">
        <v>185</v>
      </c>
      <c r="F1022" s="15">
        <v>2011</v>
      </c>
      <c r="G1022" s="15">
        <v>20110324</v>
      </c>
      <c r="H1022" s="15">
        <v>1309</v>
      </c>
      <c r="I1022" s="15">
        <v>0.13</v>
      </c>
      <c r="J1022" s="6" t="s">
        <v>1410</v>
      </c>
      <c r="K1022" s="15">
        <v>263</v>
      </c>
      <c r="L1022" s="15" t="s">
        <v>39</v>
      </c>
      <c r="M1022" s="15" t="s">
        <v>5</v>
      </c>
      <c r="N1022" s="11" t="s">
        <v>1384</v>
      </c>
      <c r="O1022" s="11" t="s">
        <v>28</v>
      </c>
      <c r="P1022" s="11" t="s">
        <v>29</v>
      </c>
      <c r="Q1022" s="15">
        <v>90</v>
      </c>
      <c r="R1022" s="11" t="s">
        <v>8</v>
      </c>
      <c r="S1022" s="10">
        <v>160.51713709677</v>
      </c>
      <c r="T1022" s="15">
        <v>80</v>
      </c>
      <c r="U1022" s="15">
        <v>0</v>
      </c>
      <c r="V1022" s="15">
        <v>0</v>
      </c>
      <c r="W1022" s="15">
        <v>0</v>
      </c>
      <c r="X1022" s="15">
        <f>IF(O1022='Udvaskning nøgletal'!$D$65,1,IF(O1022='Udvaskning nøgletal'!$D$66,2,IF(O1022='Udvaskning nøgletal'!$D$67,3,IF(O1022='Udvaskning nøgletal'!$D$68,2,""))))</f>
        <v>1</v>
      </c>
      <c r="Y1022" s="15">
        <f>LOOKUP(K1022,'Udvaskning nøgletal'!$C$12:$C$60,'Udvaskning nøgletal'!$H$12:$H$60)</f>
        <v>0</v>
      </c>
      <c r="Z1022" s="10">
        <f>IF(X1022=1,LOOKUP(K1022,'Udvaskning nøgletal'!$C$12:$C$60,'Udvaskning nøgletal'!$E$12:$E$60)+Markniveau!Y1022*Markniveau!S1022/100,IF(X1022=2,LOOKUP(K1022,'Udvaskning nøgletal'!$C$12:$C$60,'Udvaskning nøgletal'!$F$12:$F$60)+Markniveau!Y1022*Markniveau!S1022/100,IF(X1022=3,LOOKUP(K1022,'Udvaskning nøgletal'!$C$12:$C$60,'Udvaskning nøgletal'!G1032:G1080)+Markniveau!Y1022*Markniveau!S1022/100,"")))</f>
        <v>33.723295792149436</v>
      </c>
      <c r="AA1022" s="10">
        <f t="shared" si="156"/>
        <v>4.3840284529794271</v>
      </c>
      <c r="AB1022" s="10">
        <f t="shared" si="155"/>
        <v>3.3723295792149433</v>
      </c>
      <c r="AC1022" s="10">
        <f t="shared" si="157"/>
        <v>0.43840284529794266</v>
      </c>
      <c r="AD1022" s="10">
        <f>IF(AND(Q1022&gt;0,Q1022&lt;30,K1022&lt;8),Markniveau!Z1022*'Udvaskning nøgletal'!$I$12/100,IF(AND(Q1022&gt;0,Q1022&lt;30,K1022=216),Markniveau!Z1022*'Udvaskning nøgletal'!$I$34/100,Markniveau!Z1022))</f>
        <v>33.723295792149436</v>
      </c>
      <c r="AE1022" s="10">
        <f t="shared" si="163"/>
        <v>4.3840284529794271</v>
      </c>
      <c r="AF1022" s="10">
        <f t="shared" si="158"/>
        <v>3.3723295792149433</v>
      </c>
      <c r="AG1022" s="10">
        <f t="shared" si="164"/>
        <v>0.43840284529794266</v>
      </c>
      <c r="AH1022" s="10" t="str">
        <f>IF(AND(Q1022&gt;0,Q1022&lt;30,K1022=216),'Udvaskning nøgletal'!$C$42,IF(AND(Q1022&gt;0,Q1022&lt;30,K1022&gt;7,K1022&lt;17),'Udvaskning nøgletal'!$C$61,IF(AND(Q1022&gt;0,Q1022&lt;30,K1022&lt;7),'Udvaskning nøgletal'!$C$62,"")))</f>
        <v/>
      </c>
      <c r="AI1022" s="10">
        <f t="shared" si="160"/>
        <v>263</v>
      </c>
      <c r="AJ1022" s="10">
        <f>IF($X1022=1,LOOKUP(AI1022,'Udvaskning nøgletal'!$C$12:$C$62,'Udvaskning nøgletal'!$E$12:$E$62)+Markniveau!$Y1022*Markniveau!$S1022/100,IF($X1022=2,LOOKUP(AI1022,'Udvaskning nøgletal'!$C$12:$C$62,'Udvaskning nøgletal'!$F$12:$F$62)+Markniveau!$Y1022*Markniveau!$S1022/100,IF($X1022=3,LOOKUP(AI1022,'Udvaskning nøgletal'!$C$12:$C$62,'Udvaskning nøgletal'!Q1032:Q1082)+Markniveau!$Y1022*Markniveau!$S1022/100,"")))</f>
        <v>33.723295792149436</v>
      </c>
      <c r="AK1022" s="10">
        <f t="shared" si="159"/>
        <v>4.3840284529794271</v>
      </c>
      <c r="AL1022" s="10">
        <f t="shared" si="161"/>
        <v>3.3723295792149433</v>
      </c>
      <c r="AM1022" s="10">
        <f t="shared" si="162"/>
        <v>0.43840284529794266</v>
      </c>
    </row>
    <row r="1023" spans="1:39" x14ac:dyDescent="0.25">
      <c r="A1023" s="15">
        <v>31385881</v>
      </c>
      <c r="B1023" s="15">
        <v>8.73</v>
      </c>
      <c r="C1023" s="15">
        <v>507844</v>
      </c>
      <c r="D1023" s="15">
        <v>151222</v>
      </c>
      <c r="E1023" s="15" t="s">
        <v>185</v>
      </c>
      <c r="F1023" s="15">
        <v>2011</v>
      </c>
      <c r="G1023" s="15">
        <v>20110324</v>
      </c>
      <c r="H1023" s="15">
        <v>2527</v>
      </c>
      <c r="I1023" s="15">
        <v>0.25</v>
      </c>
      <c r="J1023" s="6" t="s">
        <v>1436</v>
      </c>
      <c r="K1023" s="15">
        <v>902</v>
      </c>
      <c r="L1023" s="15" t="s">
        <v>160</v>
      </c>
      <c r="M1023" s="15" t="s">
        <v>81</v>
      </c>
      <c r="N1023" s="11" t="s">
        <v>1384</v>
      </c>
      <c r="O1023" s="11" t="s">
        <v>28</v>
      </c>
      <c r="P1023" s="11" t="s">
        <v>29</v>
      </c>
      <c r="Q1023" s="15">
        <v>95</v>
      </c>
      <c r="R1023" s="11" t="s">
        <v>3</v>
      </c>
      <c r="S1023" s="10">
        <v>160.51713709677</v>
      </c>
      <c r="T1023" s="15">
        <v>80</v>
      </c>
      <c r="U1023" s="15">
        <v>0</v>
      </c>
      <c r="V1023" s="15">
        <v>0</v>
      </c>
      <c r="W1023" s="15">
        <v>0</v>
      </c>
      <c r="X1023" s="15">
        <f>IF(O1023='Udvaskning nøgletal'!$D$65,1,IF(O1023='Udvaskning nøgletal'!$D$66,2,IF(O1023='Udvaskning nøgletal'!$D$67,3,IF(O1023='Udvaskning nøgletal'!$D$68,2,""))))</f>
        <v>1</v>
      </c>
      <c r="Y1023" s="15">
        <f>LOOKUP(K1023,'Udvaskning nøgletal'!$C$12:$C$60,'Udvaskning nøgletal'!$H$12:$H$60)</f>
        <v>0</v>
      </c>
      <c r="Z1023" s="10">
        <f>IF(X1023=1,LOOKUP(K1023,'Udvaskning nøgletal'!$C$12:$C$60,'Udvaskning nøgletal'!$E$12:$E$60)+Markniveau!Y1023*Markniveau!S1023/100,IF(X1023=2,LOOKUP(K1023,'Udvaskning nøgletal'!$C$12:$C$60,'Udvaskning nøgletal'!$F$12:$F$60)+Markniveau!Y1023*Markniveau!S1023/100,IF(X1023=3,LOOKUP(K1023,'Udvaskning nøgletal'!$C$12:$C$60,'Udvaskning nøgletal'!G1033:G1081)+Markniveau!Y1023*Markniveau!S1023/100,"")))</f>
        <v>10</v>
      </c>
      <c r="AA1023" s="10">
        <f t="shared" si="156"/>
        <v>2.5</v>
      </c>
      <c r="AB1023" s="10">
        <f t="shared" si="155"/>
        <v>0.5</v>
      </c>
      <c r="AC1023" s="10">
        <f t="shared" si="157"/>
        <v>0.125</v>
      </c>
      <c r="AD1023" s="10">
        <f>IF(AND(Q1023&gt;0,Q1023&lt;30,K1023&lt;8),Markniveau!Z1023*'Udvaskning nøgletal'!$I$12/100,IF(AND(Q1023&gt;0,Q1023&lt;30,K1023=216),Markniveau!Z1023*'Udvaskning nøgletal'!$I$34/100,Markniveau!Z1023))</f>
        <v>10</v>
      </c>
      <c r="AE1023" s="10">
        <f t="shared" si="163"/>
        <v>2.5</v>
      </c>
      <c r="AF1023" s="10">
        <f t="shared" si="158"/>
        <v>0.5</v>
      </c>
      <c r="AG1023" s="10">
        <f t="shared" si="164"/>
        <v>0.125</v>
      </c>
      <c r="AH1023" s="10" t="str">
        <f>IF(AND(Q1023&gt;0,Q1023&lt;30,K1023=216),'Udvaskning nøgletal'!$C$42,IF(AND(Q1023&gt;0,Q1023&lt;30,K1023&gt;7,K1023&lt;17),'Udvaskning nøgletal'!$C$61,IF(AND(Q1023&gt;0,Q1023&lt;30,K1023&lt;7),'Udvaskning nøgletal'!$C$62,"")))</f>
        <v/>
      </c>
      <c r="AI1023" s="10">
        <f t="shared" si="160"/>
        <v>902</v>
      </c>
      <c r="AJ1023" s="10">
        <f>IF($X1023=1,LOOKUP(AI1023,'Udvaskning nøgletal'!$C$12:$C$62,'Udvaskning nøgletal'!$E$12:$E$62)+Markniveau!$Y1023*Markniveau!$S1023/100,IF($X1023=2,LOOKUP(AI1023,'Udvaskning nøgletal'!$C$12:$C$62,'Udvaskning nøgletal'!$F$12:$F$62)+Markniveau!$Y1023*Markniveau!$S1023/100,IF($X1023=3,LOOKUP(AI1023,'Udvaskning nøgletal'!$C$12:$C$62,'Udvaskning nøgletal'!Q1033:Q1083)+Markniveau!$Y1023*Markniveau!$S1023/100,"")))</f>
        <v>10</v>
      </c>
      <c r="AK1023" s="10">
        <f t="shared" si="159"/>
        <v>2.5</v>
      </c>
      <c r="AL1023" s="10">
        <f t="shared" si="161"/>
        <v>0.5</v>
      </c>
      <c r="AM1023" s="10">
        <f t="shared" si="162"/>
        <v>0.125</v>
      </c>
    </row>
    <row r="1024" spans="1:39" x14ac:dyDescent="0.25">
      <c r="A1024" s="15">
        <v>31385881</v>
      </c>
      <c r="B1024" s="15">
        <v>8.73</v>
      </c>
      <c r="C1024" s="15">
        <v>508363</v>
      </c>
      <c r="D1024" s="15">
        <v>151222</v>
      </c>
      <c r="E1024" s="15" t="s">
        <v>809</v>
      </c>
      <c r="F1024" s="15">
        <v>2011</v>
      </c>
      <c r="G1024" s="15">
        <v>20110324</v>
      </c>
      <c r="H1024" s="15">
        <v>10126</v>
      </c>
      <c r="I1024" s="15">
        <v>1.01</v>
      </c>
      <c r="J1024" s="6" t="s">
        <v>36</v>
      </c>
      <c r="K1024" s="15">
        <v>1</v>
      </c>
      <c r="L1024" s="15" t="s">
        <v>32</v>
      </c>
      <c r="M1024" s="15" t="s">
        <v>5</v>
      </c>
      <c r="N1024" s="11" t="s">
        <v>1384</v>
      </c>
      <c r="O1024" s="11" t="s">
        <v>28</v>
      </c>
      <c r="P1024" s="11" t="s">
        <v>29</v>
      </c>
      <c r="Q1024" s="15">
        <v>95</v>
      </c>
      <c r="R1024" s="11" t="s">
        <v>3</v>
      </c>
      <c r="S1024" s="10">
        <v>160.51713709677</v>
      </c>
      <c r="T1024" s="15">
        <v>80</v>
      </c>
      <c r="U1024" s="15">
        <v>0</v>
      </c>
      <c r="V1024" s="15">
        <v>0</v>
      </c>
      <c r="W1024" s="15">
        <v>0</v>
      </c>
      <c r="X1024" s="15">
        <f>IF(O1024='Udvaskning nøgletal'!$D$65,1,IF(O1024='Udvaskning nøgletal'!$D$66,2,IF(O1024='Udvaskning nøgletal'!$D$67,3,IF(O1024='Udvaskning nøgletal'!$D$68,2,""))))</f>
        <v>1</v>
      </c>
      <c r="Y1024" s="15">
        <f>LOOKUP(K1024,'Udvaskning nøgletal'!$C$12:$C$60,'Udvaskning nøgletal'!$H$12:$H$60)</f>
        <v>5</v>
      </c>
      <c r="Z1024" s="10">
        <f>IF(X1024=1,LOOKUP(K1024,'Udvaskning nøgletal'!$C$12:$C$60,'Udvaskning nøgletal'!$E$12:$E$60)+Markniveau!Y1024*Markniveau!S1024/100,IF(X1024=2,LOOKUP(K1024,'Udvaskning nøgletal'!$C$12:$C$60,'Udvaskning nøgletal'!$F$12:$F$60)+Markniveau!Y1024*Markniveau!S1024/100,IF(X1024=3,LOOKUP(K1024,'Udvaskning nøgletal'!$C$12:$C$60,'Udvaskning nøgletal'!G1034:G1082)+Markniveau!Y1024*Markniveau!S1024/100,"")))</f>
        <v>72.685856854838505</v>
      </c>
      <c r="AA1024" s="10">
        <f t="shared" si="156"/>
        <v>73.412715423386885</v>
      </c>
      <c r="AB1024" s="10">
        <f t="shared" si="155"/>
        <v>3.6342928427419254</v>
      </c>
      <c r="AC1024" s="10">
        <f t="shared" si="157"/>
        <v>3.6706357711693447</v>
      </c>
      <c r="AD1024" s="10">
        <f>IF(AND(Q1024&gt;0,Q1024&lt;30,K1024&lt;8),Markniveau!Z1024*'Udvaskning nøgletal'!$I$12/100,IF(AND(Q1024&gt;0,Q1024&lt;30,K1024=216),Markniveau!Z1024*'Udvaskning nøgletal'!$I$34/100,Markniveau!Z1024))</f>
        <v>72.685856854838505</v>
      </c>
      <c r="AE1024" s="10">
        <f t="shared" si="163"/>
        <v>73.412715423386885</v>
      </c>
      <c r="AF1024" s="10">
        <f t="shared" si="158"/>
        <v>3.6342928427419254</v>
      </c>
      <c r="AG1024" s="10">
        <f t="shared" si="164"/>
        <v>3.6706357711693447</v>
      </c>
      <c r="AH1024" s="10" t="str">
        <f>IF(AND(Q1024&gt;0,Q1024&lt;30,K1024=216),'Udvaskning nøgletal'!$C$42,IF(AND(Q1024&gt;0,Q1024&lt;30,K1024&gt;7,K1024&lt;17),'Udvaskning nøgletal'!$C$61,IF(AND(Q1024&gt;0,Q1024&lt;30,K1024&lt;7),'Udvaskning nøgletal'!$C$62,"")))</f>
        <v/>
      </c>
      <c r="AI1024" s="10">
        <f t="shared" si="160"/>
        <v>1</v>
      </c>
      <c r="AJ1024" s="10">
        <f>IF($X1024=1,LOOKUP(AI1024,'Udvaskning nøgletal'!$C$12:$C$62,'Udvaskning nøgletal'!$E$12:$E$62)+Markniveau!$Y1024*Markniveau!$S1024/100,IF($X1024=2,LOOKUP(AI1024,'Udvaskning nøgletal'!$C$12:$C$62,'Udvaskning nøgletal'!$F$12:$F$62)+Markniveau!$Y1024*Markniveau!$S1024/100,IF($X1024=3,LOOKUP(AI1024,'Udvaskning nøgletal'!$C$12:$C$62,'Udvaskning nøgletal'!Q1034:Q1084)+Markniveau!$Y1024*Markniveau!$S1024/100,"")))</f>
        <v>72.685856854838505</v>
      </c>
      <c r="AK1024" s="10">
        <f t="shared" si="159"/>
        <v>73.412715423386885</v>
      </c>
      <c r="AL1024" s="10">
        <f t="shared" si="161"/>
        <v>3.6342928427419254</v>
      </c>
      <c r="AM1024" s="10">
        <f t="shared" si="162"/>
        <v>3.6706357711693447</v>
      </c>
    </row>
    <row r="1025" spans="1:39" x14ac:dyDescent="0.25">
      <c r="A1025" s="15">
        <v>31385881</v>
      </c>
      <c r="B1025" s="15">
        <v>8.73</v>
      </c>
      <c r="C1025" s="15">
        <v>508365</v>
      </c>
      <c r="D1025" s="15">
        <v>151222</v>
      </c>
      <c r="E1025" s="15" t="s">
        <v>810</v>
      </c>
      <c r="F1025" s="15">
        <v>2011</v>
      </c>
      <c r="G1025" s="15">
        <v>20110324</v>
      </c>
      <c r="H1025" s="15">
        <v>40176</v>
      </c>
      <c r="I1025" s="15">
        <v>4.0199999999999996</v>
      </c>
      <c r="J1025" s="6" t="s">
        <v>69</v>
      </c>
      <c r="K1025" s="15">
        <v>16</v>
      </c>
      <c r="L1025" s="15" t="s">
        <v>523</v>
      </c>
      <c r="M1025" s="15" t="s">
        <v>5</v>
      </c>
      <c r="N1025" s="11" t="s">
        <v>1406</v>
      </c>
      <c r="O1025" s="11" t="s">
        <v>46</v>
      </c>
      <c r="P1025" s="11" t="s">
        <v>29</v>
      </c>
      <c r="Q1025" s="15">
        <v>2</v>
      </c>
      <c r="R1025" s="11" t="s">
        <v>11</v>
      </c>
      <c r="S1025" s="10">
        <v>160.51713709677</v>
      </c>
      <c r="T1025" s="15">
        <v>80</v>
      </c>
      <c r="U1025" s="15">
        <v>0</v>
      </c>
      <c r="V1025" s="15">
        <v>0</v>
      </c>
      <c r="W1025" s="15">
        <v>0</v>
      </c>
      <c r="X1025" s="15">
        <f>IF(O1025='Udvaskning nøgletal'!$D$65,1,IF(O1025='Udvaskning nøgletal'!$D$66,2,IF(O1025='Udvaskning nøgletal'!$D$67,3,IF(O1025='Udvaskning nøgletal'!$D$68,2,""))))</f>
        <v>2</v>
      </c>
      <c r="Y1025" s="15">
        <f>LOOKUP(K1025,'Udvaskning nøgletal'!$C$12:$C$60,'Udvaskning nøgletal'!$H$12:$H$60)</f>
        <v>5</v>
      </c>
      <c r="Z1025" s="10">
        <f>IF(X1025=1,LOOKUP(K1025,'Udvaskning nøgletal'!$C$12:$C$60,'Udvaskning nøgletal'!$E$12:$E$60)+Markniveau!Y1025*Markniveau!S1025/100,IF(X1025=2,LOOKUP(K1025,'Udvaskning nøgletal'!$C$12:$C$60,'Udvaskning nøgletal'!$F$12:$F$60)+Markniveau!Y1025*Markniveau!S1025/100,IF(X1025=3,LOOKUP(K1025,'Udvaskning nøgletal'!$C$12:$C$60,'Udvaskning nøgletal'!G1035:G1083)+Markniveau!Y1025*Markniveau!S1025/100,"")))</f>
        <v>58.905856854838504</v>
      </c>
      <c r="AA1025" s="10">
        <f t="shared" si="156"/>
        <v>236.80154455645075</v>
      </c>
      <c r="AB1025" s="10">
        <f t="shared" si="155"/>
        <v>57.727739717741734</v>
      </c>
      <c r="AC1025" s="10">
        <f t="shared" si="157"/>
        <v>232.06551366532176</v>
      </c>
      <c r="AD1025" s="10">
        <f>IF(AND(Q1025&gt;0,Q1025&lt;30,K1025&lt;8),Markniveau!Z1025*'Udvaskning nøgletal'!$I$12/100,IF(AND(Q1025&gt;0,Q1025&lt;30,K1025=216),Markniveau!Z1025*'Udvaskning nøgletal'!$I$34/100,Markniveau!Z1025))</f>
        <v>58.905856854838504</v>
      </c>
      <c r="AE1025" s="10">
        <f t="shared" si="163"/>
        <v>236.80154455645075</v>
      </c>
      <c r="AF1025" s="10">
        <f t="shared" si="158"/>
        <v>57.727739717741734</v>
      </c>
      <c r="AG1025" s="10">
        <f t="shared" si="164"/>
        <v>232.06551366532176</v>
      </c>
      <c r="AH1025" s="10">
        <f>IF(AND(Q1025&gt;0,Q1025&lt;30,K1025=216),'Udvaskning nøgletal'!$C$42,IF(AND(Q1025&gt;0,Q1025&lt;30,K1025&gt;7,K1025&lt;17),'Udvaskning nøgletal'!$C$61,IF(AND(Q1025&gt;0,Q1025&lt;30,K1025&lt;7),'Udvaskning nøgletal'!$C$62,"")))</f>
        <v>1001</v>
      </c>
      <c r="AI1025" s="10">
        <f t="shared" si="160"/>
        <v>1001</v>
      </c>
      <c r="AJ1025" s="10">
        <f>IF($X1025=1,LOOKUP(AI1025,'Udvaskning nøgletal'!$C$12:$C$62,'Udvaskning nøgletal'!$E$12:$E$62)+Markniveau!$Y1025*Markniveau!$S1025/100,IF($X1025=2,LOOKUP(AI1025,'Udvaskning nøgletal'!$C$12:$C$62,'Udvaskning nøgletal'!$F$12:$F$62)+Markniveau!$Y1025*Markniveau!$S1025/100,IF($X1025=3,LOOKUP(AI1025,'Udvaskning nøgletal'!$C$12:$C$62,'Udvaskning nøgletal'!Q1035:Q1085)+Markniveau!$Y1025*Markniveau!$S1025/100,"")))</f>
        <v>32.025856854838501</v>
      </c>
      <c r="AK1025" s="10">
        <f t="shared" si="159"/>
        <v>128.74394455645077</v>
      </c>
      <c r="AL1025" s="10">
        <f t="shared" si="161"/>
        <v>31.385339717741729</v>
      </c>
      <c r="AM1025" s="10">
        <f t="shared" si="162"/>
        <v>126.16906566532174</v>
      </c>
    </row>
    <row r="1026" spans="1:39" x14ac:dyDescent="0.25">
      <c r="A1026" s="15">
        <v>31385881</v>
      </c>
      <c r="B1026" s="15">
        <v>8.73</v>
      </c>
      <c r="C1026" s="15">
        <v>508366</v>
      </c>
      <c r="D1026" s="15">
        <v>151222</v>
      </c>
      <c r="E1026" s="15" t="s">
        <v>810</v>
      </c>
      <c r="F1026" s="15">
        <v>2011</v>
      </c>
      <c r="G1026" s="15">
        <v>20110324</v>
      </c>
      <c r="H1026" s="15">
        <v>7477</v>
      </c>
      <c r="I1026" s="15">
        <v>0.75</v>
      </c>
      <c r="J1026" s="6" t="s">
        <v>1465</v>
      </c>
      <c r="K1026" s="15">
        <v>16</v>
      </c>
      <c r="L1026" s="15" t="s">
        <v>523</v>
      </c>
      <c r="M1026" s="15" t="s">
        <v>5</v>
      </c>
      <c r="N1026" s="11" t="s">
        <v>1406</v>
      </c>
      <c r="O1026" s="11" t="s">
        <v>46</v>
      </c>
      <c r="P1026" s="11" t="s">
        <v>29</v>
      </c>
      <c r="Q1026" s="15">
        <v>2</v>
      </c>
      <c r="R1026" s="11" t="s">
        <v>11</v>
      </c>
      <c r="S1026" s="10">
        <v>160.51713709677</v>
      </c>
      <c r="T1026" s="15">
        <v>80</v>
      </c>
      <c r="U1026" s="15">
        <v>0</v>
      </c>
      <c r="V1026" s="15">
        <v>0</v>
      </c>
      <c r="W1026" s="15">
        <v>0</v>
      </c>
      <c r="X1026" s="15">
        <f>IF(O1026='Udvaskning nøgletal'!$D$65,1,IF(O1026='Udvaskning nøgletal'!$D$66,2,IF(O1026='Udvaskning nøgletal'!$D$67,3,IF(O1026='Udvaskning nøgletal'!$D$68,2,""))))</f>
        <v>2</v>
      </c>
      <c r="Y1026" s="15">
        <f>LOOKUP(K1026,'Udvaskning nøgletal'!$C$12:$C$60,'Udvaskning nøgletal'!$H$12:$H$60)</f>
        <v>5</v>
      </c>
      <c r="Z1026" s="10">
        <f>IF(X1026=1,LOOKUP(K1026,'Udvaskning nøgletal'!$C$12:$C$60,'Udvaskning nøgletal'!$E$12:$E$60)+Markniveau!Y1026*Markniveau!S1026/100,IF(X1026=2,LOOKUP(K1026,'Udvaskning nøgletal'!$C$12:$C$60,'Udvaskning nøgletal'!$F$12:$F$60)+Markniveau!Y1026*Markniveau!S1026/100,IF(X1026=3,LOOKUP(K1026,'Udvaskning nøgletal'!$C$12:$C$60,'Udvaskning nøgletal'!G1036:G1084)+Markniveau!Y1026*Markniveau!S1026/100,"")))</f>
        <v>58.905856854838504</v>
      </c>
      <c r="AA1026" s="10">
        <f t="shared" si="156"/>
        <v>44.179392641128878</v>
      </c>
      <c r="AB1026" s="10">
        <f t="shared" ref="AB1026:AB1089" si="165">IF(Q1026&gt;0,(100-Q1026)*Z1026/100,"")</f>
        <v>57.727739717741734</v>
      </c>
      <c r="AC1026" s="10">
        <f t="shared" si="157"/>
        <v>43.295804788306299</v>
      </c>
      <c r="AD1026" s="10">
        <f>IF(AND(Q1026&gt;0,Q1026&lt;30,K1026&lt;8),Markniveau!Z1026*'Udvaskning nøgletal'!$I$12/100,IF(AND(Q1026&gt;0,Q1026&lt;30,K1026=216),Markniveau!Z1026*'Udvaskning nøgletal'!$I$34/100,Markniveau!Z1026))</f>
        <v>58.905856854838504</v>
      </c>
      <c r="AE1026" s="10">
        <f t="shared" si="163"/>
        <v>44.179392641128878</v>
      </c>
      <c r="AF1026" s="10">
        <f t="shared" si="158"/>
        <v>57.727739717741734</v>
      </c>
      <c r="AG1026" s="10">
        <f t="shared" si="164"/>
        <v>43.295804788306299</v>
      </c>
      <c r="AH1026" s="10">
        <f>IF(AND(Q1026&gt;0,Q1026&lt;30,K1026=216),'Udvaskning nøgletal'!$C$42,IF(AND(Q1026&gt;0,Q1026&lt;30,K1026&gt;7,K1026&lt;17),'Udvaskning nøgletal'!$C$61,IF(AND(Q1026&gt;0,Q1026&lt;30,K1026&lt;7),'Udvaskning nøgletal'!$C$62,"")))</f>
        <v>1001</v>
      </c>
      <c r="AI1026" s="10">
        <f t="shared" si="160"/>
        <v>1001</v>
      </c>
      <c r="AJ1026" s="10">
        <f>IF($X1026=1,LOOKUP(AI1026,'Udvaskning nøgletal'!$C$12:$C$62,'Udvaskning nøgletal'!$E$12:$E$62)+Markniveau!$Y1026*Markniveau!$S1026/100,IF($X1026=2,LOOKUP(AI1026,'Udvaskning nøgletal'!$C$12:$C$62,'Udvaskning nøgletal'!$F$12:$F$62)+Markniveau!$Y1026*Markniveau!$S1026/100,IF($X1026=3,LOOKUP(AI1026,'Udvaskning nøgletal'!$C$12:$C$62,'Udvaskning nøgletal'!Q1036:Q1086)+Markniveau!$Y1026*Markniveau!$S1026/100,"")))</f>
        <v>32.025856854838501</v>
      </c>
      <c r="AK1026" s="10">
        <f t="shared" si="159"/>
        <v>24.019392641128874</v>
      </c>
      <c r="AL1026" s="10">
        <f t="shared" si="161"/>
        <v>31.385339717741729</v>
      </c>
      <c r="AM1026" s="10">
        <f t="shared" si="162"/>
        <v>23.539004788306297</v>
      </c>
    </row>
    <row r="1027" spans="1:39" x14ac:dyDescent="0.25">
      <c r="A1027" s="15">
        <v>31385881</v>
      </c>
      <c r="B1027" s="15">
        <v>8.73</v>
      </c>
      <c r="C1027" s="15">
        <v>539644</v>
      </c>
      <c r="D1027" s="15">
        <v>151222</v>
      </c>
      <c r="E1027" s="15" t="s">
        <v>811</v>
      </c>
      <c r="F1027" s="15">
        <v>2011</v>
      </c>
      <c r="G1027" s="15">
        <v>20110324</v>
      </c>
      <c r="H1027" s="15">
        <v>9415</v>
      </c>
      <c r="I1027" s="15">
        <v>0.94</v>
      </c>
      <c r="J1027" s="6" t="s">
        <v>35</v>
      </c>
      <c r="K1027" s="15">
        <v>1</v>
      </c>
      <c r="L1027" s="15" t="s">
        <v>32</v>
      </c>
      <c r="M1027" s="15" t="s">
        <v>5</v>
      </c>
      <c r="N1027" s="11" t="s">
        <v>1384</v>
      </c>
      <c r="O1027" s="11" t="s">
        <v>28</v>
      </c>
      <c r="P1027" s="11" t="s">
        <v>33</v>
      </c>
      <c r="Q1027" s="15">
        <v>0</v>
      </c>
      <c r="R1027" s="11" t="s">
        <v>1386</v>
      </c>
      <c r="S1027" s="10">
        <v>160.51713709677</v>
      </c>
      <c r="T1027" s="15">
        <v>80</v>
      </c>
      <c r="U1027" s="15">
        <v>0</v>
      </c>
      <c r="V1027" s="15">
        <v>0</v>
      </c>
      <c r="W1027" s="15">
        <v>0</v>
      </c>
      <c r="X1027" s="15">
        <f>IF(O1027='Udvaskning nøgletal'!$D$65,1,IF(O1027='Udvaskning nøgletal'!$D$66,2,IF(O1027='Udvaskning nøgletal'!$D$67,3,IF(O1027='Udvaskning nøgletal'!$D$68,2,""))))</f>
        <v>1</v>
      </c>
      <c r="Y1027" s="15">
        <f>LOOKUP(K1027,'Udvaskning nøgletal'!$C$12:$C$60,'Udvaskning nøgletal'!$H$12:$H$60)</f>
        <v>5</v>
      </c>
      <c r="Z1027" s="10">
        <f>IF(X1027=1,LOOKUP(K1027,'Udvaskning nøgletal'!$C$12:$C$60,'Udvaskning nøgletal'!$E$12:$E$60)+Markniveau!Y1027*Markniveau!S1027/100,IF(X1027=2,LOOKUP(K1027,'Udvaskning nøgletal'!$C$12:$C$60,'Udvaskning nøgletal'!$F$12:$F$60)+Markniveau!Y1027*Markniveau!S1027/100,IF(X1027=3,LOOKUP(K1027,'Udvaskning nøgletal'!$C$12:$C$60,'Udvaskning nøgletal'!G1037:G1085)+Markniveau!Y1027*Markniveau!S1027/100,"")))</f>
        <v>72.685856854838505</v>
      </c>
      <c r="AA1027" s="10">
        <f t="shared" ref="AA1027:AA1090" si="166">Z1027*I1027</f>
        <v>68.324705443548197</v>
      </c>
      <c r="AB1027" s="10" t="str">
        <f t="shared" si="165"/>
        <v/>
      </c>
      <c r="AC1027" s="10" t="str">
        <f t="shared" ref="AC1027:AC1090" si="167">IF(Q1027&gt;0,AB1027*I1027,"")</f>
        <v/>
      </c>
      <c r="AD1027" s="10">
        <f>IF(AND(Q1027&gt;0,Q1027&lt;30,K1027&lt;8),Markniveau!Z1027*'Udvaskning nøgletal'!$I$12/100,IF(AND(Q1027&gt;0,Q1027&lt;30,K1027=216),Markniveau!Z1027*'Udvaskning nøgletal'!$I$34/100,Markniveau!Z1027))</f>
        <v>72.685856854838505</v>
      </c>
      <c r="AE1027" s="10">
        <f t="shared" si="163"/>
        <v>68.324705443548197</v>
      </c>
      <c r="AF1027" s="10" t="str">
        <f t="shared" ref="AF1027:AF1090" si="168">IF($Q1027&gt;0,(100-$Q1027)*$AD1027/100,"")</f>
        <v/>
      </c>
      <c r="AG1027" s="10" t="str">
        <f t="shared" si="164"/>
        <v/>
      </c>
      <c r="AH1027" s="10" t="str">
        <f>IF(AND(Q1027&gt;0,Q1027&lt;30,K1027=216),'Udvaskning nøgletal'!$C$42,IF(AND(Q1027&gt;0,Q1027&lt;30,K1027&gt;7,K1027&lt;17),'Udvaskning nøgletal'!$C$61,IF(AND(Q1027&gt;0,Q1027&lt;30,K1027&lt;7),'Udvaskning nøgletal'!$C$62,"")))</f>
        <v/>
      </c>
      <c r="AI1027" s="10">
        <f t="shared" si="160"/>
        <v>1</v>
      </c>
      <c r="AJ1027" s="10">
        <f>IF($X1027=1,LOOKUP(AI1027,'Udvaskning nøgletal'!$C$12:$C$62,'Udvaskning nøgletal'!$E$12:$E$62)+Markniveau!$Y1027*Markniveau!$S1027/100,IF($X1027=2,LOOKUP(AI1027,'Udvaskning nøgletal'!$C$12:$C$62,'Udvaskning nøgletal'!$F$12:$F$62)+Markniveau!$Y1027*Markniveau!$S1027/100,IF($X1027=3,LOOKUP(AI1027,'Udvaskning nøgletal'!$C$12:$C$62,'Udvaskning nøgletal'!Q1037:Q1087)+Markniveau!$Y1027*Markniveau!$S1027/100,"")))</f>
        <v>72.685856854838505</v>
      </c>
      <c r="AK1027" s="10">
        <f t="shared" ref="AK1027:AK1090" si="169">AJ1027*$I1027</f>
        <v>68.324705443548197</v>
      </c>
      <c r="AL1027" s="10" t="str">
        <f t="shared" si="161"/>
        <v/>
      </c>
      <c r="AM1027" s="10" t="str">
        <f t="shared" si="162"/>
        <v/>
      </c>
    </row>
    <row r="1028" spans="1:39" x14ac:dyDescent="0.25">
      <c r="A1028" s="15">
        <v>31385881</v>
      </c>
      <c r="B1028" s="15">
        <v>8.73</v>
      </c>
      <c r="C1028" s="15">
        <v>548805</v>
      </c>
      <c r="D1028" s="15">
        <v>151222</v>
      </c>
      <c r="E1028" s="15" t="s">
        <v>811</v>
      </c>
      <c r="F1028" s="15">
        <v>2011</v>
      </c>
      <c r="G1028" s="15">
        <v>20110324</v>
      </c>
      <c r="H1028" s="15">
        <v>1820</v>
      </c>
      <c r="I1028" s="15">
        <v>0.18</v>
      </c>
      <c r="J1028" s="6" t="s">
        <v>1461</v>
      </c>
      <c r="K1028" s="15">
        <v>1</v>
      </c>
      <c r="L1028" s="15" t="s">
        <v>32</v>
      </c>
      <c r="M1028" s="15" t="s">
        <v>5</v>
      </c>
      <c r="N1028" s="11" t="s">
        <v>1384</v>
      </c>
      <c r="O1028" s="11" t="s">
        <v>28</v>
      </c>
      <c r="P1028" s="11" t="s">
        <v>33</v>
      </c>
      <c r="Q1028" s="15">
        <v>0</v>
      </c>
      <c r="R1028" s="11" t="s">
        <v>1386</v>
      </c>
      <c r="S1028" s="10">
        <v>160.51713709677</v>
      </c>
      <c r="T1028" s="15">
        <v>80</v>
      </c>
      <c r="U1028" s="15">
        <v>0</v>
      </c>
      <c r="V1028" s="15">
        <v>0</v>
      </c>
      <c r="W1028" s="15">
        <v>0</v>
      </c>
      <c r="X1028" s="15">
        <f>IF(O1028='Udvaskning nøgletal'!$D$65,1,IF(O1028='Udvaskning nøgletal'!$D$66,2,IF(O1028='Udvaskning nøgletal'!$D$67,3,IF(O1028='Udvaskning nøgletal'!$D$68,2,""))))</f>
        <v>1</v>
      </c>
      <c r="Y1028" s="15">
        <f>LOOKUP(K1028,'Udvaskning nøgletal'!$C$12:$C$60,'Udvaskning nøgletal'!$H$12:$H$60)</f>
        <v>5</v>
      </c>
      <c r="Z1028" s="10">
        <f>IF(X1028=1,LOOKUP(K1028,'Udvaskning nøgletal'!$C$12:$C$60,'Udvaskning nøgletal'!$E$12:$E$60)+Markniveau!Y1028*Markniveau!S1028/100,IF(X1028=2,LOOKUP(K1028,'Udvaskning nøgletal'!$C$12:$C$60,'Udvaskning nøgletal'!$F$12:$F$60)+Markniveau!Y1028*Markniveau!S1028/100,IF(X1028=3,LOOKUP(K1028,'Udvaskning nøgletal'!$C$12:$C$60,'Udvaskning nøgletal'!G1038:G1086)+Markniveau!Y1028*Markniveau!S1028/100,"")))</f>
        <v>72.685856854838505</v>
      </c>
      <c r="AA1028" s="10">
        <f t="shared" si="166"/>
        <v>13.083454233870931</v>
      </c>
      <c r="AB1028" s="10" t="str">
        <f t="shared" si="165"/>
        <v/>
      </c>
      <c r="AC1028" s="10" t="str">
        <f t="shared" si="167"/>
        <v/>
      </c>
      <c r="AD1028" s="10">
        <f>IF(AND(Q1028&gt;0,Q1028&lt;30,K1028&lt;8),Markniveau!Z1028*'Udvaskning nøgletal'!$I$12/100,IF(AND(Q1028&gt;0,Q1028&lt;30,K1028=216),Markniveau!Z1028*'Udvaskning nøgletal'!$I$34/100,Markniveau!Z1028))</f>
        <v>72.685856854838505</v>
      </c>
      <c r="AE1028" s="10">
        <f t="shared" si="163"/>
        <v>13.083454233870931</v>
      </c>
      <c r="AF1028" s="10" t="str">
        <f t="shared" si="168"/>
        <v/>
      </c>
      <c r="AG1028" s="10" t="str">
        <f t="shared" si="164"/>
        <v/>
      </c>
      <c r="AH1028" s="10" t="str">
        <f>IF(AND(Q1028&gt;0,Q1028&lt;30,K1028=216),'Udvaskning nøgletal'!$C$42,IF(AND(Q1028&gt;0,Q1028&lt;30,K1028&gt;7,K1028&lt;17),'Udvaskning nøgletal'!$C$61,IF(AND(Q1028&gt;0,Q1028&lt;30,K1028&lt;7),'Udvaskning nøgletal'!$C$62,"")))</f>
        <v/>
      </c>
      <c r="AI1028" s="10">
        <f t="shared" si="160"/>
        <v>1</v>
      </c>
      <c r="AJ1028" s="10">
        <f>IF($X1028=1,LOOKUP(AI1028,'Udvaskning nøgletal'!$C$12:$C$62,'Udvaskning nøgletal'!$E$12:$E$62)+Markniveau!$Y1028*Markniveau!$S1028/100,IF($X1028=2,LOOKUP(AI1028,'Udvaskning nøgletal'!$C$12:$C$62,'Udvaskning nøgletal'!$F$12:$F$62)+Markniveau!$Y1028*Markniveau!$S1028/100,IF($X1028=3,LOOKUP(AI1028,'Udvaskning nøgletal'!$C$12:$C$62,'Udvaskning nøgletal'!Q1038:Q1088)+Markniveau!$Y1028*Markniveau!$S1028/100,"")))</f>
        <v>72.685856854838505</v>
      </c>
      <c r="AK1028" s="10">
        <f t="shared" si="169"/>
        <v>13.083454233870931</v>
      </c>
      <c r="AL1028" s="10" t="str">
        <f t="shared" si="161"/>
        <v/>
      </c>
      <c r="AM1028" s="10" t="str">
        <f t="shared" si="162"/>
        <v/>
      </c>
    </row>
    <row r="1029" spans="1:39" x14ac:dyDescent="0.25">
      <c r="A1029" s="15">
        <v>31385881</v>
      </c>
      <c r="B1029" s="15">
        <v>8.73</v>
      </c>
      <c r="C1029" s="15">
        <v>507838</v>
      </c>
      <c r="D1029" s="15">
        <v>151222</v>
      </c>
      <c r="E1029" s="15" t="s">
        <v>812</v>
      </c>
      <c r="F1029" s="15">
        <v>2011</v>
      </c>
      <c r="G1029" s="15">
        <v>20110324</v>
      </c>
      <c r="H1029" s="15">
        <v>8772</v>
      </c>
      <c r="I1029" s="15">
        <v>0.88</v>
      </c>
      <c r="J1029" s="6" t="s">
        <v>34</v>
      </c>
      <c r="K1029" s="15">
        <v>1</v>
      </c>
      <c r="L1029" s="15" t="s">
        <v>32</v>
      </c>
      <c r="M1029" s="15" t="s">
        <v>5</v>
      </c>
      <c r="N1029" s="11" t="s">
        <v>1406</v>
      </c>
      <c r="O1029" s="11" t="s">
        <v>46</v>
      </c>
      <c r="P1029" s="11" t="s">
        <v>29</v>
      </c>
      <c r="Q1029" s="15">
        <v>90</v>
      </c>
      <c r="R1029" s="11" t="s">
        <v>8</v>
      </c>
      <c r="S1029" s="10">
        <v>160.51713709677</v>
      </c>
      <c r="T1029" s="15">
        <v>80</v>
      </c>
      <c r="U1029" s="15">
        <v>0</v>
      </c>
      <c r="V1029" s="15">
        <v>0</v>
      </c>
      <c r="W1029" s="15">
        <v>0</v>
      </c>
      <c r="X1029" s="15">
        <f>IF(O1029='Udvaskning nøgletal'!$D$65,1,IF(O1029='Udvaskning nøgletal'!$D$66,2,IF(O1029='Udvaskning nøgletal'!$D$67,3,IF(O1029='Udvaskning nøgletal'!$D$68,2,""))))</f>
        <v>2</v>
      </c>
      <c r="Y1029" s="15">
        <f>LOOKUP(K1029,'Udvaskning nøgletal'!$C$12:$C$60,'Udvaskning nøgletal'!$H$12:$H$60)</f>
        <v>5</v>
      </c>
      <c r="Z1029" s="10">
        <f>IF(X1029=1,LOOKUP(K1029,'Udvaskning nøgletal'!$C$12:$C$60,'Udvaskning nøgletal'!$E$12:$E$60)+Markniveau!Y1029*Markniveau!S1029/100,IF(X1029=2,LOOKUP(K1029,'Udvaskning nøgletal'!$C$12:$C$60,'Udvaskning nøgletal'!$F$12:$F$60)+Markniveau!Y1029*Markniveau!S1029/100,IF(X1029=3,LOOKUP(K1029,'Udvaskning nøgletal'!$C$12:$C$60,'Udvaskning nøgletal'!G1039:G1087)+Markniveau!Y1029*Markniveau!S1029/100,"")))</f>
        <v>58.905856854838504</v>
      </c>
      <c r="AA1029" s="10">
        <f t="shared" si="166"/>
        <v>51.837154032257885</v>
      </c>
      <c r="AB1029" s="10">
        <f t="shared" si="165"/>
        <v>5.8905856854838499</v>
      </c>
      <c r="AC1029" s="10">
        <f t="shared" si="167"/>
        <v>5.1837154032257882</v>
      </c>
      <c r="AD1029" s="10">
        <f>IF(AND(Q1029&gt;0,Q1029&lt;30,K1029&lt;8),Markniveau!Z1029*'Udvaskning nøgletal'!$I$12/100,IF(AND(Q1029&gt;0,Q1029&lt;30,K1029=216),Markniveau!Z1029*'Udvaskning nøgletal'!$I$34/100,Markniveau!Z1029))</f>
        <v>58.905856854838504</v>
      </c>
      <c r="AE1029" s="10">
        <f t="shared" si="163"/>
        <v>51.837154032257885</v>
      </c>
      <c r="AF1029" s="10">
        <f t="shared" si="168"/>
        <v>5.8905856854838499</v>
      </c>
      <c r="AG1029" s="10">
        <f t="shared" si="164"/>
        <v>5.1837154032257882</v>
      </c>
      <c r="AH1029" s="10" t="str">
        <f>IF(AND(Q1029&gt;0,Q1029&lt;30,K1029=216),'Udvaskning nøgletal'!$C$42,IF(AND(Q1029&gt;0,Q1029&lt;30,K1029&gt;7,K1029&lt;17),'Udvaskning nøgletal'!$C$61,IF(AND(Q1029&gt;0,Q1029&lt;30,K1029&lt;7),'Udvaskning nøgletal'!$C$62,"")))</f>
        <v/>
      </c>
      <c r="AI1029" s="10">
        <f t="shared" si="160"/>
        <v>1</v>
      </c>
      <c r="AJ1029" s="10">
        <f>IF($X1029=1,LOOKUP(AI1029,'Udvaskning nøgletal'!$C$12:$C$62,'Udvaskning nøgletal'!$E$12:$E$62)+Markniveau!$Y1029*Markniveau!$S1029/100,IF($X1029=2,LOOKUP(AI1029,'Udvaskning nøgletal'!$C$12:$C$62,'Udvaskning nøgletal'!$F$12:$F$62)+Markniveau!$Y1029*Markniveau!$S1029/100,IF($X1029=3,LOOKUP(AI1029,'Udvaskning nøgletal'!$C$12:$C$62,'Udvaskning nøgletal'!Q1039:Q1089)+Markniveau!$Y1029*Markniveau!$S1029/100,"")))</f>
        <v>58.905856854838504</v>
      </c>
      <c r="AK1029" s="10">
        <f t="shared" si="169"/>
        <v>51.837154032257885</v>
      </c>
      <c r="AL1029" s="10">
        <f t="shared" si="161"/>
        <v>5.8905856854838499</v>
      </c>
      <c r="AM1029" s="10">
        <f t="shared" si="162"/>
        <v>5.1837154032257882</v>
      </c>
    </row>
    <row r="1030" spans="1:39" x14ac:dyDescent="0.25">
      <c r="A1030" s="15">
        <v>31385881</v>
      </c>
      <c r="B1030" s="15">
        <v>8.73</v>
      </c>
      <c r="C1030" s="15">
        <v>507839</v>
      </c>
      <c r="D1030" s="15">
        <v>151222</v>
      </c>
      <c r="E1030" s="15" t="s">
        <v>813</v>
      </c>
      <c r="F1030" s="15">
        <v>2011</v>
      </c>
      <c r="G1030" s="15">
        <v>20110324</v>
      </c>
      <c r="H1030" s="15">
        <v>14826</v>
      </c>
      <c r="I1030" s="15">
        <v>1.48</v>
      </c>
      <c r="J1030" s="6" t="s">
        <v>61</v>
      </c>
      <c r="K1030" s="15">
        <v>1</v>
      </c>
      <c r="L1030" s="15" t="s">
        <v>32</v>
      </c>
      <c r="M1030" s="15" t="s">
        <v>5</v>
      </c>
      <c r="N1030" s="11" t="s">
        <v>1384</v>
      </c>
      <c r="O1030" s="11" t="s">
        <v>28</v>
      </c>
      <c r="P1030" s="11" t="s">
        <v>29</v>
      </c>
      <c r="Q1030" s="15">
        <v>90</v>
      </c>
      <c r="R1030" s="11" t="s">
        <v>8</v>
      </c>
      <c r="S1030" s="10">
        <v>160.51713709677</v>
      </c>
      <c r="T1030" s="15">
        <v>80</v>
      </c>
      <c r="U1030" s="15">
        <v>0</v>
      </c>
      <c r="V1030" s="15">
        <v>0</v>
      </c>
      <c r="W1030" s="15">
        <v>0</v>
      </c>
      <c r="X1030" s="15">
        <f>IF(O1030='Udvaskning nøgletal'!$D$65,1,IF(O1030='Udvaskning nøgletal'!$D$66,2,IF(O1030='Udvaskning nøgletal'!$D$67,3,IF(O1030='Udvaskning nøgletal'!$D$68,2,""))))</f>
        <v>1</v>
      </c>
      <c r="Y1030" s="15">
        <f>LOOKUP(K1030,'Udvaskning nøgletal'!$C$12:$C$60,'Udvaskning nøgletal'!$H$12:$H$60)</f>
        <v>5</v>
      </c>
      <c r="Z1030" s="10">
        <f>IF(X1030=1,LOOKUP(K1030,'Udvaskning nøgletal'!$C$12:$C$60,'Udvaskning nøgletal'!$E$12:$E$60)+Markniveau!Y1030*Markniveau!S1030/100,IF(X1030=2,LOOKUP(K1030,'Udvaskning nøgletal'!$C$12:$C$60,'Udvaskning nøgletal'!$F$12:$F$60)+Markniveau!Y1030*Markniveau!S1030/100,IF(X1030=3,LOOKUP(K1030,'Udvaskning nøgletal'!$C$12:$C$60,'Udvaskning nøgletal'!G1040:G1088)+Markniveau!Y1030*Markniveau!S1030/100,"")))</f>
        <v>72.685856854838505</v>
      </c>
      <c r="AA1030" s="10">
        <f t="shared" si="166"/>
        <v>107.57506814516098</v>
      </c>
      <c r="AB1030" s="10">
        <f t="shared" si="165"/>
        <v>7.2685856854838509</v>
      </c>
      <c r="AC1030" s="10">
        <f t="shared" si="167"/>
        <v>10.757506814516098</v>
      </c>
      <c r="AD1030" s="10">
        <f>IF(AND(Q1030&gt;0,Q1030&lt;30,K1030&lt;8),Markniveau!Z1030*'Udvaskning nøgletal'!$I$12/100,IF(AND(Q1030&gt;0,Q1030&lt;30,K1030=216),Markniveau!Z1030*'Udvaskning nøgletal'!$I$34/100,Markniveau!Z1030))</f>
        <v>72.685856854838505</v>
      </c>
      <c r="AE1030" s="10">
        <f t="shared" si="163"/>
        <v>107.57506814516098</v>
      </c>
      <c r="AF1030" s="10">
        <f t="shared" si="168"/>
        <v>7.2685856854838509</v>
      </c>
      <c r="AG1030" s="10">
        <f t="shared" si="164"/>
        <v>10.757506814516098</v>
      </c>
      <c r="AH1030" s="10" t="str">
        <f>IF(AND(Q1030&gt;0,Q1030&lt;30,K1030=216),'Udvaskning nøgletal'!$C$42,IF(AND(Q1030&gt;0,Q1030&lt;30,K1030&gt;7,K1030&lt;17),'Udvaskning nøgletal'!$C$61,IF(AND(Q1030&gt;0,Q1030&lt;30,K1030&lt;7),'Udvaskning nøgletal'!$C$62,"")))</f>
        <v/>
      </c>
      <c r="AI1030" s="10">
        <f t="shared" si="160"/>
        <v>1</v>
      </c>
      <c r="AJ1030" s="10">
        <f>IF($X1030=1,LOOKUP(AI1030,'Udvaskning nøgletal'!$C$12:$C$62,'Udvaskning nøgletal'!$E$12:$E$62)+Markniveau!$Y1030*Markniveau!$S1030/100,IF($X1030=2,LOOKUP(AI1030,'Udvaskning nøgletal'!$C$12:$C$62,'Udvaskning nøgletal'!$F$12:$F$62)+Markniveau!$Y1030*Markniveau!$S1030/100,IF($X1030=3,LOOKUP(AI1030,'Udvaskning nøgletal'!$C$12:$C$62,'Udvaskning nøgletal'!Q1040:Q1090)+Markniveau!$Y1030*Markniveau!$S1030/100,"")))</f>
        <v>72.685856854838505</v>
      </c>
      <c r="AK1030" s="10">
        <f t="shared" si="169"/>
        <v>107.57506814516098</v>
      </c>
      <c r="AL1030" s="10">
        <f t="shared" si="161"/>
        <v>7.2685856854838509</v>
      </c>
      <c r="AM1030" s="10">
        <f t="shared" si="162"/>
        <v>10.757506814516098</v>
      </c>
    </row>
    <row r="1031" spans="1:39" x14ac:dyDescent="0.25">
      <c r="A1031" s="15">
        <v>32565859</v>
      </c>
      <c r="B1031" s="15">
        <v>3.78</v>
      </c>
      <c r="C1031" s="15">
        <v>579663</v>
      </c>
      <c r="D1031" s="15">
        <v>140684</v>
      </c>
      <c r="E1031" s="15" t="s">
        <v>814</v>
      </c>
      <c r="F1031" s="15">
        <v>2011</v>
      </c>
      <c r="G1031" s="15">
        <v>20110317</v>
      </c>
      <c r="H1031" s="15">
        <v>18778</v>
      </c>
      <c r="I1031" s="15">
        <v>1.88</v>
      </c>
      <c r="J1031" s="6" t="s">
        <v>1400</v>
      </c>
      <c r="K1031" s="15">
        <v>210</v>
      </c>
      <c r="L1031" s="15" t="s">
        <v>262</v>
      </c>
      <c r="M1031" s="15" t="s">
        <v>5</v>
      </c>
      <c r="N1031" s="11" t="s">
        <v>1384</v>
      </c>
      <c r="O1031" s="11" t="s">
        <v>28</v>
      </c>
      <c r="P1031" s="11" t="s">
        <v>29</v>
      </c>
      <c r="Q1031" s="15">
        <v>95</v>
      </c>
      <c r="R1031" s="11" t="s">
        <v>3</v>
      </c>
      <c r="S1031" s="10">
        <v>104.2380952381</v>
      </c>
      <c r="T1031" s="15">
        <v>80</v>
      </c>
      <c r="U1031" s="15">
        <v>0</v>
      </c>
      <c r="V1031" s="15">
        <v>0</v>
      </c>
      <c r="W1031" s="15">
        <v>0</v>
      </c>
      <c r="X1031" s="15">
        <f>IF(O1031='Udvaskning nøgletal'!$D$65,1,IF(O1031='Udvaskning nøgletal'!$D$66,2,IF(O1031='Udvaskning nøgletal'!$D$67,3,IF(O1031='Udvaskning nøgletal'!$D$68,2,""))))</f>
        <v>1</v>
      </c>
      <c r="Y1031" s="15">
        <f>LOOKUP(K1031,'Udvaskning nøgletal'!$C$12:$C$60,'Udvaskning nøgletal'!$H$12:$H$60)</f>
        <v>0</v>
      </c>
      <c r="Z1031" s="10">
        <f>IF(X1031=1,LOOKUP(K1031,'Udvaskning nøgletal'!$C$12:$C$60,'Udvaskning nøgletal'!$E$12:$E$60)+Markniveau!Y1031*Markniveau!S1031/100,IF(X1031=2,LOOKUP(K1031,'Udvaskning nøgletal'!$C$12:$C$60,'Udvaskning nøgletal'!$F$12:$F$60)+Markniveau!Y1031*Markniveau!S1031/100,IF(X1031=3,LOOKUP(K1031,'Udvaskning nøgletal'!$C$12:$C$60,'Udvaskning nøgletal'!G1041:G1089)+Markniveau!Y1031*Markniveau!S1031/100,"")))</f>
        <v>38.620385460262987</v>
      </c>
      <c r="AA1031" s="10">
        <f t="shared" si="166"/>
        <v>72.606324665294409</v>
      </c>
      <c r="AB1031" s="10">
        <f t="shared" si="165"/>
        <v>1.9310192730131492</v>
      </c>
      <c r="AC1031" s="10">
        <f t="shared" si="167"/>
        <v>3.6303162332647205</v>
      </c>
      <c r="AD1031" s="10">
        <f>IF(AND(Q1031&gt;0,Q1031&lt;30,K1031&lt;8),Markniveau!Z1031*'Udvaskning nøgletal'!$I$12/100,IF(AND(Q1031&gt;0,Q1031&lt;30,K1031=216),Markniveau!Z1031*'Udvaskning nøgletal'!$I$34/100,Markniveau!Z1031))</f>
        <v>38.620385460262987</v>
      </c>
      <c r="AE1031" s="10">
        <f t="shared" si="163"/>
        <v>72.606324665294409</v>
      </c>
      <c r="AF1031" s="10">
        <f t="shared" si="168"/>
        <v>1.9310192730131492</v>
      </c>
      <c r="AG1031" s="10">
        <f t="shared" si="164"/>
        <v>3.6303162332647205</v>
      </c>
      <c r="AH1031" s="10" t="str">
        <f>IF(AND(Q1031&gt;0,Q1031&lt;30,K1031=216),'Udvaskning nøgletal'!$C$42,IF(AND(Q1031&gt;0,Q1031&lt;30,K1031&gt;7,K1031&lt;17),'Udvaskning nøgletal'!$C$61,IF(AND(Q1031&gt;0,Q1031&lt;30,K1031&lt;7),'Udvaskning nøgletal'!$C$62,"")))</f>
        <v/>
      </c>
      <c r="AI1031" s="10">
        <f t="shared" si="160"/>
        <v>210</v>
      </c>
      <c r="AJ1031" s="10">
        <f>IF($X1031=1,LOOKUP(AI1031,'Udvaskning nøgletal'!$C$12:$C$62,'Udvaskning nøgletal'!$E$12:$E$62)+Markniveau!$Y1031*Markniveau!$S1031/100,IF($X1031=2,LOOKUP(AI1031,'Udvaskning nøgletal'!$C$12:$C$62,'Udvaskning nøgletal'!$F$12:$F$62)+Markniveau!$Y1031*Markniveau!$S1031/100,IF($X1031=3,LOOKUP(AI1031,'Udvaskning nøgletal'!$C$12:$C$62,'Udvaskning nøgletal'!Q1041:Q1091)+Markniveau!$Y1031*Markniveau!$S1031/100,"")))</f>
        <v>38.620385460262987</v>
      </c>
      <c r="AK1031" s="10">
        <f t="shared" si="169"/>
        <v>72.606324665294409</v>
      </c>
      <c r="AL1031" s="10">
        <f t="shared" si="161"/>
        <v>1.9310192730131492</v>
      </c>
      <c r="AM1031" s="10">
        <f t="shared" si="162"/>
        <v>3.6303162332647205</v>
      </c>
    </row>
    <row r="1032" spans="1:39" x14ac:dyDescent="0.25">
      <c r="A1032" s="15">
        <v>32565859</v>
      </c>
      <c r="B1032" s="15">
        <v>3.78</v>
      </c>
      <c r="C1032" s="15">
        <v>578645</v>
      </c>
      <c r="D1032" s="15">
        <v>140684</v>
      </c>
      <c r="E1032" s="15" t="s">
        <v>104</v>
      </c>
      <c r="F1032" s="15">
        <v>2011</v>
      </c>
      <c r="G1032" s="15">
        <v>20110317</v>
      </c>
      <c r="H1032" s="15">
        <v>7943</v>
      </c>
      <c r="I1032" s="15">
        <v>0.79</v>
      </c>
      <c r="J1032" s="6" t="s">
        <v>34</v>
      </c>
      <c r="K1032" s="15">
        <v>260</v>
      </c>
      <c r="L1032" s="15" t="s">
        <v>45</v>
      </c>
      <c r="M1032" s="15" t="s">
        <v>5</v>
      </c>
      <c r="N1032" s="11" t="s">
        <v>1384</v>
      </c>
      <c r="O1032" s="11" t="s">
        <v>28</v>
      </c>
      <c r="P1032" s="11" t="s">
        <v>29</v>
      </c>
      <c r="Q1032" s="15">
        <v>95</v>
      </c>
      <c r="R1032" s="11" t="s">
        <v>3</v>
      </c>
      <c r="S1032" s="10">
        <v>104.2380952381</v>
      </c>
      <c r="T1032" s="15">
        <v>80</v>
      </c>
      <c r="U1032" s="15">
        <v>0</v>
      </c>
      <c r="V1032" s="15">
        <v>0</v>
      </c>
      <c r="W1032" s="15">
        <v>0</v>
      </c>
      <c r="X1032" s="15">
        <f>IF(O1032='Udvaskning nøgletal'!$D$65,1,IF(O1032='Udvaskning nøgletal'!$D$66,2,IF(O1032='Udvaskning nøgletal'!$D$67,3,IF(O1032='Udvaskning nøgletal'!$D$68,2,""))))</f>
        <v>1</v>
      </c>
      <c r="Y1032" s="15">
        <f>LOOKUP(K1032,'Udvaskning nøgletal'!$C$12:$C$60,'Udvaskning nøgletal'!$H$12:$H$60)</f>
        <v>0</v>
      </c>
      <c r="Z1032" s="10">
        <f>IF(X1032=1,LOOKUP(K1032,'Udvaskning nøgletal'!$C$12:$C$60,'Udvaskning nøgletal'!$E$12:$E$60)+Markniveau!Y1032*Markniveau!S1032/100,IF(X1032=2,LOOKUP(K1032,'Udvaskning nøgletal'!$C$12:$C$60,'Udvaskning nøgletal'!$F$12:$F$60)+Markniveau!Y1032*Markniveau!S1032/100,IF(X1032=3,LOOKUP(K1032,'Udvaskning nøgletal'!$C$12:$C$60,'Udvaskning nøgletal'!G1042:G1090)+Markniveau!Y1032*Markniveau!S1032/100,"")))</f>
        <v>33.723295792149436</v>
      </c>
      <c r="AA1032" s="10">
        <f t="shared" si="166"/>
        <v>26.641403675798056</v>
      </c>
      <c r="AB1032" s="10">
        <f t="shared" si="165"/>
        <v>1.6861647896074716</v>
      </c>
      <c r="AC1032" s="10">
        <f t="shared" si="167"/>
        <v>1.3320701837899027</v>
      </c>
      <c r="AD1032" s="10">
        <f>IF(AND(Q1032&gt;0,Q1032&lt;30,K1032&lt;8),Markniveau!Z1032*'Udvaskning nøgletal'!$I$12/100,IF(AND(Q1032&gt;0,Q1032&lt;30,K1032=216),Markniveau!Z1032*'Udvaskning nøgletal'!$I$34/100,Markniveau!Z1032))</f>
        <v>33.723295792149436</v>
      </c>
      <c r="AE1032" s="10">
        <f t="shared" si="163"/>
        <v>26.641403675798056</v>
      </c>
      <c r="AF1032" s="10">
        <f t="shared" si="168"/>
        <v>1.6861647896074716</v>
      </c>
      <c r="AG1032" s="10">
        <f t="shared" si="164"/>
        <v>1.3320701837899027</v>
      </c>
      <c r="AH1032" s="10" t="str">
        <f>IF(AND(Q1032&gt;0,Q1032&lt;30,K1032=216),'Udvaskning nøgletal'!$C$42,IF(AND(Q1032&gt;0,Q1032&lt;30,K1032&gt;7,K1032&lt;17),'Udvaskning nøgletal'!$C$61,IF(AND(Q1032&gt;0,Q1032&lt;30,K1032&lt;7),'Udvaskning nøgletal'!$C$62,"")))</f>
        <v/>
      </c>
      <c r="AI1032" s="10">
        <f t="shared" ref="AI1032:AI1095" si="170">IF(SUM(AH1032)&gt;0,AH1032,K1032)</f>
        <v>260</v>
      </c>
      <c r="AJ1032" s="10">
        <f>IF($X1032=1,LOOKUP(AI1032,'Udvaskning nøgletal'!$C$12:$C$62,'Udvaskning nøgletal'!$E$12:$E$62)+Markniveau!$Y1032*Markniveau!$S1032/100,IF($X1032=2,LOOKUP(AI1032,'Udvaskning nøgletal'!$C$12:$C$62,'Udvaskning nøgletal'!$F$12:$F$62)+Markniveau!$Y1032*Markniveau!$S1032/100,IF($X1032=3,LOOKUP(AI1032,'Udvaskning nøgletal'!$C$12:$C$62,'Udvaskning nøgletal'!Q1042:Q1092)+Markniveau!$Y1032*Markniveau!$S1032/100,"")))</f>
        <v>33.723295792149436</v>
      </c>
      <c r="AK1032" s="10">
        <f t="shared" si="169"/>
        <v>26.641403675798056</v>
      </c>
      <c r="AL1032" s="10">
        <f t="shared" si="161"/>
        <v>1.6861647896074716</v>
      </c>
      <c r="AM1032" s="10">
        <f t="shared" si="162"/>
        <v>1.3320701837899027</v>
      </c>
    </row>
    <row r="1033" spans="1:39" x14ac:dyDescent="0.25">
      <c r="A1033" s="15">
        <v>32565859</v>
      </c>
      <c r="B1033" s="15">
        <v>3.78</v>
      </c>
      <c r="C1033" s="15">
        <v>578646</v>
      </c>
      <c r="D1033" s="15">
        <v>140684</v>
      </c>
      <c r="E1033" s="15" t="s">
        <v>814</v>
      </c>
      <c r="F1033" s="15">
        <v>2011</v>
      </c>
      <c r="G1033" s="15">
        <v>20110317</v>
      </c>
      <c r="H1033" s="15">
        <v>11085</v>
      </c>
      <c r="I1033" s="15">
        <v>1.1100000000000001</v>
      </c>
      <c r="J1033" s="6" t="s">
        <v>36</v>
      </c>
      <c r="K1033" s="15">
        <v>260</v>
      </c>
      <c r="L1033" s="15" t="s">
        <v>45</v>
      </c>
      <c r="M1033" s="15" t="s">
        <v>5</v>
      </c>
      <c r="N1033" s="11" t="s">
        <v>1384</v>
      </c>
      <c r="O1033" s="11" t="s">
        <v>28</v>
      </c>
      <c r="P1033" s="11" t="s">
        <v>29</v>
      </c>
      <c r="Q1033" s="15">
        <v>95</v>
      </c>
      <c r="R1033" s="11" t="s">
        <v>3</v>
      </c>
      <c r="S1033" s="10">
        <v>104.2380952381</v>
      </c>
      <c r="T1033" s="15">
        <v>80</v>
      </c>
      <c r="U1033" s="15">
        <v>0</v>
      </c>
      <c r="V1033" s="15">
        <v>0</v>
      </c>
      <c r="W1033" s="15">
        <v>0</v>
      </c>
      <c r="X1033" s="15">
        <f>IF(O1033='Udvaskning nøgletal'!$D$65,1,IF(O1033='Udvaskning nøgletal'!$D$66,2,IF(O1033='Udvaskning nøgletal'!$D$67,3,IF(O1033='Udvaskning nøgletal'!$D$68,2,""))))</f>
        <v>1</v>
      </c>
      <c r="Y1033" s="15">
        <f>LOOKUP(K1033,'Udvaskning nøgletal'!$C$12:$C$60,'Udvaskning nøgletal'!$H$12:$H$60)</f>
        <v>0</v>
      </c>
      <c r="Z1033" s="10">
        <f>IF(X1033=1,LOOKUP(K1033,'Udvaskning nøgletal'!$C$12:$C$60,'Udvaskning nøgletal'!$E$12:$E$60)+Markniveau!Y1033*Markniveau!S1033/100,IF(X1033=2,LOOKUP(K1033,'Udvaskning nøgletal'!$C$12:$C$60,'Udvaskning nøgletal'!$F$12:$F$60)+Markniveau!Y1033*Markniveau!S1033/100,IF(X1033=3,LOOKUP(K1033,'Udvaskning nøgletal'!$C$12:$C$60,'Udvaskning nøgletal'!G1043:G1091)+Markniveau!Y1033*Markniveau!S1033/100,"")))</f>
        <v>33.723295792149436</v>
      </c>
      <c r="AA1033" s="10">
        <f t="shared" si="166"/>
        <v>37.432858329285878</v>
      </c>
      <c r="AB1033" s="10">
        <f t="shared" si="165"/>
        <v>1.6861647896074716</v>
      </c>
      <c r="AC1033" s="10">
        <f t="shared" si="167"/>
        <v>1.8716429164642936</v>
      </c>
      <c r="AD1033" s="10">
        <f>IF(AND(Q1033&gt;0,Q1033&lt;30,K1033&lt;8),Markniveau!Z1033*'Udvaskning nøgletal'!$I$12/100,IF(AND(Q1033&gt;0,Q1033&lt;30,K1033=216),Markniveau!Z1033*'Udvaskning nøgletal'!$I$34/100,Markniveau!Z1033))</f>
        <v>33.723295792149436</v>
      </c>
      <c r="AE1033" s="10">
        <f t="shared" si="163"/>
        <v>37.432858329285878</v>
      </c>
      <c r="AF1033" s="10">
        <f t="shared" si="168"/>
        <v>1.6861647896074716</v>
      </c>
      <c r="AG1033" s="10">
        <f t="shared" si="164"/>
        <v>1.8716429164642936</v>
      </c>
      <c r="AH1033" s="10" t="str">
        <f>IF(AND(Q1033&gt;0,Q1033&lt;30,K1033=216),'Udvaskning nøgletal'!$C$42,IF(AND(Q1033&gt;0,Q1033&lt;30,K1033&gt;7,K1033&lt;17),'Udvaskning nøgletal'!$C$61,IF(AND(Q1033&gt;0,Q1033&lt;30,K1033&lt;7),'Udvaskning nøgletal'!$C$62,"")))</f>
        <v/>
      </c>
      <c r="AI1033" s="10">
        <f t="shared" si="170"/>
        <v>260</v>
      </c>
      <c r="AJ1033" s="10">
        <f>IF($X1033=1,LOOKUP(AI1033,'Udvaskning nøgletal'!$C$12:$C$62,'Udvaskning nøgletal'!$E$12:$E$62)+Markniveau!$Y1033*Markniveau!$S1033/100,IF($X1033=2,LOOKUP(AI1033,'Udvaskning nøgletal'!$C$12:$C$62,'Udvaskning nøgletal'!$F$12:$F$62)+Markniveau!$Y1033*Markniveau!$S1033/100,IF($X1033=3,LOOKUP(AI1033,'Udvaskning nøgletal'!$C$12:$C$62,'Udvaskning nøgletal'!Q1043:Q1093)+Markniveau!$Y1033*Markniveau!$S1033/100,"")))</f>
        <v>33.723295792149436</v>
      </c>
      <c r="AK1033" s="10">
        <f t="shared" si="169"/>
        <v>37.432858329285878</v>
      </c>
      <c r="AL1033" s="10">
        <f t="shared" si="161"/>
        <v>1.6861647896074716</v>
      </c>
      <c r="AM1033" s="10">
        <f t="shared" si="162"/>
        <v>1.8716429164642936</v>
      </c>
    </row>
    <row r="1034" spans="1:39" x14ac:dyDescent="0.25">
      <c r="A1034" s="15">
        <v>32756883</v>
      </c>
      <c r="B1034" s="15">
        <v>1.38</v>
      </c>
      <c r="C1034" s="15">
        <v>194218</v>
      </c>
      <c r="D1034" s="15">
        <v>154097</v>
      </c>
      <c r="E1034" s="15" t="s">
        <v>466</v>
      </c>
      <c r="F1034" s="15">
        <v>2011</v>
      </c>
      <c r="G1034" s="15">
        <v>20110425</v>
      </c>
      <c r="H1034" s="15">
        <v>26202</v>
      </c>
      <c r="I1034" s="15">
        <v>2.62</v>
      </c>
      <c r="J1034" s="6" t="s">
        <v>35</v>
      </c>
      <c r="K1034" s="15">
        <v>10</v>
      </c>
      <c r="L1034" s="15" t="s">
        <v>107</v>
      </c>
      <c r="M1034" s="15" t="s">
        <v>5</v>
      </c>
      <c r="N1034" s="11" t="s">
        <v>1384</v>
      </c>
      <c r="O1034" s="11" t="s">
        <v>28</v>
      </c>
      <c r="P1034" s="11" t="s">
        <v>33</v>
      </c>
      <c r="Q1034" s="15">
        <v>0</v>
      </c>
      <c r="R1034" s="11" t="s">
        <v>1386</v>
      </c>
      <c r="S1034" s="10">
        <v>54.120980926431002</v>
      </c>
      <c r="T1034" s="15">
        <v>80</v>
      </c>
      <c r="U1034" s="15">
        <v>0</v>
      </c>
      <c r="V1034" s="15">
        <v>0</v>
      </c>
      <c r="W1034" s="15">
        <v>0</v>
      </c>
      <c r="X1034" s="15">
        <f>IF(O1034='Udvaskning nøgletal'!$D$65,1,IF(O1034='Udvaskning nøgletal'!$D$66,2,IF(O1034='Udvaskning nøgletal'!$D$67,3,IF(O1034='Udvaskning nøgletal'!$D$68,2,""))))</f>
        <v>1</v>
      </c>
      <c r="Y1034" s="15">
        <f>LOOKUP(K1034,'Udvaskning nøgletal'!$C$12:$C$60,'Udvaskning nøgletal'!$H$12:$H$60)</f>
        <v>5</v>
      </c>
      <c r="Z1034" s="10">
        <f>IF(X1034=1,LOOKUP(K1034,'Udvaskning nøgletal'!$C$12:$C$60,'Udvaskning nøgletal'!$E$12:$E$60)+Markniveau!Y1034*Markniveau!S1034/100,IF(X1034=2,LOOKUP(K1034,'Udvaskning nøgletal'!$C$12:$C$60,'Udvaskning nøgletal'!$F$12:$F$60)+Markniveau!Y1034*Markniveau!S1034/100,IF(X1034=3,LOOKUP(K1034,'Udvaskning nøgletal'!$C$12:$C$60,'Udvaskning nøgletal'!G1044:G1092)+Markniveau!Y1034*Markniveau!S1034/100,"")))</f>
        <v>67.36604904632155</v>
      </c>
      <c r="AA1034" s="10">
        <f t="shared" si="166"/>
        <v>176.49904850136247</v>
      </c>
      <c r="AB1034" s="10" t="str">
        <f t="shared" si="165"/>
        <v/>
      </c>
      <c r="AC1034" s="10" t="str">
        <f t="shared" si="167"/>
        <v/>
      </c>
      <c r="AD1034" s="10">
        <f>IF(AND(Q1034&gt;0,Q1034&lt;30,K1034&lt;8),Markniveau!Z1034*'Udvaskning nøgletal'!$I$12/100,IF(AND(Q1034&gt;0,Q1034&lt;30,K1034=216),Markniveau!Z1034*'Udvaskning nøgletal'!$I$34/100,Markniveau!Z1034))</f>
        <v>67.36604904632155</v>
      </c>
      <c r="AE1034" s="10">
        <f t="shared" si="163"/>
        <v>176.49904850136247</v>
      </c>
      <c r="AF1034" s="10" t="str">
        <f t="shared" si="168"/>
        <v/>
      </c>
      <c r="AG1034" s="10" t="str">
        <f t="shared" si="164"/>
        <v/>
      </c>
      <c r="AH1034" s="10" t="str">
        <f>IF(AND(Q1034&gt;0,Q1034&lt;30,K1034=216),'Udvaskning nøgletal'!$C$42,IF(AND(Q1034&gt;0,Q1034&lt;30,K1034&gt;7,K1034&lt;17),'Udvaskning nøgletal'!$C$61,IF(AND(Q1034&gt;0,Q1034&lt;30,K1034&lt;7),'Udvaskning nøgletal'!$C$62,"")))</f>
        <v/>
      </c>
      <c r="AI1034" s="10">
        <f t="shared" si="170"/>
        <v>10</v>
      </c>
      <c r="AJ1034" s="10">
        <f>IF($X1034=1,LOOKUP(AI1034,'Udvaskning nøgletal'!$C$12:$C$62,'Udvaskning nøgletal'!$E$12:$E$62)+Markniveau!$Y1034*Markniveau!$S1034/100,IF($X1034=2,LOOKUP(AI1034,'Udvaskning nøgletal'!$C$12:$C$62,'Udvaskning nøgletal'!$F$12:$F$62)+Markniveau!$Y1034*Markniveau!$S1034/100,IF($X1034=3,LOOKUP(AI1034,'Udvaskning nøgletal'!$C$12:$C$62,'Udvaskning nøgletal'!Q1044:Q1094)+Markniveau!$Y1034*Markniveau!$S1034/100,"")))</f>
        <v>67.36604904632155</v>
      </c>
      <c r="AK1034" s="10">
        <f t="shared" si="169"/>
        <v>176.49904850136247</v>
      </c>
      <c r="AL1034" s="10" t="str">
        <f t="shared" si="161"/>
        <v/>
      </c>
      <c r="AM1034" s="10" t="str">
        <f t="shared" si="162"/>
        <v/>
      </c>
    </row>
    <row r="1035" spans="1:39" x14ac:dyDescent="0.25">
      <c r="A1035" s="15">
        <v>32756883</v>
      </c>
      <c r="B1035" s="15">
        <v>1.38</v>
      </c>
      <c r="C1035" s="15">
        <v>194219</v>
      </c>
      <c r="D1035" s="15">
        <v>154097</v>
      </c>
      <c r="E1035" s="15" t="s">
        <v>466</v>
      </c>
      <c r="F1035" s="15">
        <v>2011</v>
      </c>
      <c r="G1035" s="15">
        <v>20110425</v>
      </c>
      <c r="H1035" s="15">
        <v>24838</v>
      </c>
      <c r="I1035" s="15">
        <v>2.48</v>
      </c>
      <c r="J1035" s="6" t="s">
        <v>69</v>
      </c>
      <c r="K1035" s="15">
        <v>10</v>
      </c>
      <c r="L1035" s="15" t="s">
        <v>107</v>
      </c>
      <c r="M1035" s="15" t="s">
        <v>5</v>
      </c>
      <c r="N1035" s="11" t="s">
        <v>1384</v>
      </c>
      <c r="O1035" s="11" t="s">
        <v>28</v>
      </c>
      <c r="P1035" s="11" t="s">
        <v>33</v>
      </c>
      <c r="Q1035" s="15">
        <v>0</v>
      </c>
      <c r="R1035" s="11" t="s">
        <v>1386</v>
      </c>
      <c r="S1035" s="10">
        <v>54.120980926431002</v>
      </c>
      <c r="T1035" s="15">
        <v>80</v>
      </c>
      <c r="U1035" s="15">
        <v>0</v>
      </c>
      <c r="V1035" s="15">
        <v>0</v>
      </c>
      <c r="W1035" s="15">
        <v>0</v>
      </c>
      <c r="X1035" s="15">
        <f>IF(O1035='Udvaskning nøgletal'!$D$65,1,IF(O1035='Udvaskning nøgletal'!$D$66,2,IF(O1035='Udvaskning nøgletal'!$D$67,3,IF(O1035='Udvaskning nøgletal'!$D$68,2,""))))</f>
        <v>1</v>
      </c>
      <c r="Y1035" s="15">
        <f>LOOKUP(K1035,'Udvaskning nøgletal'!$C$12:$C$60,'Udvaskning nøgletal'!$H$12:$H$60)</f>
        <v>5</v>
      </c>
      <c r="Z1035" s="10">
        <f>IF(X1035=1,LOOKUP(K1035,'Udvaskning nøgletal'!$C$12:$C$60,'Udvaskning nøgletal'!$E$12:$E$60)+Markniveau!Y1035*Markniveau!S1035/100,IF(X1035=2,LOOKUP(K1035,'Udvaskning nøgletal'!$C$12:$C$60,'Udvaskning nøgletal'!$F$12:$F$60)+Markniveau!Y1035*Markniveau!S1035/100,IF(X1035=3,LOOKUP(K1035,'Udvaskning nøgletal'!$C$12:$C$60,'Udvaskning nøgletal'!G1045:G1093)+Markniveau!Y1035*Markniveau!S1035/100,"")))</f>
        <v>67.36604904632155</v>
      </c>
      <c r="AA1035" s="10">
        <f t="shared" si="166"/>
        <v>167.06780163487744</v>
      </c>
      <c r="AB1035" s="10" t="str">
        <f t="shared" si="165"/>
        <v/>
      </c>
      <c r="AC1035" s="10" t="str">
        <f t="shared" si="167"/>
        <v/>
      </c>
      <c r="AD1035" s="10">
        <f>IF(AND(Q1035&gt;0,Q1035&lt;30,K1035&lt;8),Markniveau!Z1035*'Udvaskning nøgletal'!$I$12/100,IF(AND(Q1035&gt;0,Q1035&lt;30,K1035=216),Markniveau!Z1035*'Udvaskning nøgletal'!$I$34/100,Markniveau!Z1035))</f>
        <v>67.36604904632155</v>
      </c>
      <c r="AE1035" s="10">
        <f t="shared" si="163"/>
        <v>167.06780163487744</v>
      </c>
      <c r="AF1035" s="10" t="str">
        <f t="shared" si="168"/>
        <v/>
      </c>
      <c r="AG1035" s="10" t="str">
        <f t="shared" si="164"/>
        <v/>
      </c>
      <c r="AH1035" s="10" t="str">
        <f>IF(AND(Q1035&gt;0,Q1035&lt;30,K1035=216),'Udvaskning nøgletal'!$C$42,IF(AND(Q1035&gt;0,Q1035&lt;30,K1035&gt;7,K1035&lt;17),'Udvaskning nøgletal'!$C$61,IF(AND(Q1035&gt;0,Q1035&lt;30,K1035&lt;7),'Udvaskning nøgletal'!$C$62,"")))</f>
        <v/>
      </c>
      <c r="AI1035" s="10">
        <f t="shared" si="170"/>
        <v>10</v>
      </c>
      <c r="AJ1035" s="10">
        <f>IF($X1035=1,LOOKUP(AI1035,'Udvaskning nøgletal'!$C$12:$C$62,'Udvaskning nøgletal'!$E$12:$E$62)+Markniveau!$Y1035*Markniveau!$S1035/100,IF($X1035=2,LOOKUP(AI1035,'Udvaskning nøgletal'!$C$12:$C$62,'Udvaskning nøgletal'!$F$12:$F$62)+Markniveau!$Y1035*Markniveau!$S1035/100,IF($X1035=3,LOOKUP(AI1035,'Udvaskning nøgletal'!$C$12:$C$62,'Udvaskning nøgletal'!Q1045:Q1095)+Markniveau!$Y1035*Markniveau!$S1035/100,"")))</f>
        <v>67.36604904632155</v>
      </c>
      <c r="AK1035" s="10">
        <f t="shared" si="169"/>
        <v>167.06780163487744</v>
      </c>
      <c r="AL1035" s="10" t="str">
        <f t="shared" ref="AL1035:AL1098" si="171">IF($Q1035&gt;0,(100-$Q1035)*AJ1035/100,"")</f>
        <v/>
      </c>
      <c r="AM1035" s="10" t="str">
        <f t="shared" ref="AM1035:AM1098" si="172">IF($Q1035&gt;0,(100-$Q1035)*AJ1035/100*I1035,"")</f>
        <v/>
      </c>
    </row>
    <row r="1036" spans="1:39" x14ac:dyDescent="0.25">
      <c r="A1036" s="15">
        <v>32756883</v>
      </c>
      <c r="B1036" s="15">
        <v>1.38</v>
      </c>
      <c r="C1036" s="15">
        <v>194704</v>
      </c>
      <c r="D1036" s="15">
        <v>154097</v>
      </c>
      <c r="E1036" s="15" t="s">
        <v>679</v>
      </c>
      <c r="F1036" s="15">
        <v>2011</v>
      </c>
      <c r="G1036" s="15">
        <v>20110425</v>
      </c>
      <c r="H1036" s="15">
        <v>9992</v>
      </c>
      <c r="I1036" s="15">
        <v>1</v>
      </c>
      <c r="J1036" s="6" t="s">
        <v>37</v>
      </c>
      <c r="K1036" s="15">
        <v>260</v>
      </c>
      <c r="L1036" s="15" t="s">
        <v>45</v>
      </c>
      <c r="M1036" s="15" t="s">
        <v>5</v>
      </c>
      <c r="N1036" s="11" t="s">
        <v>1384</v>
      </c>
      <c r="O1036" s="11" t="s">
        <v>28</v>
      </c>
      <c r="P1036" s="11" t="s">
        <v>33</v>
      </c>
      <c r="Q1036" s="15">
        <v>0</v>
      </c>
      <c r="R1036" s="11" t="s">
        <v>1386</v>
      </c>
      <c r="S1036" s="10">
        <v>54.120980926431002</v>
      </c>
      <c r="T1036" s="15">
        <v>80</v>
      </c>
      <c r="U1036" s="15">
        <v>0</v>
      </c>
      <c r="V1036" s="15">
        <v>0</v>
      </c>
      <c r="W1036" s="15">
        <v>0</v>
      </c>
      <c r="X1036" s="15">
        <f>IF(O1036='Udvaskning nøgletal'!$D$65,1,IF(O1036='Udvaskning nøgletal'!$D$66,2,IF(O1036='Udvaskning nøgletal'!$D$67,3,IF(O1036='Udvaskning nøgletal'!$D$68,2,""))))</f>
        <v>1</v>
      </c>
      <c r="Y1036" s="15">
        <f>LOOKUP(K1036,'Udvaskning nøgletal'!$C$12:$C$60,'Udvaskning nøgletal'!$H$12:$H$60)</f>
        <v>0</v>
      </c>
      <c r="Z1036" s="10">
        <f>IF(X1036=1,LOOKUP(K1036,'Udvaskning nøgletal'!$C$12:$C$60,'Udvaskning nøgletal'!$E$12:$E$60)+Markniveau!Y1036*Markniveau!S1036/100,IF(X1036=2,LOOKUP(K1036,'Udvaskning nøgletal'!$C$12:$C$60,'Udvaskning nøgletal'!$F$12:$F$60)+Markniveau!Y1036*Markniveau!S1036/100,IF(X1036=3,LOOKUP(K1036,'Udvaskning nøgletal'!$C$12:$C$60,'Udvaskning nøgletal'!G1046:G1094)+Markniveau!Y1036*Markniveau!S1036/100,"")))</f>
        <v>33.723295792149436</v>
      </c>
      <c r="AA1036" s="10">
        <f t="shared" si="166"/>
        <v>33.723295792149436</v>
      </c>
      <c r="AB1036" s="10" t="str">
        <f t="shared" si="165"/>
        <v/>
      </c>
      <c r="AC1036" s="10" t="str">
        <f t="shared" si="167"/>
        <v/>
      </c>
      <c r="AD1036" s="10">
        <f>IF(AND(Q1036&gt;0,Q1036&lt;30,K1036&lt;8),Markniveau!Z1036*'Udvaskning nøgletal'!$I$12/100,IF(AND(Q1036&gt;0,Q1036&lt;30,K1036=216),Markniveau!Z1036*'Udvaskning nøgletal'!$I$34/100,Markniveau!Z1036))</f>
        <v>33.723295792149436</v>
      </c>
      <c r="AE1036" s="10">
        <f t="shared" si="163"/>
        <v>33.723295792149436</v>
      </c>
      <c r="AF1036" s="10" t="str">
        <f t="shared" si="168"/>
        <v/>
      </c>
      <c r="AG1036" s="10" t="str">
        <f t="shared" si="164"/>
        <v/>
      </c>
      <c r="AH1036" s="10" t="str">
        <f>IF(AND(Q1036&gt;0,Q1036&lt;30,K1036=216),'Udvaskning nøgletal'!$C$42,IF(AND(Q1036&gt;0,Q1036&lt;30,K1036&gt;7,K1036&lt;17),'Udvaskning nøgletal'!$C$61,IF(AND(Q1036&gt;0,Q1036&lt;30,K1036&lt;7),'Udvaskning nøgletal'!$C$62,"")))</f>
        <v/>
      </c>
      <c r="AI1036" s="10">
        <f t="shared" si="170"/>
        <v>260</v>
      </c>
      <c r="AJ1036" s="10">
        <f>IF($X1036=1,LOOKUP(AI1036,'Udvaskning nøgletal'!$C$12:$C$62,'Udvaskning nøgletal'!$E$12:$E$62)+Markniveau!$Y1036*Markniveau!$S1036/100,IF($X1036=2,LOOKUP(AI1036,'Udvaskning nøgletal'!$C$12:$C$62,'Udvaskning nøgletal'!$F$12:$F$62)+Markniveau!$Y1036*Markniveau!$S1036/100,IF($X1036=3,LOOKUP(AI1036,'Udvaskning nøgletal'!$C$12:$C$62,'Udvaskning nøgletal'!Q1046:Q1096)+Markniveau!$Y1036*Markniveau!$S1036/100,"")))</f>
        <v>33.723295792149436</v>
      </c>
      <c r="AK1036" s="10">
        <f t="shared" si="169"/>
        <v>33.723295792149436</v>
      </c>
      <c r="AL1036" s="10" t="str">
        <f t="shared" si="171"/>
        <v/>
      </c>
      <c r="AM1036" s="10" t="str">
        <f t="shared" si="172"/>
        <v/>
      </c>
    </row>
    <row r="1037" spans="1:39" x14ac:dyDescent="0.25">
      <c r="A1037" s="15">
        <v>32756883</v>
      </c>
      <c r="B1037" s="15">
        <v>1.38</v>
      </c>
      <c r="C1037" s="15">
        <v>194705</v>
      </c>
      <c r="D1037" s="15">
        <v>154097</v>
      </c>
      <c r="E1037" s="15" t="s">
        <v>815</v>
      </c>
      <c r="F1037" s="15">
        <v>2011</v>
      </c>
      <c r="G1037" s="15">
        <v>20110425</v>
      </c>
      <c r="H1037" s="15">
        <v>47045</v>
      </c>
      <c r="I1037" s="15">
        <v>4.7</v>
      </c>
      <c r="J1037" s="6" t="s">
        <v>31</v>
      </c>
      <c r="K1037" s="15">
        <v>1</v>
      </c>
      <c r="L1037" s="15" t="s">
        <v>32</v>
      </c>
      <c r="M1037" s="15" t="s">
        <v>5</v>
      </c>
      <c r="N1037" s="11" t="s">
        <v>1384</v>
      </c>
      <c r="O1037" s="11" t="s">
        <v>28</v>
      </c>
      <c r="P1037" s="11" t="s">
        <v>33</v>
      </c>
      <c r="Q1037" s="15">
        <v>0</v>
      </c>
      <c r="R1037" s="11" t="s">
        <v>1386</v>
      </c>
      <c r="S1037" s="10">
        <v>54.120980926431002</v>
      </c>
      <c r="T1037" s="15">
        <v>80</v>
      </c>
      <c r="U1037" s="15">
        <v>0</v>
      </c>
      <c r="V1037" s="15">
        <v>0</v>
      </c>
      <c r="W1037" s="15">
        <v>0</v>
      </c>
      <c r="X1037" s="15">
        <f>IF(O1037='Udvaskning nøgletal'!$D$65,1,IF(O1037='Udvaskning nøgletal'!$D$66,2,IF(O1037='Udvaskning nøgletal'!$D$67,3,IF(O1037='Udvaskning nøgletal'!$D$68,2,""))))</f>
        <v>1</v>
      </c>
      <c r="Y1037" s="15">
        <f>LOOKUP(K1037,'Udvaskning nøgletal'!$C$12:$C$60,'Udvaskning nøgletal'!$H$12:$H$60)</f>
        <v>5</v>
      </c>
      <c r="Z1037" s="10">
        <f>IF(X1037=1,LOOKUP(K1037,'Udvaskning nøgletal'!$C$12:$C$60,'Udvaskning nøgletal'!$E$12:$E$60)+Markniveau!Y1037*Markniveau!S1037/100,IF(X1037=2,LOOKUP(K1037,'Udvaskning nøgletal'!$C$12:$C$60,'Udvaskning nøgletal'!$F$12:$F$60)+Markniveau!Y1037*Markniveau!S1037/100,IF(X1037=3,LOOKUP(K1037,'Udvaskning nøgletal'!$C$12:$C$60,'Udvaskning nøgletal'!G1047:G1095)+Markniveau!Y1037*Markniveau!S1037/100,"")))</f>
        <v>67.36604904632155</v>
      </c>
      <c r="AA1037" s="10">
        <f t="shared" si="166"/>
        <v>316.62043051771127</v>
      </c>
      <c r="AB1037" s="10" t="str">
        <f t="shared" si="165"/>
        <v/>
      </c>
      <c r="AC1037" s="10" t="str">
        <f t="shared" si="167"/>
        <v/>
      </c>
      <c r="AD1037" s="10">
        <f>IF(AND(Q1037&gt;0,Q1037&lt;30,K1037&lt;8),Markniveau!Z1037*'Udvaskning nøgletal'!$I$12/100,IF(AND(Q1037&gt;0,Q1037&lt;30,K1037=216),Markniveau!Z1037*'Udvaskning nøgletal'!$I$34/100,Markniveau!Z1037))</f>
        <v>67.36604904632155</v>
      </c>
      <c r="AE1037" s="10">
        <f t="shared" si="163"/>
        <v>316.62043051771127</v>
      </c>
      <c r="AF1037" s="10" t="str">
        <f t="shared" si="168"/>
        <v/>
      </c>
      <c r="AG1037" s="10" t="str">
        <f t="shared" si="164"/>
        <v/>
      </c>
      <c r="AH1037" s="10" t="str">
        <f>IF(AND(Q1037&gt;0,Q1037&lt;30,K1037=216),'Udvaskning nøgletal'!$C$42,IF(AND(Q1037&gt;0,Q1037&lt;30,K1037&gt;7,K1037&lt;17),'Udvaskning nøgletal'!$C$61,IF(AND(Q1037&gt;0,Q1037&lt;30,K1037&lt;7),'Udvaskning nøgletal'!$C$62,"")))</f>
        <v/>
      </c>
      <c r="AI1037" s="10">
        <f t="shared" si="170"/>
        <v>1</v>
      </c>
      <c r="AJ1037" s="10">
        <f>IF($X1037=1,LOOKUP(AI1037,'Udvaskning nøgletal'!$C$12:$C$62,'Udvaskning nøgletal'!$E$12:$E$62)+Markniveau!$Y1037*Markniveau!$S1037/100,IF($X1037=2,LOOKUP(AI1037,'Udvaskning nøgletal'!$C$12:$C$62,'Udvaskning nøgletal'!$F$12:$F$62)+Markniveau!$Y1037*Markniveau!$S1037/100,IF($X1037=3,LOOKUP(AI1037,'Udvaskning nøgletal'!$C$12:$C$62,'Udvaskning nøgletal'!Q1047:Q1097)+Markniveau!$Y1037*Markniveau!$S1037/100,"")))</f>
        <v>67.36604904632155</v>
      </c>
      <c r="AK1037" s="10">
        <f t="shared" si="169"/>
        <v>316.62043051771127</v>
      </c>
      <c r="AL1037" s="10" t="str">
        <f t="shared" si="171"/>
        <v/>
      </c>
      <c r="AM1037" s="10" t="str">
        <f t="shared" si="172"/>
        <v/>
      </c>
    </row>
    <row r="1038" spans="1:39" x14ac:dyDescent="0.25">
      <c r="A1038" s="15">
        <v>32756883</v>
      </c>
      <c r="B1038" s="15">
        <v>1.38</v>
      </c>
      <c r="C1038" s="15">
        <v>194706</v>
      </c>
      <c r="D1038" s="15">
        <v>154097</v>
      </c>
      <c r="E1038" s="15" t="s">
        <v>679</v>
      </c>
      <c r="F1038" s="15">
        <v>2011</v>
      </c>
      <c r="G1038" s="15">
        <v>20110425</v>
      </c>
      <c r="H1038" s="15">
        <v>11361</v>
      </c>
      <c r="I1038" s="15">
        <v>1.1399999999999999</v>
      </c>
      <c r="J1038" s="6" t="s">
        <v>61</v>
      </c>
      <c r="K1038" s="15">
        <v>1</v>
      </c>
      <c r="L1038" s="15" t="s">
        <v>32</v>
      </c>
      <c r="M1038" s="15" t="s">
        <v>5</v>
      </c>
      <c r="N1038" s="11" t="s">
        <v>1384</v>
      </c>
      <c r="O1038" s="11" t="s">
        <v>28</v>
      </c>
      <c r="P1038" s="11" t="s">
        <v>33</v>
      </c>
      <c r="Q1038" s="15">
        <v>0</v>
      </c>
      <c r="R1038" s="11" t="s">
        <v>1386</v>
      </c>
      <c r="S1038" s="10">
        <v>54.120980926431002</v>
      </c>
      <c r="T1038" s="15">
        <v>80</v>
      </c>
      <c r="U1038" s="15">
        <v>0</v>
      </c>
      <c r="V1038" s="15">
        <v>0</v>
      </c>
      <c r="W1038" s="15">
        <v>0</v>
      </c>
      <c r="X1038" s="15">
        <f>IF(O1038='Udvaskning nøgletal'!$D$65,1,IF(O1038='Udvaskning nøgletal'!$D$66,2,IF(O1038='Udvaskning nøgletal'!$D$67,3,IF(O1038='Udvaskning nøgletal'!$D$68,2,""))))</f>
        <v>1</v>
      </c>
      <c r="Y1038" s="15">
        <f>LOOKUP(K1038,'Udvaskning nøgletal'!$C$12:$C$60,'Udvaskning nøgletal'!$H$12:$H$60)</f>
        <v>5</v>
      </c>
      <c r="Z1038" s="10">
        <f>IF(X1038=1,LOOKUP(K1038,'Udvaskning nøgletal'!$C$12:$C$60,'Udvaskning nøgletal'!$E$12:$E$60)+Markniveau!Y1038*Markniveau!S1038/100,IF(X1038=2,LOOKUP(K1038,'Udvaskning nøgletal'!$C$12:$C$60,'Udvaskning nøgletal'!$F$12:$F$60)+Markniveau!Y1038*Markniveau!S1038/100,IF(X1038=3,LOOKUP(K1038,'Udvaskning nøgletal'!$C$12:$C$60,'Udvaskning nøgletal'!G1048:G1096)+Markniveau!Y1038*Markniveau!S1038/100,"")))</f>
        <v>67.36604904632155</v>
      </c>
      <c r="AA1038" s="10">
        <f t="shared" si="166"/>
        <v>76.797295912806561</v>
      </c>
      <c r="AB1038" s="10" t="str">
        <f t="shared" si="165"/>
        <v/>
      </c>
      <c r="AC1038" s="10" t="str">
        <f t="shared" si="167"/>
        <v/>
      </c>
      <c r="AD1038" s="10">
        <f>IF(AND(Q1038&gt;0,Q1038&lt;30,K1038&lt;8),Markniveau!Z1038*'Udvaskning nøgletal'!$I$12/100,IF(AND(Q1038&gt;0,Q1038&lt;30,K1038=216),Markniveau!Z1038*'Udvaskning nøgletal'!$I$34/100,Markniveau!Z1038))</f>
        <v>67.36604904632155</v>
      </c>
      <c r="AE1038" s="10">
        <f t="shared" si="163"/>
        <v>76.797295912806561</v>
      </c>
      <c r="AF1038" s="10" t="str">
        <f t="shared" si="168"/>
        <v/>
      </c>
      <c r="AG1038" s="10" t="str">
        <f t="shared" si="164"/>
        <v/>
      </c>
      <c r="AH1038" s="10" t="str">
        <f>IF(AND(Q1038&gt;0,Q1038&lt;30,K1038=216),'Udvaskning nøgletal'!$C$42,IF(AND(Q1038&gt;0,Q1038&lt;30,K1038&gt;7,K1038&lt;17),'Udvaskning nøgletal'!$C$61,IF(AND(Q1038&gt;0,Q1038&lt;30,K1038&lt;7),'Udvaskning nøgletal'!$C$62,"")))</f>
        <v/>
      </c>
      <c r="AI1038" s="10">
        <f t="shared" si="170"/>
        <v>1</v>
      </c>
      <c r="AJ1038" s="10">
        <f>IF($X1038=1,LOOKUP(AI1038,'Udvaskning nøgletal'!$C$12:$C$62,'Udvaskning nøgletal'!$E$12:$E$62)+Markniveau!$Y1038*Markniveau!$S1038/100,IF($X1038=2,LOOKUP(AI1038,'Udvaskning nøgletal'!$C$12:$C$62,'Udvaskning nøgletal'!$F$12:$F$62)+Markniveau!$Y1038*Markniveau!$S1038/100,IF($X1038=3,LOOKUP(AI1038,'Udvaskning nøgletal'!$C$12:$C$62,'Udvaskning nøgletal'!Q1048:Q1098)+Markniveau!$Y1038*Markniveau!$S1038/100,"")))</f>
        <v>67.36604904632155</v>
      </c>
      <c r="AK1038" s="10">
        <f t="shared" si="169"/>
        <v>76.797295912806561</v>
      </c>
      <c r="AL1038" s="10" t="str">
        <f t="shared" si="171"/>
        <v/>
      </c>
      <c r="AM1038" s="10" t="str">
        <f t="shared" si="172"/>
        <v/>
      </c>
    </row>
    <row r="1039" spans="1:39" x14ac:dyDescent="0.25">
      <c r="A1039" s="15">
        <v>32756883</v>
      </c>
      <c r="B1039" s="15">
        <v>1.38</v>
      </c>
      <c r="C1039" s="15">
        <v>194707</v>
      </c>
      <c r="D1039" s="15">
        <v>154097</v>
      </c>
      <c r="E1039" s="15" t="s">
        <v>679</v>
      </c>
      <c r="F1039" s="15">
        <v>2011</v>
      </c>
      <c r="G1039" s="15">
        <v>20110425</v>
      </c>
      <c r="H1039" s="15">
        <v>9496</v>
      </c>
      <c r="I1039" s="15">
        <v>0.95</v>
      </c>
      <c r="J1039" s="6" t="s">
        <v>97</v>
      </c>
      <c r="K1039" s="15">
        <v>260</v>
      </c>
      <c r="L1039" s="15" t="s">
        <v>45</v>
      </c>
      <c r="M1039" s="15" t="s">
        <v>5</v>
      </c>
      <c r="N1039" s="11" t="s">
        <v>1384</v>
      </c>
      <c r="O1039" s="11" t="s">
        <v>28</v>
      </c>
      <c r="P1039" s="11" t="s">
        <v>33</v>
      </c>
      <c r="Q1039" s="15">
        <v>0</v>
      </c>
      <c r="R1039" s="11" t="s">
        <v>1386</v>
      </c>
      <c r="S1039" s="10">
        <v>54.120980926431002</v>
      </c>
      <c r="T1039" s="15">
        <v>80</v>
      </c>
      <c r="U1039" s="15">
        <v>0</v>
      </c>
      <c r="V1039" s="15">
        <v>0</v>
      </c>
      <c r="W1039" s="15">
        <v>0</v>
      </c>
      <c r="X1039" s="15">
        <f>IF(O1039='Udvaskning nøgletal'!$D$65,1,IF(O1039='Udvaskning nøgletal'!$D$66,2,IF(O1039='Udvaskning nøgletal'!$D$67,3,IF(O1039='Udvaskning nøgletal'!$D$68,2,""))))</f>
        <v>1</v>
      </c>
      <c r="Y1039" s="15">
        <f>LOOKUP(K1039,'Udvaskning nøgletal'!$C$12:$C$60,'Udvaskning nøgletal'!$H$12:$H$60)</f>
        <v>0</v>
      </c>
      <c r="Z1039" s="10">
        <f>IF(X1039=1,LOOKUP(K1039,'Udvaskning nøgletal'!$C$12:$C$60,'Udvaskning nøgletal'!$E$12:$E$60)+Markniveau!Y1039*Markniveau!S1039/100,IF(X1039=2,LOOKUP(K1039,'Udvaskning nøgletal'!$C$12:$C$60,'Udvaskning nøgletal'!$F$12:$F$60)+Markniveau!Y1039*Markniveau!S1039/100,IF(X1039=3,LOOKUP(K1039,'Udvaskning nøgletal'!$C$12:$C$60,'Udvaskning nøgletal'!G1049:G1097)+Markniveau!Y1039*Markniveau!S1039/100,"")))</f>
        <v>33.723295792149436</v>
      </c>
      <c r="AA1039" s="10">
        <f t="shared" si="166"/>
        <v>32.037131002541962</v>
      </c>
      <c r="AB1039" s="10" t="str">
        <f t="shared" si="165"/>
        <v/>
      </c>
      <c r="AC1039" s="10" t="str">
        <f t="shared" si="167"/>
        <v/>
      </c>
      <c r="AD1039" s="10">
        <f>IF(AND(Q1039&gt;0,Q1039&lt;30,K1039&lt;8),Markniveau!Z1039*'Udvaskning nøgletal'!$I$12/100,IF(AND(Q1039&gt;0,Q1039&lt;30,K1039=216),Markniveau!Z1039*'Udvaskning nøgletal'!$I$34/100,Markniveau!Z1039))</f>
        <v>33.723295792149436</v>
      </c>
      <c r="AE1039" s="10">
        <f t="shared" si="163"/>
        <v>32.037131002541962</v>
      </c>
      <c r="AF1039" s="10" t="str">
        <f t="shared" si="168"/>
        <v/>
      </c>
      <c r="AG1039" s="10" t="str">
        <f t="shared" si="164"/>
        <v/>
      </c>
      <c r="AH1039" s="10" t="str">
        <f>IF(AND(Q1039&gt;0,Q1039&lt;30,K1039=216),'Udvaskning nøgletal'!$C$42,IF(AND(Q1039&gt;0,Q1039&lt;30,K1039&gt;7,K1039&lt;17),'Udvaskning nøgletal'!$C$61,IF(AND(Q1039&gt;0,Q1039&lt;30,K1039&lt;7),'Udvaskning nøgletal'!$C$62,"")))</f>
        <v/>
      </c>
      <c r="AI1039" s="10">
        <f t="shared" si="170"/>
        <v>260</v>
      </c>
      <c r="AJ1039" s="10">
        <f>IF($X1039=1,LOOKUP(AI1039,'Udvaskning nøgletal'!$C$12:$C$62,'Udvaskning nøgletal'!$E$12:$E$62)+Markniveau!$Y1039*Markniveau!$S1039/100,IF($X1039=2,LOOKUP(AI1039,'Udvaskning nøgletal'!$C$12:$C$62,'Udvaskning nøgletal'!$F$12:$F$62)+Markniveau!$Y1039*Markniveau!$S1039/100,IF($X1039=3,LOOKUP(AI1039,'Udvaskning nøgletal'!$C$12:$C$62,'Udvaskning nøgletal'!Q1049:Q1099)+Markniveau!$Y1039*Markniveau!$S1039/100,"")))</f>
        <v>33.723295792149436</v>
      </c>
      <c r="AK1039" s="10">
        <f t="shared" si="169"/>
        <v>32.037131002541962</v>
      </c>
      <c r="AL1039" s="10" t="str">
        <f t="shared" si="171"/>
        <v/>
      </c>
      <c r="AM1039" s="10" t="str">
        <f t="shared" si="172"/>
        <v/>
      </c>
    </row>
    <row r="1040" spans="1:39" x14ac:dyDescent="0.25">
      <c r="A1040" s="15">
        <v>32756883</v>
      </c>
      <c r="B1040" s="15">
        <v>1.38</v>
      </c>
      <c r="C1040" s="15">
        <v>194708</v>
      </c>
      <c r="D1040" s="15">
        <v>154097</v>
      </c>
      <c r="E1040" s="15" t="s">
        <v>680</v>
      </c>
      <c r="F1040" s="15">
        <v>2011</v>
      </c>
      <c r="G1040" s="15">
        <v>20110425</v>
      </c>
      <c r="H1040" s="15">
        <v>13824</v>
      </c>
      <c r="I1040" s="15">
        <v>1.38</v>
      </c>
      <c r="J1040" s="6" t="s">
        <v>38</v>
      </c>
      <c r="K1040" s="15">
        <v>15</v>
      </c>
      <c r="L1040" s="15" t="s">
        <v>362</v>
      </c>
      <c r="M1040" s="15" t="s">
        <v>5</v>
      </c>
      <c r="N1040" s="11" t="s">
        <v>1384</v>
      </c>
      <c r="O1040" s="11" t="s">
        <v>28</v>
      </c>
      <c r="P1040" s="11" t="s">
        <v>29</v>
      </c>
      <c r="Q1040" s="15">
        <v>95</v>
      </c>
      <c r="R1040" s="11" t="s">
        <v>3</v>
      </c>
      <c r="S1040" s="10">
        <v>54.120980926431002</v>
      </c>
      <c r="T1040" s="15">
        <v>80</v>
      </c>
      <c r="U1040" s="15">
        <v>0</v>
      </c>
      <c r="V1040" s="15">
        <v>0</v>
      </c>
      <c r="W1040" s="15">
        <v>0</v>
      </c>
      <c r="X1040" s="15">
        <f>IF(O1040='Udvaskning nøgletal'!$D$65,1,IF(O1040='Udvaskning nøgletal'!$D$66,2,IF(O1040='Udvaskning nøgletal'!$D$67,3,IF(O1040='Udvaskning nøgletal'!$D$68,2,""))))</f>
        <v>1</v>
      </c>
      <c r="Y1040" s="15">
        <f>LOOKUP(K1040,'Udvaskning nøgletal'!$C$12:$C$60,'Udvaskning nøgletal'!$H$12:$H$60)</f>
        <v>5</v>
      </c>
      <c r="Z1040" s="10">
        <f>IF(X1040=1,LOOKUP(K1040,'Udvaskning nøgletal'!$C$12:$C$60,'Udvaskning nøgletal'!$E$12:$E$60)+Markniveau!Y1040*Markniveau!S1040/100,IF(X1040=2,LOOKUP(K1040,'Udvaskning nøgletal'!$C$12:$C$60,'Udvaskning nøgletal'!$F$12:$F$60)+Markniveau!Y1040*Markniveau!S1040/100,IF(X1040=3,LOOKUP(K1040,'Udvaskning nøgletal'!$C$12:$C$60,'Udvaskning nøgletal'!G1050:G1098)+Markniveau!Y1040*Markniveau!S1040/100,"")))</f>
        <v>67.36604904632155</v>
      </c>
      <c r="AA1040" s="10">
        <f t="shared" si="166"/>
        <v>92.965147683923732</v>
      </c>
      <c r="AB1040" s="10">
        <f t="shared" si="165"/>
        <v>3.3683024523160778</v>
      </c>
      <c r="AC1040" s="10">
        <f t="shared" si="167"/>
        <v>4.6482573841961869</v>
      </c>
      <c r="AD1040" s="10">
        <f>IF(AND(Q1040&gt;0,Q1040&lt;30,K1040&lt;8),Markniveau!Z1040*'Udvaskning nøgletal'!$I$12/100,IF(AND(Q1040&gt;0,Q1040&lt;30,K1040=216),Markniveau!Z1040*'Udvaskning nøgletal'!$I$34/100,Markniveau!Z1040))</f>
        <v>67.36604904632155</v>
      </c>
      <c r="AE1040" s="10">
        <f t="shared" si="163"/>
        <v>92.965147683923732</v>
      </c>
      <c r="AF1040" s="10">
        <f t="shared" si="168"/>
        <v>3.3683024523160778</v>
      </c>
      <c r="AG1040" s="10">
        <f t="shared" si="164"/>
        <v>4.6482573841961869</v>
      </c>
      <c r="AH1040" s="10" t="str">
        <f>IF(AND(Q1040&gt;0,Q1040&lt;30,K1040=216),'Udvaskning nøgletal'!$C$42,IF(AND(Q1040&gt;0,Q1040&lt;30,K1040&gt;7,K1040&lt;17),'Udvaskning nøgletal'!$C$61,IF(AND(Q1040&gt;0,Q1040&lt;30,K1040&lt;7),'Udvaskning nøgletal'!$C$62,"")))</f>
        <v/>
      </c>
      <c r="AI1040" s="10">
        <f t="shared" si="170"/>
        <v>15</v>
      </c>
      <c r="AJ1040" s="10">
        <f>IF($X1040=1,LOOKUP(AI1040,'Udvaskning nøgletal'!$C$12:$C$62,'Udvaskning nøgletal'!$E$12:$E$62)+Markniveau!$Y1040*Markniveau!$S1040/100,IF($X1040=2,LOOKUP(AI1040,'Udvaskning nøgletal'!$C$12:$C$62,'Udvaskning nøgletal'!$F$12:$F$62)+Markniveau!$Y1040*Markniveau!$S1040/100,IF($X1040=3,LOOKUP(AI1040,'Udvaskning nøgletal'!$C$12:$C$62,'Udvaskning nøgletal'!Q1050:Q1100)+Markniveau!$Y1040*Markniveau!$S1040/100,"")))</f>
        <v>67.36604904632155</v>
      </c>
      <c r="AK1040" s="10">
        <f t="shared" si="169"/>
        <v>92.965147683923732</v>
      </c>
      <c r="AL1040" s="10">
        <f t="shared" si="171"/>
        <v>3.3683024523160778</v>
      </c>
      <c r="AM1040" s="10">
        <f t="shared" si="172"/>
        <v>4.6482573841961869</v>
      </c>
    </row>
    <row r="1041" spans="1:39" x14ac:dyDescent="0.25">
      <c r="A1041" s="15">
        <v>32756883</v>
      </c>
      <c r="B1041" s="15">
        <v>1.38</v>
      </c>
      <c r="C1041" s="15">
        <v>194709</v>
      </c>
      <c r="D1041" s="15">
        <v>154097</v>
      </c>
      <c r="E1041" s="15" t="s">
        <v>816</v>
      </c>
      <c r="F1041" s="15">
        <v>2011</v>
      </c>
      <c r="G1041" s="15">
        <v>20110425</v>
      </c>
      <c r="H1041" s="15">
        <v>16274</v>
      </c>
      <c r="I1041" s="15">
        <v>1.63</v>
      </c>
      <c r="J1041" s="6" t="s">
        <v>91</v>
      </c>
      <c r="K1041" s="15">
        <v>252</v>
      </c>
      <c r="L1041" s="15" t="s">
        <v>41</v>
      </c>
      <c r="M1041" s="15" t="s">
        <v>4</v>
      </c>
      <c r="N1041" s="11" t="s">
        <v>1384</v>
      </c>
      <c r="O1041" s="11" t="s">
        <v>28</v>
      </c>
      <c r="P1041" s="11" t="s">
        <v>33</v>
      </c>
      <c r="Q1041" s="15">
        <v>40</v>
      </c>
      <c r="R1041" s="11" t="s">
        <v>6</v>
      </c>
      <c r="S1041" s="10">
        <v>54.120980926431002</v>
      </c>
      <c r="T1041" s="15">
        <v>80</v>
      </c>
      <c r="U1041" s="15">
        <v>0</v>
      </c>
      <c r="V1041" s="15">
        <v>0</v>
      </c>
      <c r="W1041" s="15">
        <v>0</v>
      </c>
      <c r="X1041" s="15">
        <f>IF(O1041='Udvaskning nøgletal'!$D$65,1,IF(O1041='Udvaskning nøgletal'!$D$66,2,IF(O1041='Udvaskning nøgletal'!$D$67,3,IF(O1041='Udvaskning nøgletal'!$D$68,2,""))))</f>
        <v>1</v>
      </c>
      <c r="Y1041" s="15">
        <f>LOOKUP(K1041,'Udvaskning nøgletal'!$C$12:$C$60,'Udvaskning nøgletal'!$H$12:$H$60)</f>
        <v>0</v>
      </c>
      <c r="Z1041" s="10">
        <f>IF(X1041=1,LOOKUP(K1041,'Udvaskning nøgletal'!$C$12:$C$60,'Udvaskning nøgletal'!$E$12:$E$60)+Markniveau!Y1041*Markniveau!S1041/100,IF(X1041=2,LOOKUP(K1041,'Udvaskning nøgletal'!$C$12:$C$60,'Udvaskning nøgletal'!$F$12:$F$60)+Markniveau!Y1041*Markniveau!S1041/100,IF(X1041=3,LOOKUP(K1041,'Udvaskning nøgletal'!$C$12:$C$60,'Udvaskning nøgletal'!G1051:G1099)+Markniveau!Y1041*Markniveau!S1041/100,"")))</f>
        <v>21.2</v>
      </c>
      <c r="AA1041" s="10">
        <f t="shared" si="166"/>
        <v>34.555999999999997</v>
      </c>
      <c r="AB1041" s="10">
        <f t="shared" si="165"/>
        <v>12.72</v>
      </c>
      <c r="AC1041" s="10">
        <f t="shared" si="167"/>
        <v>20.733599999999999</v>
      </c>
      <c r="AD1041" s="10">
        <f>IF(AND(Q1041&gt;0,Q1041&lt;30,K1041&lt;8),Markniveau!Z1041*'Udvaskning nøgletal'!$I$12/100,IF(AND(Q1041&gt;0,Q1041&lt;30,K1041=216),Markniveau!Z1041*'Udvaskning nøgletal'!$I$34/100,Markniveau!Z1041))</f>
        <v>21.2</v>
      </c>
      <c r="AE1041" s="10">
        <f t="shared" ref="AE1041:AE1104" si="173">AD1041*I1041</f>
        <v>34.555999999999997</v>
      </c>
      <c r="AF1041" s="10">
        <f t="shared" si="168"/>
        <v>12.72</v>
      </c>
      <c r="AG1041" s="10">
        <f t="shared" ref="AG1041:AG1104" si="174">IF($Q1041&gt;0,(100-$Q1041)*$AD1041/100*I1041,"")</f>
        <v>20.733599999999999</v>
      </c>
      <c r="AH1041" s="10" t="str">
        <f>IF(AND(Q1041&gt;0,Q1041&lt;30,K1041=216),'Udvaskning nøgletal'!$C$42,IF(AND(Q1041&gt;0,Q1041&lt;30,K1041&gt;7,K1041&lt;17),'Udvaskning nøgletal'!$C$61,IF(AND(Q1041&gt;0,Q1041&lt;30,K1041&lt;7),'Udvaskning nøgletal'!$C$62,"")))</f>
        <v/>
      </c>
      <c r="AI1041" s="10">
        <f t="shared" si="170"/>
        <v>252</v>
      </c>
      <c r="AJ1041" s="10">
        <f>IF($X1041=1,LOOKUP(AI1041,'Udvaskning nøgletal'!$C$12:$C$62,'Udvaskning nøgletal'!$E$12:$E$62)+Markniveau!$Y1041*Markniveau!$S1041/100,IF($X1041=2,LOOKUP(AI1041,'Udvaskning nøgletal'!$C$12:$C$62,'Udvaskning nøgletal'!$F$12:$F$62)+Markniveau!$Y1041*Markniveau!$S1041/100,IF($X1041=3,LOOKUP(AI1041,'Udvaskning nøgletal'!$C$12:$C$62,'Udvaskning nøgletal'!Q1051:Q1101)+Markniveau!$Y1041*Markniveau!$S1041/100,"")))</f>
        <v>21.2</v>
      </c>
      <c r="AK1041" s="10">
        <f t="shared" si="169"/>
        <v>34.555999999999997</v>
      </c>
      <c r="AL1041" s="10">
        <f t="shared" si="171"/>
        <v>12.72</v>
      </c>
      <c r="AM1041" s="10">
        <f t="shared" si="172"/>
        <v>20.733599999999999</v>
      </c>
    </row>
    <row r="1042" spans="1:39" x14ac:dyDescent="0.25">
      <c r="A1042" s="15">
        <v>32756883</v>
      </c>
      <c r="B1042" s="15">
        <v>1.38</v>
      </c>
      <c r="C1042" s="15">
        <v>194213</v>
      </c>
      <c r="D1042" s="15">
        <v>154097</v>
      </c>
      <c r="E1042" s="15" t="s">
        <v>466</v>
      </c>
      <c r="F1042" s="15">
        <v>2011</v>
      </c>
      <c r="G1042" s="15">
        <v>20110425</v>
      </c>
      <c r="H1042" s="15">
        <v>29103</v>
      </c>
      <c r="I1042" s="15">
        <v>2.91</v>
      </c>
      <c r="J1042" s="6" t="s">
        <v>36</v>
      </c>
      <c r="K1042" s="15">
        <v>1</v>
      </c>
      <c r="L1042" s="15" t="s">
        <v>32</v>
      </c>
      <c r="M1042" s="15" t="s">
        <v>5</v>
      </c>
      <c r="N1042" s="11" t="s">
        <v>1384</v>
      </c>
      <c r="O1042" s="11" t="s">
        <v>28</v>
      </c>
      <c r="P1042" s="11" t="s">
        <v>33</v>
      </c>
      <c r="Q1042" s="15">
        <v>0</v>
      </c>
      <c r="R1042" s="11" t="s">
        <v>1386</v>
      </c>
      <c r="S1042" s="10">
        <v>54.120980926431002</v>
      </c>
      <c r="T1042" s="15">
        <v>80</v>
      </c>
      <c r="U1042" s="15">
        <v>0</v>
      </c>
      <c r="V1042" s="15">
        <v>0</v>
      </c>
      <c r="W1042" s="15">
        <v>0</v>
      </c>
      <c r="X1042" s="15">
        <f>IF(O1042='Udvaskning nøgletal'!$D$65,1,IF(O1042='Udvaskning nøgletal'!$D$66,2,IF(O1042='Udvaskning nøgletal'!$D$67,3,IF(O1042='Udvaskning nøgletal'!$D$68,2,""))))</f>
        <v>1</v>
      </c>
      <c r="Y1042" s="15">
        <f>LOOKUP(K1042,'Udvaskning nøgletal'!$C$12:$C$60,'Udvaskning nøgletal'!$H$12:$H$60)</f>
        <v>5</v>
      </c>
      <c r="Z1042" s="10">
        <f>IF(X1042=1,LOOKUP(K1042,'Udvaskning nøgletal'!$C$12:$C$60,'Udvaskning nøgletal'!$E$12:$E$60)+Markniveau!Y1042*Markniveau!S1042/100,IF(X1042=2,LOOKUP(K1042,'Udvaskning nøgletal'!$C$12:$C$60,'Udvaskning nøgletal'!$F$12:$F$60)+Markniveau!Y1042*Markniveau!S1042/100,IF(X1042=3,LOOKUP(K1042,'Udvaskning nøgletal'!$C$12:$C$60,'Udvaskning nøgletal'!G1052:G1100)+Markniveau!Y1042*Markniveau!S1042/100,"")))</f>
        <v>67.36604904632155</v>
      </c>
      <c r="AA1042" s="10">
        <f t="shared" si="166"/>
        <v>196.03520272479571</v>
      </c>
      <c r="AB1042" s="10" t="str">
        <f t="shared" si="165"/>
        <v/>
      </c>
      <c r="AC1042" s="10" t="str">
        <f t="shared" si="167"/>
        <v/>
      </c>
      <c r="AD1042" s="10">
        <f>IF(AND(Q1042&gt;0,Q1042&lt;30,K1042&lt;8),Markniveau!Z1042*'Udvaskning nøgletal'!$I$12/100,IF(AND(Q1042&gt;0,Q1042&lt;30,K1042=216),Markniveau!Z1042*'Udvaskning nøgletal'!$I$34/100,Markniveau!Z1042))</f>
        <v>67.36604904632155</v>
      </c>
      <c r="AE1042" s="10">
        <f t="shared" si="173"/>
        <v>196.03520272479571</v>
      </c>
      <c r="AF1042" s="10" t="str">
        <f t="shared" si="168"/>
        <v/>
      </c>
      <c r="AG1042" s="10" t="str">
        <f t="shared" si="174"/>
        <v/>
      </c>
      <c r="AH1042" s="10" t="str">
        <f>IF(AND(Q1042&gt;0,Q1042&lt;30,K1042=216),'Udvaskning nøgletal'!$C$42,IF(AND(Q1042&gt;0,Q1042&lt;30,K1042&gt;7,K1042&lt;17),'Udvaskning nøgletal'!$C$61,IF(AND(Q1042&gt;0,Q1042&lt;30,K1042&lt;7),'Udvaskning nøgletal'!$C$62,"")))</f>
        <v/>
      </c>
      <c r="AI1042" s="10">
        <f t="shared" si="170"/>
        <v>1</v>
      </c>
      <c r="AJ1042" s="10">
        <f>IF($X1042=1,LOOKUP(AI1042,'Udvaskning nøgletal'!$C$12:$C$62,'Udvaskning nøgletal'!$E$12:$E$62)+Markniveau!$Y1042*Markniveau!$S1042/100,IF($X1042=2,LOOKUP(AI1042,'Udvaskning nøgletal'!$C$12:$C$62,'Udvaskning nøgletal'!$F$12:$F$62)+Markniveau!$Y1042*Markniveau!$S1042/100,IF($X1042=3,LOOKUP(AI1042,'Udvaskning nøgletal'!$C$12:$C$62,'Udvaskning nøgletal'!Q1052:Q1102)+Markniveau!$Y1042*Markniveau!$S1042/100,"")))</f>
        <v>67.36604904632155</v>
      </c>
      <c r="AK1042" s="10">
        <f t="shared" si="169"/>
        <v>196.03520272479571</v>
      </c>
      <c r="AL1042" s="10" t="str">
        <f t="shared" si="171"/>
        <v/>
      </c>
      <c r="AM1042" s="10" t="str">
        <f t="shared" si="172"/>
        <v/>
      </c>
    </row>
    <row r="1043" spans="1:39" x14ac:dyDescent="0.25">
      <c r="A1043" s="15">
        <v>32756883</v>
      </c>
      <c r="B1043" s="15">
        <v>1.38</v>
      </c>
      <c r="C1043" s="15">
        <v>194217</v>
      </c>
      <c r="D1043" s="15">
        <v>154097</v>
      </c>
      <c r="E1043" s="15" t="s">
        <v>466</v>
      </c>
      <c r="F1043" s="15">
        <v>2011</v>
      </c>
      <c r="G1043" s="15">
        <v>20110425</v>
      </c>
      <c r="H1043" s="15">
        <v>11654</v>
      </c>
      <c r="I1043" s="15">
        <v>1.17</v>
      </c>
      <c r="J1043" s="6" t="s">
        <v>34</v>
      </c>
      <c r="K1043" s="15">
        <v>1</v>
      </c>
      <c r="L1043" s="15" t="s">
        <v>32</v>
      </c>
      <c r="M1043" s="15" t="s">
        <v>5</v>
      </c>
      <c r="N1043" s="11" t="s">
        <v>1384</v>
      </c>
      <c r="O1043" s="11" t="s">
        <v>28</v>
      </c>
      <c r="P1043" s="11" t="s">
        <v>33</v>
      </c>
      <c r="Q1043" s="15">
        <v>0</v>
      </c>
      <c r="R1043" s="11" t="s">
        <v>1386</v>
      </c>
      <c r="S1043" s="10">
        <v>54.120980926431002</v>
      </c>
      <c r="T1043" s="15">
        <v>80</v>
      </c>
      <c r="U1043" s="15">
        <v>0</v>
      </c>
      <c r="V1043" s="15">
        <v>0</v>
      </c>
      <c r="W1043" s="15">
        <v>0</v>
      </c>
      <c r="X1043" s="15">
        <f>IF(O1043='Udvaskning nøgletal'!$D$65,1,IF(O1043='Udvaskning nøgletal'!$D$66,2,IF(O1043='Udvaskning nøgletal'!$D$67,3,IF(O1043='Udvaskning nøgletal'!$D$68,2,""))))</f>
        <v>1</v>
      </c>
      <c r="Y1043" s="15">
        <f>LOOKUP(K1043,'Udvaskning nøgletal'!$C$12:$C$60,'Udvaskning nøgletal'!$H$12:$H$60)</f>
        <v>5</v>
      </c>
      <c r="Z1043" s="10">
        <f>IF(X1043=1,LOOKUP(K1043,'Udvaskning nøgletal'!$C$12:$C$60,'Udvaskning nøgletal'!$E$12:$E$60)+Markniveau!Y1043*Markniveau!S1043/100,IF(X1043=2,LOOKUP(K1043,'Udvaskning nøgletal'!$C$12:$C$60,'Udvaskning nøgletal'!$F$12:$F$60)+Markniveau!Y1043*Markniveau!S1043/100,IF(X1043=3,LOOKUP(K1043,'Udvaskning nøgletal'!$C$12:$C$60,'Udvaskning nøgletal'!G1053:G1101)+Markniveau!Y1043*Markniveau!S1043/100,"")))</f>
        <v>67.36604904632155</v>
      </c>
      <c r="AA1043" s="10">
        <f t="shared" si="166"/>
        <v>78.818277384196207</v>
      </c>
      <c r="AB1043" s="10" t="str">
        <f t="shared" si="165"/>
        <v/>
      </c>
      <c r="AC1043" s="10" t="str">
        <f t="shared" si="167"/>
        <v/>
      </c>
      <c r="AD1043" s="10">
        <f>IF(AND(Q1043&gt;0,Q1043&lt;30,K1043&lt;8),Markniveau!Z1043*'Udvaskning nøgletal'!$I$12/100,IF(AND(Q1043&gt;0,Q1043&lt;30,K1043=216),Markniveau!Z1043*'Udvaskning nøgletal'!$I$34/100,Markniveau!Z1043))</f>
        <v>67.36604904632155</v>
      </c>
      <c r="AE1043" s="10">
        <f t="shared" si="173"/>
        <v>78.818277384196207</v>
      </c>
      <c r="AF1043" s="10" t="str">
        <f t="shared" si="168"/>
        <v/>
      </c>
      <c r="AG1043" s="10" t="str">
        <f t="shared" si="174"/>
        <v/>
      </c>
      <c r="AH1043" s="10" t="str">
        <f>IF(AND(Q1043&gt;0,Q1043&lt;30,K1043=216),'Udvaskning nøgletal'!$C$42,IF(AND(Q1043&gt;0,Q1043&lt;30,K1043&gt;7,K1043&lt;17),'Udvaskning nøgletal'!$C$61,IF(AND(Q1043&gt;0,Q1043&lt;30,K1043&lt;7),'Udvaskning nøgletal'!$C$62,"")))</f>
        <v/>
      </c>
      <c r="AI1043" s="10">
        <f t="shared" si="170"/>
        <v>1</v>
      </c>
      <c r="AJ1043" s="10">
        <f>IF($X1043=1,LOOKUP(AI1043,'Udvaskning nøgletal'!$C$12:$C$62,'Udvaskning nøgletal'!$E$12:$E$62)+Markniveau!$Y1043*Markniveau!$S1043/100,IF($X1043=2,LOOKUP(AI1043,'Udvaskning nøgletal'!$C$12:$C$62,'Udvaskning nøgletal'!$F$12:$F$62)+Markniveau!$Y1043*Markniveau!$S1043/100,IF($X1043=3,LOOKUP(AI1043,'Udvaskning nøgletal'!$C$12:$C$62,'Udvaskning nøgletal'!Q1053:Q1103)+Markniveau!$Y1043*Markniveau!$S1043/100,"")))</f>
        <v>67.36604904632155</v>
      </c>
      <c r="AK1043" s="10">
        <f t="shared" si="169"/>
        <v>78.818277384196207</v>
      </c>
      <c r="AL1043" s="10" t="str">
        <f t="shared" si="171"/>
        <v/>
      </c>
      <c r="AM1043" s="10" t="str">
        <f t="shared" si="172"/>
        <v/>
      </c>
    </row>
    <row r="1044" spans="1:39" x14ac:dyDescent="0.25">
      <c r="A1044" s="15">
        <v>32812864</v>
      </c>
      <c r="B1044" s="15">
        <v>16.32</v>
      </c>
      <c r="C1044" s="15">
        <v>89235</v>
      </c>
      <c r="D1044" s="15">
        <v>156150</v>
      </c>
      <c r="E1044" s="15" t="s">
        <v>817</v>
      </c>
      <c r="F1044" s="15">
        <v>2011</v>
      </c>
      <c r="G1044" s="15">
        <v>20110414</v>
      </c>
      <c r="H1044" s="15">
        <v>123140</v>
      </c>
      <c r="I1044" s="15">
        <v>12.31</v>
      </c>
      <c r="J1044" s="6" t="s">
        <v>818</v>
      </c>
      <c r="K1044" s="15">
        <v>260</v>
      </c>
      <c r="L1044" s="15" t="s">
        <v>45</v>
      </c>
      <c r="M1044" s="15" t="s">
        <v>5</v>
      </c>
      <c r="N1044" s="11" t="s">
        <v>1384</v>
      </c>
      <c r="O1044" s="11" t="s">
        <v>28</v>
      </c>
      <c r="P1044" s="11" t="s">
        <v>33</v>
      </c>
      <c r="Q1044" s="15">
        <v>0</v>
      </c>
      <c r="R1044" s="11" t="s">
        <v>1386</v>
      </c>
      <c r="S1044" s="10">
        <v>210.27964524570999</v>
      </c>
      <c r="T1044" s="15">
        <v>80</v>
      </c>
      <c r="U1044" s="15">
        <v>1</v>
      </c>
      <c r="V1044" s="15">
        <v>0</v>
      </c>
      <c r="W1044" s="15">
        <v>0</v>
      </c>
      <c r="X1044" s="15">
        <f>IF(O1044='Udvaskning nøgletal'!$D$65,1,IF(O1044='Udvaskning nøgletal'!$D$66,2,IF(O1044='Udvaskning nøgletal'!$D$67,3,IF(O1044='Udvaskning nøgletal'!$D$68,2,""))))</f>
        <v>1</v>
      </c>
      <c r="Y1044" s="15">
        <f>LOOKUP(K1044,'Udvaskning nøgletal'!$C$12:$C$60,'Udvaskning nøgletal'!$H$12:$H$60)</f>
        <v>0</v>
      </c>
      <c r="Z1044" s="10">
        <f>IF(X1044=1,LOOKUP(K1044,'Udvaskning nøgletal'!$C$12:$C$60,'Udvaskning nøgletal'!$E$12:$E$60)+Markniveau!Y1044*Markniveau!S1044/100,IF(X1044=2,LOOKUP(K1044,'Udvaskning nøgletal'!$C$12:$C$60,'Udvaskning nøgletal'!$F$12:$F$60)+Markniveau!Y1044*Markniveau!S1044/100,IF(X1044=3,LOOKUP(K1044,'Udvaskning nøgletal'!$C$12:$C$60,'Udvaskning nøgletal'!G1054:G1102)+Markniveau!Y1044*Markniveau!S1044/100,"")))</f>
        <v>33.723295792149436</v>
      </c>
      <c r="AA1044" s="10">
        <f t="shared" si="166"/>
        <v>415.13377120135959</v>
      </c>
      <c r="AB1044" s="10" t="str">
        <f t="shared" si="165"/>
        <v/>
      </c>
      <c r="AC1044" s="10" t="str">
        <f t="shared" si="167"/>
        <v/>
      </c>
      <c r="AD1044" s="10">
        <f>IF(AND(Q1044&gt;0,Q1044&lt;30,K1044&lt;8),Markniveau!Z1044*'Udvaskning nøgletal'!$I$12/100,IF(AND(Q1044&gt;0,Q1044&lt;30,K1044=216),Markniveau!Z1044*'Udvaskning nøgletal'!$I$34/100,Markniveau!Z1044))</f>
        <v>33.723295792149436</v>
      </c>
      <c r="AE1044" s="10">
        <f t="shared" si="173"/>
        <v>415.13377120135959</v>
      </c>
      <c r="AF1044" s="10" t="str">
        <f t="shared" si="168"/>
        <v/>
      </c>
      <c r="AG1044" s="10" t="str">
        <f t="shared" si="174"/>
        <v/>
      </c>
      <c r="AH1044" s="10" t="str">
        <f>IF(AND(Q1044&gt;0,Q1044&lt;30,K1044=216),'Udvaskning nøgletal'!$C$42,IF(AND(Q1044&gt;0,Q1044&lt;30,K1044&gt;7,K1044&lt;17),'Udvaskning nøgletal'!$C$61,IF(AND(Q1044&gt;0,Q1044&lt;30,K1044&lt;7),'Udvaskning nøgletal'!$C$62,"")))</f>
        <v/>
      </c>
      <c r="AI1044" s="10">
        <f t="shared" si="170"/>
        <v>260</v>
      </c>
      <c r="AJ1044" s="10">
        <f>IF($X1044=1,LOOKUP(AI1044,'Udvaskning nøgletal'!$C$12:$C$62,'Udvaskning nøgletal'!$E$12:$E$62)+Markniveau!$Y1044*Markniveau!$S1044/100,IF($X1044=2,LOOKUP(AI1044,'Udvaskning nøgletal'!$C$12:$C$62,'Udvaskning nøgletal'!$F$12:$F$62)+Markniveau!$Y1044*Markniveau!$S1044/100,IF($X1044=3,LOOKUP(AI1044,'Udvaskning nøgletal'!$C$12:$C$62,'Udvaskning nøgletal'!Q1054:Q1104)+Markniveau!$Y1044*Markniveau!$S1044/100,"")))</f>
        <v>33.723295792149436</v>
      </c>
      <c r="AK1044" s="10">
        <f t="shared" si="169"/>
        <v>415.13377120135959</v>
      </c>
      <c r="AL1044" s="10" t="str">
        <f t="shared" si="171"/>
        <v/>
      </c>
      <c r="AM1044" s="10" t="str">
        <f t="shared" si="172"/>
        <v/>
      </c>
    </row>
    <row r="1045" spans="1:39" x14ac:dyDescent="0.25">
      <c r="A1045" s="15">
        <v>32812864</v>
      </c>
      <c r="B1045" s="15">
        <v>16.32</v>
      </c>
      <c r="C1045" s="15">
        <v>113806</v>
      </c>
      <c r="D1045" s="15">
        <v>156150</v>
      </c>
      <c r="E1045" s="15" t="s">
        <v>819</v>
      </c>
      <c r="F1045" s="15">
        <v>2011</v>
      </c>
      <c r="G1045" s="15">
        <v>20110414</v>
      </c>
      <c r="H1045" s="15">
        <v>163683</v>
      </c>
      <c r="I1045" s="15">
        <v>16.37</v>
      </c>
      <c r="J1045" s="6" t="s">
        <v>820</v>
      </c>
      <c r="K1045" s="15">
        <v>260</v>
      </c>
      <c r="L1045" s="15" t="s">
        <v>45</v>
      </c>
      <c r="M1045" s="15" t="s">
        <v>5</v>
      </c>
      <c r="N1045" s="11" t="s">
        <v>1384</v>
      </c>
      <c r="O1045" s="11" t="s">
        <v>28</v>
      </c>
      <c r="P1045" s="11" t="s">
        <v>33</v>
      </c>
      <c r="Q1045" s="15">
        <v>0</v>
      </c>
      <c r="R1045" s="11" t="s">
        <v>1386</v>
      </c>
      <c r="S1045" s="10">
        <v>210.27964524570999</v>
      </c>
      <c r="T1045" s="15">
        <v>80</v>
      </c>
      <c r="U1045" s="15">
        <v>1</v>
      </c>
      <c r="V1045" s="15">
        <v>0</v>
      </c>
      <c r="W1045" s="15">
        <v>0</v>
      </c>
      <c r="X1045" s="15">
        <f>IF(O1045='Udvaskning nøgletal'!$D$65,1,IF(O1045='Udvaskning nøgletal'!$D$66,2,IF(O1045='Udvaskning nøgletal'!$D$67,3,IF(O1045='Udvaskning nøgletal'!$D$68,2,""))))</f>
        <v>1</v>
      </c>
      <c r="Y1045" s="15">
        <f>LOOKUP(K1045,'Udvaskning nøgletal'!$C$12:$C$60,'Udvaskning nøgletal'!$H$12:$H$60)</f>
        <v>0</v>
      </c>
      <c r="Z1045" s="10">
        <f>IF(X1045=1,LOOKUP(K1045,'Udvaskning nøgletal'!$C$12:$C$60,'Udvaskning nøgletal'!$E$12:$E$60)+Markniveau!Y1045*Markniveau!S1045/100,IF(X1045=2,LOOKUP(K1045,'Udvaskning nøgletal'!$C$12:$C$60,'Udvaskning nøgletal'!$F$12:$F$60)+Markniveau!Y1045*Markniveau!S1045/100,IF(X1045=3,LOOKUP(K1045,'Udvaskning nøgletal'!$C$12:$C$60,'Udvaskning nøgletal'!G1055:G1103)+Markniveau!Y1045*Markniveau!S1045/100,"")))</f>
        <v>33.723295792149436</v>
      </c>
      <c r="AA1045" s="10">
        <f t="shared" si="166"/>
        <v>552.05035211748634</v>
      </c>
      <c r="AB1045" s="10" t="str">
        <f t="shared" si="165"/>
        <v/>
      </c>
      <c r="AC1045" s="10" t="str">
        <f t="shared" si="167"/>
        <v/>
      </c>
      <c r="AD1045" s="10">
        <f>IF(AND(Q1045&gt;0,Q1045&lt;30,K1045&lt;8),Markniveau!Z1045*'Udvaskning nøgletal'!$I$12/100,IF(AND(Q1045&gt;0,Q1045&lt;30,K1045=216),Markniveau!Z1045*'Udvaskning nøgletal'!$I$34/100,Markniveau!Z1045))</f>
        <v>33.723295792149436</v>
      </c>
      <c r="AE1045" s="10">
        <f t="shared" si="173"/>
        <v>552.05035211748634</v>
      </c>
      <c r="AF1045" s="10" t="str">
        <f t="shared" si="168"/>
        <v/>
      </c>
      <c r="AG1045" s="10" t="str">
        <f t="shared" si="174"/>
        <v/>
      </c>
      <c r="AH1045" s="10" t="str">
        <f>IF(AND(Q1045&gt;0,Q1045&lt;30,K1045=216),'Udvaskning nøgletal'!$C$42,IF(AND(Q1045&gt;0,Q1045&lt;30,K1045&gt;7,K1045&lt;17),'Udvaskning nøgletal'!$C$61,IF(AND(Q1045&gt;0,Q1045&lt;30,K1045&lt;7),'Udvaskning nøgletal'!$C$62,"")))</f>
        <v/>
      </c>
      <c r="AI1045" s="10">
        <f t="shared" si="170"/>
        <v>260</v>
      </c>
      <c r="AJ1045" s="10">
        <f>IF($X1045=1,LOOKUP(AI1045,'Udvaskning nøgletal'!$C$12:$C$62,'Udvaskning nøgletal'!$E$12:$E$62)+Markniveau!$Y1045*Markniveau!$S1045/100,IF($X1045=2,LOOKUP(AI1045,'Udvaskning nøgletal'!$C$12:$C$62,'Udvaskning nøgletal'!$F$12:$F$62)+Markniveau!$Y1045*Markniveau!$S1045/100,IF($X1045=3,LOOKUP(AI1045,'Udvaskning nøgletal'!$C$12:$C$62,'Udvaskning nøgletal'!Q1055:Q1105)+Markniveau!$Y1045*Markniveau!$S1045/100,"")))</f>
        <v>33.723295792149436</v>
      </c>
      <c r="AK1045" s="10">
        <f t="shared" si="169"/>
        <v>552.05035211748634</v>
      </c>
      <c r="AL1045" s="10" t="str">
        <f t="shared" si="171"/>
        <v/>
      </c>
      <c r="AM1045" s="10" t="str">
        <f t="shared" si="172"/>
        <v/>
      </c>
    </row>
    <row r="1046" spans="1:39" x14ac:dyDescent="0.25">
      <c r="A1046" s="15">
        <v>32812864</v>
      </c>
      <c r="B1046" s="15">
        <v>16.32</v>
      </c>
      <c r="C1046" s="15">
        <v>114358</v>
      </c>
      <c r="D1046" s="15">
        <v>156150</v>
      </c>
      <c r="E1046" s="15" t="s">
        <v>821</v>
      </c>
      <c r="F1046" s="15">
        <v>2011</v>
      </c>
      <c r="G1046" s="15">
        <v>20110414</v>
      </c>
      <c r="H1046" s="15">
        <v>23790</v>
      </c>
      <c r="I1046" s="15">
        <v>2.38</v>
      </c>
      <c r="J1046" s="6" t="s">
        <v>822</v>
      </c>
      <c r="K1046" s="15">
        <v>216</v>
      </c>
      <c r="L1046" s="15" t="s">
        <v>116</v>
      </c>
      <c r="M1046" s="15" t="s">
        <v>5</v>
      </c>
      <c r="N1046" s="11" t="s">
        <v>1406</v>
      </c>
      <c r="O1046" s="11" t="s">
        <v>46</v>
      </c>
      <c r="P1046" s="11" t="s">
        <v>33</v>
      </c>
      <c r="Q1046" s="15">
        <v>0</v>
      </c>
      <c r="R1046" s="11" t="s">
        <v>1386</v>
      </c>
      <c r="S1046" s="10">
        <v>210.27964524570999</v>
      </c>
      <c r="T1046" s="15">
        <v>80</v>
      </c>
      <c r="U1046" s="15">
        <v>1</v>
      </c>
      <c r="V1046" s="15">
        <v>0</v>
      </c>
      <c r="W1046" s="15">
        <v>0</v>
      </c>
      <c r="X1046" s="15">
        <f>IF(O1046='Udvaskning nøgletal'!$D$65,1,IF(O1046='Udvaskning nøgletal'!$D$66,2,IF(O1046='Udvaskning nøgletal'!$D$67,3,IF(O1046='Udvaskning nøgletal'!$D$68,2,""))))</f>
        <v>2</v>
      </c>
      <c r="Y1046" s="15">
        <f>LOOKUP(K1046,'Udvaskning nøgletal'!$C$12:$C$60,'Udvaskning nøgletal'!$H$12:$H$60)</f>
        <v>0</v>
      </c>
      <c r="Z1046" s="10">
        <f>IF(X1046=1,LOOKUP(K1046,'Udvaskning nøgletal'!$C$12:$C$60,'Udvaskning nøgletal'!$E$12:$E$60)+Markniveau!Y1046*Markniveau!S1046/100,IF(X1046=2,LOOKUP(K1046,'Udvaskning nøgletal'!$C$12:$C$60,'Udvaskning nøgletal'!$F$12:$F$60)+Markniveau!Y1046*Markniveau!S1046/100,IF(X1046=3,LOOKUP(K1046,'Udvaskning nøgletal'!$C$12:$C$60,'Udvaskning nøgletal'!G1056:G1104)+Markniveau!Y1046*Markniveau!S1046/100,"")))</f>
        <v>101.66744640811392</v>
      </c>
      <c r="AA1046" s="10">
        <f t="shared" si="166"/>
        <v>241.96852245131112</v>
      </c>
      <c r="AB1046" s="10" t="str">
        <f t="shared" si="165"/>
        <v/>
      </c>
      <c r="AC1046" s="10" t="str">
        <f t="shared" si="167"/>
        <v/>
      </c>
      <c r="AD1046" s="10">
        <f>IF(AND(Q1046&gt;0,Q1046&lt;30,K1046&lt;8),Markniveau!Z1046*'Udvaskning nøgletal'!$I$12/100,IF(AND(Q1046&gt;0,Q1046&lt;30,K1046=216),Markniveau!Z1046*'Udvaskning nøgletal'!$I$34/100,Markniveau!Z1046))</f>
        <v>101.66744640811392</v>
      </c>
      <c r="AE1046" s="10">
        <f t="shared" si="173"/>
        <v>241.96852245131112</v>
      </c>
      <c r="AF1046" s="10" t="str">
        <f t="shared" si="168"/>
        <v/>
      </c>
      <c r="AG1046" s="10" t="str">
        <f t="shared" si="174"/>
        <v/>
      </c>
      <c r="AH1046" s="10" t="str">
        <f>IF(AND(Q1046&gt;0,Q1046&lt;30,K1046=216),'Udvaskning nøgletal'!$C$42,IF(AND(Q1046&gt;0,Q1046&lt;30,K1046&gt;7,K1046&lt;17),'Udvaskning nøgletal'!$C$61,IF(AND(Q1046&gt;0,Q1046&lt;30,K1046&lt;7),'Udvaskning nøgletal'!$C$62,"")))</f>
        <v/>
      </c>
      <c r="AI1046" s="10">
        <f t="shared" si="170"/>
        <v>216</v>
      </c>
      <c r="AJ1046" s="10">
        <f>IF($X1046=1,LOOKUP(AI1046,'Udvaskning nøgletal'!$C$12:$C$62,'Udvaskning nøgletal'!$E$12:$E$62)+Markniveau!$Y1046*Markniveau!$S1046/100,IF($X1046=2,LOOKUP(AI1046,'Udvaskning nøgletal'!$C$12:$C$62,'Udvaskning nøgletal'!$F$12:$F$62)+Markniveau!$Y1046*Markniveau!$S1046/100,IF($X1046=3,LOOKUP(AI1046,'Udvaskning nøgletal'!$C$12:$C$62,'Udvaskning nøgletal'!Q1056:Q1106)+Markniveau!$Y1046*Markniveau!$S1046/100,"")))</f>
        <v>101.66744640811392</v>
      </c>
      <c r="AK1046" s="10">
        <f t="shared" si="169"/>
        <v>241.96852245131112</v>
      </c>
      <c r="AL1046" s="10" t="str">
        <f t="shared" si="171"/>
        <v/>
      </c>
      <c r="AM1046" s="10" t="str">
        <f t="shared" si="172"/>
        <v/>
      </c>
    </row>
    <row r="1047" spans="1:39" x14ac:dyDescent="0.25">
      <c r="A1047" s="15">
        <v>32812864</v>
      </c>
      <c r="B1047" s="15">
        <v>16.32</v>
      </c>
      <c r="C1047" s="15">
        <v>114360</v>
      </c>
      <c r="D1047" s="15">
        <v>156150</v>
      </c>
      <c r="E1047" s="15" t="s">
        <v>823</v>
      </c>
      <c r="F1047" s="15">
        <v>2011</v>
      </c>
      <c r="G1047" s="15">
        <v>20110414</v>
      </c>
      <c r="H1047" s="15">
        <v>28224</v>
      </c>
      <c r="I1047" s="15">
        <v>2.82</v>
      </c>
      <c r="J1047" s="6" t="s">
        <v>824</v>
      </c>
      <c r="K1047" s="15">
        <v>216</v>
      </c>
      <c r="L1047" s="15" t="s">
        <v>116</v>
      </c>
      <c r="M1047" s="15" t="s">
        <v>5</v>
      </c>
      <c r="N1047" s="11" t="s">
        <v>1406</v>
      </c>
      <c r="O1047" s="11" t="s">
        <v>46</v>
      </c>
      <c r="P1047" s="11" t="s">
        <v>33</v>
      </c>
      <c r="Q1047" s="15">
        <v>0</v>
      </c>
      <c r="R1047" s="11" t="s">
        <v>1386</v>
      </c>
      <c r="S1047" s="10">
        <v>210.27964524570999</v>
      </c>
      <c r="T1047" s="15">
        <v>80</v>
      </c>
      <c r="U1047" s="15">
        <v>1</v>
      </c>
      <c r="V1047" s="15">
        <v>0</v>
      </c>
      <c r="W1047" s="15">
        <v>0</v>
      </c>
      <c r="X1047" s="15">
        <f>IF(O1047='Udvaskning nøgletal'!$D$65,1,IF(O1047='Udvaskning nøgletal'!$D$66,2,IF(O1047='Udvaskning nøgletal'!$D$67,3,IF(O1047='Udvaskning nøgletal'!$D$68,2,""))))</f>
        <v>2</v>
      </c>
      <c r="Y1047" s="15">
        <f>LOOKUP(K1047,'Udvaskning nøgletal'!$C$12:$C$60,'Udvaskning nøgletal'!$H$12:$H$60)</f>
        <v>0</v>
      </c>
      <c r="Z1047" s="10">
        <f>IF(X1047=1,LOOKUP(K1047,'Udvaskning nøgletal'!$C$12:$C$60,'Udvaskning nøgletal'!$E$12:$E$60)+Markniveau!Y1047*Markniveau!S1047/100,IF(X1047=2,LOOKUP(K1047,'Udvaskning nøgletal'!$C$12:$C$60,'Udvaskning nøgletal'!$F$12:$F$60)+Markniveau!Y1047*Markniveau!S1047/100,IF(X1047=3,LOOKUP(K1047,'Udvaskning nøgletal'!$C$12:$C$60,'Udvaskning nøgletal'!G1057:G1105)+Markniveau!Y1047*Markniveau!S1047/100,"")))</f>
        <v>101.66744640811392</v>
      </c>
      <c r="AA1047" s="10">
        <f t="shared" si="166"/>
        <v>286.7021988708812</v>
      </c>
      <c r="AB1047" s="10" t="str">
        <f t="shared" si="165"/>
        <v/>
      </c>
      <c r="AC1047" s="10" t="str">
        <f t="shared" si="167"/>
        <v/>
      </c>
      <c r="AD1047" s="10">
        <f>IF(AND(Q1047&gt;0,Q1047&lt;30,K1047&lt;8),Markniveau!Z1047*'Udvaskning nøgletal'!$I$12/100,IF(AND(Q1047&gt;0,Q1047&lt;30,K1047=216),Markniveau!Z1047*'Udvaskning nøgletal'!$I$34/100,Markniveau!Z1047))</f>
        <v>101.66744640811392</v>
      </c>
      <c r="AE1047" s="10">
        <f t="shared" si="173"/>
        <v>286.7021988708812</v>
      </c>
      <c r="AF1047" s="10" t="str">
        <f t="shared" si="168"/>
        <v/>
      </c>
      <c r="AG1047" s="10" t="str">
        <f t="shared" si="174"/>
        <v/>
      </c>
      <c r="AH1047" s="10" t="str">
        <f>IF(AND(Q1047&gt;0,Q1047&lt;30,K1047=216),'Udvaskning nøgletal'!$C$42,IF(AND(Q1047&gt;0,Q1047&lt;30,K1047&gt;7,K1047&lt;17),'Udvaskning nøgletal'!$C$61,IF(AND(Q1047&gt;0,Q1047&lt;30,K1047&lt;7),'Udvaskning nøgletal'!$C$62,"")))</f>
        <v/>
      </c>
      <c r="AI1047" s="10">
        <f t="shared" si="170"/>
        <v>216</v>
      </c>
      <c r="AJ1047" s="10">
        <f>IF($X1047=1,LOOKUP(AI1047,'Udvaskning nøgletal'!$C$12:$C$62,'Udvaskning nøgletal'!$E$12:$E$62)+Markniveau!$Y1047*Markniveau!$S1047/100,IF($X1047=2,LOOKUP(AI1047,'Udvaskning nøgletal'!$C$12:$C$62,'Udvaskning nøgletal'!$F$12:$F$62)+Markniveau!$Y1047*Markniveau!$S1047/100,IF($X1047=3,LOOKUP(AI1047,'Udvaskning nøgletal'!$C$12:$C$62,'Udvaskning nøgletal'!Q1057:Q1107)+Markniveau!$Y1047*Markniveau!$S1047/100,"")))</f>
        <v>101.66744640811392</v>
      </c>
      <c r="AK1047" s="10">
        <f t="shared" si="169"/>
        <v>286.7021988708812</v>
      </c>
      <c r="AL1047" s="10" t="str">
        <f t="shared" si="171"/>
        <v/>
      </c>
      <c r="AM1047" s="10" t="str">
        <f t="shared" si="172"/>
        <v/>
      </c>
    </row>
    <row r="1048" spans="1:39" x14ac:dyDescent="0.25">
      <c r="A1048" s="15">
        <v>32812864</v>
      </c>
      <c r="B1048" s="15">
        <v>16.32</v>
      </c>
      <c r="C1048" s="15">
        <v>115432</v>
      </c>
      <c r="D1048" s="15">
        <v>156150</v>
      </c>
      <c r="E1048" s="15" t="s">
        <v>825</v>
      </c>
      <c r="F1048" s="15">
        <v>2011</v>
      </c>
      <c r="G1048" s="15">
        <v>20110414</v>
      </c>
      <c r="H1048" s="15">
        <v>27976</v>
      </c>
      <c r="I1048" s="15">
        <v>2.8</v>
      </c>
      <c r="J1048" s="6" t="s">
        <v>826</v>
      </c>
      <c r="K1048" s="15">
        <v>216</v>
      </c>
      <c r="L1048" s="15" t="s">
        <v>116</v>
      </c>
      <c r="M1048" s="15" t="s">
        <v>5</v>
      </c>
      <c r="N1048" s="11" t="s">
        <v>1384</v>
      </c>
      <c r="O1048" s="11" t="s">
        <v>28</v>
      </c>
      <c r="P1048" s="11" t="s">
        <v>33</v>
      </c>
      <c r="Q1048" s="15">
        <v>0</v>
      </c>
      <c r="R1048" s="11" t="s">
        <v>1386</v>
      </c>
      <c r="S1048" s="10">
        <v>210.27964524570999</v>
      </c>
      <c r="T1048" s="15">
        <v>80</v>
      </c>
      <c r="U1048" s="15">
        <v>1</v>
      </c>
      <c r="V1048" s="15">
        <v>0</v>
      </c>
      <c r="W1048" s="15">
        <v>0</v>
      </c>
      <c r="X1048" s="15">
        <f>IF(O1048='Udvaskning nøgletal'!$D$65,1,IF(O1048='Udvaskning nøgletal'!$D$66,2,IF(O1048='Udvaskning nøgletal'!$D$67,3,IF(O1048='Udvaskning nøgletal'!$D$68,2,""))))</f>
        <v>1</v>
      </c>
      <c r="Y1048" s="15">
        <f>LOOKUP(K1048,'Udvaskning nøgletal'!$C$12:$C$60,'Udvaskning nøgletal'!$H$12:$H$60)</f>
        <v>0</v>
      </c>
      <c r="Z1048" s="10">
        <f>IF(X1048=1,LOOKUP(K1048,'Udvaskning nøgletal'!$C$12:$C$60,'Udvaskning nøgletal'!$E$12:$E$60)+Markniveau!Y1048*Markniveau!S1048/100,IF(X1048=2,LOOKUP(K1048,'Udvaskning nøgletal'!$C$12:$C$60,'Udvaskning nøgletal'!$F$12:$F$60)+Markniveau!Y1048*Markniveau!S1048/100,IF(X1048=3,LOOKUP(K1048,'Udvaskning nøgletal'!$C$12:$C$60,'Udvaskning nøgletal'!G1058:G1106)+Markniveau!Y1048*Markniveau!S1048/100,"")))</f>
        <v>125.85383557148924</v>
      </c>
      <c r="AA1048" s="10">
        <f t="shared" si="166"/>
        <v>352.39073960016987</v>
      </c>
      <c r="AB1048" s="10" t="str">
        <f t="shared" si="165"/>
        <v/>
      </c>
      <c r="AC1048" s="10" t="str">
        <f t="shared" si="167"/>
        <v/>
      </c>
      <c r="AD1048" s="10">
        <f>IF(AND(Q1048&gt;0,Q1048&lt;30,K1048&lt;8),Markniveau!Z1048*'Udvaskning nøgletal'!$I$12/100,IF(AND(Q1048&gt;0,Q1048&lt;30,K1048=216),Markniveau!Z1048*'Udvaskning nøgletal'!$I$34/100,Markniveau!Z1048))</f>
        <v>125.85383557148924</v>
      </c>
      <c r="AE1048" s="10">
        <f t="shared" si="173"/>
        <v>352.39073960016987</v>
      </c>
      <c r="AF1048" s="10" t="str">
        <f t="shared" si="168"/>
        <v/>
      </c>
      <c r="AG1048" s="10" t="str">
        <f t="shared" si="174"/>
        <v/>
      </c>
      <c r="AH1048" s="10" t="str">
        <f>IF(AND(Q1048&gt;0,Q1048&lt;30,K1048=216),'Udvaskning nøgletal'!$C$42,IF(AND(Q1048&gt;0,Q1048&lt;30,K1048&gt;7,K1048&lt;17),'Udvaskning nøgletal'!$C$61,IF(AND(Q1048&gt;0,Q1048&lt;30,K1048&lt;7),'Udvaskning nøgletal'!$C$62,"")))</f>
        <v/>
      </c>
      <c r="AI1048" s="10">
        <f t="shared" si="170"/>
        <v>216</v>
      </c>
      <c r="AJ1048" s="10">
        <f>IF($X1048=1,LOOKUP(AI1048,'Udvaskning nøgletal'!$C$12:$C$62,'Udvaskning nøgletal'!$E$12:$E$62)+Markniveau!$Y1048*Markniveau!$S1048/100,IF($X1048=2,LOOKUP(AI1048,'Udvaskning nøgletal'!$C$12:$C$62,'Udvaskning nøgletal'!$F$12:$F$62)+Markniveau!$Y1048*Markniveau!$S1048/100,IF($X1048=3,LOOKUP(AI1048,'Udvaskning nøgletal'!$C$12:$C$62,'Udvaskning nøgletal'!Q1058:Q1108)+Markniveau!$Y1048*Markniveau!$S1048/100,"")))</f>
        <v>125.85383557148924</v>
      </c>
      <c r="AK1048" s="10">
        <f t="shared" si="169"/>
        <v>352.39073960016987</v>
      </c>
      <c r="AL1048" s="10" t="str">
        <f t="shared" si="171"/>
        <v/>
      </c>
      <c r="AM1048" s="10" t="str">
        <f t="shared" si="172"/>
        <v/>
      </c>
    </row>
    <row r="1049" spans="1:39" x14ac:dyDescent="0.25">
      <c r="A1049" s="15">
        <v>32812864</v>
      </c>
      <c r="B1049" s="15">
        <v>16.32</v>
      </c>
      <c r="C1049" s="15">
        <v>119390</v>
      </c>
      <c r="D1049" s="15">
        <v>156150</v>
      </c>
      <c r="E1049" s="15" t="s">
        <v>827</v>
      </c>
      <c r="F1049" s="15">
        <v>2011</v>
      </c>
      <c r="G1049" s="15">
        <v>20110414</v>
      </c>
      <c r="H1049" s="15">
        <v>57598</v>
      </c>
      <c r="I1049" s="15">
        <v>5.76</v>
      </c>
      <c r="J1049" s="6" t="s">
        <v>828</v>
      </c>
      <c r="K1049" s="15">
        <v>216</v>
      </c>
      <c r="L1049" s="15" t="s">
        <v>116</v>
      </c>
      <c r="M1049" s="15" t="s">
        <v>5</v>
      </c>
      <c r="N1049" s="11" t="s">
        <v>1406</v>
      </c>
      <c r="O1049" s="11" t="s">
        <v>46</v>
      </c>
      <c r="P1049" s="11" t="s">
        <v>33</v>
      </c>
      <c r="Q1049" s="15">
        <v>0</v>
      </c>
      <c r="R1049" s="11" t="s">
        <v>1386</v>
      </c>
      <c r="S1049" s="10">
        <v>210.27964524570999</v>
      </c>
      <c r="T1049" s="15">
        <v>80</v>
      </c>
      <c r="U1049" s="15">
        <v>1</v>
      </c>
      <c r="V1049" s="15">
        <v>0</v>
      </c>
      <c r="W1049" s="15">
        <v>0</v>
      </c>
      <c r="X1049" s="15">
        <f>IF(O1049='Udvaskning nøgletal'!$D$65,1,IF(O1049='Udvaskning nøgletal'!$D$66,2,IF(O1049='Udvaskning nøgletal'!$D$67,3,IF(O1049='Udvaskning nøgletal'!$D$68,2,""))))</f>
        <v>2</v>
      </c>
      <c r="Y1049" s="15">
        <f>LOOKUP(K1049,'Udvaskning nøgletal'!$C$12:$C$60,'Udvaskning nøgletal'!$H$12:$H$60)</f>
        <v>0</v>
      </c>
      <c r="Z1049" s="10">
        <f>IF(X1049=1,LOOKUP(K1049,'Udvaskning nøgletal'!$C$12:$C$60,'Udvaskning nøgletal'!$E$12:$E$60)+Markniveau!Y1049*Markniveau!S1049/100,IF(X1049=2,LOOKUP(K1049,'Udvaskning nøgletal'!$C$12:$C$60,'Udvaskning nøgletal'!$F$12:$F$60)+Markniveau!Y1049*Markniveau!S1049/100,IF(X1049=3,LOOKUP(K1049,'Udvaskning nøgletal'!$C$12:$C$60,'Udvaskning nøgletal'!G1059:G1107)+Markniveau!Y1049*Markniveau!S1049/100,"")))</f>
        <v>101.66744640811392</v>
      </c>
      <c r="AA1049" s="10">
        <f t="shared" si="166"/>
        <v>585.60449131073619</v>
      </c>
      <c r="AB1049" s="10" t="str">
        <f t="shared" si="165"/>
        <v/>
      </c>
      <c r="AC1049" s="10" t="str">
        <f t="shared" si="167"/>
        <v/>
      </c>
      <c r="AD1049" s="10">
        <f>IF(AND(Q1049&gt;0,Q1049&lt;30,K1049&lt;8),Markniveau!Z1049*'Udvaskning nøgletal'!$I$12/100,IF(AND(Q1049&gt;0,Q1049&lt;30,K1049=216),Markniveau!Z1049*'Udvaskning nøgletal'!$I$34/100,Markniveau!Z1049))</f>
        <v>101.66744640811392</v>
      </c>
      <c r="AE1049" s="10">
        <f t="shared" si="173"/>
        <v>585.60449131073619</v>
      </c>
      <c r="AF1049" s="10" t="str">
        <f t="shared" si="168"/>
        <v/>
      </c>
      <c r="AG1049" s="10" t="str">
        <f t="shared" si="174"/>
        <v/>
      </c>
      <c r="AH1049" s="10" t="str">
        <f>IF(AND(Q1049&gt;0,Q1049&lt;30,K1049=216),'Udvaskning nøgletal'!$C$42,IF(AND(Q1049&gt;0,Q1049&lt;30,K1049&gt;7,K1049&lt;17),'Udvaskning nøgletal'!$C$61,IF(AND(Q1049&gt;0,Q1049&lt;30,K1049&lt;7),'Udvaskning nøgletal'!$C$62,"")))</f>
        <v/>
      </c>
      <c r="AI1049" s="10">
        <f t="shared" si="170"/>
        <v>216</v>
      </c>
      <c r="AJ1049" s="10">
        <f>IF($X1049=1,LOOKUP(AI1049,'Udvaskning nøgletal'!$C$12:$C$62,'Udvaskning nøgletal'!$E$12:$E$62)+Markniveau!$Y1049*Markniveau!$S1049/100,IF($X1049=2,LOOKUP(AI1049,'Udvaskning nøgletal'!$C$12:$C$62,'Udvaskning nøgletal'!$F$12:$F$62)+Markniveau!$Y1049*Markniveau!$S1049/100,IF($X1049=3,LOOKUP(AI1049,'Udvaskning nøgletal'!$C$12:$C$62,'Udvaskning nøgletal'!Q1059:Q1109)+Markniveau!$Y1049*Markniveau!$S1049/100,"")))</f>
        <v>101.66744640811392</v>
      </c>
      <c r="AK1049" s="10">
        <f t="shared" si="169"/>
        <v>585.60449131073619</v>
      </c>
      <c r="AL1049" s="10" t="str">
        <f t="shared" si="171"/>
        <v/>
      </c>
      <c r="AM1049" s="10" t="str">
        <f t="shared" si="172"/>
        <v/>
      </c>
    </row>
    <row r="1050" spans="1:39" x14ac:dyDescent="0.25">
      <c r="A1050" s="15">
        <v>32812864</v>
      </c>
      <c r="B1050" s="15">
        <v>16.32</v>
      </c>
      <c r="C1050" s="15">
        <v>120284</v>
      </c>
      <c r="D1050" s="15">
        <v>156150</v>
      </c>
      <c r="E1050" s="15" t="s">
        <v>829</v>
      </c>
      <c r="F1050" s="15">
        <v>2011</v>
      </c>
      <c r="G1050" s="15">
        <v>20110414</v>
      </c>
      <c r="H1050" s="15">
        <v>25118</v>
      </c>
      <c r="I1050" s="15">
        <v>2.5099999999999998</v>
      </c>
      <c r="J1050" s="6" t="s">
        <v>830</v>
      </c>
      <c r="K1050" s="15">
        <v>260</v>
      </c>
      <c r="L1050" s="15" t="s">
        <v>45</v>
      </c>
      <c r="M1050" s="15" t="s">
        <v>5</v>
      </c>
      <c r="N1050" s="11" t="s">
        <v>1406</v>
      </c>
      <c r="O1050" s="11" t="s">
        <v>46</v>
      </c>
      <c r="P1050" s="11" t="s">
        <v>33</v>
      </c>
      <c r="Q1050" s="15">
        <v>0</v>
      </c>
      <c r="R1050" s="11" t="s">
        <v>1386</v>
      </c>
      <c r="S1050" s="10">
        <v>210.27964524570999</v>
      </c>
      <c r="T1050" s="15">
        <v>80</v>
      </c>
      <c r="U1050" s="15">
        <v>1</v>
      </c>
      <c r="V1050" s="15">
        <v>0</v>
      </c>
      <c r="W1050" s="15">
        <v>0</v>
      </c>
      <c r="X1050" s="15">
        <f>IF(O1050='Udvaskning nøgletal'!$D$65,1,IF(O1050='Udvaskning nøgletal'!$D$66,2,IF(O1050='Udvaskning nøgletal'!$D$67,3,IF(O1050='Udvaskning nøgletal'!$D$68,2,""))))</f>
        <v>2</v>
      </c>
      <c r="Y1050" s="15">
        <f>LOOKUP(K1050,'Udvaskning nøgletal'!$C$12:$C$60,'Udvaskning nøgletal'!$H$12:$H$60)</f>
        <v>0</v>
      </c>
      <c r="Z1050" s="10">
        <f>IF(X1050=1,LOOKUP(K1050,'Udvaskning nøgletal'!$C$12:$C$60,'Udvaskning nøgletal'!$E$12:$E$60)+Markniveau!Y1050*Markniveau!S1050/100,IF(X1050=2,LOOKUP(K1050,'Udvaskning nøgletal'!$C$12:$C$60,'Udvaskning nøgletal'!$F$12:$F$60)+Markniveau!Y1050*Markniveau!S1050/100,IF(X1050=3,LOOKUP(K1050,'Udvaskning nøgletal'!$C$12:$C$60,'Udvaskning nøgletal'!G1060:G1108)+Markniveau!Y1050*Markniveau!S1050/100,"")))</f>
        <v>27.331185321443094</v>
      </c>
      <c r="AA1050" s="10">
        <f t="shared" si="166"/>
        <v>68.601275156822155</v>
      </c>
      <c r="AB1050" s="10" t="str">
        <f t="shared" si="165"/>
        <v/>
      </c>
      <c r="AC1050" s="10" t="str">
        <f t="shared" si="167"/>
        <v/>
      </c>
      <c r="AD1050" s="10">
        <f>IF(AND(Q1050&gt;0,Q1050&lt;30,K1050&lt;8),Markniveau!Z1050*'Udvaskning nøgletal'!$I$12/100,IF(AND(Q1050&gt;0,Q1050&lt;30,K1050=216),Markniveau!Z1050*'Udvaskning nøgletal'!$I$34/100,Markniveau!Z1050))</f>
        <v>27.331185321443094</v>
      </c>
      <c r="AE1050" s="10">
        <f t="shared" si="173"/>
        <v>68.601275156822155</v>
      </c>
      <c r="AF1050" s="10" t="str">
        <f t="shared" si="168"/>
        <v/>
      </c>
      <c r="AG1050" s="10" t="str">
        <f t="shared" si="174"/>
        <v/>
      </c>
      <c r="AH1050" s="10" t="str">
        <f>IF(AND(Q1050&gt;0,Q1050&lt;30,K1050=216),'Udvaskning nøgletal'!$C$42,IF(AND(Q1050&gt;0,Q1050&lt;30,K1050&gt;7,K1050&lt;17),'Udvaskning nøgletal'!$C$61,IF(AND(Q1050&gt;0,Q1050&lt;30,K1050&lt;7),'Udvaskning nøgletal'!$C$62,"")))</f>
        <v/>
      </c>
      <c r="AI1050" s="10">
        <f t="shared" si="170"/>
        <v>260</v>
      </c>
      <c r="AJ1050" s="10">
        <f>IF($X1050=1,LOOKUP(AI1050,'Udvaskning nøgletal'!$C$12:$C$62,'Udvaskning nøgletal'!$E$12:$E$62)+Markniveau!$Y1050*Markniveau!$S1050/100,IF($X1050=2,LOOKUP(AI1050,'Udvaskning nøgletal'!$C$12:$C$62,'Udvaskning nøgletal'!$F$12:$F$62)+Markniveau!$Y1050*Markniveau!$S1050/100,IF($X1050=3,LOOKUP(AI1050,'Udvaskning nøgletal'!$C$12:$C$62,'Udvaskning nøgletal'!Q1060:Q1110)+Markniveau!$Y1050*Markniveau!$S1050/100,"")))</f>
        <v>27.331185321443094</v>
      </c>
      <c r="AK1050" s="10">
        <f t="shared" si="169"/>
        <v>68.601275156822155</v>
      </c>
      <c r="AL1050" s="10" t="str">
        <f t="shared" si="171"/>
        <v/>
      </c>
      <c r="AM1050" s="10" t="str">
        <f t="shared" si="172"/>
        <v/>
      </c>
    </row>
    <row r="1051" spans="1:39" x14ac:dyDescent="0.25">
      <c r="A1051" s="15">
        <v>32812864</v>
      </c>
      <c r="B1051" s="15">
        <v>16.32</v>
      </c>
      <c r="C1051" s="15">
        <v>120287</v>
      </c>
      <c r="D1051" s="15">
        <v>156150</v>
      </c>
      <c r="E1051" s="15" t="s">
        <v>831</v>
      </c>
      <c r="F1051" s="15">
        <v>2011</v>
      </c>
      <c r="G1051" s="15">
        <v>20110414</v>
      </c>
      <c r="H1051" s="15">
        <v>35518</v>
      </c>
      <c r="I1051" s="15">
        <v>3.55</v>
      </c>
      <c r="J1051" s="6" t="s">
        <v>832</v>
      </c>
      <c r="K1051" s="15">
        <v>230</v>
      </c>
      <c r="L1051" s="15" t="s">
        <v>120</v>
      </c>
      <c r="M1051" s="15" t="s">
        <v>5</v>
      </c>
      <c r="N1051" s="11" t="s">
        <v>1384</v>
      </c>
      <c r="O1051" s="11" t="s">
        <v>28</v>
      </c>
      <c r="P1051" s="11" t="s">
        <v>33</v>
      </c>
      <c r="Q1051" s="15">
        <v>0</v>
      </c>
      <c r="R1051" s="11" t="s">
        <v>1386</v>
      </c>
      <c r="S1051" s="10">
        <v>210.27964524570999</v>
      </c>
      <c r="T1051" s="15">
        <v>80</v>
      </c>
      <c r="U1051" s="15">
        <v>1</v>
      </c>
      <c r="V1051" s="15">
        <v>0</v>
      </c>
      <c r="W1051" s="15">
        <v>0</v>
      </c>
      <c r="X1051" s="15">
        <f>IF(O1051='Udvaskning nøgletal'!$D$65,1,IF(O1051='Udvaskning nøgletal'!$D$66,2,IF(O1051='Udvaskning nøgletal'!$D$67,3,IF(O1051='Udvaskning nøgletal'!$D$68,2,""))))</f>
        <v>1</v>
      </c>
      <c r="Y1051" s="15">
        <f>LOOKUP(K1051,'Udvaskning nøgletal'!$C$12:$C$60,'Udvaskning nøgletal'!$H$12:$H$60)</f>
        <v>0</v>
      </c>
      <c r="Z1051" s="10">
        <f>IF(X1051=1,LOOKUP(K1051,'Udvaskning nøgletal'!$C$12:$C$60,'Udvaskning nøgletal'!$E$12:$E$60)+Markniveau!Y1051*Markniveau!S1051/100,IF(X1051=2,LOOKUP(K1051,'Udvaskning nøgletal'!$C$12:$C$60,'Udvaskning nøgletal'!$F$12:$F$60)+Markniveau!Y1051*Markniveau!S1051/100,IF(X1051=3,LOOKUP(K1051,'Udvaskning nøgletal'!$C$12:$C$60,'Udvaskning nøgletal'!G1061:G1109)+Markniveau!Y1051*Markniveau!S1051/100,"")))</f>
        <v>38.620385460262987</v>
      </c>
      <c r="AA1051" s="10">
        <f t="shared" si="166"/>
        <v>137.10236838393359</v>
      </c>
      <c r="AB1051" s="10" t="str">
        <f t="shared" si="165"/>
        <v/>
      </c>
      <c r="AC1051" s="10" t="str">
        <f t="shared" si="167"/>
        <v/>
      </c>
      <c r="AD1051" s="10">
        <f>IF(AND(Q1051&gt;0,Q1051&lt;30,K1051&lt;8),Markniveau!Z1051*'Udvaskning nøgletal'!$I$12/100,IF(AND(Q1051&gt;0,Q1051&lt;30,K1051=216),Markniveau!Z1051*'Udvaskning nøgletal'!$I$34/100,Markniveau!Z1051))</f>
        <v>38.620385460262987</v>
      </c>
      <c r="AE1051" s="10">
        <f t="shared" si="173"/>
        <v>137.10236838393359</v>
      </c>
      <c r="AF1051" s="10" t="str">
        <f t="shared" si="168"/>
        <v/>
      </c>
      <c r="AG1051" s="10" t="str">
        <f t="shared" si="174"/>
        <v/>
      </c>
      <c r="AH1051" s="10" t="str">
        <f>IF(AND(Q1051&gt;0,Q1051&lt;30,K1051=216),'Udvaskning nøgletal'!$C$42,IF(AND(Q1051&gt;0,Q1051&lt;30,K1051&gt;7,K1051&lt;17),'Udvaskning nøgletal'!$C$61,IF(AND(Q1051&gt;0,Q1051&lt;30,K1051&lt;7),'Udvaskning nøgletal'!$C$62,"")))</f>
        <v/>
      </c>
      <c r="AI1051" s="10">
        <f t="shared" si="170"/>
        <v>230</v>
      </c>
      <c r="AJ1051" s="10">
        <f>IF($X1051=1,LOOKUP(AI1051,'Udvaskning nøgletal'!$C$12:$C$62,'Udvaskning nøgletal'!$E$12:$E$62)+Markniveau!$Y1051*Markniveau!$S1051/100,IF($X1051=2,LOOKUP(AI1051,'Udvaskning nøgletal'!$C$12:$C$62,'Udvaskning nøgletal'!$F$12:$F$62)+Markniveau!$Y1051*Markniveau!$S1051/100,IF($X1051=3,LOOKUP(AI1051,'Udvaskning nøgletal'!$C$12:$C$62,'Udvaskning nøgletal'!Q1061:Q1111)+Markniveau!$Y1051*Markniveau!$S1051/100,"")))</f>
        <v>38.620385460262987</v>
      </c>
      <c r="AK1051" s="10">
        <f t="shared" si="169"/>
        <v>137.10236838393359</v>
      </c>
      <c r="AL1051" s="10" t="str">
        <f t="shared" si="171"/>
        <v/>
      </c>
      <c r="AM1051" s="10" t="str">
        <f t="shared" si="172"/>
        <v/>
      </c>
    </row>
    <row r="1052" spans="1:39" x14ac:dyDescent="0.25">
      <c r="A1052" s="15">
        <v>32812864</v>
      </c>
      <c r="B1052" s="15">
        <v>16.32</v>
      </c>
      <c r="C1052" s="15">
        <v>120528</v>
      </c>
      <c r="D1052" s="15">
        <v>156150</v>
      </c>
      <c r="E1052" s="15" t="s">
        <v>473</v>
      </c>
      <c r="F1052" s="15">
        <v>2011</v>
      </c>
      <c r="G1052" s="15">
        <v>20110414</v>
      </c>
      <c r="H1052" s="15">
        <v>17215</v>
      </c>
      <c r="I1052" s="15">
        <v>1.72</v>
      </c>
      <c r="J1052" s="6" t="s">
        <v>833</v>
      </c>
      <c r="K1052" s="15">
        <v>210</v>
      </c>
      <c r="L1052" s="15" t="s">
        <v>262</v>
      </c>
      <c r="M1052" s="15" t="s">
        <v>5</v>
      </c>
      <c r="N1052" s="11" t="s">
        <v>1391</v>
      </c>
      <c r="O1052" s="11" t="s">
        <v>46</v>
      </c>
      <c r="P1052" s="11" t="s">
        <v>33</v>
      </c>
      <c r="Q1052" s="15">
        <v>0</v>
      </c>
      <c r="R1052" s="11" t="s">
        <v>1386</v>
      </c>
      <c r="S1052" s="10">
        <v>210.27964524570999</v>
      </c>
      <c r="T1052" s="15">
        <v>80</v>
      </c>
      <c r="U1052" s="15">
        <v>1</v>
      </c>
      <c r="V1052" s="15">
        <v>0</v>
      </c>
      <c r="W1052" s="15">
        <v>0</v>
      </c>
      <c r="X1052" s="15">
        <f>IF(O1052='Udvaskning nøgletal'!$D$65,1,IF(O1052='Udvaskning nøgletal'!$D$66,2,IF(O1052='Udvaskning nøgletal'!$D$67,3,IF(O1052='Udvaskning nøgletal'!$D$68,2,""))))</f>
        <v>2</v>
      </c>
      <c r="Y1052" s="15">
        <f>LOOKUP(K1052,'Udvaskning nøgletal'!$C$12:$C$60,'Udvaskning nøgletal'!$H$12:$H$60)</f>
        <v>0</v>
      </c>
      <c r="Z1052" s="10">
        <f>IF(X1052=1,LOOKUP(K1052,'Udvaskning nøgletal'!$C$12:$C$60,'Udvaskning nøgletal'!$E$12:$E$60)+Markniveau!Y1052*Markniveau!S1052/100,IF(X1052=2,LOOKUP(K1052,'Udvaskning nøgletal'!$C$12:$C$60,'Udvaskning nøgletal'!$F$12:$F$60)+Markniveau!Y1052*Markniveau!S1052/100,IF(X1052=3,LOOKUP(K1052,'Udvaskning nøgletal'!$C$12:$C$60,'Udvaskning nøgletal'!G1062:G1110)+Markniveau!Y1052*Markniveau!S1052/100,"")))</f>
        <v>31.161328188970323</v>
      </c>
      <c r="AA1052" s="10">
        <f t="shared" si="166"/>
        <v>53.597484485028957</v>
      </c>
      <c r="AB1052" s="10" t="str">
        <f t="shared" si="165"/>
        <v/>
      </c>
      <c r="AC1052" s="10" t="str">
        <f t="shared" si="167"/>
        <v/>
      </c>
      <c r="AD1052" s="10">
        <f>IF(AND(Q1052&gt;0,Q1052&lt;30,K1052&lt;8),Markniveau!Z1052*'Udvaskning nøgletal'!$I$12/100,IF(AND(Q1052&gt;0,Q1052&lt;30,K1052=216),Markniveau!Z1052*'Udvaskning nøgletal'!$I$34/100,Markniveau!Z1052))</f>
        <v>31.161328188970323</v>
      </c>
      <c r="AE1052" s="10">
        <f t="shared" si="173"/>
        <v>53.597484485028957</v>
      </c>
      <c r="AF1052" s="10" t="str">
        <f t="shared" si="168"/>
        <v/>
      </c>
      <c r="AG1052" s="10" t="str">
        <f t="shared" si="174"/>
        <v/>
      </c>
      <c r="AH1052" s="10" t="str">
        <f>IF(AND(Q1052&gt;0,Q1052&lt;30,K1052=216),'Udvaskning nøgletal'!$C$42,IF(AND(Q1052&gt;0,Q1052&lt;30,K1052&gt;7,K1052&lt;17),'Udvaskning nøgletal'!$C$61,IF(AND(Q1052&gt;0,Q1052&lt;30,K1052&lt;7),'Udvaskning nøgletal'!$C$62,"")))</f>
        <v/>
      </c>
      <c r="AI1052" s="10">
        <f t="shared" si="170"/>
        <v>210</v>
      </c>
      <c r="AJ1052" s="10">
        <f>IF($X1052=1,LOOKUP(AI1052,'Udvaskning nøgletal'!$C$12:$C$62,'Udvaskning nøgletal'!$E$12:$E$62)+Markniveau!$Y1052*Markniveau!$S1052/100,IF($X1052=2,LOOKUP(AI1052,'Udvaskning nøgletal'!$C$12:$C$62,'Udvaskning nøgletal'!$F$12:$F$62)+Markniveau!$Y1052*Markniveau!$S1052/100,IF($X1052=3,LOOKUP(AI1052,'Udvaskning nøgletal'!$C$12:$C$62,'Udvaskning nøgletal'!Q1062:Q1112)+Markniveau!$Y1052*Markniveau!$S1052/100,"")))</f>
        <v>31.161328188970323</v>
      </c>
      <c r="AK1052" s="10">
        <f t="shared" si="169"/>
        <v>53.597484485028957</v>
      </c>
      <c r="AL1052" s="10" t="str">
        <f t="shared" si="171"/>
        <v/>
      </c>
      <c r="AM1052" s="10" t="str">
        <f t="shared" si="172"/>
        <v/>
      </c>
    </row>
    <row r="1053" spans="1:39" x14ac:dyDescent="0.25">
      <c r="A1053" s="15">
        <v>32812864</v>
      </c>
      <c r="B1053" s="15">
        <v>16.32</v>
      </c>
      <c r="C1053" s="15">
        <v>120779</v>
      </c>
      <c r="D1053" s="15">
        <v>156150</v>
      </c>
      <c r="E1053" s="15" t="s">
        <v>834</v>
      </c>
      <c r="F1053" s="15">
        <v>2011</v>
      </c>
      <c r="G1053" s="15">
        <v>20110414</v>
      </c>
      <c r="H1053" s="15">
        <v>178270</v>
      </c>
      <c r="I1053" s="15">
        <v>17.829999999999998</v>
      </c>
      <c r="J1053" s="6" t="s">
        <v>601</v>
      </c>
      <c r="K1053" s="15">
        <v>260</v>
      </c>
      <c r="L1053" s="15" t="s">
        <v>45</v>
      </c>
      <c r="M1053" s="15" t="s">
        <v>5</v>
      </c>
      <c r="N1053" s="11" t="s">
        <v>1406</v>
      </c>
      <c r="O1053" s="11" t="s">
        <v>46</v>
      </c>
      <c r="P1053" s="11" t="s">
        <v>33</v>
      </c>
      <c r="Q1053" s="15">
        <v>0</v>
      </c>
      <c r="R1053" s="11" t="s">
        <v>1386</v>
      </c>
      <c r="S1053" s="10">
        <v>210.27964524570999</v>
      </c>
      <c r="T1053" s="15">
        <v>80</v>
      </c>
      <c r="U1053" s="15">
        <v>1</v>
      </c>
      <c r="V1053" s="15">
        <v>0</v>
      </c>
      <c r="W1053" s="15">
        <v>0</v>
      </c>
      <c r="X1053" s="15">
        <f>IF(O1053='Udvaskning nøgletal'!$D$65,1,IF(O1053='Udvaskning nøgletal'!$D$66,2,IF(O1053='Udvaskning nøgletal'!$D$67,3,IF(O1053='Udvaskning nøgletal'!$D$68,2,""))))</f>
        <v>2</v>
      </c>
      <c r="Y1053" s="15">
        <f>LOOKUP(K1053,'Udvaskning nøgletal'!$C$12:$C$60,'Udvaskning nøgletal'!$H$12:$H$60)</f>
        <v>0</v>
      </c>
      <c r="Z1053" s="10">
        <f>IF(X1053=1,LOOKUP(K1053,'Udvaskning nøgletal'!$C$12:$C$60,'Udvaskning nøgletal'!$E$12:$E$60)+Markniveau!Y1053*Markniveau!S1053/100,IF(X1053=2,LOOKUP(K1053,'Udvaskning nøgletal'!$C$12:$C$60,'Udvaskning nøgletal'!$F$12:$F$60)+Markniveau!Y1053*Markniveau!S1053/100,IF(X1053=3,LOOKUP(K1053,'Udvaskning nøgletal'!$C$12:$C$60,'Udvaskning nøgletal'!G1063:G1111)+Markniveau!Y1053*Markniveau!S1053/100,"")))</f>
        <v>27.331185321443094</v>
      </c>
      <c r="AA1053" s="10">
        <f t="shared" si="166"/>
        <v>487.31503428133033</v>
      </c>
      <c r="AB1053" s="10" t="str">
        <f t="shared" si="165"/>
        <v/>
      </c>
      <c r="AC1053" s="10" t="str">
        <f t="shared" si="167"/>
        <v/>
      </c>
      <c r="AD1053" s="10">
        <f>IF(AND(Q1053&gt;0,Q1053&lt;30,K1053&lt;8),Markniveau!Z1053*'Udvaskning nøgletal'!$I$12/100,IF(AND(Q1053&gt;0,Q1053&lt;30,K1053=216),Markniveau!Z1053*'Udvaskning nøgletal'!$I$34/100,Markniveau!Z1053))</f>
        <v>27.331185321443094</v>
      </c>
      <c r="AE1053" s="10">
        <f t="shared" si="173"/>
        <v>487.31503428133033</v>
      </c>
      <c r="AF1053" s="10" t="str">
        <f t="shared" si="168"/>
        <v/>
      </c>
      <c r="AG1053" s="10" t="str">
        <f t="shared" si="174"/>
        <v/>
      </c>
      <c r="AH1053" s="10" t="str">
        <f>IF(AND(Q1053&gt;0,Q1053&lt;30,K1053=216),'Udvaskning nøgletal'!$C$42,IF(AND(Q1053&gt;0,Q1053&lt;30,K1053&gt;7,K1053&lt;17),'Udvaskning nøgletal'!$C$61,IF(AND(Q1053&gt;0,Q1053&lt;30,K1053&lt;7),'Udvaskning nøgletal'!$C$62,"")))</f>
        <v/>
      </c>
      <c r="AI1053" s="10">
        <f t="shared" si="170"/>
        <v>260</v>
      </c>
      <c r="AJ1053" s="10">
        <f>IF($X1053=1,LOOKUP(AI1053,'Udvaskning nøgletal'!$C$12:$C$62,'Udvaskning nøgletal'!$E$12:$E$62)+Markniveau!$Y1053*Markniveau!$S1053/100,IF($X1053=2,LOOKUP(AI1053,'Udvaskning nøgletal'!$C$12:$C$62,'Udvaskning nøgletal'!$F$12:$F$62)+Markniveau!$Y1053*Markniveau!$S1053/100,IF($X1053=3,LOOKUP(AI1053,'Udvaskning nøgletal'!$C$12:$C$62,'Udvaskning nøgletal'!Q1063:Q1113)+Markniveau!$Y1053*Markniveau!$S1053/100,"")))</f>
        <v>27.331185321443094</v>
      </c>
      <c r="AK1053" s="10">
        <f t="shared" si="169"/>
        <v>487.31503428133033</v>
      </c>
      <c r="AL1053" s="10" t="str">
        <f t="shared" si="171"/>
        <v/>
      </c>
      <c r="AM1053" s="10" t="str">
        <f t="shared" si="172"/>
        <v/>
      </c>
    </row>
    <row r="1054" spans="1:39" x14ac:dyDescent="0.25">
      <c r="A1054" s="15">
        <v>32812864</v>
      </c>
      <c r="B1054" s="15">
        <v>16.32</v>
      </c>
      <c r="C1054" s="15">
        <v>121017</v>
      </c>
      <c r="D1054" s="15">
        <v>156150</v>
      </c>
      <c r="E1054" s="15" t="s">
        <v>473</v>
      </c>
      <c r="F1054" s="15">
        <v>2011</v>
      </c>
      <c r="G1054" s="15">
        <v>20110414</v>
      </c>
      <c r="H1054" s="15">
        <v>85908</v>
      </c>
      <c r="I1054" s="15">
        <v>8.59</v>
      </c>
      <c r="J1054" s="6" t="s">
        <v>835</v>
      </c>
      <c r="K1054" s="15">
        <v>210</v>
      </c>
      <c r="L1054" s="15" t="s">
        <v>262</v>
      </c>
      <c r="M1054" s="15" t="s">
        <v>5</v>
      </c>
      <c r="N1054" s="11" t="s">
        <v>1391</v>
      </c>
      <c r="O1054" s="11" t="s">
        <v>46</v>
      </c>
      <c r="P1054" s="11" t="s">
        <v>33</v>
      </c>
      <c r="Q1054" s="15">
        <v>0</v>
      </c>
      <c r="R1054" s="11" t="s">
        <v>1386</v>
      </c>
      <c r="S1054" s="10">
        <v>210.27964524570999</v>
      </c>
      <c r="T1054" s="15">
        <v>80</v>
      </c>
      <c r="U1054" s="15">
        <v>1</v>
      </c>
      <c r="V1054" s="15">
        <v>0</v>
      </c>
      <c r="W1054" s="15">
        <v>0</v>
      </c>
      <c r="X1054" s="15">
        <f>IF(O1054='Udvaskning nøgletal'!$D$65,1,IF(O1054='Udvaskning nøgletal'!$D$66,2,IF(O1054='Udvaskning nøgletal'!$D$67,3,IF(O1054='Udvaskning nøgletal'!$D$68,2,""))))</f>
        <v>2</v>
      </c>
      <c r="Y1054" s="15">
        <f>LOOKUP(K1054,'Udvaskning nøgletal'!$C$12:$C$60,'Udvaskning nøgletal'!$H$12:$H$60)</f>
        <v>0</v>
      </c>
      <c r="Z1054" s="10">
        <f>IF(X1054=1,LOOKUP(K1054,'Udvaskning nøgletal'!$C$12:$C$60,'Udvaskning nøgletal'!$E$12:$E$60)+Markniveau!Y1054*Markniveau!S1054/100,IF(X1054=2,LOOKUP(K1054,'Udvaskning nøgletal'!$C$12:$C$60,'Udvaskning nøgletal'!$F$12:$F$60)+Markniveau!Y1054*Markniveau!S1054/100,IF(X1054=3,LOOKUP(K1054,'Udvaskning nøgletal'!$C$12:$C$60,'Udvaskning nøgletal'!G1064:G1112)+Markniveau!Y1054*Markniveau!S1054/100,"")))</f>
        <v>31.161328188970323</v>
      </c>
      <c r="AA1054" s="10">
        <f t="shared" si="166"/>
        <v>267.67580914325509</v>
      </c>
      <c r="AB1054" s="10" t="str">
        <f t="shared" si="165"/>
        <v/>
      </c>
      <c r="AC1054" s="10" t="str">
        <f t="shared" si="167"/>
        <v/>
      </c>
      <c r="AD1054" s="10">
        <f>IF(AND(Q1054&gt;0,Q1054&lt;30,K1054&lt;8),Markniveau!Z1054*'Udvaskning nøgletal'!$I$12/100,IF(AND(Q1054&gt;0,Q1054&lt;30,K1054=216),Markniveau!Z1054*'Udvaskning nøgletal'!$I$34/100,Markniveau!Z1054))</f>
        <v>31.161328188970323</v>
      </c>
      <c r="AE1054" s="10">
        <f t="shared" si="173"/>
        <v>267.67580914325509</v>
      </c>
      <c r="AF1054" s="10" t="str">
        <f t="shared" si="168"/>
        <v/>
      </c>
      <c r="AG1054" s="10" t="str">
        <f t="shared" si="174"/>
        <v/>
      </c>
      <c r="AH1054" s="10" t="str">
        <f>IF(AND(Q1054&gt;0,Q1054&lt;30,K1054=216),'Udvaskning nøgletal'!$C$42,IF(AND(Q1054&gt;0,Q1054&lt;30,K1054&gt;7,K1054&lt;17),'Udvaskning nøgletal'!$C$61,IF(AND(Q1054&gt;0,Q1054&lt;30,K1054&lt;7),'Udvaskning nøgletal'!$C$62,"")))</f>
        <v/>
      </c>
      <c r="AI1054" s="10">
        <f t="shared" si="170"/>
        <v>210</v>
      </c>
      <c r="AJ1054" s="10">
        <f>IF($X1054=1,LOOKUP(AI1054,'Udvaskning nøgletal'!$C$12:$C$62,'Udvaskning nøgletal'!$E$12:$E$62)+Markniveau!$Y1054*Markniveau!$S1054/100,IF($X1054=2,LOOKUP(AI1054,'Udvaskning nøgletal'!$C$12:$C$62,'Udvaskning nøgletal'!$F$12:$F$62)+Markniveau!$Y1054*Markniveau!$S1054/100,IF($X1054=3,LOOKUP(AI1054,'Udvaskning nøgletal'!$C$12:$C$62,'Udvaskning nøgletal'!Q1064:Q1114)+Markniveau!$Y1054*Markniveau!$S1054/100,"")))</f>
        <v>31.161328188970323</v>
      </c>
      <c r="AK1054" s="10">
        <f t="shared" si="169"/>
        <v>267.67580914325509</v>
      </c>
      <c r="AL1054" s="10" t="str">
        <f t="shared" si="171"/>
        <v/>
      </c>
      <c r="AM1054" s="10" t="str">
        <f t="shared" si="172"/>
        <v/>
      </c>
    </row>
    <row r="1055" spans="1:39" x14ac:dyDescent="0.25">
      <c r="A1055" s="15">
        <v>32812864</v>
      </c>
      <c r="B1055" s="15">
        <v>16.32</v>
      </c>
      <c r="C1055" s="15">
        <v>121038</v>
      </c>
      <c r="D1055" s="15">
        <v>156150</v>
      </c>
      <c r="E1055" s="15" t="s">
        <v>372</v>
      </c>
      <c r="F1055" s="15">
        <v>2011</v>
      </c>
      <c r="G1055" s="15">
        <v>20110414</v>
      </c>
      <c r="H1055" s="15">
        <v>163225</v>
      </c>
      <c r="I1055" s="15">
        <v>16.32</v>
      </c>
      <c r="J1055" s="6" t="s">
        <v>51</v>
      </c>
      <c r="K1055" s="15">
        <v>216</v>
      </c>
      <c r="L1055" s="15" t="s">
        <v>116</v>
      </c>
      <c r="M1055" s="15" t="s">
        <v>5</v>
      </c>
      <c r="N1055" s="11" t="s">
        <v>1384</v>
      </c>
      <c r="O1055" s="11" t="s">
        <v>28</v>
      </c>
      <c r="P1055" s="11" t="s">
        <v>29</v>
      </c>
      <c r="Q1055" s="15">
        <v>95</v>
      </c>
      <c r="R1055" s="11" t="s">
        <v>3</v>
      </c>
      <c r="S1055" s="10">
        <v>210.27964524570999</v>
      </c>
      <c r="T1055" s="15">
        <v>80</v>
      </c>
      <c r="U1055" s="15">
        <v>1</v>
      </c>
      <c r="V1055" s="15">
        <v>0</v>
      </c>
      <c r="W1055" s="15">
        <v>0</v>
      </c>
      <c r="X1055" s="15">
        <f>IF(O1055='Udvaskning nøgletal'!$D$65,1,IF(O1055='Udvaskning nøgletal'!$D$66,2,IF(O1055='Udvaskning nøgletal'!$D$67,3,IF(O1055='Udvaskning nøgletal'!$D$68,2,""))))</f>
        <v>1</v>
      </c>
      <c r="Y1055" s="15">
        <f>LOOKUP(K1055,'Udvaskning nøgletal'!$C$12:$C$60,'Udvaskning nøgletal'!$H$12:$H$60)</f>
        <v>0</v>
      </c>
      <c r="Z1055" s="10">
        <f>IF(X1055=1,LOOKUP(K1055,'Udvaskning nøgletal'!$C$12:$C$60,'Udvaskning nøgletal'!$E$12:$E$60)+Markniveau!Y1055*Markniveau!S1055/100,IF(X1055=2,LOOKUP(K1055,'Udvaskning nøgletal'!$C$12:$C$60,'Udvaskning nøgletal'!$F$12:$F$60)+Markniveau!Y1055*Markniveau!S1055/100,IF(X1055=3,LOOKUP(K1055,'Udvaskning nøgletal'!$C$12:$C$60,'Udvaskning nøgletal'!G1065:G1113)+Markniveau!Y1055*Markniveau!S1055/100,"")))</f>
        <v>125.85383557148924</v>
      </c>
      <c r="AA1055" s="10">
        <f t="shared" si="166"/>
        <v>2053.9345965267044</v>
      </c>
      <c r="AB1055" s="10">
        <f t="shared" si="165"/>
        <v>6.2926917785744623</v>
      </c>
      <c r="AC1055" s="10">
        <f t="shared" si="167"/>
        <v>102.69672982633523</v>
      </c>
      <c r="AD1055" s="10">
        <f>IF(AND(Q1055&gt;0,Q1055&lt;30,K1055&lt;8),Markniveau!Z1055*'Udvaskning nøgletal'!$I$12/100,IF(AND(Q1055&gt;0,Q1055&lt;30,K1055=216),Markniveau!Z1055*'Udvaskning nøgletal'!$I$34/100,Markniveau!Z1055))</f>
        <v>125.85383557148924</v>
      </c>
      <c r="AE1055" s="10">
        <f t="shared" si="173"/>
        <v>2053.9345965267044</v>
      </c>
      <c r="AF1055" s="10">
        <f t="shared" si="168"/>
        <v>6.2926917785744623</v>
      </c>
      <c r="AG1055" s="10">
        <f t="shared" si="174"/>
        <v>102.69672982633523</v>
      </c>
      <c r="AH1055" s="10" t="str">
        <f>IF(AND(Q1055&gt;0,Q1055&lt;30,K1055=216),'Udvaskning nøgletal'!$C$42,IF(AND(Q1055&gt;0,Q1055&lt;30,K1055&gt;7,K1055&lt;17),'Udvaskning nøgletal'!$C$61,IF(AND(Q1055&gt;0,Q1055&lt;30,K1055&lt;7),'Udvaskning nøgletal'!$C$62,"")))</f>
        <v/>
      </c>
      <c r="AI1055" s="10">
        <f t="shared" si="170"/>
        <v>216</v>
      </c>
      <c r="AJ1055" s="10">
        <f>IF($X1055=1,LOOKUP(AI1055,'Udvaskning nøgletal'!$C$12:$C$62,'Udvaskning nøgletal'!$E$12:$E$62)+Markniveau!$Y1055*Markniveau!$S1055/100,IF($X1055=2,LOOKUP(AI1055,'Udvaskning nøgletal'!$C$12:$C$62,'Udvaskning nøgletal'!$F$12:$F$62)+Markniveau!$Y1055*Markniveau!$S1055/100,IF($X1055=3,LOOKUP(AI1055,'Udvaskning nøgletal'!$C$12:$C$62,'Udvaskning nøgletal'!Q1065:Q1115)+Markniveau!$Y1055*Markniveau!$S1055/100,"")))</f>
        <v>125.85383557148924</v>
      </c>
      <c r="AK1055" s="10">
        <f t="shared" si="169"/>
        <v>2053.9345965267044</v>
      </c>
      <c r="AL1055" s="10">
        <f t="shared" si="171"/>
        <v>6.2926917785744623</v>
      </c>
      <c r="AM1055" s="10">
        <f t="shared" si="172"/>
        <v>102.69672982633523</v>
      </c>
    </row>
    <row r="1056" spans="1:39" x14ac:dyDescent="0.25">
      <c r="A1056" s="15">
        <v>32812864</v>
      </c>
      <c r="B1056" s="15">
        <v>16.32</v>
      </c>
      <c r="C1056" s="15">
        <v>121381</v>
      </c>
      <c r="D1056" s="15">
        <v>156150</v>
      </c>
      <c r="E1056" s="15" t="s">
        <v>836</v>
      </c>
      <c r="F1056" s="15">
        <v>2011</v>
      </c>
      <c r="G1056" s="15">
        <v>20110414</v>
      </c>
      <c r="H1056" s="15">
        <v>53493</v>
      </c>
      <c r="I1056" s="15">
        <v>5.35</v>
      </c>
      <c r="J1056" s="6" t="s">
        <v>605</v>
      </c>
      <c r="K1056" s="15">
        <v>260</v>
      </c>
      <c r="L1056" s="15" t="s">
        <v>45</v>
      </c>
      <c r="M1056" s="15" t="s">
        <v>5</v>
      </c>
      <c r="N1056" s="11" t="s">
        <v>1384</v>
      </c>
      <c r="O1056" s="11" t="s">
        <v>28</v>
      </c>
      <c r="P1056" s="11" t="s">
        <v>33</v>
      </c>
      <c r="Q1056" s="15">
        <v>0</v>
      </c>
      <c r="R1056" s="11" t="s">
        <v>1386</v>
      </c>
      <c r="S1056" s="10">
        <v>210.27964524570999</v>
      </c>
      <c r="T1056" s="15">
        <v>80</v>
      </c>
      <c r="U1056" s="15">
        <v>1</v>
      </c>
      <c r="V1056" s="15">
        <v>0</v>
      </c>
      <c r="W1056" s="15">
        <v>0</v>
      </c>
      <c r="X1056" s="15">
        <f>IF(O1056='Udvaskning nøgletal'!$D$65,1,IF(O1056='Udvaskning nøgletal'!$D$66,2,IF(O1056='Udvaskning nøgletal'!$D$67,3,IF(O1056='Udvaskning nøgletal'!$D$68,2,""))))</f>
        <v>1</v>
      </c>
      <c r="Y1056" s="15">
        <f>LOOKUP(K1056,'Udvaskning nøgletal'!$C$12:$C$60,'Udvaskning nøgletal'!$H$12:$H$60)</f>
        <v>0</v>
      </c>
      <c r="Z1056" s="10">
        <f>IF(X1056=1,LOOKUP(K1056,'Udvaskning nøgletal'!$C$12:$C$60,'Udvaskning nøgletal'!$E$12:$E$60)+Markniveau!Y1056*Markniveau!S1056/100,IF(X1056=2,LOOKUP(K1056,'Udvaskning nøgletal'!$C$12:$C$60,'Udvaskning nøgletal'!$F$12:$F$60)+Markniveau!Y1056*Markniveau!S1056/100,IF(X1056=3,LOOKUP(K1056,'Udvaskning nøgletal'!$C$12:$C$60,'Udvaskning nøgletal'!G1066:G1114)+Markniveau!Y1056*Markniveau!S1056/100,"")))</f>
        <v>33.723295792149436</v>
      </c>
      <c r="AA1056" s="10">
        <f t="shared" si="166"/>
        <v>180.41963248799948</v>
      </c>
      <c r="AB1056" s="10" t="str">
        <f t="shared" si="165"/>
        <v/>
      </c>
      <c r="AC1056" s="10" t="str">
        <f t="shared" si="167"/>
        <v/>
      </c>
      <c r="AD1056" s="10">
        <f>IF(AND(Q1056&gt;0,Q1056&lt;30,K1056&lt;8),Markniveau!Z1056*'Udvaskning nøgletal'!$I$12/100,IF(AND(Q1056&gt;0,Q1056&lt;30,K1056=216),Markniveau!Z1056*'Udvaskning nøgletal'!$I$34/100,Markniveau!Z1056))</f>
        <v>33.723295792149436</v>
      </c>
      <c r="AE1056" s="10">
        <f t="shared" si="173"/>
        <v>180.41963248799948</v>
      </c>
      <c r="AF1056" s="10" t="str">
        <f t="shared" si="168"/>
        <v/>
      </c>
      <c r="AG1056" s="10" t="str">
        <f t="shared" si="174"/>
        <v/>
      </c>
      <c r="AH1056" s="10" t="str">
        <f>IF(AND(Q1056&gt;0,Q1056&lt;30,K1056=216),'Udvaskning nøgletal'!$C$42,IF(AND(Q1056&gt;0,Q1056&lt;30,K1056&gt;7,K1056&lt;17),'Udvaskning nøgletal'!$C$61,IF(AND(Q1056&gt;0,Q1056&lt;30,K1056&lt;7),'Udvaskning nøgletal'!$C$62,"")))</f>
        <v/>
      </c>
      <c r="AI1056" s="10">
        <f t="shared" si="170"/>
        <v>260</v>
      </c>
      <c r="AJ1056" s="10">
        <f>IF($X1056=1,LOOKUP(AI1056,'Udvaskning nøgletal'!$C$12:$C$62,'Udvaskning nøgletal'!$E$12:$E$62)+Markniveau!$Y1056*Markniveau!$S1056/100,IF($X1056=2,LOOKUP(AI1056,'Udvaskning nøgletal'!$C$12:$C$62,'Udvaskning nøgletal'!$F$12:$F$62)+Markniveau!$Y1056*Markniveau!$S1056/100,IF($X1056=3,LOOKUP(AI1056,'Udvaskning nøgletal'!$C$12:$C$62,'Udvaskning nøgletal'!Q1066:Q1116)+Markniveau!$Y1056*Markniveau!$S1056/100,"")))</f>
        <v>33.723295792149436</v>
      </c>
      <c r="AK1056" s="10">
        <f t="shared" si="169"/>
        <v>180.41963248799948</v>
      </c>
      <c r="AL1056" s="10" t="str">
        <f t="shared" si="171"/>
        <v/>
      </c>
      <c r="AM1056" s="10" t="str">
        <f t="shared" si="172"/>
        <v/>
      </c>
    </row>
    <row r="1057" spans="1:39" x14ac:dyDescent="0.25">
      <c r="A1057" s="15">
        <v>32812864</v>
      </c>
      <c r="B1057" s="15">
        <v>16.32</v>
      </c>
      <c r="C1057" s="15">
        <v>122087</v>
      </c>
      <c r="D1057" s="15">
        <v>156150</v>
      </c>
      <c r="E1057" s="15" t="s">
        <v>837</v>
      </c>
      <c r="F1057" s="15">
        <v>2011</v>
      </c>
      <c r="G1057" s="15">
        <v>20110414</v>
      </c>
      <c r="H1057" s="15">
        <v>102437</v>
      </c>
      <c r="I1057" s="15">
        <v>10.24</v>
      </c>
      <c r="J1057" s="6" t="s">
        <v>728</v>
      </c>
      <c r="K1057" s="15">
        <v>210</v>
      </c>
      <c r="L1057" s="15" t="s">
        <v>262</v>
      </c>
      <c r="M1057" s="15" t="s">
        <v>5</v>
      </c>
      <c r="N1057" s="11" t="s">
        <v>1391</v>
      </c>
      <c r="O1057" s="11" t="s">
        <v>46</v>
      </c>
      <c r="P1057" s="11" t="s">
        <v>33</v>
      </c>
      <c r="Q1057" s="15">
        <v>0</v>
      </c>
      <c r="R1057" s="11" t="s">
        <v>1386</v>
      </c>
      <c r="S1057" s="10">
        <v>210.27964524570999</v>
      </c>
      <c r="T1057" s="15">
        <v>80</v>
      </c>
      <c r="U1057" s="15">
        <v>1</v>
      </c>
      <c r="V1057" s="15">
        <v>0</v>
      </c>
      <c r="W1057" s="15">
        <v>0</v>
      </c>
      <c r="X1057" s="15">
        <f>IF(O1057='Udvaskning nøgletal'!$D$65,1,IF(O1057='Udvaskning nøgletal'!$D$66,2,IF(O1057='Udvaskning nøgletal'!$D$67,3,IF(O1057='Udvaskning nøgletal'!$D$68,2,""))))</f>
        <v>2</v>
      </c>
      <c r="Y1057" s="15">
        <f>LOOKUP(K1057,'Udvaskning nøgletal'!$C$12:$C$60,'Udvaskning nøgletal'!$H$12:$H$60)</f>
        <v>0</v>
      </c>
      <c r="Z1057" s="10">
        <f>IF(X1057=1,LOOKUP(K1057,'Udvaskning nøgletal'!$C$12:$C$60,'Udvaskning nøgletal'!$E$12:$E$60)+Markniveau!Y1057*Markniveau!S1057/100,IF(X1057=2,LOOKUP(K1057,'Udvaskning nøgletal'!$C$12:$C$60,'Udvaskning nøgletal'!$F$12:$F$60)+Markniveau!Y1057*Markniveau!S1057/100,IF(X1057=3,LOOKUP(K1057,'Udvaskning nøgletal'!$C$12:$C$60,'Udvaskning nøgletal'!G1067:G1115)+Markniveau!Y1057*Markniveau!S1057/100,"")))</f>
        <v>31.161328188970323</v>
      </c>
      <c r="AA1057" s="10">
        <f t="shared" si="166"/>
        <v>319.0920006550561</v>
      </c>
      <c r="AB1057" s="10" t="str">
        <f t="shared" si="165"/>
        <v/>
      </c>
      <c r="AC1057" s="10" t="str">
        <f t="shared" si="167"/>
        <v/>
      </c>
      <c r="AD1057" s="10">
        <f>IF(AND(Q1057&gt;0,Q1057&lt;30,K1057&lt;8),Markniveau!Z1057*'Udvaskning nøgletal'!$I$12/100,IF(AND(Q1057&gt;0,Q1057&lt;30,K1057=216),Markniveau!Z1057*'Udvaskning nøgletal'!$I$34/100,Markniveau!Z1057))</f>
        <v>31.161328188970323</v>
      </c>
      <c r="AE1057" s="10">
        <f t="shared" si="173"/>
        <v>319.0920006550561</v>
      </c>
      <c r="AF1057" s="10" t="str">
        <f t="shared" si="168"/>
        <v/>
      </c>
      <c r="AG1057" s="10" t="str">
        <f t="shared" si="174"/>
        <v/>
      </c>
      <c r="AH1057" s="10" t="str">
        <f>IF(AND(Q1057&gt;0,Q1057&lt;30,K1057=216),'Udvaskning nøgletal'!$C$42,IF(AND(Q1057&gt;0,Q1057&lt;30,K1057&gt;7,K1057&lt;17),'Udvaskning nøgletal'!$C$61,IF(AND(Q1057&gt;0,Q1057&lt;30,K1057&lt;7),'Udvaskning nøgletal'!$C$62,"")))</f>
        <v/>
      </c>
      <c r="AI1057" s="10">
        <f t="shared" si="170"/>
        <v>210</v>
      </c>
      <c r="AJ1057" s="10">
        <f>IF($X1057=1,LOOKUP(AI1057,'Udvaskning nøgletal'!$C$12:$C$62,'Udvaskning nøgletal'!$E$12:$E$62)+Markniveau!$Y1057*Markniveau!$S1057/100,IF($X1057=2,LOOKUP(AI1057,'Udvaskning nøgletal'!$C$12:$C$62,'Udvaskning nøgletal'!$F$12:$F$62)+Markniveau!$Y1057*Markniveau!$S1057/100,IF($X1057=3,LOOKUP(AI1057,'Udvaskning nøgletal'!$C$12:$C$62,'Udvaskning nøgletal'!Q1067:Q1117)+Markniveau!$Y1057*Markniveau!$S1057/100,"")))</f>
        <v>31.161328188970323</v>
      </c>
      <c r="AK1057" s="10">
        <f t="shared" si="169"/>
        <v>319.0920006550561</v>
      </c>
      <c r="AL1057" s="10" t="str">
        <f t="shared" si="171"/>
        <v/>
      </c>
      <c r="AM1057" s="10" t="str">
        <f t="shared" si="172"/>
        <v/>
      </c>
    </row>
    <row r="1058" spans="1:39" x14ac:dyDescent="0.25">
      <c r="A1058" s="15">
        <v>32812864</v>
      </c>
      <c r="B1058" s="15">
        <v>16.32</v>
      </c>
      <c r="C1058" s="15">
        <v>122238</v>
      </c>
      <c r="D1058" s="15">
        <v>156150</v>
      </c>
      <c r="E1058" s="15" t="s">
        <v>837</v>
      </c>
      <c r="F1058" s="15">
        <v>2011</v>
      </c>
      <c r="G1058" s="15">
        <v>20110414</v>
      </c>
      <c r="H1058" s="15">
        <v>196794</v>
      </c>
      <c r="I1058" s="15">
        <v>19.68</v>
      </c>
      <c r="J1058" s="6" t="s">
        <v>479</v>
      </c>
      <c r="K1058" s="15">
        <v>210</v>
      </c>
      <c r="L1058" s="15" t="s">
        <v>262</v>
      </c>
      <c r="M1058" s="15" t="s">
        <v>5</v>
      </c>
      <c r="N1058" s="11" t="s">
        <v>1391</v>
      </c>
      <c r="O1058" s="11" t="s">
        <v>46</v>
      </c>
      <c r="P1058" s="11" t="s">
        <v>33</v>
      </c>
      <c r="Q1058" s="15">
        <v>0</v>
      </c>
      <c r="R1058" s="11" t="s">
        <v>1386</v>
      </c>
      <c r="S1058" s="10">
        <v>210.27964524570999</v>
      </c>
      <c r="T1058" s="15">
        <v>80</v>
      </c>
      <c r="U1058" s="15">
        <v>1</v>
      </c>
      <c r="V1058" s="15">
        <v>0</v>
      </c>
      <c r="W1058" s="15">
        <v>0</v>
      </c>
      <c r="X1058" s="15">
        <f>IF(O1058='Udvaskning nøgletal'!$D$65,1,IF(O1058='Udvaskning nøgletal'!$D$66,2,IF(O1058='Udvaskning nøgletal'!$D$67,3,IF(O1058='Udvaskning nøgletal'!$D$68,2,""))))</f>
        <v>2</v>
      </c>
      <c r="Y1058" s="15">
        <f>LOOKUP(K1058,'Udvaskning nøgletal'!$C$12:$C$60,'Udvaskning nøgletal'!$H$12:$H$60)</f>
        <v>0</v>
      </c>
      <c r="Z1058" s="10">
        <f>IF(X1058=1,LOOKUP(K1058,'Udvaskning nøgletal'!$C$12:$C$60,'Udvaskning nøgletal'!$E$12:$E$60)+Markniveau!Y1058*Markniveau!S1058/100,IF(X1058=2,LOOKUP(K1058,'Udvaskning nøgletal'!$C$12:$C$60,'Udvaskning nøgletal'!$F$12:$F$60)+Markniveau!Y1058*Markniveau!S1058/100,IF(X1058=3,LOOKUP(K1058,'Udvaskning nøgletal'!$C$12:$C$60,'Udvaskning nøgletal'!G1068:G1116)+Markniveau!Y1058*Markniveau!S1058/100,"")))</f>
        <v>31.161328188970323</v>
      </c>
      <c r="AA1058" s="10">
        <f t="shared" si="166"/>
        <v>613.25493875893596</v>
      </c>
      <c r="AB1058" s="10" t="str">
        <f t="shared" si="165"/>
        <v/>
      </c>
      <c r="AC1058" s="10" t="str">
        <f t="shared" si="167"/>
        <v/>
      </c>
      <c r="AD1058" s="10">
        <f>IF(AND(Q1058&gt;0,Q1058&lt;30,K1058&lt;8),Markniveau!Z1058*'Udvaskning nøgletal'!$I$12/100,IF(AND(Q1058&gt;0,Q1058&lt;30,K1058=216),Markniveau!Z1058*'Udvaskning nøgletal'!$I$34/100,Markniveau!Z1058))</f>
        <v>31.161328188970323</v>
      </c>
      <c r="AE1058" s="10">
        <f t="shared" si="173"/>
        <v>613.25493875893596</v>
      </c>
      <c r="AF1058" s="10" t="str">
        <f t="shared" si="168"/>
        <v/>
      </c>
      <c r="AG1058" s="10" t="str">
        <f t="shared" si="174"/>
        <v/>
      </c>
      <c r="AH1058" s="10" t="str">
        <f>IF(AND(Q1058&gt;0,Q1058&lt;30,K1058=216),'Udvaskning nøgletal'!$C$42,IF(AND(Q1058&gt;0,Q1058&lt;30,K1058&gt;7,K1058&lt;17),'Udvaskning nøgletal'!$C$61,IF(AND(Q1058&gt;0,Q1058&lt;30,K1058&lt;7),'Udvaskning nøgletal'!$C$62,"")))</f>
        <v/>
      </c>
      <c r="AI1058" s="10">
        <f t="shared" si="170"/>
        <v>210</v>
      </c>
      <c r="AJ1058" s="10">
        <f>IF($X1058=1,LOOKUP(AI1058,'Udvaskning nøgletal'!$C$12:$C$62,'Udvaskning nøgletal'!$E$12:$E$62)+Markniveau!$Y1058*Markniveau!$S1058/100,IF($X1058=2,LOOKUP(AI1058,'Udvaskning nøgletal'!$C$12:$C$62,'Udvaskning nøgletal'!$F$12:$F$62)+Markniveau!$Y1058*Markniveau!$S1058/100,IF($X1058=3,LOOKUP(AI1058,'Udvaskning nøgletal'!$C$12:$C$62,'Udvaskning nøgletal'!Q1068:Q1118)+Markniveau!$Y1058*Markniveau!$S1058/100,"")))</f>
        <v>31.161328188970323</v>
      </c>
      <c r="AK1058" s="10">
        <f t="shared" si="169"/>
        <v>613.25493875893596</v>
      </c>
      <c r="AL1058" s="10" t="str">
        <f t="shared" si="171"/>
        <v/>
      </c>
      <c r="AM1058" s="10" t="str">
        <f t="shared" si="172"/>
        <v/>
      </c>
    </row>
    <row r="1059" spans="1:39" x14ac:dyDescent="0.25">
      <c r="A1059" s="15">
        <v>32812864</v>
      </c>
      <c r="B1059" s="15">
        <v>16.32</v>
      </c>
      <c r="C1059" s="15">
        <v>122240</v>
      </c>
      <c r="D1059" s="15">
        <v>156150</v>
      </c>
      <c r="E1059" s="15" t="s">
        <v>838</v>
      </c>
      <c r="F1059" s="15">
        <v>2011</v>
      </c>
      <c r="G1059" s="15">
        <v>20110414</v>
      </c>
      <c r="H1059" s="15">
        <v>61833</v>
      </c>
      <c r="I1059" s="15">
        <v>6.18</v>
      </c>
      <c r="J1059" s="6" t="s">
        <v>31</v>
      </c>
      <c r="K1059" s="15">
        <v>216</v>
      </c>
      <c r="L1059" s="15" t="s">
        <v>116</v>
      </c>
      <c r="M1059" s="15" t="s">
        <v>5</v>
      </c>
      <c r="N1059" s="11" t="s">
        <v>1391</v>
      </c>
      <c r="O1059" s="11" t="s">
        <v>46</v>
      </c>
      <c r="P1059" s="11" t="s">
        <v>33</v>
      </c>
      <c r="Q1059" s="15">
        <v>0</v>
      </c>
      <c r="R1059" s="11" t="s">
        <v>1386</v>
      </c>
      <c r="S1059" s="10">
        <v>210.27964524570999</v>
      </c>
      <c r="T1059" s="15">
        <v>80</v>
      </c>
      <c r="U1059" s="15">
        <v>1</v>
      </c>
      <c r="V1059" s="15">
        <v>0</v>
      </c>
      <c r="W1059" s="15">
        <v>0</v>
      </c>
      <c r="X1059" s="15">
        <f>IF(O1059='Udvaskning nøgletal'!$D$65,1,IF(O1059='Udvaskning nøgletal'!$D$66,2,IF(O1059='Udvaskning nøgletal'!$D$67,3,IF(O1059='Udvaskning nøgletal'!$D$68,2,""))))</f>
        <v>2</v>
      </c>
      <c r="Y1059" s="15">
        <f>LOOKUP(K1059,'Udvaskning nøgletal'!$C$12:$C$60,'Udvaskning nøgletal'!$H$12:$H$60)</f>
        <v>0</v>
      </c>
      <c r="Z1059" s="10">
        <f>IF(X1059=1,LOOKUP(K1059,'Udvaskning nøgletal'!$C$12:$C$60,'Udvaskning nøgletal'!$E$12:$E$60)+Markniveau!Y1059*Markniveau!S1059/100,IF(X1059=2,LOOKUP(K1059,'Udvaskning nøgletal'!$C$12:$C$60,'Udvaskning nøgletal'!$F$12:$F$60)+Markniveau!Y1059*Markniveau!S1059/100,IF(X1059=3,LOOKUP(K1059,'Udvaskning nøgletal'!$C$12:$C$60,'Udvaskning nøgletal'!G1069:G1117)+Markniveau!Y1059*Markniveau!S1059/100,"")))</f>
        <v>101.66744640811392</v>
      </c>
      <c r="AA1059" s="10">
        <f t="shared" si="166"/>
        <v>628.30481880214393</v>
      </c>
      <c r="AB1059" s="10" t="str">
        <f t="shared" si="165"/>
        <v/>
      </c>
      <c r="AC1059" s="10" t="str">
        <f t="shared" si="167"/>
        <v/>
      </c>
      <c r="AD1059" s="10">
        <f>IF(AND(Q1059&gt;0,Q1059&lt;30,K1059&lt;8),Markniveau!Z1059*'Udvaskning nøgletal'!$I$12/100,IF(AND(Q1059&gt;0,Q1059&lt;30,K1059=216),Markniveau!Z1059*'Udvaskning nøgletal'!$I$34/100,Markniveau!Z1059))</f>
        <v>101.66744640811392</v>
      </c>
      <c r="AE1059" s="10">
        <f t="shared" si="173"/>
        <v>628.30481880214393</v>
      </c>
      <c r="AF1059" s="10" t="str">
        <f t="shared" si="168"/>
        <v/>
      </c>
      <c r="AG1059" s="10" t="str">
        <f t="shared" si="174"/>
        <v/>
      </c>
      <c r="AH1059" s="10" t="str">
        <f>IF(AND(Q1059&gt;0,Q1059&lt;30,K1059=216),'Udvaskning nøgletal'!$C$42,IF(AND(Q1059&gt;0,Q1059&lt;30,K1059&gt;7,K1059&lt;17),'Udvaskning nøgletal'!$C$61,IF(AND(Q1059&gt;0,Q1059&lt;30,K1059&lt;7),'Udvaskning nøgletal'!$C$62,"")))</f>
        <v/>
      </c>
      <c r="AI1059" s="10">
        <f t="shared" si="170"/>
        <v>216</v>
      </c>
      <c r="AJ1059" s="10">
        <f>IF($X1059=1,LOOKUP(AI1059,'Udvaskning nøgletal'!$C$12:$C$62,'Udvaskning nøgletal'!$E$12:$E$62)+Markniveau!$Y1059*Markniveau!$S1059/100,IF($X1059=2,LOOKUP(AI1059,'Udvaskning nøgletal'!$C$12:$C$62,'Udvaskning nøgletal'!$F$12:$F$62)+Markniveau!$Y1059*Markniveau!$S1059/100,IF($X1059=3,LOOKUP(AI1059,'Udvaskning nøgletal'!$C$12:$C$62,'Udvaskning nøgletal'!Q1069:Q1119)+Markniveau!$Y1059*Markniveau!$S1059/100,"")))</f>
        <v>101.66744640811392</v>
      </c>
      <c r="AK1059" s="10">
        <f t="shared" si="169"/>
        <v>628.30481880214393</v>
      </c>
      <c r="AL1059" s="10" t="str">
        <f t="shared" si="171"/>
        <v/>
      </c>
      <c r="AM1059" s="10" t="str">
        <f t="shared" si="172"/>
        <v/>
      </c>
    </row>
    <row r="1060" spans="1:39" x14ac:dyDescent="0.25">
      <c r="A1060" s="15">
        <v>32812864</v>
      </c>
      <c r="B1060" s="15">
        <v>16.32</v>
      </c>
      <c r="C1060" s="15">
        <v>122660</v>
      </c>
      <c r="D1060" s="15">
        <v>156150</v>
      </c>
      <c r="E1060" s="15" t="s">
        <v>839</v>
      </c>
      <c r="F1060" s="15">
        <v>2011</v>
      </c>
      <c r="G1060" s="15">
        <v>20110414</v>
      </c>
      <c r="H1060" s="15">
        <v>30450</v>
      </c>
      <c r="I1060" s="15">
        <v>3.05</v>
      </c>
      <c r="J1060" s="6" t="s">
        <v>65</v>
      </c>
      <c r="K1060" s="15">
        <v>263</v>
      </c>
      <c r="L1060" s="15" t="s">
        <v>39</v>
      </c>
      <c r="M1060" s="15" t="s">
        <v>5</v>
      </c>
      <c r="N1060" s="11" t="s">
        <v>1384</v>
      </c>
      <c r="O1060" s="11" t="s">
        <v>28</v>
      </c>
      <c r="P1060" s="11" t="s">
        <v>33</v>
      </c>
      <c r="Q1060" s="15">
        <v>90</v>
      </c>
      <c r="R1060" s="11" t="s">
        <v>8</v>
      </c>
      <c r="S1060" s="10">
        <v>210.27964524570999</v>
      </c>
      <c r="T1060" s="15">
        <v>80</v>
      </c>
      <c r="U1060" s="15">
        <v>1</v>
      </c>
      <c r="V1060" s="15">
        <v>0</v>
      </c>
      <c r="W1060" s="15">
        <v>0</v>
      </c>
      <c r="X1060" s="15">
        <f>IF(O1060='Udvaskning nøgletal'!$D$65,1,IF(O1060='Udvaskning nøgletal'!$D$66,2,IF(O1060='Udvaskning nøgletal'!$D$67,3,IF(O1060='Udvaskning nøgletal'!$D$68,2,""))))</f>
        <v>1</v>
      </c>
      <c r="Y1060" s="15">
        <f>LOOKUP(K1060,'Udvaskning nøgletal'!$C$12:$C$60,'Udvaskning nøgletal'!$H$12:$H$60)</f>
        <v>0</v>
      </c>
      <c r="Z1060" s="10">
        <f>IF(X1060=1,LOOKUP(K1060,'Udvaskning nøgletal'!$C$12:$C$60,'Udvaskning nøgletal'!$E$12:$E$60)+Markniveau!Y1060*Markniveau!S1060/100,IF(X1060=2,LOOKUP(K1060,'Udvaskning nøgletal'!$C$12:$C$60,'Udvaskning nøgletal'!$F$12:$F$60)+Markniveau!Y1060*Markniveau!S1060/100,IF(X1060=3,LOOKUP(K1060,'Udvaskning nøgletal'!$C$12:$C$60,'Udvaskning nøgletal'!G1070:G1118)+Markniveau!Y1060*Markniveau!S1060/100,"")))</f>
        <v>33.723295792149436</v>
      </c>
      <c r="AA1060" s="10">
        <f t="shared" si="166"/>
        <v>102.85605216605578</v>
      </c>
      <c r="AB1060" s="10">
        <f t="shared" si="165"/>
        <v>3.3723295792149433</v>
      </c>
      <c r="AC1060" s="10">
        <f t="shared" si="167"/>
        <v>10.285605216605576</v>
      </c>
      <c r="AD1060" s="10">
        <f>IF(AND(Q1060&gt;0,Q1060&lt;30,K1060&lt;8),Markniveau!Z1060*'Udvaskning nøgletal'!$I$12/100,IF(AND(Q1060&gt;0,Q1060&lt;30,K1060=216),Markniveau!Z1060*'Udvaskning nøgletal'!$I$34/100,Markniveau!Z1060))</f>
        <v>33.723295792149436</v>
      </c>
      <c r="AE1060" s="10">
        <f t="shared" si="173"/>
        <v>102.85605216605578</v>
      </c>
      <c r="AF1060" s="10">
        <f t="shared" si="168"/>
        <v>3.3723295792149433</v>
      </c>
      <c r="AG1060" s="10">
        <f t="shared" si="174"/>
        <v>10.285605216605576</v>
      </c>
      <c r="AH1060" s="10" t="str">
        <f>IF(AND(Q1060&gt;0,Q1060&lt;30,K1060=216),'Udvaskning nøgletal'!$C$42,IF(AND(Q1060&gt;0,Q1060&lt;30,K1060&gt;7,K1060&lt;17),'Udvaskning nøgletal'!$C$61,IF(AND(Q1060&gt;0,Q1060&lt;30,K1060&lt;7),'Udvaskning nøgletal'!$C$62,"")))</f>
        <v/>
      </c>
      <c r="AI1060" s="10">
        <f t="shared" si="170"/>
        <v>263</v>
      </c>
      <c r="AJ1060" s="10">
        <f>IF($X1060=1,LOOKUP(AI1060,'Udvaskning nøgletal'!$C$12:$C$62,'Udvaskning nøgletal'!$E$12:$E$62)+Markniveau!$Y1060*Markniveau!$S1060/100,IF($X1060=2,LOOKUP(AI1060,'Udvaskning nøgletal'!$C$12:$C$62,'Udvaskning nøgletal'!$F$12:$F$62)+Markniveau!$Y1060*Markniveau!$S1060/100,IF($X1060=3,LOOKUP(AI1060,'Udvaskning nøgletal'!$C$12:$C$62,'Udvaskning nøgletal'!Q1070:Q1120)+Markniveau!$Y1060*Markniveau!$S1060/100,"")))</f>
        <v>33.723295792149436</v>
      </c>
      <c r="AK1060" s="10">
        <f t="shared" si="169"/>
        <v>102.85605216605578</v>
      </c>
      <c r="AL1060" s="10">
        <f t="shared" si="171"/>
        <v>3.3723295792149433</v>
      </c>
      <c r="AM1060" s="10">
        <f t="shared" si="172"/>
        <v>10.285605216605576</v>
      </c>
    </row>
    <row r="1061" spans="1:39" x14ac:dyDescent="0.25">
      <c r="A1061" s="15">
        <v>32812864</v>
      </c>
      <c r="B1061" s="15">
        <v>16.32</v>
      </c>
      <c r="C1061" s="15">
        <v>123547</v>
      </c>
      <c r="D1061" s="15">
        <v>156150</v>
      </c>
      <c r="E1061" s="15" t="s">
        <v>72</v>
      </c>
      <c r="F1061" s="15">
        <v>2011</v>
      </c>
      <c r="G1061" s="15">
        <v>20110414</v>
      </c>
      <c r="H1061" s="15">
        <v>136701</v>
      </c>
      <c r="I1061" s="15">
        <v>13.67</v>
      </c>
      <c r="J1061" s="6" t="s">
        <v>840</v>
      </c>
      <c r="K1061" s="15">
        <v>210</v>
      </c>
      <c r="L1061" s="15" t="s">
        <v>262</v>
      </c>
      <c r="M1061" s="15" t="s">
        <v>5</v>
      </c>
      <c r="N1061" s="11" t="s">
        <v>1391</v>
      </c>
      <c r="O1061" s="11" t="s">
        <v>46</v>
      </c>
      <c r="P1061" s="11" t="s">
        <v>33</v>
      </c>
      <c r="Q1061" s="15">
        <v>0</v>
      </c>
      <c r="R1061" s="11" t="s">
        <v>1386</v>
      </c>
      <c r="S1061" s="10">
        <v>210.27964524570999</v>
      </c>
      <c r="T1061" s="15">
        <v>80</v>
      </c>
      <c r="U1061" s="15">
        <v>1</v>
      </c>
      <c r="V1061" s="15">
        <v>0</v>
      </c>
      <c r="W1061" s="15">
        <v>0</v>
      </c>
      <c r="X1061" s="15">
        <f>IF(O1061='Udvaskning nøgletal'!$D$65,1,IF(O1061='Udvaskning nøgletal'!$D$66,2,IF(O1061='Udvaskning nøgletal'!$D$67,3,IF(O1061='Udvaskning nøgletal'!$D$68,2,""))))</f>
        <v>2</v>
      </c>
      <c r="Y1061" s="15">
        <f>LOOKUP(K1061,'Udvaskning nøgletal'!$C$12:$C$60,'Udvaskning nøgletal'!$H$12:$H$60)</f>
        <v>0</v>
      </c>
      <c r="Z1061" s="10">
        <f>IF(X1061=1,LOOKUP(K1061,'Udvaskning nøgletal'!$C$12:$C$60,'Udvaskning nøgletal'!$E$12:$E$60)+Markniveau!Y1061*Markniveau!S1061/100,IF(X1061=2,LOOKUP(K1061,'Udvaskning nøgletal'!$C$12:$C$60,'Udvaskning nøgletal'!$F$12:$F$60)+Markniveau!Y1061*Markniveau!S1061/100,IF(X1061=3,LOOKUP(K1061,'Udvaskning nøgletal'!$C$12:$C$60,'Udvaskning nøgletal'!G1071:G1119)+Markniveau!Y1061*Markniveau!S1061/100,"")))</f>
        <v>31.161328188970323</v>
      </c>
      <c r="AA1061" s="10">
        <f t="shared" si="166"/>
        <v>425.97535634322429</v>
      </c>
      <c r="AB1061" s="10" t="str">
        <f t="shared" si="165"/>
        <v/>
      </c>
      <c r="AC1061" s="10" t="str">
        <f t="shared" si="167"/>
        <v/>
      </c>
      <c r="AD1061" s="10">
        <f>IF(AND(Q1061&gt;0,Q1061&lt;30,K1061&lt;8),Markniveau!Z1061*'Udvaskning nøgletal'!$I$12/100,IF(AND(Q1061&gt;0,Q1061&lt;30,K1061=216),Markniveau!Z1061*'Udvaskning nøgletal'!$I$34/100,Markniveau!Z1061))</f>
        <v>31.161328188970323</v>
      </c>
      <c r="AE1061" s="10">
        <f t="shared" si="173"/>
        <v>425.97535634322429</v>
      </c>
      <c r="AF1061" s="10" t="str">
        <f t="shared" si="168"/>
        <v/>
      </c>
      <c r="AG1061" s="10" t="str">
        <f t="shared" si="174"/>
        <v/>
      </c>
      <c r="AH1061" s="10" t="str">
        <f>IF(AND(Q1061&gt;0,Q1061&lt;30,K1061=216),'Udvaskning nøgletal'!$C$42,IF(AND(Q1061&gt;0,Q1061&lt;30,K1061&gt;7,K1061&lt;17),'Udvaskning nøgletal'!$C$61,IF(AND(Q1061&gt;0,Q1061&lt;30,K1061&lt;7),'Udvaskning nøgletal'!$C$62,"")))</f>
        <v/>
      </c>
      <c r="AI1061" s="10">
        <f t="shared" si="170"/>
        <v>210</v>
      </c>
      <c r="AJ1061" s="10">
        <f>IF($X1061=1,LOOKUP(AI1061,'Udvaskning nøgletal'!$C$12:$C$62,'Udvaskning nøgletal'!$E$12:$E$62)+Markniveau!$Y1061*Markniveau!$S1061/100,IF($X1061=2,LOOKUP(AI1061,'Udvaskning nøgletal'!$C$12:$C$62,'Udvaskning nøgletal'!$F$12:$F$62)+Markniveau!$Y1061*Markniveau!$S1061/100,IF($X1061=3,LOOKUP(AI1061,'Udvaskning nøgletal'!$C$12:$C$62,'Udvaskning nøgletal'!Q1071:Q1121)+Markniveau!$Y1061*Markniveau!$S1061/100,"")))</f>
        <v>31.161328188970323</v>
      </c>
      <c r="AK1061" s="10">
        <f t="shared" si="169"/>
        <v>425.97535634322429</v>
      </c>
      <c r="AL1061" s="10" t="str">
        <f t="shared" si="171"/>
        <v/>
      </c>
      <c r="AM1061" s="10" t="str">
        <f t="shared" si="172"/>
        <v/>
      </c>
    </row>
    <row r="1062" spans="1:39" x14ac:dyDescent="0.25">
      <c r="A1062" s="15">
        <v>32812864</v>
      </c>
      <c r="B1062" s="15">
        <v>16.32</v>
      </c>
      <c r="C1062" s="15">
        <v>124659</v>
      </c>
      <c r="D1062" s="15">
        <v>156150</v>
      </c>
      <c r="E1062" s="15" t="s">
        <v>841</v>
      </c>
      <c r="F1062" s="15">
        <v>2011</v>
      </c>
      <c r="G1062" s="15">
        <v>20110414</v>
      </c>
      <c r="H1062" s="15">
        <v>1604</v>
      </c>
      <c r="I1062" s="15">
        <v>0.16</v>
      </c>
      <c r="J1062" s="6" t="s">
        <v>1409</v>
      </c>
      <c r="K1062" s="15">
        <v>268</v>
      </c>
      <c r="L1062" s="15" t="s">
        <v>627</v>
      </c>
      <c r="M1062" s="15" t="s">
        <v>5</v>
      </c>
      <c r="N1062" s="11" t="s">
        <v>1391</v>
      </c>
      <c r="O1062" s="11" t="s">
        <v>46</v>
      </c>
      <c r="P1062" s="11" t="s">
        <v>33</v>
      </c>
      <c r="Q1062" s="15">
        <v>0</v>
      </c>
      <c r="R1062" s="11" t="s">
        <v>1386</v>
      </c>
      <c r="S1062" s="10">
        <v>210.27964524570999</v>
      </c>
      <c r="T1062" s="15">
        <v>80</v>
      </c>
      <c r="U1062" s="15">
        <v>1</v>
      </c>
      <c r="V1062" s="15">
        <v>0</v>
      </c>
      <c r="W1062" s="15">
        <v>0</v>
      </c>
      <c r="X1062" s="15">
        <f>IF(O1062='Udvaskning nøgletal'!$D$65,1,IF(O1062='Udvaskning nøgletal'!$D$66,2,IF(O1062='Udvaskning nøgletal'!$D$67,3,IF(O1062='Udvaskning nøgletal'!$D$68,2,""))))</f>
        <v>2</v>
      </c>
      <c r="Y1062" s="15">
        <f>LOOKUP(K1062,'Udvaskning nøgletal'!$C$12:$C$60,'Udvaskning nøgletal'!$H$12:$H$60)</f>
        <v>0</v>
      </c>
      <c r="Z1062" s="10">
        <f>IF(X1062=1,LOOKUP(K1062,'Udvaskning nøgletal'!$C$12:$C$60,'Udvaskning nøgletal'!$E$12:$E$60)+Markniveau!Y1062*Markniveau!S1062/100,IF(X1062=2,LOOKUP(K1062,'Udvaskning nøgletal'!$C$12:$C$60,'Udvaskning nøgletal'!$F$12:$F$60)+Markniveau!Y1062*Markniveau!S1062/100,IF(X1062=3,LOOKUP(K1062,'Udvaskning nøgletal'!$C$12:$C$60,'Udvaskning nøgletal'!G1072:G1120)+Markniveau!Y1062*Markniveau!S1062/100,"")))</f>
        <v>21.2</v>
      </c>
      <c r="AA1062" s="10">
        <f t="shared" si="166"/>
        <v>3.3919999999999999</v>
      </c>
      <c r="AB1062" s="10" t="str">
        <f t="shared" si="165"/>
        <v/>
      </c>
      <c r="AC1062" s="10" t="str">
        <f t="shared" si="167"/>
        <v/>
      </c>
      <c r="AD1062" s="10">
        <f>IF(AND(Q1062&gt;0,Q1062&lt;30,K1062&lt;8),Markniveau!Z1062*'Udvaskning nøgletal'!$I$12/100,IF(AND(Q1062&gt;0,Q1062&lt;30,K1062=216),Markniveau!Z1062*'Udvaskning nøgletal'!$I$34/100,Markniveau!Z1062))</f>
        <v>21.2</v>
      </c>
      <c r="AE1062" s="10">
        <f t="shared" si="173"/>
        <v>3.3919999999999999</v>
      </c>
      <c r="AF1062" s="10" t="str">
        <f t="shared" si="168"/>
        <v/>
      </c>
      <c r="AG1062" s="10" t="str">
        <f t="shared" si="174"/>
        <v/>
      </c>
      <c r="AH1062" s="10" t="str">
        <f>IF(AND(Q1062&gt;0,Q1062&lt;30,K1062=216),'Udvaskning nøgletal'!$C$42,IF(AND(Q1062&gt;0,Q1062&lt;30,K1062&gt;7,K1062&lt;17),'Udvaskning nøgletal'!$C$61,IF(AND(Q1062&gt;0,Q1062&lt;30,K1062&lt;7),'Udvaskning nøgletal'!$C$62,"")))</f>
        <v/>
      </c>
      <c r="AI1062" s="10">
        <f t="shared" si="170"/>
        <v>268</v>
      </c>
      <c r="AJ1062" s="10">
        <f>IF($X1062=1,LOOKUP(AI1062,'Udvaskning nøgletal'!$C$12:$C$62,'Udvaskning nøgletal'!$E$12:$E$62)+Markniveau!$Y1062*Markniveau!$S1062/100,IF($X1062=2,LOOKUP(AI1062,'Udvaskning nøgletal'!$C$12:$C$62,'Udvaskning nøgletal'!$F$12:$F$62)+Markniveau!$Y1062*Markniveau!$S1062/100,IF($X1062=3,LOOKUP(AI1062,'Udvaskning nøgletal'!$C$12:$C$62,'Udvaskning nøgletal'!Q1072:Q1122)+Markniveau!$Y1062*Markniveau!$S1062/100,"")))</f>
        <v>21.2</v>
      </c>
      <c r="AK1062" s="10">
        <f t="shared" si="169"/>
        <v>3.3919999999999999</v>
      </c>
      <c r="AL1062" s="10" t="str">
        <f t="shared" si="171"/>
        <v/>
      </c>
      <c r="AM1062" s="10" t="str">
        <f t="shared" si="172"/>
        <v/>
      </c>
    </row>
    <row r="1063" spans="1:39" x14ac:dyDescent="0.25">
      <c r="A1063" s="15">
        <v>32812864</v>
      </c>
      <c r="B1063" s="15">
        <v>16.32</v>
      </c>
      <c r="C1063" s="15">
        <v>125056</v>
      </c>
      <c r="D1063" s="15">
        <v>156150</v>
      </c>
      <c r="E1063" s="15" t="s">
        <v>827</v>
      </c>
      <c r="F1063" s="15">
        <v>2011</v>
      </c>
      <c r="G1063" s="15">
        <v>20110414</v>
      </c>
      <c r="H1063" s="15">
        <v>27344</v>
      </c>
      <c r="I1063" s="15">
        <v>2.73</v>
      </c>
      <c r="J1063" s="6" t="s">
        <v>842</v>
      </c>
      <c r="K1063" s="15">
        <v>230</v>
      </c>
      <c r="L1063" s="15" t="s">
        <v>120</v>
      </c>
      <c r="M1063" s="15" t="s">
        <v>5</v>
      </c>
      <c r="N1063" s="11" t="s">
        <v>1406</v>
      </c>
      <c r="O1063" s="11" t="s">
        <v>46</v>
      </c>
      <c r="P1063" s="11" t="s">
        <v>33</v>
      </c>
      <c r="Q1063" s="15">
        <v>0</v>
      </c>
      <c r="R1063" s="11" t="s">
        <v>1386</v>
      </c>
      <c r="S1063" s="10">
        <v>210.27964524570999</v>
      </c>
      <c r="T1063" s="15">
        <v>80</v>
      </c>
      <c r="U1063" s="15">
        <v>1</v>
      </c>
      <c r="V1063" s="15">
        <v>0</v>
      </c>
      <c r="W1063" s="15">
        <v>0</v>
      </c>
      <c r="X1063" s="15">
        <f>IF(O1063='Udvaskning nøgletal'!$D$65,1,IF(O1063='Udvaskning nøgletal'!$D$66,2,IF(O1063='Udvaskning nøgletal'!$D$67,3,IF(O1063='Udvaskning nøgletal'!$D$68,2,""))))</f>
        <v>2</v>
      </c>
      <c r="Y1063" s="15">
        <f>LOOKUP(K1063,'Udvaskning nøgletal'!$C$12:$C$60,'Udvaskning nøgletal'!$H$12:$H$60)</f>
        <v>0</v>
      </c>
      <c r="Z1063" s="10">
        <f>IF(X1063=1,LOOKUP(K1063,'Udvaskning nøgletal'!$C$12:$C$60,'Udvaskning nøgletal'!$E$12:$E$60)+Markniveau!Y1063*Markniveau!S1063/100,IF(X1063=2,LOOKUP(K1063,'Udvaskning nøgletal'!$C$12:$C$60,'Udvaskning nøgletal'!$F$12:$F$60)+Markniveau!Y1063*Markniveau!S1063/100,IF(X1063=3,LOOKUP(K1063,'Udvaskning nøgletal'!$C$12:$C$60,'Udvaskning nøgletal'!G1073:G1121)+Markniveau!Y1063*Markniveau!S1063/100,"")))</f>
        <v>31.161328188970323</v>
      </c>
      <c r="AA1063" s="10">
        <f t="shared" si="166"/>
        <v>85.070425955888979</v>
      </c>
      <c r="AB1063" s="10" t="str">
        <f t="shared" si="165"/>
        <v/>
      </c>
      <c r="AC1063" s="10" t="str">
        <f t="shared" si="167"/>
        <v/>
      </c>
      <c r="AD1063" s="10">
        <f>IF(AND(Q1063&gt;0,Q1063&lt;30,K1063&lt;8),Markniveau!Z1063*'Udvaskning nøgletal'!$I$12/100,IF(AND(Q1063&gt;0,Q1063&lt;30,K1063=216),Markniveau!Z1063*'Udvaskning nøgletal'!$I$34/100,Markniveau!Z1063))</f>
        <v>31.161328188970323</v>
      </c>
      <c r="AE1063" s="10">
        <f t="shared" si="173"/>
        <v>85.070425955888979</v>
      </c>
      <c r="AF1063" s="10" t="str">
        <f t="shared" si="168"/>
        <v/>
      </c>
      <c r="AG1063" s="10" t="str">
        <f t="shared" si="174"/>
        <v/>
      </c>
      <c r="AH1063" s="10" t="str">
        <f>IF(AND(Q1063&gt;0,Q1063&lt;30,K1063=216),'Udvaskning nøgletal'!$C$42,IF(AND(Q1063&gt;0,Q1063&lt;30,K1063&gt;7,K1063&lt;17),'Udvaskning nøgletal'!$C$61,IF(AND(Q1063&gt;0,Q1063&lt;30,K1063&lt;7),'Udvaskning nøgletal'!$C$62,"")))</f>
        <v/>
      </c>
      <c r="AI1063" s="10">
        <f t="shared" si="170"/>
        <v>230</v>
      </c>
      <c r="AJ1063" s="10">
        <f>IF($X1063=1,LOOKUP(AI1063,'Udvaskning nøgletal'!$C$12:$C$62,'Udvaskning nøgletal'!$E$12:$E$62)+Markniveau!$Y1063*Markniveau!$S1063/100,IF($X1063=2,LOOKUP(AI1063,'Udvaskning nøgletal'!$C$12:$C$62,'Udvaskning nøgletal'!$F$12:$F$62)+Markniveau!$Y1063*Markniveau!$S1063/100,IF($X1063=3,LOOKUP(AI1063,'Udvaskning nøgletal'!$C$12:$C$62,'Udvaskning nøgletal'!Q1073:Q1123)+Markniveau!$Y1063*Markniveau!$S1063/100,"")))</f>
        <v>31.161328188970323</v>
      </c>
      <c r="AK1063" s="10">
        <f t="shared" si="169"/>
        <v>85.070425955888979</v>
      </c>
      <c r="AL1063" s="10" t="str">
        <f t="shared" si="171"/>
        <v/>
      </c>
      <c r="AM1063" s="10" t="str">
        <f t="shared" si="172"/>
        <v/>
      </c>
    </row>
    <row r="1064" spans="1:39" x14ac:dyDescent="0.25">
      <c r="A1064" s="15">
        <v>32812864</v>
      </c>
      <c r="B1064" s="15">
        <v>16.32</v>
      </c>
      <c r="C1064" s="15">
        <v>125580</v>
      </c>
      <c r="D1064" s="15">
        <v>156150</v>
      </c>
      <c r="E1064" s="15" t="s">
        <v>817</v>
      </c>
      <c r="F1064" s="15">
        <v>2011</v>
      </c>
      <c r="G1064" s="15">
        <v>20110414</v>
      </c>
      <c r="H1064" s="15">
        <v>20722</v>
      </c>
      <c r="I1064" s="15">
        <v>2.0699999999999998</v>
      </c>
      <c r="J1064" s="6" t="s">
        <v>843</v>
      </c>
      <c r="K1064" s="15">
        <v>260</v>
      </c>
      <c r="L1064" s="15" t="s">
        <v>45</v>
      </c>
      <c r="M1064" s="15" t="s">
        <v>5</v>
      </c>
      <c r="N1064" s="11" t="s">
        <v>1384</v>
      </c>
      <c r="O1064" s="11" t="s">
        <v>28</v>
      </c>
      <c r="P1064" s="11" t="s">
        <v>33</v>
      </c>
      <c r="Q1064" s="15">
        <v>0</v>
      </c>
      <c r="R1064" s="11" t="s">
        <v>1386</v>
      </c>
      <c r="S1064" s="10">
        <v>210.27964524570999</v>
      </c>
      <c r="T1064" s="15">
        <v>80</v>
      </c>
      <c r="U1064" s="15">
        <v>1</v>
      </c>
      <c r="V1064" s="15">
        <v>0</v>
      </c>
      <c r="W1064" s="15">
        <v>0</v>
      </c>
      <c r="X1064" s="15">
        <f>IF(O1064='Udvaskning nøgletal'!$D$65,1,IF(O1064='Udvaskning nøgletal'!$D$66,2,IF(O1064='Udvaskning nøgletal'!$D$67,3,IF(O1064='Udvaskning nøgletal'!$D$68,2,""))))</f>
        <v>1</v>
      </c>
      <c r="Y1064" s="15">
        <f>LOOKUP(K1064,'Udvaskning nøgletal'!$C$12:$C$60,'Udvaskning nøgletal'!$H$12:$H$60)</f>
        <v>0</v>
      </c>
      <c r="Z1064" s="10">
        <f>IF(X1064=1,LOOKUP(K1064,'Udvaskning nøgletal'!$C$12:$C$60,'Udvaskning nøgletal'!$E$12:$E$60)+Markniveau!Y1064*Markniveau!S1064/100,IF(X1064=2,LOOKUP(K1064,'Udvaskning nøgletal'!$C$12:$C$60,'Udvaskning nøgletal'!$F$12:$F$60)+Markniveau!Y1064*Markniveau!S1064/100,IF(X1064=3,LOOKUP(K1064,'Udvaskning nøgletal'!$C$12:$C$60,'Udvaskning nøgletal'!G1074:G1122)+Markniveau!Y1064*Markniveau!S1064/100,"")))</f>
        <v>33.723295792149436</v>
      </c>
      <c r="AA1064" s="10">
        <f t="shared" si="166"/>
        <v>69.807222289749333</v>
      </c>
      <c r="AB1064" s="10" t="str">
        <f t="shared" si="165"/>
        <v/>
      </c>
      <c r="AC1064" s="10" t="str">
        <f t="shared" si="167"/>
        <v/>
      </c>
      <c r="AD1064" s="10">
        <f>IF(AND(Q1064&gt;0,Q1064&lt;30,K1064&lt;8),Markniveau!Z1064*'Udvaskning nøgletal'!$I$12/100,IF(AND(Q1064&gt;0,Q1064&lt;30,K1064=216),Markniveau!Z1064*'Udvaskning nøgletal'!$I$34/100,Markniveau!Z1064))</f>
        <v>33.723295792149436</v>
      </c>
      <c r="AE1064" s="10">
        <f t="shared" si="173"/>
        <v>69.807222289749333</v>
      </c>
      <c r="AF1064" s="10" t="str">
        <f t="shared" si="168"/>
        <v/>
      </c>
      <c r="AG1064" s="10" t="str">
        <f t="shared" si="174"/>
        <v/>
      </c>
      <c r="AH1064" s="10" t="str">
        <f>IF(AND(Q1064&gt;0,Q1064&lt;30,K1064=216),'Udvaskning nøgletal'!$C$42,IF(AND(Q1064&gt;0,Q1064&lt;30,K1064&gt;7,K1064&lt;17),'Udvaskning nøgletal'!$C$61,IF(AND(Q1064&gt;0,Q1064&lt;30,K1064&lt;7),'Udvaskning nøgletal'!$C$62,"")))</f>
        <v/>
      </c>
      <c r="AI1064" s="10">
        <f t="shared" si="170"/>
        <v>260</v>
      </c>
      <c r="AJ1064" s="10">
        <f>IF($X1064=1,LOOKUP(AI1064,'Udvaskning nøgletal'!$C$12:$C$62,'Udvaskning nøgletal'!$E$12:$E$62)+Markniveau!$Y1064*Markniveau!$S1064/100,IF($X1064=2,LOOKUP(AI1064,'Udvaskning nøgletal'!$C$12:$C$62,'Udvaskning nøgletal'!$F$12:$F$62)+Markniveau!$Y1064*Markniveau!$S1064/100,IF($X1064=3,LOOKUP(AI1064,'Udvaskning nøgletal'!$C$12:$C$62,'Udvaskning nøgletal'!Q1074:Q1124)+Markniveau!$Y1064*Markniveau!$S1064/100,"")))</f>
        <v>33.723295792149436</v>
      </c>
      <c r="AK1064" s="10">
        <f t="shared" si="169"/>
        <v>69.807222289749333</v>
      </c>
      <c r="AL1064" s="10" t="str">
        <f t="shared" si="171"/>
        <v/>
      </c>
      <c r="AM1064" s="10" t="str">
        <f t="shared" si="172"/>
        <v/>
      </c>
    </row>
    <row r="1065" spans="1:39" x14ac:dyDescent="0.25">
      <c r="A1065" s="15">
        <v>32812864</v>
      </c>
      <c r="B1065" s="15">
        <v>16.32</v>
      </c>
      <c r="C1065" s="15">
        <v>125948</v>
      </c>
      <c r="D1065" s="15">
        <v>156150</v>
      </c>
      <c r="E1065" s="15" t="s">
        <v>844</v>
      </c>
      <c r="F1065" s="15">
        <v>2011</v>
      </c>
      <c r="G1065" s="15">
        <v>20110414</v>
      </c>
      <c r="H1065" s="15">
        <v>19214</v>
      </c>
      <c r="I1065" s="15">
        <v>1.92</v>
      </c>
      <c r="J1065" s="6" t="s">
        <v>845</v>
      </c>
      <c r="K1065" s="15">
        <v>230</v>
      </c>
      <c r="L1065" s="15" t="s">
        <v>120</v>
      </c>
      <c r="M1065" s="15" t="s">
        <v>5</v>
      </c>
      <c r="N1065" s="11" t="s">
        <v>1390</v>
      </c>
      <c r="O1065" s="11" t="s">
        <v>42</v>
      </c>
      <c r="P1065" s="11" t="s">
        <v>33</v>
      </c>
      <c r="Q1065" s="15">
        <v>0</v>
      </c>
      <c r="R1065" s="11" t="s">
        <v>1386</v>
      </c>
      <c r="S1065" s="10">
        <v>210.27964524570999</v>
      </c>
      <c r="T1065" s="15">
        <v>80</v>
      </c>
      <c r="U1065" s="15">
        <v>1</v>
      </c>
      <c r="V1065" s="15">
        <v>0</v>
      </c>
      <c r="W1065" s="15">
        <v>0</v>
      </c>
      <c r="X1065" s="15">
        <f>IF(O1065='Udvaskning nøgletal'!$D$65,1,IF(O1065='Udvaskning nøgletal'!$D$66,2,IF(O1065='Udvaskning nøgletal'!$D$67,3,IF(O1065='Udvaskning nøgletal'!$D$68,2,""))))</f>
        <v>2</v>
      </c>
      <c r="Y1065" s="15">
        <f>LOOKUP(K1065,'Udvaskning nøgletal'!$C$12:$C$60,'Udvaskning nøgletal'!$H$12:$H$60)</f>
        <v>0</v>
      </c>
      <c r="Z1065" s="10">
        <f>IF(X1065=1,LOOKUP(K1065,'Udvaskning nøgletal'!$C$12:$C$60,'Udvaskning nøgletal'!$E$12:$E$60)+Markniveau!Y1065*Markniveau!S1065/100,IF(X1065=2,LOOKUP(K1065,'Udvaskning nøgletal'!$C$12:$C$60,'Udvaskning nøgletal'!$F$12:$F$60)+Markniveau!Y1065*Markniveau!S1065/100,IF(X1065=3,LOOKUP(K1065,'Udvaskning nøgletal'!$C$12:$C$60,'Udvaskning nøgletal'!G1075:G1123)+Markniveau!Y1065*Markniveau!S1065/100,"")))</f>
        <v>31.161328188970323</v>
      </c>
      <c r="AA1065" s="10">
        <f t="shared" si="166"/>
        <v>59.829750122823015</v>
      </c>
      <c r="AB1065" s="10" t="str">
        <f t="shared" si="165"/>
        <v/>
      </c>
      <c r="AC1065" s="10" t="str">
        <f t="shared" si="167"/>
        <v/>
      </c>
      <c r="AD1065" s="10">
        <f>IF(AND(Q1065&gt;0,Q1065&lt;30,K1065&lt;8),Markniveau!Z1065*'Udvaskning nøgletal'!$I$12/100,IF(AND(Q1065&gt;0,Q1065&lt;30,K1065=216),Markniveau!Z1065*'Udvaskning nøgletal'!$I$34/100,Markniveau!Z1065))</f>
        <v>31.161328188970323</v>
      </c>
      <c r="AE1065" s="10">
        <f t="shared" si="173"/>
        <v>59.829750122823015</v>
      </c>
      <c r="AF1065" s="10" t="str">
        <f t="shared" si="168"/>
        <v/>
      </c>
      <c r="AG1065" s="10" t="str">
        <f t="shared" si="174"/>
        <v/>
      </c>
      <c r="AH1065" s="10" t="str">
        <f>IF(AND(Q1065&gt;0,Q1065&lt;30,K1065=216),'Udvaskning nøgletal'!$C$42,IF(AND(Q1065&gt;0,Q1065&lt;30,K1065&gt;7,K1065&lt;17),'Udvaskning nøgletal'!$C$61,IF(AND(Q1065&gt;0,Q1065&lt;30,K1065&lt;7),'Udvaskning nøgletal'!$C$62,"")))</f>
        <v/>
      </c>
      <c r="AI1065" s="10">
        <f t="shared" si="170"/>
        <v>230</v>
      </c>
      <c r="AJ1065" s="10">
        <f>IF($X1065=1,LOOKUP(AI1065,'Udvaskning nøgletal'!$C$12:$C$62,'Udvaskning nøgletal'!$E$12:$E$62)+Markniveau!$Y1065*Markniveau!$S1065/100,IF($X1065=2,LOOKUP(AI1065,'Udvaskning nøgletal'!$C$12:$C$62,'Udvaskning nøgletal'!$F$12:$F$62)+Markniveau!$Y1065*Markniveau!$S1065/100,IF($X1065=3,LOOKUP(AI1065,'Udvaskning nøgletal'!$C$12:$C$62,'Udvaskning nøgletal'!Q1075:Q1125)+Markniveau!$Y1065*Markniveau!$S1065/100,"")))</f>
        <v>31.161328188970323</v>
      </c>
      <c r="AK1065" s="10">
        <f t="shared" si="169"/>
        <v>59.829750122823015</v>
      </c>
      <c r="AL1065" s="10" t="str">
        <f t="shared" si="171"/>
        <v/>
      </c>
      <c r="AM1065" s="10" t="str">
        <f t="shared" si="172"/>
        <v/>
      </c>
    </row>
    <row r="1066" spans="1:39" x14ac:dyDescent="0.25">
      <c r="A1066" s="15">
        <v>32812864</v>
      </c>
      <c r="B1066" s="15">
        <v>16.32</v>
      </c>
      <c r="C1066" s="15">
        <v>126062</v>
      </c>
      <c r="D1066" s="15">
        <v>156150</v>
      </c>
      <c r="E1066" s="15" t="s">
        <v>323</v>
      </c>
      <c r="F1066" s="15">
        <v>2011</v>
      </c>
      <c r="G1066" s="15">
        <v>20110414</v>
      </c>
      <c r="H1066" s="15">
        <v>65466</v>
      </c>
      <c r="I1066" s="15">
        <v>6.55</v>
      </c>
      <c r="J1066" s="6" t="s">
        <v>194</v>
      </c>
      <c r="K1066" s="15">
        <v>216</v>
      </c>
      <c r="L1066" s="15" t="s">
        <v>116</v>
      </c>
      <c r="M1066" s="15" t="s">
        <v>5</v>
      </c>
      <c r="N1066" s="11" t="s">
        <v>1384</v>
      </c>
      <c r="O1066" s="11" t="s">
        <v>28</v>
      </c>
      <c r="P1066" s="11" t="s">
        <v>33</v>
      </c>
      <c r="Q1066" s="15">
        <v>90</v>
      </c>
      <c r="R1066" s="11" t="s">
        <v>8</v>
      </c>
      <c r="S1066" s="10">
        <v>210.27964524570999</v>
      </c>
      <c r="T1066" s="15">
        <v>80</v>
      </c>
      <c r="U1066" s="15">
        <v>1</v>
      </c>
      <c r="V1066" s="15">
        <v>0</v>
      </c>
      <c r="W1066" s="15">
        <v>0</v>
      </c>
      <c r="X1066" s="15">
        <f>IF(O1066='Udvaskning nøgletal'!$D$65,1,IF(O1066='Udvaskning nøgletal'!$D$66,2,IF(O1066='Udvaskning nøgletal'!$D$67,3,IF(O1066='Udvaskning nøgletal'!$D$68,2,""))))</f>
        <v>1</v>
      </c>
      <c r="Y1066" s="15">
        <f>LOOKUP(K1066,'Udvaskning nøgletal'!$C$12:$C$60,'Udvaskning nøgletal'!$H$12:$H$60)</f>
        <v>0</v>
      </c>
      <c r="Z1066" s="10">
        <f>IF(X1066=1,LOOKUP(K1066,'Udvaskning nøgletal'!$C$12:$C$60,'Udvaskning nøgletal'!$E$12:$E$60)+Markniveau!Y1066*Markniveau!S1066/100,IF(X1066=2,LOOKUP(K1066,'Udvaskning nøgletal'!$C$12:$C$60,'Udvaskning nøgletal'!$F$12:$F$60)+Markniveau!Y1066*Markniveau!S1066/100,IF(X1066=3,LOOKUP(K1066,'Udvaskning nøgletal'!$C$12:$C$60,'Udvaskning nøgletal'!G1076:G1124)+Markniveau!Y1066*Markniveau!S1066/100,"")))</f>
        <v>125.85383557148924</v>
      </c>
      <c r="AA1066" s="10">
        <f t="shared" si="166"/>
        <v>824.34262299325451</v>
      </c>
      <c r="AB1066" s="10">
        <f t="shared" si="165"/>
        <v>12.585383557148925</v>
      </c>
      <c r="AC1066" s="10">
        <f t="shared" si="167"/>
        <v>82.434262299325454</v>
      </c>
      <c r="AD1066" s="10">
        <f>IF(AND(Q1066&gt;0,Q1066&lt;30,K1066&lt;8),Markniveau!Z1066*'Udvaskning nøgletal'!$I$12/100,IF(AND(Q1066&gt;0,Q1066&lt;30,K1066=216),Markniveau!Z1066*'Udvaskning nøgletal'!$I$34/100,Markniveau!Z1066))</f>
        <v>125.85383557148924</v>
      </c>
      <c r="AE1066" s="10">
        <f t="shared" si="173"/>
        <v>824.34262299325451</v>
      </c>
      <c r="AF1066" s="10">
        <f t="shared" si="168"/>
        <v>12.585383557148925</v>
      </c>
      <c r="AG1066" s="10">
        <f t="shared" si="174"/>
        <v>82.434262299325454</v>
      </c>
      <c r="AH1066" s="10" t="str">
        <f>IF(AND(Q1066&gt;0,Q1066&lt;30,K1066=216),'Udvaskning nøgletal'!$C$42,IF(AND(Q1066&gt;0,Q1066&lt;30,K1066&gt;7,K1066&lt;17),'Udvaskning nøgletal'!$C$61,IF(AND(Q1066&gt;0,Q1066&lt;30,K1066&lt;7),'Udvaskning nøgletal'!$C$62,"")))</f>
        <v/>
      </c>
      <c r="AI1066" s="10">
        <f t="shared" si="170"/>
        <v>216</v>
      </c>
      <c r="AJ1066" s="10">
        <f>IF($X1066=1,LOOKUP(AI1066,'Udvaskning nøgletal'!$C$12:$C$62,'Udvaskning nøgletal'!$E$12:$E$62)+Markniveau!$Y1066*Markniveau!$S1066/100,IF($X1066=2,LOOKUP(AI1066,'Udvaskning nøgletal'!$C$12:$C$62,'Udvaskning nøgletal'!$F$12:$F$62)+Markniveau!$Y1066*Markniveau!$S1066/100,IF($X1066=3,LOOKUP(AI1066,'Udvaskning nøgletal'!$C$12:$C$62,'Udvaskning nøgletal'!Q1076:Q1126)+Markniveau!$Y1066*Markniveau!$S1066/100,"")))</f>
        <v>125.85383557148924</v>
      </c>
      <c r="AK1066" s="10">
        <f t="shared" si="169"/>
        <v>824.34262299325451</v>
      </c>
      <c r="AL1066" s="10">
        <f t="shared" si="171"/>
        <v>12.585383557148925</v>
      </c>
      <c r="AM1066" s="10">
        <f t="shared" si="172"/>
        <v>82.434262299325454</v>
      </c>
    </row>
    <row r="1067" spans="1:39" x14ac:dyDescent="0.25">
      <c r="A1067" s="15">
        <v>32812864</v>
      </c>
      <c r="B1067" s="15">
        <v>16.32</v>
      </c>
      <c r="C1067" s="15">
        <v>126065</v>
      </c>
      <c r="D1067" s="15">
        <v>156150</v>
      </c>
      <c r="E1067" s="15" t="s">
        <v>185</v>
      </c>
      <c r="F1067" s="15">
        <v>2011</v>
      </c>
      <c r="G1067" s="15">
        <v>20110414</v>
      </c>
      <c r="H1067" s="15">
        <v>8987</v>
      </c>
      <c r="I1067" s="15">
        <v>0.9</v>
      </c>
      <c r="J1067" s="6" t="s">
        <v>38</v>
      </c>
      <c r="K1067" s="15">
        <v>902</v>
      </c>
      <c r="L1067" s="15" t="s">
        <v>160</v>
      </c>
      <c r="M1067" s="15" t="s">
        <v>81</v>
      </c>
      <c r="N1067" s="11" t="s">
        <v>1391</v>
      </c>
      <c r="O1067" s="11" t="s">
        <v>46</v>
      </c>
      <c r="P1067" s="11" t="s">
        <v>33</v>
      </c>
      <c r="Q1067" s="15">
        <v>0</v>
      </c>
      <c r="R1067" s="11" t="s">
        <v>1386</v>
      </c>
      <c r="S1067" s="10">
        <v>210.27964524570999</v>
      </c>
      <c r="T1067" s="15">
        <v>80</v>
      </c>
      <c r="U1067" s="15">
        <v>1</v>
      </c>
      <c r="V1067" s="15">
        <v>0</v>
      </c>
      <c r="W1067" s="15">
        <v>0</v>
      </c>
      <c r="X1067" s="15">
        <f>IF(O1067='Udvaskning nøgletal'!$D$65,1,IF(O1067='Udvaskning nøgletal'!$D$66,2,IF(O1067='Udvaskning nøgletal'!$D$67,3,IF(O1067='Udvaskning nøgletal'!$D$68,2,""))))</f>
        <v>2</v>
      </c>
      <c r="Y1067" s="15">
        <f>LOOKUP(K1067,'Udvaskning nøgletal'!$C$12:$C$60,'Udvaskning nøgletal'!$H$12:$H$60)</f>
        <v>0</v>
      </c>
      <c r="Z1067" s="10">
        <f>IF(X1067=1,LOOKUP(K1067,'Udvaskning nøgletal'!$C$12:$C$60,'Udvaskning nøgletal'!$E$12:$E$60)+Markniveau!Y1067*Markniveau!S1067/100,IF(X1067=2,LOOKUP(K1067,'Udvaskning nøgletal'!$C$12:$C$60,'Udvaskning nøgletal'!$F$12:$F$60)+Markniveau!Y1067*Markniveau!S1067/100,IF(X1067=3,LOOKUP(K1067,'Udvaskning nøgletal'!$C$12:$C$60,'Udvaskning nøgletal'!G1077:G1125)+Markniveau!Y1067*Markniveau!S1067/100,"")))</f>
        <v>10</v>
      </c>
      <c r="AA1067" s="10">
        <f t="shared" si="166"/>
        <v>9</v>
      </c>
      <c r="AB1067" s="10" t="str">
        <f t="shared" si="165"/>
        <v/>
      </c>
      <c r="AC1067" s="10" t="str">
        <f t="shared" si="167"/>
        <v/>
      </c>
      <c r="AD1067" s="10">
        <f>IF(AND(Q1067&gt;0,Q1067&lt;30,K1067&lt;8),Markniveau!Z1067*'Udvaskning nøgletal'!$I$12/100,IF(AND(Q1067&gt;0,Q1067&lt;30,K1067=216),Markniveau!Z1067*'Udvaskning nøgletal'!$I$34/100,Markniveau!Z1067))</f>
        <v>10</v>
      </c>
      <c r="AE1067" s="10">
        <f t="shared" si="173"/>
        <v>9</v>
      </c>
      <c r="AF1067" s="10" t="str">
        <f t="shared" si="168"/>
        <v/>
      </c>
      <c r="AG1067" s="10" t="str">
        <f t="shared" si="174"/>
        <v/>
      </c>
      <c r="AH1067" s="10" t="str">
        <f>IF(AND(Q1067&gt;0,Q1067&lt;30,K1067=216),'Udvaskning nøgletal'!$C$42,IF(AND(Q1067&gt;0,Q1067&lt;30,K1067&gt;7,K1067&lt;17),'Udvaskning nøgletal'!$C$61,IF(AND(Q1067&gt;0,Q1067&lt;30,K1067&lt;7),'Udvaskning nøgletal'!$C$62,"")))</f>
        <v/>
      </c>
      <c r="AI1067" s="10">
        <f t="shared" si="170"/>
        <v>902</v>
      </c>
      <c r="AJ1067" s="10">
        <f>IF($X1067=1,LOOKUP(AI1067,'Udvaskning nøgletal'!$C$12:$C$62,'Udvaskning nøgletal'!$E$12:$E$62)+Markniveau!$Y1067*Markniveau!$S1067/100,IF($X1067=2,LOOKUP(AI1067,'Udvaskning nøgletal'!$C$12:$C$62,'Udvaskning nøgletal'!$F$12:$F$62)+Markniveau!$Y1067*Markniveau!$S1067/100,IF($X1067=3,LOOKUP(AI1067,'Udvaskning nøgletal'!$C$12:$C$62,'Udvaskning nøgletal'!Q1077:Q1127)+Markniveau!$Y1067*Markniveau!$S1067/100,"")))</f>
        <v>10</v>
      </c>
      <c r="AK1067" s="10">
        <f t="shared" si="169"/>
        <v>9</v>
      </c>
      <c r="AL1067" s="10" t="str">
        <f t="shared" si="171"/>
        <v/>
      </c>
      <c r="AM1067" s="10" t="str">
        <f t="shared" si="172"/>
        <v/>
      </c>
    </row>
    <row r="1068" spans="1:39" x14ac:dyDescent="0.25">
      <c r="A1068" s="15">
        <v>32812864</v>
      </c>
      <c r="B1068" s="15">
        <v>16.32</v>
      </c>
      <c r="C1068" s="15">
        <v>126353</v>
      </c>
      <c r="D1068" s="15">
        <v>156150</v>
      </c>
      <c r="E1068" s="15" t="s">
        <v>846</v>
      </c>
      <c r="F1068" s="15">
        <v>2011</v>
      </c>
      <c r="G1068" s="15">
        <v>20110414</v>
      </c>
      <c r="H1068" s="15">
        <v>159023</v>
      </c>
      <c r="I1068" s="15">
        <v>15.9</v>
      </c>
      <c r="J1068" s="6" t="s">
        <v>36</v>
      </c>
      <c r="K1068" s="15">
        <v>216</v>
      </c>
      <c r="L1068" s="15" t="s">
        <v>116</v>
      </c>
      <c r="M1068" s="15" t="s">
        <v>5</v>
      </c>
      <c r="N1068" s="11" t="s">
        <v>1391</v>
      </c>
      <c r="O1068" s="11" t="s">
        <v>46</v>
      </c>
      <c r="P1068" s="11" t="s">
        <v>33</v>
      </c>
      <c r="Q1068" s="15">
        <v>0</v>
      </c>
      <c r="R1068" s="11" t="s">
        <v>1386</v>
      </c>
      <c r="S1068" s="10">
        <v>210.27964524570999</v>
      </c>
      <c r="T1068" s="15">
        <v>80</v>
      </c>
      <c r="U1068" s="15">
        <v>1</v>
      </c>
      <c r="V1068" s="15">
        <v>0</v>
      </c>
      <c r="W1068" s="15">
        <v>0</v>
      </c>
      <c r="X1068" s="15">
        <f>IF(O1068='Udvaskning nøgletal'!$D$65,1,IF(O1068='Udvaskning nøgletal'!$D$66,2,IF(O1068='Udvaskning nøgletal'!$D$67,3,IF(O1068='Udvaskning nøgletal'!$D$68,2,""))))</f>
        <v>2</v>
      </c>
      <c r="Y1068" s="15">
        <f>LOOKUP(K1068,'Udvaskning nøgletal'!$C$12:$C$60,'Udvaskning nøgletal'!$H$12:$H$60)</f>
        <v>0</v>
      </c>
      <c r="Z1068" s="10">
        <f>IF(X1068=1,LOOKUP(K1068,'Udvaskning nøgletal'!$C$12:$C$60,'Udvaskning nøgletal'!$E$12:$E$60)+Markniveau!Y1068*Markniveau!S1068/100,IF(X1068=2,LOOKUP(K1068,'Udvaskning nøgletal'!$C$12:$C$60,'Udvaskning nøgletal'!$F$12:$F$60)+Markniveau!Y1068*Markniveau!S1068/100,IF(X1068=3,LOOKUP(K1068,'Udvaskning nøgletal'!$C$12:$C$60,'Udvaskning nøgletal'!G1078:G1126)+Markniveau!Y1068*Markniveau!S1068/100,"")))</f>
        <v>101.66744640811392</v>
      </c>
      <c r="AA1068" s="10">
        <f t="shared" si="166"/>
        <v>1616.5123978890113</v>
      </c>
      <c r="AB1068" s="10" t="str">
        <f t="shared" si="165"/>
        <v/>
      </c>
      <c r="AC1068" s="10" t="str">
        <f t="shared" si="167"/>
        <v/>
      </c>
      <c r="AD1068" s="10">
        <f>IF(AND(Q1068&gt;0,Q1068&lt;30,K1068&lt;8),Markniveau!Z1068*'Udvaskning nøgletal'!$I$12/100,IF(AND(Q1068&gt;0,Q1068&lt;30,K1068=216),Markniveau!Z1068*'Udvaskning nøgletal'!$I$34/100,Markniveau!Z1068))</f>
        <v>101.66744640811392</v>
      </c>
      <c r="AE1068" s="10">
        <f t="shared" si="173"/>
        <v>1616.5123978890113</v>
      </c>
      <c r="AF1068" s="10" t="str">
        <f t="shared" si="168"/>
        <v/>
      </c>
      <c r="AG1068" s="10" t="str">
        <f t="shared" si="174"/>
        <v/>
      </c>
      <c r="AH1068" s="10" t="str">
        <f>IF(AND(Q1068&gt;0,Q1068&lt;30,K1068=216),'Udvaskning nøgletal'!$C$42,IF(AND(Q1068&gt;0,Q1068&lt;30,K1068&gt;7,K1068&lt;17),'Udvaskning nøgletal'!$C$61,IF(AND(Q1068&gt;0,Q1068&lt;30,K1068&lt;7),'Udvaskning nøgletal'!$C$62,"")))</f>
        <v/>
      </c>
      <c r="AI1068" s="10">
        <f t="shared" si="170"/>
        <v>216</v>
      </c>
      <c r="AJ1068" s="10">
        <f>IF($X1068=1,LOOKUP(AI1068,'Udvaskning nøgletal'!$C$12:$C$62,'Udvaskning nøgletal'!$E$12:$E$62)+Markniveau!$Y1068*Markniveau!$S1068/100,IF($X1068=2,LOOKUP(AI1068,'Udvaskning nøgletal'!$C$12:$C$62,'Udvaskning nøgletal'!$F$12:$F$62)+Markniveau!$Y1068*Markniveau!$S1068/100,IF($X1068=3,LOOKUP(AI1068,'Udvaskning nøgletal'!$C$12:$C$62,'Udvaskning nøgletal'!Q1078:Q1128)+Markniveau!$Y1068*Markniveau!$S1068/100,"")))</f>
        <v>101.66744640811392</v>
      </c>
      <c r="AK1068" s="10">
        <f t="shared" si="169"/>
        <v>1616.5123978890113</v>
      </c>
      <c r="AL1068" s="10" t="str">
        <f t="shared" si="171"/>
        <v/>
      </c>
      <c r="AM1068" s="10" t="str">
        <f t="shared" si="172"/>
        <v/>
      </c>
    </row>
    <row r="1069" spans="1:39" x14ac:dyDescent="0.25">
      <c r="A1069" s="15">
        <v>32812864</v>
      </c>
      <c r="B1069" s="15">
        <v>16.32</v>
      </c>
      <c r="C1069" s="15">
        <v>126877</v>
      </c>
      <c r="D1069" s="15">
        <v>156150</v>
      </c>
      <c r="E1069" s="15" t="s">
        <v>686</v>
      </c>
      <c r="F1069" s="15">
        <v>2011</v>
      </c>
      <c r="G1069" s="15">
        <v>20110414</v>
      </c>
      <c r="H1069" s="15">
        <v>54627</v>
      </c>
      <c r="I1069" s="15">
        <v>5.46</v>
      </c>
      <c r="J1069" s="6" t="s">
        <v>69</v>
      </c>
      <c r="K1069" s="15">
        <v>216</v>
      </c>
      <c r="L1069" s="15" t="s">
        <v>116</v>
      </c>
      <c r="M1069" s="15" t="s">
        <v>5</v>
      </c>
      <c r="N1069" s="11" t="s">
        <v>1391</v>
      </c>
      <c r="O1069" s="11" t="s">
        <v>46</v>
      </c>
      <c r="P1069" s="11" t="s">
        <v>33</v>
      </c>
      <c r="Q1069" s="15">
        <v>0</v>
      </c>
      <c r="R1069" s="11" t="s">
        <v>1386</v>
      </c>
      <c r="S1069" s="10">
        <v>210.27964524570999</v>
      </c>
      <c r="T1069" s="15">
        <v>80</v>
      </c>
      <c r="U1069" s="15">
        <v>1</v>
      </c>
      <c r="V1069" s="15">
        <v>0</v>
      </c>
      <c r="W1069" s="15">
        <v>0</v>
      </c>
      <c r="X1069" s="15">
        <f>IF(O1069='Udvaskning nøgletal'!$D$65,1,IF(O1069='Udvaskning nøgletal'!$D$66,2,IF(O1069='Udvaskning nøgletal'!$D$67,3,IF(O1069='Udvaskning nøgletal'!$D$68,2,""))))</f>
        <v>2</v>
      </c>
      <c r="Y1069" s="15">
        <f>LOOKUP(K1069,'Udvaskning nøgletal'!$C$12:$C$60,'Udvaskning nøgletal'!$H$12:$H$60)</f>
        <v>0</v>
      </c>
      <c r="Z1069" s="10">
        <f>IF(X1069=1,LOOKUP(K1069,'Udvaskning nøgletal'!$C$12:$C$60,'Udvaskning nøgletal'!$E$12:$E$60)+Markniveau!Y1069*Markniveau!S1069/100,IF(X1069=2,LOOKUP(K1069,'Udvaskning nøgletal'!$C$12:$C$60,'Udvaskning nøgletal'!$F$12:$F$60)+Markniveau!Y1069*Markniveau!S1069/100,IF(X1069=3,LOOKUP(K1069,'Udvaskning nøgletal'!$C$12:$C$60,'Udvaskning nøgletal'!G1079:G1127)+Markniveau!Y1069*Markniveau!S1069/100,"")))</f>
        <v>101.66744640811392</v>
      </c>
      <c r="AA1069" s="10">
        <f t="shared" si="166"/>
        <v>555.10425738830202</v>
      </c>
      <c r="AB1069" s="10" t="str">
        <f t="shared" si="165"/>
        <v/>
      </c>
      <c r="AC1069" s="10" t="str">
        <f t="shared" si="167"/>
        <v/>
      </c>
      <c r="AD1069" s="10">
        <f>IF(AND(Q1069&gt;0,Q1069&lt;30,K1069&lt;8),Markniveau!Z1069*'Udvaskning nøgletal'!$I$12/100,IF(AND(Q1069&gt;0,Q1069&lt;30,K1069=216),Markniveau!Z1069*'Udvaskning nøgletal'!$I$34/100,Markniveau!Z1069))</f>
        <v>101.66744640811392</v>
      </c>
      <c r="AE1069" s="10">
        <f t="shared" si="173"/>
        <v>555.10425738830202</v>
      </c>
      <c r="AF1069" s="10" t="str">
        <f t="shared" si="168"/>
        <v/>
      </c>
      <c r="AG1069" s="10" t="str">
        <f t="shared" si="174"/>
        <v/>
      </c>
      <c r="AH1069" s="10" t="str">
        <f>IF(AND(Q1069&gt;0,Q1069&lt;30,K1069=216),'Udvaskning nøgletal'!$C$42,IF(AND(Q1069&gt;0,Q1069&lt;30,K1069&gt;7,K1069&lt;17),'Udvaskning nøgletal'!$C$61,IF(AND(Q1069&gt;0,Q1069&lt;30,K1069&lt;7),'Udvaskning nøgletal'!$C$62,"")))</f>
        <v/>
      </c>
      <c r="AI1069" s="10">
        <f t="shared" si="170"/>
        <v>216</v>
      </c>
      <c r="AJ1069" s="10">
        <f>IF($X1069=1,LOOKUP(AI1069,'Udvaskning nøgletal'!$C$12:$C$62,'Udvaskning nøgletal'!$E$12:$E$62)+Markniveau!$Y1069*Markniveau!$S1069/100,IF($X1069=2,LOOKUP(AI1069,'Udvaskning nøgletal'!$C$12:$C$62,'Udvaskning nøgletal'!$F$12:$F$62)+Markniveau!$Y1069*Markniveau!$S1069/100,IF($X1069=3,LOOKUP(AI1069,'Udvaskning nøgletal'!$C$12:$C$62,'Udvaskning nøgletal'!Q1079:Q1129)+Markniveau!$Y1069*Markniveau!$S1069/100,"")))</f>
        <v>101.66744640811392</v>
      </c>
      <c r="AK1069" s="10">
        <f t="shared" si="169"/>
        <v>555.10425738830202</v>
      </c>
      <c r="AL1069" s="10" t="str">
        <f t="shared" si="171"/>
        <v/>
      </c>
      <c r="AM1069" s="10" t="str">
        <f t="shared" si="172"/>
        <v/>
      </c>
    </row>
    <row r="1070" spans="1:39" x14ac:dyDescent="0.25">
      <c r="A1070" s="15">
        <v>32812864</v>
      </c>
      <c r="B1070" s="15">
        <v>16.32</v>
      </c>
      <c r="C1070" s="15">
        <v>127060</v>
      </c>
      <c r="D1070" s="15">
        <v>156150</v>
      </c>
      <c r="E1070" s="15" t="s">
        <v>837</v>
      </c>
      <c r="F1070" s="15">
        <v>2011</v>
      </c>
      <c r="G1070" s="15">
        <v>20110414</v>
      </c>
      <c r="H1070" s="15">
        <v>11690</v>
      </c>
      <c r="I1070" s="15">
        <v>1.17</v>
      </c>
      <c r="J1070" s="6" t="s">
        <v>847</v>
      </c>
      <c r="K1070" s="15">
        <v>210</v>
      </c>
      <c r="L1070" s="15" t="s">
        <v>262</v>
      </c>
      <c r="M1070" s="15" t="s">
        <v>5</v>
      </c>
      <c r="N1070" s="11" t="s">
        <v>1391</v>
      </c>
      <c r="O1070" s="11" t="s">
        <v>46</v>
      </c>
      <c r="P1070" s="11" t="s">
        <v>33</v>
      </c>
      <c r="Q1070" s="15">
        <v>0</v>
      </c>
      <c r="R1070" s="11" t="s">
        <v>1386</v>
      </c>
      <c r="S1070" s="10">
        <v>210.27964524570999</v>
      </c>
      <c r="T1070" s="15">
        <v>80</v>
      </c>
      <c r="U1070" s="15">
        <v>1</v>
      </c>
      <c r="V1070" s="15">
        <v>0</v>
      </c>
      <c r="W1070" s="15">
        <v>0</v>
      </c>
      <c r="X1070" s="15">
        <f>IF(O1070='Udvaskning nøgletal'!$D$65,1,IF(O1070='Udvaskning nøgletal'!$D$66,2,IF(O1070='Udvaskning nøgletal'!$D$67,3,IF(O1070='Udvaskning nøgletal'!$D$68,2,""))))</f>
        <v>2</v>
      </c>
      <c r="Y1070" s="15">
        <f>LOOKUP(K1070,'Udvaskning nøgletal'!$C$12:$C$60,'Udvaskning nøgletal'!$H$12:$H$60)</f>
        <v>0</v>
      </c>
      <c r="Z1070" s="10">
        <f>IF(X1070=1,LOOKUP(K1070,'Udvaskning nøgletal'!$C$12:$C$60,'Udvaskning nøgletal'!$E$12:$E$60)+Markniveau!Y1070*Markniveau!S1070/100,IF(X1070=2,LOOKUP(K1070,'Udvaskning nøgletal'!$C$12:$C$60,'Udvaskning nøgletal'!$F$12:$F$60)+Markniveau!Y1070*Markniveau!S1070/100,IF(X1070=3,LOOKUP(K1070,'Udvaskning nøgletal'!$C$12:$C$60,'Udvaskning nøgletal'!G1080:G1128)+Markniveau!Y1070*Markniveau!S1070/100,"")))</f>
        <v>31.161328188970323</v>
      </c>
      <c r="AA1070" s="10">
        <f t="shared" si="166"/>
        <v>36.458753981095278</v>
      </c>
      <c r="AB1070" s="10" t="str">
        <f t="shared" si="165"/>
        <v/>
      </c>
      <c r="AC1070" s="10" t="str">
        <f t="shared" si="167"/>
        <v/>
      </c>
      <c r="AD1070" s="10">
        <f>IF(AND(Q1070&gt;0,Q1070&lt;30,K1070&lt;8),Markniveau!Z1070*'Udvaskning nøgletal'!$I$12/100,IF(AND(Q1070&gt;0,Q1070&lt;30,K1070=216),Markniveau!Z1070*'Udvaskning nøgletal'!$I$34/100,Markniveau!Z1070))</f>
        <v>31.161328188970323</v>
      </c>
      <c r="AE1070" s="10">
        <f t="shared" si="173"/>
        <v>36.458753981095278</v>
      </c>
      <c r="AF1070" s="10" t="str">
        <f t="shared" si="168"/>
        <v/>
      </c>
      <c r="AG1070" s="10" t="str">
        <f t="shared" si="174"/>
        <v/>
      </c>
      <c r="AH1070" s="10" t="str">
        <f>IF(AND(Q1070&gt;0,Q1070&lt;30,K1070=216),'Udvaskning nøgletal'!$C$42,IF(AND(Q1070&gt;0,Q1070&lt;30,K1070&gt;7,K1070&lt;17),'Udvaskning nøgletal'!$C$61,IF(AND(Q1070&gt;0,Q1070&lt;30,K1070&lt;7),'Udvaskning nøgletal'!$C$62,"")))</f>
        <v/>
      </c>
      <c r="AI1070" s="10">
        <f t="shared" si="170"/>
        <v>210</v>
      </c>
      <c r="AJ1070" s="10">
        <f>IF($X1070=1,LOOKUP(AI1070,'Udvaskning nøgletal'!$C$12:$C$62,'Udvaskning nøgletal'!$E$12:$E$62)+Markniveau!$Y1070*Markniveau!$S1070/100,IF($X1070=2,LOOKUP(AI1070,'Udvaskning nøgletal'!$C$12:$C$62,'Udvaskning nøgletal'!$F$12:$F$62)+Markniveau!$Y1070*Markniveau!$S1070/100,IF($X1070=3,LOOKUP(AI1070,'Udvaskning nøgletal'!$C$12:$C$62,'Udvaskning nøgletal'!Q1080:Q1130)+Markniveau!$Y1070*Markniveau!$S1070/100,"")))</f>
        <v>31.161328188970323</v>
      </c>
      <c r="AK1070" s="10">
        <f t="shared" si="169"/>
        <v>36.458753981095278</v>
      </c>
      <c r="AL1070" s="10" t="str">
        <f t="shared" si="171"/>
        <v/>
      </c>
      <c r="AM1070" s="10" t="str">
        <f t="shared" si="172"/>
        <v/>
      </c>
    </row>
    <row r="1071" spans="1:39" x14ac:dyDescent="0.25">
      <c r="A1071" s="15">
        <v>32812864</v>
      </c>
      <c r="B1071" s="15">
        <v>16.32</v>
      </c>
      <c r="C1071" s="15">
        <v>127597</v>
      </c>
      <c r="D1071" s="15">
        <v>156150</v>
      </c>
      <c r="E1071" s="15" t="s">
        <v>817</v>
      </c>
      <c r="F1071" s="15">
        <v>2011</v>
      </c>
      <c r="G1071" s="15">
        <v>20110414</v>
      </c>
      <c r="H1071" s="15">
        <v>186014</v>
      </c>
      <c r="I1071" s="15">
        <v>18.600000000000001</v>
      </c>
      <c r="J1071" s="6" t="s">
        <v>579</v>
      </c>
      <c r="K1071" s="15">
        <v>260</v>
      </c>
      <c r="L1071" s="15" t="s">
        <v>45</v>
      </c>
      <c r="M1071" s="15" t="s">
        <v>5</v>
      </c>
      <c r="N1071" s="11" t="s">
        <v>1384</v>
      </c>
      <c r="O1071" s="11" t="s">
        <v>28</v>
      </c>
      <c r="P1071" s="11" t="s">
        <v>33</v>
      </c>
      <c r="Q1071" s="15">
        <v>0</v>
      </c>
      <c r="R1071" s="11" t="s">
        <v>1386</v>
      </c>
      <c r="S1071" s="10">
        <v>210.27964524570999</v>
      </c>
      <c r="T1071" s="15">
        <v>80</v>
      </c>
      <c r="U1071" s="15">
        <v>1</v>
      </c>
      <c r="V1071" s="15">
        <v>0</v>
      </c>
      <c r="W1071" s="15">
        <v>0</v>
      </c>
      <c r="X1071" s="15">
        <f>IF(O1071='Udvaskning nøgletal'!$D$65,1,IF(O1071='Udvaskning nøgletal'!$D$66,2,IF(O1071='Udvaskning nøgletal'!$D$67,3,IF(O1071='Udvaskning nøgletal'!$D$68,2,""))))</f>
        <v>1</v>
      </c>
      <c r="Y1071" s="15">
        <f>LOOKUP(K1071,'Udvaskning nøgletal'!$C$12:$C$60,'Udvaskning nøgletal'!$H$12:$H$60)</f>
        <v>0</v>
      </c>
      <c r="Z1071" s="10">
        <f>IF(X1071=1,LOOKUP(K1071,'Udvaskning nøgletal'!$C$12:$C$60,'Udvaskning nøgletal'!$E$12:$E$60)+Markniveau!Y1071*Markniveau!S1071/100,IF(X1071=2,LOOKUP(K1071,'Udvaskning nøgletal'!$C$12:$C$60,'Udvaskning nøgletal'!$F$12:$F$60)+Markniveau!Y1071*Markniveau!S1071/100,IF(X1071=3,LOOKUP(K1071,'Udvaskning nøgletal'!$C$12:$C$60,'Udvaskning nøgletal'!G1081:G1129)+Markniveau!Y1071*Markniveau!S1071/100,"")))</f>
        <v>33.723295792149436</v>
      </c>
      <c r="AA1071" s="10">
        <f t="shared" si="166"/>
        <v>627.25330173397958</v>
      </c>
      <c r="AB1071" s="10" t="str">
        <f t="shared" si="165"/>
        <v/>
      </c>
      <c r="AC1071" s="10" t="str">
        <f t="shared" si="167"/>
        <v/>
      </c>
      <c r="AD1071" s="10">
        <f>IF(AND(Q1071&gt;0,Q1071&lt;30,K1071&lt;8),Markniveau!Z1071*'Udvaskning nøgletal'!$I$12/100,IF(AND(Q1071&gt;0,Q1071&lt;30,K1071=216),Markniveau!Z1071*'Udvaskning nøgletal'!$I$34/100,Markniveau!Z1071))</f>
        <v>33.723295792149436</v>
      </c>
      <c r="AE1071" s="10">
        <f t="shared" si="173"/>
        <v>627.25330173397958</v>
      </c>
      <c r="AF1071" s="10" t="str">
        <f t="shared" si="168"/>
        <v/>
      </c>
      <c r="AG1071" s="10" t="str">
        <f t="shared" si="174"/>
        <v/>
      </c>
      <c r="AH1071" s="10" t="str">
        <f>IF(AND(Q1071&gt;0,Q1071&lt;30,K1071=216),'Udvaskning nøgletal'!$C$42,IF(AND(Q1071&gt;0,Q1071&lt;30,K1071&gt;7,K1071&lt;17),'Udvaskning nøgletal'!$C$61,IF(AND(Q1071&gt;0,Q1071&lt;30,K1071&lt;7),'Udvaskning nøgletal'!$C$62,"")))</f>
        <v/>
      </c>
      <c r="AI1071" s="10">
        <f t="shared" si="170"/>
        <v>260</v>
      </c>
      <c r="AJ1071" s="10">
        <f>IF($X1071=1,LOOKUP(AI1071,'Udvaskning nøgletal'!$C$12:$C$62,'Udvaskning nøgletal'!$E$12:$E$62)+Markniveau!$Y1071*Markniveau!$S1071/100,IF($X1071=2,LOOKUP(AI1071,'Udvaskning nøgletal'!$C$12:$C$62,'Udvaskning nøgletal'!$F$12:$F$62)+Markniveau!$Y1071*Markniveau!$S1071/100,IF($X1071=3,LOOKUP(AI1071,'Udvaskning nøgletal'!$C$12:$C$62,'Udvaskning nøgletal'!Q1081:Q1131)+Markniveau!$Y1071*Markniveau!$S1071/100,"")))</f>
        <v>33.723295792149436</v>
      </c>
      <c r="AK1071" s="10">
        <f t="shared" si="169"/>
        <v>627.25330173397958</v>
      </c>
      <c r="AL1071" s="10" t="str">
        <f t="shared" si="171"/>
        <v/>
      </c>
      <c r="AM1071" s="10" t="str">
        <f t="shared" si="172"/>
        <v/>
      </c>
    </row>
    <row r="1072" spans="1:39" x14ac:dyDescent="0.25">
      <c r="A1072" s="15">
        <v>32812864</v>
      </c>
      <c r="B1072" s="15">
        <v>16.32</v>
      </c>
      <c r="C1072" s="15">
        <v>127805</v>
      </c>
      <c r="D1072" s="15">
        <v>156150</v>
      </c>
      <c r="E1072" s="15" t="s">
        <v>848</v>
      </c>
      <c r="F1072" s="15">
        <v>2011</v>
      </c>
      <c r="G1072" s="15">
        <v>20110414</v>
      </c>
      <c r="H1072" s="15">
        <v>35103</v>
      </c>
      <c r="I1072" s="15">
        <v>3.51</v>
      </c>
      <c r="J1072" s="6" t="s">
        <v>849</v>
      </c>
      <c r="K1072" s="15">
        <v>210</v>
      </c>
      <c r="L1072" s="15" t="s">
        <v>262</v>
      </c>
      <c r="M1072" s="15" t="s">
        <v>5</v>
      </c>
      <c r="N1072" s="11" t="s">
        <v>1391</v>
      </c>
      <c r="O1072" s="11" t="s">
        <v>46</v>
      </c>
      <c r="P1072" s="11" t="s">
        <v>33</v>
      </c>
      <c r="Q1072" s="15">
        <v>0</v>
      </c>
      <c r="R1072" s="11" t="s">
        <v>1386</v>
      </c>
      <c r="S1072" s="10">
        <v>210.27964524570999</v>
      </c>
      <c r="T1072" s="15">
        <v>80</v>
      </c>
      <c r="U1072" s="15">
        <v>1</v>
      </c>
      <c r="V1072" s="15">
        <v>0</v>
      </c>
      <c r="W1072" s="15">
        <v>0</v>
      </c>
      <c r="X1072" s="15">
        <f>IF(O1072='Udvaskning nøgletal'!$D$65,1,IF(O1072='Udvaskning nøgletal'!$D$66,2,IF(O1072='Udvaskning nøgletal'!$D$67,3,IF(O1072='Udvaskning nøgletal'!$D$68,2,""))))</f>
        <v>2</v>
      </c>
      <c r="Y1072" s="15">
        <f>LOOKUP(K1072,'Udvaskning nøgletal'!$C$12:$C$60,'Udvaskning nøgletal'!$H$12:$H$60)</f>
        <v>0</v>
      </c>
      <c r="Z1072" s="10">
        <f>IF(X1072=1,LOOKUP(K1072,'Udvaskning nøgletal'!$C$12:$C$60,'Udvaskning nøgletal'!$E$12:$E$60)+Markniveau!Y1072*Markniveau!S1072/100,IF(X1072=2,LOOKUP(K1072,'Udvaskning nøgletal'!$C$12:$C$60,'Udvaskning nøgletal'!$F$12:$F$60)+Markniveau!Y1072*Markniveau!S1072/100,IF(X1072=3,LOOKUP(K1072,'Udvaskning nøgletal'!$C$12:$C$60,'Udvaskning nøgletal'!G1082:G1130)+Markniveau!Y1072*Markniveau!S1072/100,"")))</f>
        <v>31.161328188970323</v>
      </c>
      <c r="AA1072" s="10">
        <f t="shared" si="166"/>
        <v>109.37626194328583</v>
      </c>
      <c r="AB1072" s="10" t="str">
        <f t="shared" si="165"/>
        <v/>
      </c>
      <c r="AC1072" s="10" t="str">
        <f t="shared" si="167"/>
        <v/>
      </c>
      <c r="AD1072" s="10">
        <f>IF(AND(Q1072&gt;0,Q1072&lt;30,K1072&lt;8),Markniveau!Z1072*'Udvaskning nøgletal'!$I$12/100,IF(AND(Q1072&gt;0,Q1072&lt;30,K1072=216),Markniveau!Z1072*'Udvaskning nøgletal'!$I$34/100,Markniveau!Z1072))</f>
        <v>31.161328188970323</v>
      </c>
      <c r="AE1072" s="10">
        <f t="shared" si="173"/>
        <v>109.37626194328583</v>
      </c>
      <c r="AF1072" s="10" t="str">
        <f t="shared" si="168"/>
        <v/>
      </c>
      <c r="AG1072" s="10" t="str">
        <f t="shared" si="174"/>
        <v/>
      </c>
      <c r="AH1072" s="10" t="str">
        <f>IF(AND(Q1072&gt;0,Q1072&lt;30,K1072=216),'Udvaskning nøgletal'!$C$42,IF(AND(Q1072&gt;0,Q1072&lt;30,K1072&gt;7,K1072&lt;17),'Udvaskning nøgletal'!$C$61,IF(AND(Q1072&gt;0,Q1072&lt;30,K1072&lt;7),'Udvaskning nøgletal'!$C$62,"")))</f>
        <v/>
      </c>
      <c r="AI1072" s="10">
        <f t="shared" si="170"/>
        <v>210</v>
      </c>
      <c r="AJ1072" s="10">
        <f>IF($X1072=1,LOOKUP(AI1072,'Udvaskning nøgletal'!$C$12:$C$62,'Udvaskning nøgletal'!$E$12:$E$62)+Markniveau!$Y1072*Markniveau!$S1072/100,IF($X1072=2,LOOKUP(AI1072,'Udvaskning nøgletal'!$C$12:$C$62,'Udvaskning nøgletal'!$F$12:$F$62)+Markniveau!$Y1072*Markniveau!$S1072/100,IF($X1072=3,LOOKUP(AI1072,'Udvaskning nøgletal'!$C$12:$C$62,'Udvaskning nøgletal'!Q1082:Q1132)+Markniveau!$Y1072*Markniveau!$S1072/100,"")))</f>
        <v>31.161328188970323</v>
      </c>
      <c r="AK1072" s="10">
        <f t="shared" si="169"/>
        <v>109.37626194328583</v>
      </c>
      <c r="AL1072" s="10" t="str">
        <f t="shared" si="171"/>
        <v/>
      </c>
      <c r="AM1072" s="10" t="str">
        <f t="shared" si="172"/>
        <v/>
      </c>
    </row>
    <row r="1073" spans="1:39" x14ac:dyDescent="0.25">
      <c r="A1073" s="15">
        <v>32812864</v>
      </c>
      <c r="B1073" s="15">
        <v>16.32</v>
      </c>
      <c r="C1073" s="15">
        <v>128712</v>
      </c>
      <c r="D1073" s="15">
        <v>156150</v>
      </c>
      <c r="E1073" s="15" t="s">
        <v>850</v>
      </c>
      <c r="F1073" s="15">
        <v>2011</v>
      </c>
      <c r="G1073" s="15">
        <v>20110414</v>
      </c>
      <c r="H1073" s="15">
        <v>95252</v>
      </c>
      <c r="I1073" s="15">
        <v>9.5299999999999994</v>
      </c>
      <c r="J1073" s="6" t="s">
        <v>612</v>
      </c>
      <c r="K1073" s="15">
        <v>216</v>
      </c>
      <c r="L1073" s="15" t="s">
        <v>116</v>
      </c>
      <c r="M1073" s="15" t="s">
        <v>5</v>
      </c>
      <c r="N1073" s="11" t="s">
        <v>1384</v>
      </c>
      <c r="O1073" s="11" t="s">
        <v>28</v>
      </c>
      <c r="P1073" s="11" t="s">
        <v>33</v>
      </c>
      <c r="Q1073" s="15">
        <v>0</v>
      </c>
      <c r="R1073" s="11" t="s">
        <v>1386</v>
      </c>
      <c r="S1073" s="10">
        <v>210.27964524570999</v>
      </c>
      <c r="T1073" s="15">
        <v>80</v>
      </c>
      <c r="U1073" s="15">
        <v>1</v>
      </c>
      <c r="V1073" s="15">
        <v>0</v>
      </c>
      <c r="W1073" s="15">
        <v>0</v>
      </c>
      <c r="X1073" s="15">
        <f>IF(O1073='Udvaskning nøgletal'!$D$65,1,IF(O1073='Udvaskning nøgletal'!$D$66,2,IF(O1073='Udvaskning nøgletal'!$D$67,3,IF(O1073='Udvaskning nøgletal'!$D$68,2,""))))</f>
        <v>1</v>
      </c>
      <c r="Y1073" s="15">
        <f>LOOKUP(K1073,'Udvaskning nøgletal'!$C$12:$C$60,'Udvaskning nøgletal'!$H$12:$H$60)</f>
        <v>0</v>
      </c>
      <c r="Z1073" s="10">
        <f>IF(X1073=1,LOOKUP(K1073,'Udvaskning nøgletal'!$C$12:$C$60,'Udvaskning nøgletal'!$E$12:$E$60)+Markniveau!Y1073*Markniveau!S1073/100,IF(X1073=2,LOOKUP(K1073,'Udvaskning nøgletal'!$C$12:$C$60,'Udvaskning nøgletal'!$F$12:$F$60)+Markniveau!Y1073*Markniveau!S1073/100,IF(X1073=3,LOOKUP(K1073,'Udvaskning nøgletal'!$C$12:$C$60,'Udvaskning nøgletal'!G1083:G1131)+Markniveau!Y1073*Markniveau!S1073/100,"")))</f>
        <v>125.85383557148924</v>
      </c>
      <c r="AA1073" s="10">
        <f t="shared" si="166"/>
        <v>1199.3870529962924</v>
      </c>
      <c r="AB1073" s="10" t="str">
        <f t="shared" si="165"/>
        <v/>
      </c>
      <c r="AC1073" s="10" t="str">
        <f t="shared" si="167"/>
        <v/>
      </c>
      <c r="AD1073" s="10">
        <f>IF(AND(Q1073&gt;0,Q1073&lt;30,K1073&lt;8),Markniveau!Z1073*'Udvaskning nøgletal'!$I$12/100,IF(AND(Q1073&gt;0,Q1073&lt;30,K1073=216),Markniveau!Z1073*'Udvaskning nøgletal'!$I$34/100,Markniveau!Z1073))</f>
        <v>125.85383557148924</v>
      </c>
      <c r="AE1073" s="10">
        <f t="shared" si="173"/>
        <v>1199.3870529962924</v>
      </c>
      <c r="AF1073" s="10" t="str">
        <f t="shared" si="168"/>
        <v/>
      </c>
      <c r="AG1073" s="10" t="str">
        <f t="shared" si="174"/>
        <v/>
      </c>
      <c r="AH1073" s="10" t="str">
        <f>IF(AND(Q1073&gt;0,Q1073&lt;30,K1073=216),'Udvaskning nøgletal'!$C$42,IF(AND(Q1073&gt;0,Q1073&lt;30,K1073&gt;7,K1073&lt;17),'Udvaskning nøgletal'!$C$61,IF(AND(Q1073&gt;0,Q1073&lt;30,K1073&lt;7),'Udvaskning nøgletal'!$C$62,"")))</f>
        <v/>
      </c>
      <c r="AI1073" s="10">
        <f t="shared" si="170"/>
        <v>216</v>
      </c>
      <c r="AJ1073" s="10">
        <f>IF($X1073=1,LOOKUP(AI1073,'Udvaskning nøgletal'!$C$12:$C$62,'Udvaskning nøgletal'!$E$12:$E$62)+Markniveau!$Y1073*Markniveau!$S1073/100,IF($X1073=2,LOOKUP(AI1073,'Udvaskning nøgletal'!$C$12:$C$62,'Udvaskning nøgletal'!$F$12:$F$62)+Markniveau!$Y1073*Markniveau!$S1073/100,IF($X1073=3,LOOKUP(AI1073,'Udvaskning nøgletal'!$C$12:$C$62,'Udvaskning nøgletal'!Q1083:Q1133)+Markniveau!$Y1073*Markniveau!$S1073/100,"")))</f>
        <v>125.85383557148924</v>
      </c>
      <c r="AK1073" s="10">
        <f t="shared" si="169"/>
        <v>1199.3870529962924</v>
      </c>
      <c r="AL1073" s="10" t="str">
        <f t="shared" si="171"/>
        <v/>
      </c>
      <c r="AM1073" s="10" t="str">
        <f t="shared" si="172"/>
        <v/>
      </c>
    </row>
    <row r="1074" spans="1:39" x14ac:dyDescent="0.25">
      <c r="A1074" s="15">
        <v>32812864</v>
      </c>
      <c r="B1074" s="15">
        <v>16.32</v>
      </c>
      <c r="C1074" s="15">
        <v>128845</v>
      </c>
      <c r="D1074" s="15">
        <v>156150</v>
      </c>
      <c r="E1074" s="15" t="s">
        <v>851</v>
      </c>
      <c r="F1074" s="15">
        <v>2011</v>
      </c>
      <c r="G1074" s="15">
        <v>20110414</v>
      </c>
      <c r="H1074" s="15">
        <v>167552</v>
      </c>
      <c r="I1074" s="15">
        <v>16.760000000000002</v>
      </c>
      <c r="J1074" s="6" t="s">
        <v>122</v>
      </c>
      <c r="K1074" s="15">
        <v>216</v>
      </c>
      <c r="L1074" s="15" t="s">
        <v>116</v>
      </c>
      <c r="M1074" s="15" t="s">
        <v>5</v>
      </c>
      <c r="N1074" s="11" t="s">
        <v>1391</v>
      </c>
      <c r="O1074" s="11" t="s">
        <v>46</v>
      </c>
      <c r="P1074" s="11" t="s">
        <v>33</v>
      </c>
      <c r="Q1074" s="15">
        <v>0</v>
      </c>
      <c r="R1074" s="11" t="s">
        <v>1386</v>
      </c>
      <c r="S1074" s="10">
        <v>210.27964524570999</v>
      </c>
      <c r="T1074" s="15">
        <v>80</v>
      </c>
      <c r="U1074" s="15">
        <v>1</v>
      </c>
      <c r="V1074" s="15">
        <v>0</v>
      </c>
      <c r="W1074" s="15">
        <v>0</v>
      </c>
      <c r="X1074" s="15">
        <f>IF(O1074='Udvaskning nøgletal'!$D$65,1,IF(O1074='Udvaskning nøgletal'!$D$66,2,IF(O1074='Udvaskning nøgletal'!$D$67,3,IF(O1074='Udvaskning nøgletal'!$D$68,2,""))))</f>
        <v>2</v>
      </c>
      <c r="Y1074" s="15">
        <f>LOOKUP(K1074,'Udvaskning nøgletal'!$C$12:$C$60,'Udvaskning nøgletal'!$H$12:$H$60)</f>
        <v>0</v>
      </c>
      <c r="Z1074" s="10">
        <f>IF(X1074=1,LOOKUP(K1074,'Udvaskning nøgletal'!$C$12:$C$60,'Udvaskning nøgletal'!$E$12:$E$60)+Markniveau!Y1074*Markniveau!S1074/100,IF(X1074=2,LOOKUP(K1074,'Udvaskning nøgletal'!$C$12:$C$60,'Udvaskning nøgletal'!$F$12:$F$60)+Markniveau!Y1074*Markniveau!S1074/100,IF(X1074=3,LOOKUP(K1074,'Udvaskning nøgletal'!$C$12:$C$60,'Udvaskning nøgletal'!G1084:G1132)+Markniveau!Y1074*Markniveau!S1074/100,"")))</f>
        <v>101.66744640811392</v>
      </c>
      <c r="AA1074" s="10">
        <f t="shared" si="166"/>
        <v>1703.9464017999894</v>
      </c>
      <c r="AB1074" s="10" t="str">
        <f t="shared" si="165"/>
        <v/>
      </c>
      <c r="AC1074" s="10" t="str">
        <f t="shared" si="167"/>
        <v/>
      </c>
      <c r="AD1074" s="10">
        <f>IF(AND(Q1074&gt;0,Q1074&lt;30,K1074&lt;8),Markniveau!Z1074*'Udvaskning nøgletal'!$I$12/100,IF(AND(Q1074&gt;0,Q1074&lt;30,K1074=216),Markniveau!Z1074*'Udvaskning nøgletal'!$I$34/100,Markniveau!Z1074))</f>
        <v>101.66744640811392</v>
      </c>
      <c r="AE1074" s="10">
        <f t="shared" si="173"/>
        <v>1703.9464017999894</v>
      </c>
      <c r="AF1074" s="10" t="str">
        <f t="shared" si="168"/>
        <v/>
      </c>
      <c r="AG1074" s="10" t="str">
        <f t="shared" si="174"/>
        <v/>
      </c>
      <c r="AH1074" s="10" t="str">
        <f>IF(AND(Q1074&gt;0,Q1074&lt;30,K1074=216),'Udvaskning nøgletal'!$C$42,IF(AND(Q1074&gt;0,Q1074&lt;30,K1074&gt;7,K1074&lt;17),'Udvaskning nøgletal'!$C$61,IF(AND(Q1074&gt;0,Q1074&lt;30,K1074&lt;7),'Udvaskning nøgletal'!$C$62,"")))</f>
        <v/>
      </c>
      <c r="AI1074" s="10">
        <f t="shared" si="170"/>
        <v>216</v>
      </c>
      <c r="AJ1074" s="10">
        <f>IF($X1074=1,LOOKUP(AI1074,'Udvaskning nøgletal'!$C$12:$C$62,'Udvaskning nøgletal'!$E$12:$E$62)+Markniveau!$Y1074*Markniveau!$S1074/100,IF($X1074=2,LOOKUP(AI1074,'Udvaskning nøgletal'!$C$12:$C$62,'Udvaskning nøgletal'!$F$12:$F$62)+Markniveau!$Y1074*Markniveau!$S1074/100,IF($X1074=3,LOOKUP(AI1074,'Udvaskning nøgletal'!$C$12:$C$62,'Udvaskning nøgletal'!Q1084:Q1134)+Markniveau!$Y1074*Markniveau!$S1074/100,"")))</f>
        <v>101.66744640811392</v>
      </c>
      <c r="AK1074" s="10">
        <f t="shared" si="169"/>
        <v>1703.9464017999894</v>
      </c>
      <c r="AL1074" s="10" t="str">
        <f t="shared" si="171"/>
        <v/>
      </c>
      <c r="AM1074" s="10" t="str">
        <f t="shared" si="172"/>
        <v/>
      </c>
    </row>
    <row r="1075" spans="1:39" x14ac:dyDescent="0.25">
      <c r="A1075" s="15">
        <v>32812864</v>
      </c>
      <c r="B1075" s="15">
        <v>16.32</v>
      </c>
      <c r="C1075" s="15">
        <v>129045</v>
      </c>
      <c r="D1075" s="15">
        <v>156150</v>
      </c>
      <c r="E1075" s="15" t="s">
        <v>852</v>
      </c>
      <c r="F1075" s="15">
        <v>2011</v>
      </c>
      <c r="G1075" s="15">
        <v>20110414</v>
      </c>
      <c r="H1075" s="15">
        <v>239495</v>
      </c>
      <c r="I1075" s="15">
        <v>23.95</v>
      </c>
      <c r="J1075" s="6" t="s">
        <v>458</v>
      </c>
      <c r="K1075" s="15">
        <v>210</v>
      </c>
      <c r="L1075" s="15" t="s">
        <v>262</v>
      </c>
      <c r="M1075" s="15" t="s">
        <v>5</v>
      </c>
      <c r="N1075" s="11" t="s">
        <v>1391</v>
      </c>
      <c r="O1075" s="11" t="s">
        <v>46</v>
      </c>
      <c r="P1075" s="11" t="s">
        <v>33</v>
      </c>
      <c r="Q1075" s="15">
        <v>0</v>
      </c>
      <c r="R1075" s="11" t="s">
        <v>1386</v>
      </c>
      <c r="S1075" s="10">
        <v>210.27964524570999</v>
      </c>
      <c r="T1075" s="15">
        <v>80</v>
      </c>
      <c r="U1075" s="15">
        <v>1</v>
      </c>
      <c r="V1075" s="15">
        <v>0</v>
      </c>
      <c r="W1075" s="15">
        <v>0</v>
      </c>
      <c r="X1075" s="15">
        <f>IF(O1075='Udvaskning nøgletal'!$D$65,1,IF(O1075='Udvaskning nøgletal'!$D$66,2,IF(O1075='Udvaskning nøgletal'!$D$67,3,IF(O1075='Udvaskning nøgletal'!$D$68,2,""))))</f>
        <v>2</v>
      </c>
      <c r="Y1075" s="15">
        <f>LOOKUP(K1075,'Udvaskning nøgletal'!$C$12:$C$60,'Udvaskning nøgletal'!$H$12:$H$60)</f>
        <v>0</v>
      </c>
      <c r="Z1075" s="10">
        <f>IF(X1075=1,LOOKUP(K1075,'Udvaskning nøgletal'!$C$12:$C$60,'Udvaskning nøgletal'!$E$12:$E$60)+Markniveau!Y1075*Markniveau!S1075/100,IF(X1075=2,LOOKUP(K1075,'Udvaskning nøgletal'!$C$12:$C$60,'Udvaskning nøgletal'!$F$12:$F$60)+Markniveau!Y1075*Markniveau!S1075/100,IF(X1075=3,LOOKUP(K1075,'Udvaskning nøgletal'!$C$12:$C$60,'Udvaskning nøgletal'!G1085:G1133)+Markniveau!Y1075*Markniveau!S1075/100,"")))</f>
        <v>31.161328188970323</v>
      </c>
      <c r="AA1075" s="10">
        <f t="shared" si="166"/>
        <v>746.31381012583927</v>
      </c>
      <c r="AB1075" s="10" t="str">
        <f t="shared" si="165"/>
        <v/>
      </c>
      <c r="AC1075" s="10" t="str">
        <f t="shared" si="167"/>
        <v/>
      </c>
      <c r="AD1075" s="10">
        <f>IF(AND(Q1075&gt;0,Q1075&lt;30,K1075&lt;8),Markniveau!Z1075*'Udvaskning nøgletal'!$I$12/100,IF(AND(Q1075&gt;0,Q1075&lt;30,K1075=216),Markniveau!Z1075*'Udvaskning nøgletal'!$I$34/100,Markniveau!Z1075))</f>
        <v>31.161328188970323</v>
      </c>
      <c r="AE1075" s="10">
        <f t="shared" si="173"/>
        <v>746.31381012583927</v>
      </c>
      <c r="AF1075" s="10" t="str">
        <f t="shared" si="168"/>
        <v/>
      </c>
      <c r="AG1075" s="10" t="str">
        <f t="shared" si="174"/>
        <v/>
      </c>
      <c r="AH1075" s="10" t="str">
        <f>IF(AND(Q1075&gt;0,Q1075&lt;30,K1075=216),'Udvaskning nøgletal'!$C$42,IF(AND(Q1075&gt;0,Q1075&lt;30,K1075&gt;7,K1075&lt;17),'Udvaskning nøgletal'!$C$61,IF(AND(Q1075&gt;0,Q1075&lt;30,K1075&lt;7),'Udvaskning nøgletal'!$C$62,"")))</f>
        <v/>
      </c>
      <c r="AI1075" s="10">
        <f t="shared" si="170"/>
        <v>210</v>
      </c>
      <c r="AJ1075" s="10">
        <f>IF($X1075=1,LOOKUP(AI1075,'Udvaskning nøgletal'!$C$12:$C$62,'Udvaskning nøgletal'!$E$12:$E$62)+Markniveau!$Y1075*Markniveau!$S1075/100,IF($X1075=2,LOOKUP(AI1075,'Udvaskning nøgletal'!$C$12:$C$62,'Udvaskning nøgletal'!$F$12:$F$62)+Markniveau!$Y1075*Markniveau!$S1075/100,IF($X1075=3,LOOKUP(AI1075,'Udvaskning nøgletal'!$C$12:$C$62,'Udvaskning nøgletal'!Q1085:Q1135)+Markniveau!$Y1075*Markniveau!$S1075/100,"")))</f>
        <v>31.161328188970323</v>
      </c>
      <c r="AK1075" s="10">
        <f t="shared" si="169"/>
        <v>746.31381012583927</v>
      </c>
      <c r="AL1075" s="10" t="str">
        <f t="shared" si="171"/>
        <v/>
      </c>
      <c r="AM1075" s="10" t="str">
        <f t="shared" si="172"/>
        <v/>
      </c>
    </row>
    <row r="1076" spans="1:39" x14ac:dyDescent="0.25">
      <c r="A1076" s="15">
        <v>32812864</v>
      </c>
      <c r="B1076" s="15">
        <v>16.32</v>
      </c>
      <c r="C1076" s="15">
        <v>129183</v>
      </c>
      <c r="D1076" s="15">
        <v>156150</v>
      </c>
      <c r="E1076" s="15" t="s">
        <v>844</v>
      </c>
      <c r="F1076" s="15">
        <v>2011</v>
      </c>
      <c r="G1076" s="15">
        <v>20110414</v>
      </c>
      <c r="H1076" s="15">
        <v>178228</v>
      </c>
      <c r="I1076" s="15">
        <v>17.82</v>
      </c>
      <c r="J1076" s="6" t="s">
        <v>853</v>
      </c>
      <c r="K1076" s="15">
        <v>216</v>
      </c>
      <c r="L1076" s="15" t="s">
        <v>116</v>
      </c>
      <c r="M1076" s="15" t="s">
        <v>5</v>
      </c>
      <c r="N1076" s="11" t="s">
        <v>1406</v>
      </c>
      <c r="O1076" s="11" t="s">
        <v>46</v>
      </c>
      <c r="P1076" s="11" t="s">
        <v>33</v>
      </c>
      <c r="Q1076" s="15">
        <v>0</v>
      </c>
      <c r="R1076" s="11" t="s">
        <v>1386</v>
      </c>
      <c r="S1076" s="10">
        <v>210.27964524570999</v>
      </c>
      <c r="T1076" s="15">
        <v>80</v>
      </c>
      <c r="U1076" s="15">
        <v>1</v>
      </c>
      <c r="V1076" s="15">
        <v>0</v>
      </c>
      <c r="W1076" s="15">
        <v>0</v>
      </c>
      <c r="X1076" s="15">
        <f>IF(O1076='Udvaskning nøgletal'!$D$65,1,IF(O1076='Udvaskning nøgletal'!$D$66,2,IF(O1076='Udvaskning nøgletal'!$D$67,3,IF(O1076='Udvaskning nøgletal'!$D$68,2,""))))</f>
        <v>2</v>
      </c>
      <c r="Y1076" s="15">
        <f>LOOKUP(K1076,'Udvaskning nøgletal'!$C$12:$C$60,'Udvaskning nøgletal'!$H$12:$H$60)</f>
        <v>0</v>
      </c>
      <c r="Z1076" s="10">
        <f>IF(X1076=1,LOOKUP(K1076,'Udvaskning nøgletal'!$C$12:$C$60,'Udvaskning nøgletal'!$E$12:$E$60)+Markniveau!Y1076*Markniveau!S1076/100,IF(X1076=2,LOOKUP(K1076,'Udvaskning nøgletal'!$C$12:$C$60,'Udvaskning nøgletal'!$F$12:$F$60)+Markniveau!Y1076*Markniveau!S1076/100,IF(X1076=3,LOOKUP(K1076,'Udvaskning nøgletal'!$C$12:$C$60,'Udvaskning nøgletal'!G1086:G1134)+Markniveau!Y1076*Markniveau!S1076/100,"")))</f>
        <v>101.66744640811392</v>
      </c>
      <c r="AA1076" s="10">
        <f t="shared" si="166"/>
        <v>1811.71389499259</v>
      </c>
      <c r="AB1076" s="10" t="str">
        <f t="shared" si="165"/>
        <v/>
      </c>
      <c r="AC1076" s="10" t="str">
        <f t="shared" si="167"/>
        <v/>
      </c>
      <c r="AD1076" s="10">
        <f>IF(AND(Q1076&gt;0,Q1076&lt;30,K1076&lt;8),Markniveau!Z1076*'Udvaskning nøgletal'!$I$12/100,IF(AND(Q1076&gt;0,Q1076&lt;30,K1076=216),Markniveau!Z1076*'Udvaskning nøgletal'!$I$34/100,Markniveau!Z1076))</f>
        <v>101.66744640811392</v>
      </c>
      <c r="AE1076" s="10">
        <f t="shared" si="173"/>
        <v>1811.71389499259</v>
      </c>
      <c r="AF1076" s="10" t="str">
        <f t="shared" si="168"/>
        <v/>
      </c>
      <c r="AG1076" s="10" t="str">
        <f t="shared" si="174"/>
        <v/>
      </c>
      <c r="AH1076" s="10" t="str">
        <f>IF(AND(Q1076&gt;0,Q1076&lt;30,K1076=216),'Udvaskning nøgletal'!$C$42,IF(AND(Q1076&gt;0,Q1076&lt;30,K1076&gt;7,K1076&lt;17),'Udvaskning nøgletal'!$C$61,IF(AND(Q1076&gt;0,Q1076&lt;30,K1076&lt;7),'Udvaskning nøgletal'!$C$62,"")))</f>
        <v/>
      </c>
      <c r="AI1076" s="10">
        <f t="shared" si="170"/>
        <v>216</v>
      </c>
      <c r="AJ1076" s="10">
        <f>IF($X1076=1,LOOKUP(AI1076,'Udvaskning nøgletal'!$C$12:$C$62,'Udvaskning nøgletal'!$E$12:$E$62)+Markniveau!$Y1076*Markniveau!$S1076/100,IF($X1076=2,LOOKUP(AI1076,'Udvaskning nøgletal'!$C$12:$C$62,'Udvaskning nøgletal'!$F$12:$F$62)+Markniveau!$Y1076*Markniveau!$S1076/100,IF($X1076=3,LOOKUP(AI1076,'Udvaskning nøgletal'!$C$12:$C$62,'Udvaskning nøgletal'!Q1086:Q1136)+Markniveau!$Y1076*Markniveau!$S1076/100,"")))</f>
        <v>101.66744640811392</v>
      </c>
      <c r="AK1076" s="10">
        <f t="shared" si="169"/>
        <v>1811.71389499259</v>
      </c>
      <c r="AL1076" s="10" t="str">
        <f t="shared" si="171"/>
        <v/>
      </c>
      <c r="AM1076" s="10" t="str">
        <f t="shared" si="172"/>
        <v/>
      </c>
    </row>
    <row r="1077" spans="1:39" x14ac:dyDescent="0.25">
      <c r="A1077" s="15">
        <v>32812864</v>
      </c>
      <c r="B1077" s="15">
        <v>16.32</v>
      </c>
      <c r="C1077" s="15">
        <v>129639</v>
      </c>
      <c r="D1077" s="15">
        <v>156150</v>
      </c>
      <c r="E1077" s="15" t="s">
        <v>854</v>
      </c>
      <c r="F1077" s="15">
        <v>2011</v>
      </c>
      <c r="G1077" s="15">
        <v>20110414</v>
      </c>
      <c r="H1077" s="15">
        <v>5397</v>
      </c>
      <c r="I1077" s="15">
        <v>0.54</v>
      </c>
      <c r="J1077" s="6" t="s">
        <v>1398</v>
      </c>
      <c r="K1077" s="15">
        <v>268</v>
      </c>
      <c r="L1077" s="15" t="s">
        <v>627</v>
      </c>
      <c r="M1077" s="15" t="s">
        <v>5</v>
      </c>
      <c r="N1077" s="11" t="s">
        <v>1391</v>
      </c>
      <c r="O1077" s="11" t="s">
        <v>46</v>
      </c>
      <c r="P1077" s="11" t="s">
        <v>33</v>
      </c>
      <c r="Q1077" s="15">
        <v>0</v>
      </c>
      <c r="R1077" s="11" t="s">
        <v>1386</v>
      </c>
      <c r="S1077" s="10">
        <v>210.27964524570999</v>
      </c>
      <c r="T1077" s="15">
        <v>80</v>
      </c>
      <c r="U1077" s="15">
        <v>1</v>
      </c>
      <c r="V1077" s="15">
        <v>0</v>
      </c>
      <c r="W1077" s="15">
        <v>0</v>
      </c>
      <c r="X1077" s="15">
        <f>IF(O1077='Udvaskning nøgletal'!$D$65,1,IF(O1077='Udvaskning nøgletal'!$D$66,2,IF(O1077='Udvaskning nøgletal'!$D$67,3,IF(O1077='Udvaskning nøgletal'!$D$68,2,""))))</f>
        <v>2</v>
      </c>
      <c r="Y1077" s="15">
        <f>LOOKUP(K1077,'Udvaskning nøgletal'!$C$12:$C$60,'Udvaskning nøgletal'!$H$12:$H$60)</f>
        <v>0</v>
      </c>
      <c r="Z1077" s="10">
        <f>IF(X1077=1,LOOKUP(K1077,'Udvaskning nøgletal'!$C$12:$C$60,'Udvaskning nøgletal'!$E$12:$E$60)+Markniveau!Y1077*Markniveau!S1077/100,IF(X1077=2,LOOKUP(K1077,'Udvaskning nøgletal'!$C$12:$C$60,'Udvaskning nøgletal'!$F$12:$F$60)+Markniveau!Y1077*Markniveau!S1077/100,IF(X1077=3,LOOKUP(K1077,'Udvaskning nøgletal'!$C$12:$C$60,'Udvaskning nøgletal'!G1087:G1135)+Markniveau!Y1077*Markniveau!S1077/100,"")))</f>
        <v>21.2</v>
      </c>
      <c r="AA1077" s="10">
        <f t="shared" si="166"/>
        <v>11.448</v>
      </c>
      <c r="AB1077" s="10" t="str">
        <f t="shared" si="165"/>
        <v/>
      </c>
      <c r="AC1077" s="10" t="str">
        <f t="shared" si="167"/>
        <v/>
      </c>
      <c r="AD1077" s="10">
        <f>IF(AND(Q1077&gt;0,Q1077&lt;30,K1077&lt;8),Markniveau!Z1077*'Udvaskning nøgletal'!$I$12/100,IF(AND(Q1077&gt;0,Q1077&lt;30,K1077=216),Markniveau!Z1077*'Udvaskning nøgletal'!$I$34/100,Markniveau!Z1077))</f>
        <v>21.2</v>
      </c>
      <c r="AE1077" s="10">
        <f t="shared" si="173"/>
        <v>11.448</v>
      </c>
      <c r="AF1077" s="10" t="str">
        <f t="shared" si="168"/>
        <v/>
      </c>
      <c r="AG1077" s="10" t="str">
        <f t="shared" si="174"/>
        <v/>
      </c>
      <c r="AH1077" s="10" t="str">
        <f>IF(AND(Q1077&gt;0,Q1077&lt;30,K1077=216),'Udvaskning nøgletal'!$C$42,IF(AND(Q1077&gt;0,Q1077&lt;30,K1077&gt;7,K1077&lt;17),'Udvaskning nøgletal'!$C$61,IF(AND(Q1077&gt;0,Q1077&lt;30,K1077&lt;7),'Udvaskning nøgletal'!$C$62,"")))</f>
        <v/>
      </c>
      <c r="AI1077" s="10">
        <f t="shared" si="170"/>
        <v>268</v>
      </c>
      <c r="AJ1077" s="10">
        <f>IF($X1077=1,LOOKUP(AI1077,'Udvaskning nøgletal'!$C$12:$C$62,'Udvaskning nøgletal'!$E$12:$E$62)+Markniveau!$Y1077*Markniveau!$S1077/100,IF($X1077=2,LOOKUP(AI1077,'Udvaskning nøgletal'!$C$12:$C$62,'Udvaskning nøgletal'!$F$12:$F$62)+Markniveau!$Y1077*Markniveau!$S1077/100,IF($X1077=3,LOOKUP(AI1077,'Udvaskning nøgletal'!$C$12:$C$62,'Udvaskning nøgletal'!Q1087:Q1137)+Markniveau!$Y1077*Markniveau!$S1077/100,"")))</f>
        <v>21.2</v>
      </c>
      <c r="AK1077" s="10">
        <f t="shared" si="169"/>
        <v>11.448</v>
      </c>
      <c r="AL1077" s="10" t="str">
        <f t="shared" si="171"/>
        <v/>
      </c>
      <c r="AM1077" s="10" t="str">
        <f t="shared" si="172"/>
        <v/>
      </c>
    </row>
    <row r="1078" spans="1:39" x14ac:dyDescent="0.25">
      <c r="A1078" s="15">
        <v>32812864</v>
      </c>
      <c r="B1078" s="15">
        <v>16.32</v>
      </c>
      <c r="C1078" s="15">
        <v>129640</v>
      </c>
      <c r="D1078" s="15">
        <v>156150</v>
      </c>
      <c r="E1078" s="15" t="s">
        <v>855</v>
      </c>
      <c r="F1078" s="15">
        <v>2011</v>
      </c>
      <c r="G1078" s="15">
        <v>20110414</v>
      </c>
      <c r="H1078" s="15">
        <v>5836</v>
      </c>
      <c r="I1078" s="15">
        <v>0.57999999999999996</v>
      </c>
      <c r="J1078" s="6" t="s">
        <v>144</v>
      </c>
      <c r="K1078" s="15">
        <v>583</v>
      </c>
      <c r="L1078" s="15" t="s">
        <v>154</v>
      </c>
      <c r="M1078" s="15" t="s">
        <v>155</v>
      </c>
      <c r="N1078" s="11" t="s">
        <v>1391</v>
      </c>
      <c r="O1078" s="11" t="s">
        <v>46</v>
      </c>
      <c r="P1078" s="11" t="s">
        <v>33</v>
      </c>
      <c r="Q1078" s="15">
        <v>0</v>
      </c>
      <c r="R1078" s="11" t="s">
        <v>1386</v>
      </c>
      <c r="S1078" s="10">
        <v>210.27964524570999</v>
      </c>
      <c r="T1078" s="15">
        <v>80</v>
      </c>
      <c r="U1078" s="15">
        <v>1</v>
      </c>
      <c r="V1078" s="15">
        <v>0</v>
      </c>
      <c r="W1078" s="15">
        <v>0</v>
      </c>
      <c r="X1078" s="15">
        <f>IF(O1078='Udvaskning nøgletal'!$D$65,1,IF(O1078='Udvaskning nøgletal'!$D$66,2,IF(O1078='Udvaskning nøgletal'!$D$67,3,IF(O1078='Udvaskning nøgletal'!$D$68,2,""))))</f>
        <v>2</v>
      </c>
      <c r="Y1078" s="15">
        <f>LOOKUP(K1078,'Udvaskning nøgletal'!$C$12:$C$60,'Udvaskning nøgletal'!$H$12:$H$60)</f>
        <v>0</v>
      </c>
      <c r="Z1078" s="10">
        <f>IF(X1078=1,LOOKUP(K1078,'Udvaskning nøgletal'!$C$12:$C$60,'Udvaskning nøgletal'!$E$12:$E$60)+Markniveau!Y1078*Markniveau!S1078/100,IF(X1078=2,LOOKUP(K1078,'Udvaskning nøgletal'!$C$12:$C$60,'Udvaskning nøgletal'!$F$12:$F$60)+Markniveau!Y1078*Markniveau!S1078/100,IF(X1078=3,LOOKUP(K1078,'Udvaskning nøgletal'!$C$12:$C$60,'Udvaskning nøgletal'!G1088:G1136)+Markniveau!Y1078*Markniveau!S1078/100,"")))</f>
        <v>10</v>
      </c>
      <c r="AA1078" s="10">
        <f t="shared" si="166"/>
        <v>5.8</v>
      </c>
      <c r="AB1078" s="10" t="str">
        <f t="shared" si="165"/>
        <v/>
      </c>
      <c r="AC1078" s="10" t="str">
        <f t="shared" si="167"/>
        <v/>
      </c>
      <c r="AD1078" s="10">
        <f>IF(AND(Q1078&gt;0,Q1078&lt;30,K1078&lt;8),Markniveau!Z1078*'Udvaskning nøgletal'!$I$12/100,IF(AND(Q1078&gt;0,Q1078&lt;30,K1078=216),Markniveau!Z1078*'Udvaskning nøgletal'!$I$34/100,Markniveau!Z1078))</f>
        <v>10</v>
      </c>
      <c r="AE1078" s="10">
        <f t="shared" si="173"/>
        <v>5.8</v>
      </c>
      <c r="AF1078" s="10" t="str">
        <f t="shared" si="168"/>
        <v/>
      </c>
      <c r="AG1078" s="10" t="str">
        <f t="shared" si="174"/>
        <v/>
      </c>
      <c r="AH1078" s="10" t="str">
        <f>IF(AND(Q1078&gt;0,Q1078&lt;30,K1078=216),'Udvaskning nøgletal'!$C$42,IF(AND(Q1078&gt;0,Q1078&lt;30,K1078&gt;7,K1078&lt;17),'Udvaskning nøgletal'!$C$61,IF(AND(Q1078&gt;0,Q1078&lt;30,K1078&lt;7),'Udvaskning nøgletal'!$C$62,"")))</f>
        <v/>
      </c>
      <c r="AI1078" s="10">
        <f t="shared" si="170"/>
        <v>583</v>
      </c>
      <c r="AJ1078" s="10">
        <f>IF($X1078=1,LOOKUP(AI1078,'Udvaskning nøgletal'!$C$12:$C$62,'Udvaskning nøgletal'!$E$12:$E$62)+Markniveau!$Y1078*Markniveau!$S1078/100,IF($X1078=2,LOOKUP(AI1078,'Udvaskning nøgletal'!$C$12:$C$62,'Udvaskning nøgletal'!$F$12:$F$62)+Markniveau!$Y1078*Markniveau!$S1078/100,IF($X1078=3,LOOKUP(AI1078,'Udvaskning nøgletal'!$C$12:$C$62,'Udvaskning nøgletal'!Q1088:Q1138)+Markniveau!$Y1078*Markniveau!$S1078/100,"")))</f>
        <v>10</v>
      </c>
      <c r="AK1078" s="10">
        <f t="shared" si="169"/>
        <v>5.8</v>
      </c>
      <c r="AL1078" s="10" t="str">
        <f t="shared" si="171"/>
        <v/>
      </c>
      <c r="AM1078" s="10" t="str">
        <f t="shared" si="172"/>
        <v/>
      </c>
    </row>
    <row r="1079" spans="1:39" x14ac:dyDescent="0.25">
      <c r="A1079" s="15">
        <v>32812864</v>
      </c>
      <c r="B1079" s="15">
        <v>16.32</v>
      </c>
      <c r="C1079" s="15">
        <v>129918</v>
      </c>
      <c r="D1079" s="15">
        <v>156150</v>
      </c>
      <c r="E1079" s="15" t="s">
        <v>851</v>
      </c>
      <c r="F1079" s="15">
        <v>2011</v>
      </c>
      <c r="G1079" s="15">
        <v>20110414</v>
      </c>
      <c r="H1079" s="15">
        <v>40058</v>
      </c>
      <c r="I1079" s="15">
        <v>4.01</v>
      </c>
      <c r="J1079" s="6" t="s">
        <v>143</v>
      </c>
      <c r="K1079" s="15">
        <v>216</v>
      </c>
      <c r="L1079" s="15" t="s">
        <v>116</v>
      </c>
      <c r="M1079" s="15" t="s">
        <v>5</v>
      </c>
      <c r="N1079" s="11" t="s">
        <v>1390</v>
      </c>
      <c r="O1079" s="11" t="s">
        <v>42</v>
      </c>
      <c r="P1079" s="11" t="s">
        <v>33</v>
      </c>
      <c r="Q1079" s="15">
        <v>0</v>
      </c>
      <c r="R1079" s="11" t="s">
        <v>1386</v>
      </c>
      <c r="S1079" s="10">
        <v>210.27964524570999</v>
      </c>
      <c r="T1079" s="15">
        <v>80</v>
      </c>
      <c r="U1079" s="15">
        <v>1</v>
      </c>
      <c r="V1079" s="15">
        <v>0</v>
      </c>
      <c r="W1079" s="15">
        <v>0</v>
      </c>
      <c r="X1079" s="15">
        <f>IF(O1079='Udvaskning nøgletal'!$D$65,1,IF(O1079='Udvaskning nøgletal'!$D$66,2,IF(O1079='Udvaskning nøgletal'!$D$67,3,IF(O1079='Udvaskning nøgletal'!$D$68,2,""))))</f>
        <v>2</v>
      </c>
      <c r="Y1079" s="15">
        <f>LOOKUP(K1079,'Udvaskning nøgletal'!$C$12:$C$60,'Udvaskning nøgletal'!$H$12:$H$60)</f>
        <v>0</v>
      </c>
      <c r="Z1079" s="10">
        <f>IF(X1079=1,LOOKUP(K1079,'Udvaskning nøgletal'!$C$12:$C$60,'Udvaskning nøgletal'!$E$12:$E$60)+Markniveau!Y1079*Markniveau!S1079/100,IF(X1079=2,LOOKUP(K1079,'Udvaskning nøgletal'!$C$12:$C$60,'Udvaskning nøgletal'!$F$12:$F$60)+Markniveau!Y1079*Markniveau!S1079/100,IF(X1079=3,LOOKUP(K1079,'Udvaskning nøgletal'!$C$12:$C$60,'Udvaskning nøgletal'!G1089:G1137)+Markniveau!Y1079*Markniveau!S1079/100,"")))</f>
        <v>101.66744640811392</v>
      </c>
      <c r="AA1079" s="10">
        <f t="shared" si="166"/>
        <v>407.68646009653679</v>
      </c>
      <c r="AB1079" s="10" t="str">
        <f t="shared" si="165"/>
        <v/>
      </c>
      <c r="AC1079" s="10" t="str">
        <f t="shared" si="167"/>
        <v/>
      </c>
      <c r="AD1079" s="10">
        <f>IF(AND(Q1079&gt;0,Q1079&lt;30,K1079&lt;8),Markniveau!Z1079*'Udvaskning nøgletal'!$I$12/100,IF(AND(Q1079&gt;0,Q1079&lt;30,K1079=216),Markniveau!Z1079*'Udvaskning nøgletal'!$I$34/100,Markniveau!Z1079))</f>
        <v>101.66744640811392</v>
      </c>
      <c r="AE1079" s="10">
        <f t="shared" si="173"/>
        <v>407.68646009653679</v>
      </c>
      <c r="AF1079" s="10" t="str">
        <f t="shared" si="168"/>
        <v/>
      </c>
      <c r="AG1079" s="10" t="str">
        <f t="shared" si="174"/>
        <v/>
      </c>
      <c r="AH1079" s="10" t="str">
        <f>IF(AND(Q1079&gt;0,Q1079&lt;30,K1079=216),'Udvaskning nøgletal'!$C$42,IF(AND(Q1079&gt;0,Q1079&lt;30,K1079&gt;7,K1079&lt;17),'Udvaskning nøgletal'!$C$61,IF(AND(Q1079&gt;0,Q1079&lt;30,K1079&lt;7),'Udvaskning nøgletal'!$C$62,"")))</f>
        <v/>
      </c>
      <c r="AI1079" s="10">
        <f t="shared" si="170"/>
        <v>216</v>
      </c>
      <c r="AJ1079" s="10">
        <f>IF($X1079=1,LOOKUP(AI1079,'Udvaskning nøgletal'!$C$12:$C$62,'Udvaskning nøgletal'!$E$12:$E$62)+Markniveau!$Y1079*Markniveau!$S1079/100,IF($X1079=2,LOOKUP(AI1079,'Udvaskning nøgletal'!$C$12:$C$62,'Udvaskning nøgletal'!$F$12:$F$62)+Markniveau!$Y1079*Markniveau!$S1079/100,IF($X1079=3,LOOKUP(AI1079,'Udvaskning nøgletal'!$C$12:$C$62,'Udvaskning nøgletal'!Q1089:Q1139)+Markniveau!$Y1079*Markniveau!$S1079/100,"")))</f>
        <v>101.66744640811392</v>
      </c>
      <c r="AK1079" s="10">
        <f t="shared" si="169"/>
        <v>407.68646009653679</v>
      </c>
      <c r="AL1079" s="10" t="str">
        <f t="shared" si="171"/>
        <v/>
      </c>
      <c r="AM1079" s="10" t="str">
        <f t="shared" si="172"/>
        <v/>
      </c>
    </row>
    <row r="1080" spans="1:39" x14ac:dyDescent="0.25">
      <c r="A1080" s="15">
        <v>32812864</v>
      </c>
      <c r="B1080" s="15">
        <v>16.32</v>
      </c>
      <c r="C1080" s="15">
        <v>246011</v>
      </c>
      <c r="D1080" s="15">
        <v>156150</v>
      </c>
      <c r="E1080" s="15" t="s">
        <v>856</v>
      </c>
      <c r="F1080" s="15">
        <v>2011</v>
      </c>
      <c r="G1080" s="15">
        <v>20110427</v>
      </c>
      <c r="H1080" s="15">
        <v>78204</v>
      </c>
      <c r="I1080" s="15">
        <v>7.82</v>
      </c>
      <c r="J1080" s="6" t="s">
        <v>857</v>
      </c>
      <c r="K1080" s="15">
        <v>216</v>
      </c>
      <c r="L1080" s="15" t="s">
        <v>116</v>
      </c>
      <c r="M1080" s="15" t="s">
        <v>5</v>
      </c>
      <c r="N1080" s="11" t="s">
        <v>1406</v>
      </c>
      <c r="O1080" s="11" t="s">
        <v>46</v>
      </c>
      <c r="P1080" s="11" t="s">
        <v>33</v>
      </c>
      <c r="Q1080" s="15">
        <v>0</v>
      </c>
      <c r="R1080" s="11" t="s">
        <v>1386</v>
      </c>
      <c r="S1080" s="10">
        <v>210.27964524570999</v>
      </c>
      <c r="T1080" s="15">
        <v>80</v>
      </c>
      <c r="U1080" s="15">
        <v>1</v>
      </c>
      <c r="V1080" s="15">
        <v>0</v>
      </c>
      <c r="W1080" s="15">
        <v>0</v>
      </c>
      <c r="X1080" s="15">
        <f>IF(O1080='Udvaskning nøgletal'!$D$65,1,IF(O1080='Udvaskning nøgletal'!$D$66,2,IF(O1080='Udvaskning nøgletal'!$D$67,3,IF(O1080='Udvaskning nøgletal'!$D$68,2,""))))</f>
        <v>2</v>
      </c>
      <c r="Y1080" s="15">
        <f>LOOKUP(K1080,'Udvaskning nøgletal'!$C$12:$C$60,'Udvaskning nøgletal'!$H$12:$H$60)</f>
        <v>0</v>
      </c>
      <c r="Z1080" s="10">
        <f>IF(X1080=1,LOOKUP(K1080,'Udvaskning nøgletal'!$C$12:$C$60,'Udvaskning nøgletal'!$E$12:$E$60)+Markniveau!Y1080*Markniveau!S1080/100,IF(X1080=2,LOOKUP(K1080,'Udvaskning nøgletal'!$C$12:$C$60,'Udvaskning nøgletal'!$F$12:$F$60)+Markniveau!Y1080*Markniveau!S1080/100,IF(X1080=3,LOOKUP(K1080,'Udvaskning nøgletal'!$C$12:$C$60,'Udvaskning nøgletal'!G1090:G1138)+Markniveau!Y1080*Markniveau!S1080/100,"")))</f>
        <v>101.66744640811392</v>
      </c>
      <c r="AA1080" s="10">
        <f t="shared" si="166"/>
        <v>795.03943091145084</v>
      </c>
      <c r="AB1080" s="10" t="str">
        <f t="shared" si="165"/>
        <v/>
      </c>
      <c r="AC1080" s="10" t="str">
        <f t="shared" si="167"/>
        <v/>
      </c>
      <c r="AD1080" s="10">
        <f>IF(AND(Q1080&gt;0,Q1080&lt;30,K1080&lt;8),Markniveau!Z1080*'Udvaskning nøgletal'!$I$12/100,IF(AND(Q1080&gt;0,Q1080&lt;30,K1080=216),Markniveau!Z1080*'Udvaskning nøgletal'!$I$34/100,Markniveau!Z1080))</f>
        <v>101.66744640811392</v>
      </c>
      <c r="AE1080" s="10">
        <f t="shared" si="173"/>
        <v>795.03943091145084</v>
      </c>
      <c r="AF1080" s="10" t="str">
        <f t="shared" si="168"/>
        <v/>
      </c>
      <c r="AG1080" s="10" t="str">
        <f t="shared" si="174"/>
        <v/>
      </c>
      <c r="AH1080" s="10" t="str">
        <f>IF(AND(Q1080&gt;0,Q1080&lt;30,K1080=216),'Udvaskning nøgletal'!$C$42,IF(AND(Q1080&gt;0,Q1080&lt;30,K1080&gt;7,K1080&lt;17),'Udvaskning nøgletal'!$C$61,IF(AND(Q1080&gt;0,Q1080&lt;30,K1080&lt;7),'Udvaskning nøgletal'!$C$62,"")))</f>
        <v/>
      </c>
      <c r="AI1080" s="10">
        <f t="shared" si="170"/>
        <v>216</v>
      </c>
      <c r="AJ1080" s="10">
        <f>IF($X1080=1,LOOKUP(AI1080,'Udvaskning nøgletal'!$C$12:$C$62,'Udvaskning nøgletal'!$E$12:$E$62)+Markniveau!$Y1080*Markniveau!$S1080/100,IF($X1080=2,LOOKUP(AI1080,'Udvaskning nøgletal'!$C$12:$C$62,'Udvaskning nøgletal'!$F$12:$F$62)+Markniveau!$Y1080*Markniveau!$S1080/100,IF($X1080=3,LOOKUP(AI1080,'Udvaskning nøgletal'!$C$12:$C$62,'Udvaskning nøgletal'!Q1090:Q1140)+Markniveau!$Y1080*Markniveau!$S1080/100,"")))</f>
        <v>101.66744640811392</v>
      </c>
      <c r="AK1080" s="10">
        <f t="shared" si="169"/>
        <v>795.03943091145084</v>
      </c>
      <c r="AL1080" s="10" t="str">
        <f t="shared" si="171"/>
        <v/>
      </c>
      <c r="AM1080" s="10" t="str">
        <f t="shared" si="172"/>
        <v/>
      </c>
    </row>
    <row r="1081" spans="1:39" x14ac:dyDescent="0.25">
      <c r="A1081" s="15">
        <v>32812864</v>
      </c>
      <c r="B1081" s="15">
        <v>16.32</v>
      </c>
      <c r="C1081" s="15">
        <v>293927</v>
      </c>
      <c r="D1081" s="15">
        <v>156150</v>
      </c>
      <c r="E1081" s="15" t="s">
        <v>817</v>
      </c>
      <c r="F1081" s="15">
        <v>2011</v>
      </c>
      <c r="G1081" s="15">
        <v>20110414</v>
      </c>
      <c r="H1081" s="15">
        <v>185836</v>
      </c>
      <c r="I1081" s="15">
        <v>18.579999999999998</v>
      </c>
      <c r="J1081" s="6" t="s">
        <v>580</v>
      </c>
      <c r="K1081" s="15">
        <v>260</v>
      </c>
      <c r="L1081" s="15" t="s">
        <v>45</v>
      </c>
      <c r="M1081" s="15" t="s">
        <v>5</v>
      </c>
      <c r="N1081" s="11" t="s">
        <v>1384</v>
      </c>
      <c r="O1081" s="11" t="s">
        <v>28</v>
      </c>
      <c r="P1081" s="11" t="s">
        <v>33</v>
      </c>
      <c r="Q1081" s="15">
        <v>0</v>
      </c>
      <c r="R1081" s="11" t="s">
        <v>1386</v>
      </c>
      <c r="S1081" s="10">
        <v>210.27964524570999</v>
      </c>
      <c r="T1081" s="15">
        <v>80</v>
      </c>
      <c r="U1081" s="15">
        <v>1</v>
      </c>
      <c r="V1081" s="15">
        <v>0</v>
      </c>
      <c r="W1081" s="15">
        <v>0</v>
      </c>
      <c r="X1081" s="15">
        <f>IF(O1081='Udvaskning nøgletal'!$D$65,1,IF(O1081='Udvaskning nøgletal'!$D$66,2,IF(O1081='Udvaskning nøgletal'!$D$67,3,IF(O1081='Udvaskning nøgletal'!$D$68,2,""))))</f>
        <v>1</v>
      </c>
      <c r="Y1081" s="15">
        <f>LOOKUP(K1081,'Udvaskning nøgletal'!$C$12:$C$60,'Udvaskning nøgletal'!$H$12:$H$60)</f>
        <v>0</v>
      </c>
      <c r="Z1081" s="10">
        <f>IF(X1081=1,LOOKUP(K1081,'Udvaskning nøgletal'!$C$12:$C$60,'Udvaskning nøgletal'!$E$12:$E$60)+Markniveau!Y1081*Markniveau!S1081/100,IF(X1081=2,LOOKUP(K1081,'Udvaskning nøgletal'!$C$12:$C$60,'Udvaskning nøgletal'!$F$12:$F$60)+Markniveau!Y1081*Markniveau!S1081/100,IF(X1081=3,LOOKUP(K1081,'Udvaskning nøgletal'!$C$12:$C$60,'Udvaskning nøgletal'!G1091:G1139)+Markniveau!Y1081*Markniveau!S1081/100,"")))</f>
        <v>33.723295792149436</v>
      </c>
      <c r="AA1081" s="10">
        <f t="shared" si="166"/>
        <v>626.57883581813644</v>
      </c>
      <c r="AB1081" s="10" t="str">
        <f t="shared" si="165"/>
        <v/>
      </c>
      <c r="AC1081" s="10" t="str">
        <f t="shared" si="167"/>
        <v/>
      </c>
      <c r="AD1081" s="10">
        <f>IF(AND(Q1081&gt;0,Q1081&lt;30,K1081&lt;8),Markniveau!Z1081*'Udvaskning nøgletal'!$I$12/100,IF(AND(Q1081&gt;0,Q1081&lt;30,K1081=216),Markniveau!Z1081*'Udvaskning nøgletal'!$I$34/100,Markniveau!Z1081))</f>
        <v>33.723295792149436</v>
      </c>
      <c r="AE1081" s="10">
        <f t="shared" si="173"/>
        <v>626.57883581813644</v>
      </c>
      <c r="AF1081" s="10" t="str">
        <f t="shared" si="168"/>
        <v/>
      </c>
      <c r="AG1081" s="10" t="str">
        <f t="shared" si="174"/>
        <v/>
      </c>
      <c r="AH1081" s="10" t="str">
        <f>IF(AND(Q1081&gt;0,Q1081&lt;30,K1081=216),'Udvaskning nøgletal'!$C$42,IF(AND(Q1081&gt;0,Q1081&lt;30,K1081&gt;7,K1081&lt;17),'Udvaskning nøgletal'!$C$61,IF(AND(Q1081&gt;0,Q1081&lt;30,K1081&lt;7),'Udvaskning nøgletal'!$C$62,"")))</f>
        <v/>
      </c>
      <c r="AI1081" s="10">
        <f t="shared" si="170"/>
        <v>260</v>
      </c>
      <c r="AJ1081" s="10">
        <f>IF($X1081=1,LOOKUP(AI1081,'Udvaskning nøgletal'!$C$12:$C$62,'Udvaskning nøgletal'!$E$12:$E$62)+Markniveau!$Y1081*Markniveau!$S1081/100,IF($X1081=2,LOOKUP(AI1081,'Udvaskning nøgletal'!$C$12:$C$62,'Udvaskning nøgletal'!$F$12:$F$62)+Markniveau!$Y1081*Markniveau!$S1081/100,IF($X1081=3,LOOKUP(AI1081,'Udvaskning nøgletal'!$C$12:$C$62,'Udvaskning nøgletal'!Q1091:Q1141)+Markniveau!$Y1081*Markniveau!$S1081/100,"")))</f>
        <v>33.723295792149436</v>
      </c>
      <c r="AK1081" s="10">
        <f t="shared" si="169"/>
        <v>626.57883581813644</v>
      </c>
      <c r="AL1081" s="10" t="str">
        <f t="shared" si="171"/>
        <v/>
      </c>
      <c r="AM1081" s="10" t="str">
        <f t="shared" si="172"/>
        <v/>
      </c>
    </row>
    <row r="1082" spans="1:39" x14ac:dyDescent="0.25">
      <c r="A1082" s="15">
        <v>32812864</v>
      </c>
      <c r="B1082" s="15">
        <v>16.32</v>
      </c>
      <c r="C1082" s="15">
        <v>304288</v>
      </c>
      <c r="D1082" s="15">
        <v>156150</v>
      </c>
      <c r="E1082" s="15" t="s">
        <v>858</v>
      </c>
      <c r="F1082" s="15">
        <v>2011</v>
      </c>
      <c r="G1082" s="15">
        <v>20110414</v>
      </c>
      <c r="H1082" s="15">
        <v>58010</v>
      </c>
      <c r="I1082" s="15">
        <v>5.8</v>
      </c>
      <c r="J1082" s="6" t="s">
        <v>26</v>
      </c>
      <c r="K1082" s="15">
        <v>216</v>
      </c>
      <c r="L1082" s="15" t="s">
        <v>116</v>
      </c>
      <c r="M1082" s="15" t="s">
        <v>5</v>
      </c>
      <c r="N1082" s="11" t="s">
        <v>1391</v>
      </c>
      <c r="O1082" s="11" t="s">
        <v>46</v>
      </c>
      <c r="P1082" s="11" t="s">
        <v>33</v>
      </c>
      <c r="Q1082" s="15">
        <v>0</v>
      </c>
      <c r="R1082" s="11" t="s">
        <v>1386</v>
      </c>
      <c r="S1082" s="10">
        <v>210.27964524570999</v>
      </c>
      <c r="T1082" s="15">
        <v>80</v>
      </c>
      <c r="U1082" s="15">
        <v>1</v>
      </c>
      <c r="V1082" s="15">
        <v>0</v>
      </c>
      <c r="W1082" s="15">
        <v>0</v>
      </c>
      <c r="X1082" s="15">
        <f>IF(O1082='Udvaskning nøgletal'!$D$65,1,IF(O1082='Udvaskning nøgletal'!$D$66,2,IF(O1082='Udvaskning nøgletal'!$D$67,3,IF(O1082='Udvaskning nøgletal'!$D$68,2,""))))</f>
        <v>2</v>
      </c>
      <c r="Y1082" s="15">
        <f>LOOKUP(K1082,'Udvaskning nøgletal'!$C$12:$C$60,'Udvaskning nøgletal'!$H$12:$H$60)</f>
        <v>0</v>
      </c>
      <c r="Z1082" s="10">
        <f>IF(X1082=1,LOOKUP(K1082,'Udvaskning nøgletal'!$C$12:$C$60,'Udvaskning nøgletal'!$E$12:$E$60)+Markniveau!Y1082*Markniveau!S1082/100,IF(X1082=2,LOOKUP(K1082,'Udvaskning nøgletal'!$C$12:$C$60,'Udvaskning nøgletal'!$F$12:$F$60)+Markniveau!Y1082*Markniveau!S1082/100,IF(X1082=3,LOOKUP(K1082,'Udvaskning nøgletal'!$C$12:$C$60,'Udvaskning nøgletal'!G1092:G1140)+Markniveau!Y1082*Markniveau!S1082/100,"")))</f>
        <v>101.66744640811392</v>
      </c>
      <c r="AA1082" s="10">
        <f t="shared" si="166"/>
        <v>589.67118916706067</v>
      </c>
      <c r="AB1082" s="10" t="str">
        <f t="shared" si="165"/>
        <v/>
      </c>
      <c r="AC1082" s="10" t="str">
        <f t="shared" si="167"/>
        <v/>
      </c>
      <c r="AD1082" s="10">
        <f>IF(AND(Q1082&gt;0,Q1082&lt;30,K1082&lt;8),Markniveau!Z1082*'Udvaskning nøgletal'!$I$12/100,IF(AND(Q1082&gt;0,Q1082&lt;30,K1082=216),Markniveau!Z1082*'Udvaskning nøgletal'!$I$34/100,Markniveau!Z1082))</f>
        <v>101.66744640811392</v>
      </c>
      <c r="AE1082" s="10">
        <f t="shared" si="173"/>
        <v>589.67118916706067</v>
      </c>
      <c r="AF1082" s="10" t="str">
        <f t="shared" si="168"/>
        <v/>
      </c>
      <c r="AG1082" s="10" t="str">
        <f t="shared" si="174"/>
        <v/>
      </c>
      <c r="AH1082" s="10" t="str">
        <f>IF(AND(Q1082&gt;0,Q1082&lt;30,K1082=216),'Udvaskning nøgletal'!$C$42,IF(AND(Q1082&gt;0,Q1082&lt;30,K1082&gt;7,K1082&lt;17),'Udvaskning nøgletal'!$C$61,IF(AND(Q1082&gt;0,Q1082&lt;30,K1082&lt;7),'Udvaskning nøgletal'!$C$62,"")))</f>
        <v/>
      </c>
      <c r="AI1082" s="10">
        <f t="shared" si="170"/>
        <v>216</v>
      </c>
      <c r="AJ1082" s="10">
        <f>IF($X1082=1,LOOKUP(AI1082,'Udvaskning nøgletal'!$C$12:$C$62,'Udvaskning nøgletal'!$E$12:$E$62)+Markniveau!$Y1082*Markniveau!$S1082/100,IF($X1082=2,LOOKUP(AI1082,'Udvaskning nøgletal'!$C$12:$C$62,'Udvaskning nøgletal'!$F$12:$F$62)+Markniveau!$Y1082*Markniveau!$S1082/100,IF($X1082=3,LOOKUP(AI1082,'Udvaskning nøgletal'!$C$12:$C$62,'Udvaskning nøgletal'!Q1092:Q1142)+Markniveau!$Y1082*Markniveau!$S1082/100,"")))</f>
        <v>101.66744640811392</v>
      </c>
      <c r="AK1082" s="10">
        <f t="shared" si="169"/>
        <v>589.67118916706067</v>
      </c>
      <c r="AL1082" s="10" t="str">
        <f t="shared" si="171"/>
        <v/>
      </c>
      <c r="AM1082" s="10" t="str">
        <f t="shared" si="172"/>
        <v/>
      </c>
    </row>
    <row r="1083" spans="1:39" x14ac:dyDescent="0.25">
      <c r="A1083" s="15">
        <v>32812864</v>
      </c>
      <c r="B1083" s="15">
        <v>16.32</v>
      </c>
      <c r="C1083" s="15">
        <v>395171</v>
      </c>
      <c r="D1083" s="15">
        <v>156150</v>
      </c>
      <c r="E1083" s="15" t="s">
        <v>856</v>
      </c>
      <c r="F1083" s="15">
        <v>2011</v>
      </c>
      <c r="G1083" s="15">
        <v>20110414</v>
      </c>
      <c r="H1083" s="15">
        <v>61022</v>
      </c>
      <c r="I1083" s="15">
        <v>6.1</v>
      </c>
      <c r="J1083" s="6" t="s">
        <v>859</v>
      </c>
      <c r="K1083" s="15">
        <v>216</v>
      </c>
      <c r="L1083" s="15" t="s">
        <v>116</v>
      </c>
      <c r="M1083" s="15" t="s">
        <v>5</v>
      </c>
      <c r="N1083" s="11" t="s">
        <v>1406</v>
      </c>
      <c r="O1083" s="11" t="s">
        <v>46</v>
      </c>
      <c r="P1083" s="11" t="s">
        <v>33</v>
      </c>
      <c r="Q1083" s="15">
        <v>0</v>
      </c>
      <c r="R1083" s="11" t="s">
        <v>1386</v>
      </c>
      <c r="S1083" s="10">
        <v>210.27964524570999</v>
      </c>
      <c r="T1083" s="15">
        <v>80</v>
      </c>
      <c r="U1083" s="15">
        <v>1</v>
      </c>
      <c r="V1083" s="15">
        <v>0</v>
      </c>
      <c r="W1083" s="15">
        <v>0</v>
      </c>
      <c r="X1083" s="15">
        <f>IF(O1083='Udvaskning nøgletal'!$D$65,1,IF(O1083='Udvaskning nøgletal'!$D$66,2,IF(O1083='Udvaskning nøgletal'!$D$67,3,IF(O1083='Udvaskning nøgletal'!$D$68,2,""))))</f>
        <v>2</v>
      </c>
      <c r="Y1083" s="15">
        <f>LOOKUP(K1083,'Udvaskning nøgletal'!$C$12:$C$60,'Udvaskning nøgletal'!$H$12:$H$60)</f>
        <v>0</v>
      </c>
      <c r="Z1083" s="10">
        <f>IF(X1083=1,LOOKUP(K1083,'Udvaskning nøgletal'!$C$12:$C$60,'Udvaskning nøgletal'!$E$12:$E$60)+Markniveau!Y1083*Markniveau!S1083/100,IF(X1083=2,LOOKUP(K1083,'Udvaskning nøgletal'!$C$12:$C$60,'Udvaskning nøgletal'!$F$12:$F$60)+Markniveau!Y1083*Markniveau!S1083/100,IF(X1083=3,LOOKUP(K1083,'Udvaskning nøgletal'!$C$12:$C$60,'Udvaskning nøgletal'!G1093:G1141)+Markniveau!Y1083*Markniveau!S1083/100,"")))</f>
        <v>101.66744640811392</v>
      </c>
      <c r="AA1083" s="10">
        <f t="shared" si="166"/>
        <v>620.17142308949485</v>
      </c>
      <c r="AB1083" s="10" t="str">
        <f t="shared" si="165"/>
        <v/>
      </c>
      <c r="AC1083" s="10" t="str">
        <f t="shared" si="167"/>
        <v/>
      </c>
      <c r="AD1083" s="10">
        <f>IF(AND(Q1083&gt;0,Q1083&lt;30,K1083&lt;8),Markniveau!Z1083*'Udvaskning nøgletal'!$I$12/100,IF(AND(Q1083&gt;0,Q1083&lt;30,K1083=216),Markniveau!Z1083*'Udvaskning nøgletal'!$I$34/100,Markniveau!Z1083))</f>
        <v>101.66744640811392</v>
      </c>
      <c r="AE1083" s="10">
        <f t="shared" si="173"/>
        <v>620.17142308949485</v>
      </c>
      <c r="AF1083" s="10" t="str">
        <f t="shared" si="168"/>
        <v/>
      </c>
      <c r="AG1083" s="10" t="str">
        <f t="shared" si="174"/>
        <v/>
      </c>
      <c r="AH1083" s="10" t="str">
        <f>IF(AND(Q1083&gt;0,Q1083&lt;30,K1083=216),'Udvaskning nøgletal'!$C$42,IF(AND(Q1083&gt;0,Q1083&lt;30,K1083&gt;7,K1083&lt;17),'Udvaskning nøgletal'!$C$61,IF(AND(Q1083&gt;0,Q1083&lt;30,K1083&lt;7),'Udvaskning nøgletal'!$C$62,"")))</f>
        <v/>
      </c>
      <c r="AI1083" s="10">
        <f t="shared" si="170"/>
        <v>216</v>
      </c>
      <c r="AJ1083" s="10">
        <f>IF($X1083=1,LOOKUP(AI1083,'Udvaskning nøgletal'!$C$12:$C$62,'Udvaskning nøgletal'!$E$12:$E$62)+Markniveau!$Y1083*Markniveau!$S1083/100,IF($X1083=2,LOOKUP(AI1083,'Udvaskning nøgletal'!$C$12:$C$62,'Udvaskning nøgletal'!$F$12:$F$62)+Markniveau!$Y1083*Markniveau!$S1083/100,IF($X1083=3,LOOKUP(AI1083,'Udvaskning nøgletal'!$C$12:$C$62,'Udvaskning nøgletal'!Q1093:Q1143)+Markniveau!$Y1083*Markniveau!$S1083/100,"")))</f>
        <v>101.66744640811392</v>
      </c>
      <c r="AK1083" s="10">
        <f t="shared" si="169"/>
        <v>620.17142308949485</v>
      </c>
      <c r="AL1083" s="10" t="str">
        <f t="shared" si="171"/>
        <v/>
      </c>
      <c r="AM1083" s="10" t="str">
        <f t="shared" si="172"/>
        <v/>
      </c>
    </row>
    <row r="1084" spans="1:39" x14ac:dyDescent="0.25">
      <c r="A1084" s="15">
        <v>32812864</v>
      </c>
      <c r="B1084" s="15">
        <v>16.32</v>
      </c>
      <c r="C1084" s="15">
        <v>573890</v>
      </c>
      <c r="D1084" s="15">
        <v>156150</v>
      </c>
      <c r="E1084" s="15" t="s">
        <v>860</v>
      </c>
      <c r="F1084" s="15">
        <v>2011</v>
      </c>
      <c r="G1084" s="15">
        <v>20110414</v>
      </c>
      <c r="H1084" s="15">
        <v>21951</v>
      </c>
      <c r="I1084" s="15">
        <v>2.2000000000000002</v>
      </c>
      <c r="J1084" s="6" t="s">
        <v>571</v>
      </c>
      <c r="K1084" s="15">
        <v>260</v>
      </c>
      <c r="L1084" s="15" t="s">
        <v>45</v>
      </c>
      <c r="M1084" s="15" t="s">
        <v>5</v>
      </c>
      <c r="N1084" s="11" t="s">
        <v>1384</v>
      </c>
      <c r="O1084" s="11" t="s">
        <v>28</v>
      </c>
      <c r="P1084" s="11" t="s">
        <v>33</v>
      </c>
      <c r="Q1084" s="15">
        <v>0</v>
      </c>
      <c r="R1084" s="11" t="s">
        <v>1386</v>
      </c>
      <c r="S1084" s="10">
        <v>210.27964524570999</v>
      </c>
      <c r="T1084" s="15">
        <v>80</v>
      </c>
      <c r="U1084" s="15">
        <v>1</v>
      </c>
      <c r="V1084" s="15">
        <v>0</v>
      </c>
      <c r="W1084" s="15">
        <v>0</v>
      </c>
      <c r="X1084" s="15">
        <f>IF(O1084='Udvaskning nøgletal'!$D$65,1,IF(O1084='Udvaskning nøgletal'!$D$66,2,IF(O1084='Udvaskning nøgletal'!$D$67,3,IF(O1084='Udvaskning nøgletal'!$D$68,2,""))))</f>
        <v>1</v>
      </c>
      <c r="Y1084" s="15">
        <f>LOOKUP(K1084,'Udvaskning nøgletal'!$C$12:$C$60,'Udvaskning nøgletal'!$H$12:$H$60)</f>
        <v>0</v>
      </c>
      <c r="Z1084" s="10">
        <f>IF(X1084=1,LOOKUP(K1084,'Udvaskning nøgletal'!$C$12:$C$60,'Udvaskning nøgletal'!$E$12:$E$60)+Markniveau!Y1084*Markniveau!S1084/100,IF(X1084=2,LOOKUP(K1084,'Udvaskning nøgletal'!$C$12:$C$60,'Udvaskning nøgletal'!$F$12:$F$60)+Markniveau!Y1084*Markniveau!S1084/100,IF(X1084=3,LOOKUP(K1084,'Udvaskning nøgletal'!$C$12:$C$60,'Udvaskning nøgletal'!G1094:G1142)+Markniveau!Y1084*Markniveau!S1084/100,"")))</f>
        <v>33.723295792149436</v>
      </c>
      <c r="AA1084" s="10">
        <f t="shared" si="166"/>
        <v>74.191250742728769</v>
      </c>
      <c r="AB1084" s="10" t="str">
        <f t="shared" si="165"/>
        <v/>
      </c>
      <c r="AC1084" s="10" t="str">
        <f t="shared" si="167"/>
        <v/>
      </c>
      <c r="AD1084" s="10">
        <f>IF(AND(Q1084&gt;0,Q1084&lt;30,K1084&lt;8),Markniveau!Z1084*'Udvaskning nøgletal'!$I$12/100,IF(AND(Q1084&gt;0,Q1084&lt;30,K1084=216),Markniveau!Z1084*'Udvaskning nøgletal'!$I$34/100,Markniveau!Z1084))</f>
        <v>33.723295792149436</v>
      </c>
      <c r="AE1084" s="10">
        <f t="shared" si="173"/>
        <v>74.191250742728769</v>
      </c>
      <c r="AF1084" s="10" t="str">
        <f t="shared" si="168"/>
        <v/>
      </c>
      <c r="AG1084" s="10" t="str">
        <f t="shared" si="174"/>
        <v/>
      </c>
      <c r="AH1084" s="10" t="str">
        <f>IF(AND(Q1084&gt;0,Q1084&lt;30,K1084=216),'Udvaskning nøgletal'!$C$42,IF(AND(Q1084&gt;0,Q1084&lt;30,K1084&gt;7,K1084&lt;17),'Udvaskning nøgletal'!$C$61,IF(AND(Q1084&gt;0,Q1084&lt;30,K1084&lt;7),'Udvaskning nøgletal'!$C$62,"")))</f>
        <v/>
      </c>
      <c r="AI1084" s="10">
        <f t="shared" si="170"/>
        <v>260</v>
      </c>
      <c r="AJ1084" s="10">
        <f>IF($X1084=1,LOOKUP(AI1084,'Udvaskning nøgletal'!$C$12:$C$62,'Udvaskning nøgletal'!$E$12:$E$62)+Markniveau!$Y1084*Markniveau!$S1084/100,IF($X1084=2,LOOKUP(AI1084,'Udvaskning nøgletal'!$C$12:$C$62,'Udvaskning nøgletal'!$F$12:$F$62)+Markniveau!$Y1084*Markniveau!$S1084/100,IF($X1084=3,LOOKUP(AI1084,'Udvaskning nøgletal'!$C$12:$C$62,'Udvaskning nøgletal'!Q1094:Q1144)+Markniveau!$Y1084*Markniveau!$S1084/100,"")))</f>
        <v>33.723295792149436</v>
      </c>
      <c r="AK1084" s="10">
        <f t="shared" si="169"/>
        <v>74.191250742728769</v>
      </c>
      <c r="AL1084" s="10" t="str">
        <f t="shared" si="171"/>
        <v/>
      </c>
      <c r="AM1084" s="10" t="str">
        <f t="shared" si="172"/>
        <v/>
      </c>
    </row>
    <row r="1085" spans="1:39" x14ac:dyDescent="0.25">
      <c r="A1085" s="15">
        <v>32812864</v>
      </c>
      <c r="B1085" s="15">
        <v>16.32</v>
      </c>
      <c r="C1085" s="15">
        <v>613739</v>
      </c>
      <c r="D1085" s="15">
        <v>156150</v>
      </c>
      <c r="E1085" s="15" t="s">
        <v>861</v>
      </c>
      <c r="F1085" s="15">
        <v>2011</v>
      </c>
      <c r="G1085" s="15">
        <v>20110414</v>
      </c>
      <c r="H1085" s="15">
        <v>62334</v>
      </c>
      <c r="I1085" s="15">
        <v>6.23</v>
      </c>
      <c r="J1085" s="6" t="s">
        <v>561</v>
      </c>
      <c r="K1085" s="15">
        <v>260</v>
      </c>
      <c r="L1085" s="15" t="s">
        <v>45</v>
      </c>
      <c r="M1085" s="15" t="s">
        <v>5</v>
      </c>
      <c r="N1085" s="11" t="s">
        <v>1384</v>
      </c>
      <c r="O1085" s="11" t="s">
        <v>28</v>
      </c>
      <c r="P1085" s="11" t="s">
        <v>33</v>
      </c>
      <c r="Q1085" s="15">
        <v>0</v>
      </c>
      <c r="R1085" s="11" t="s">
        <v>1386</v>
      </c>
      <c r="S1085" s="10">
        <v>210.27964524570999</v>
      </c>
      <c r="T1085" s="15">
        <v>80</v>
      </c>
      <c r="U1085" s="15">
        <v>1</v>
      </c>
      <c r="V1085" s="15">
        <v>0</v>
      </c>
      <c r="W1085" s="15">
        <v>0</v>
      </c>
      <c r="X1085" s="15">
        <f>IF(O1085='Udvaskning nøgletal'!$D$65,1,IF(O1085='Udvaskning nøgletal'!$D$66,2,IF(O1085='Udvaskning nøgletal'!$D$67,3,IF(O1085='Udvaskning nøgletal'!$D$68,2,""))))</f>
        <v>1</v>
      </c>
      <c r="Y1085" s="15">
        <f>LOOKUP(K1085,'Udvaskning nøgletal'!$C$12:$C$60,'Udvaskning nøgletal'!$H$12:$H$60)</f>
        <v>0</v>
      </c>
      <c r="Z1085" s="10">
        <f>IF(X1085=1,LOOKUP(K1085,'Udvaskning nøgletal'!$C$12:$C$60,'Udvaskning nøgletal'!$E$12:$E$60)+Markniveau!Y1085*Markniveau!S1085/100,IF(X1085=2,LOOKUP(K1085,'Udvaskning nøgletal'!$C$12:$C$60,'Udvaskning nøgletal'!$F$12:$F$60)+Markniveau!Y1085*Markniveau!S1085/100,IF(X1085=3,LOOKUP(K1085,'Udvaskning nøgletal'!$C$12:$C$60,'Udvaskning nøgletal'!G1095:G1143)+Markniveau!Y1085*Markniveau!S1085/100,"")))</f>
        <v>33.723295792149436</v>
      </c>
      <c r="AA1085" s="10">
        <f t="shared" si="166"/>
        <v>210.09613278509102</v>
      </c>
      <c r="AB1085" s="10" t="str">
        <f t="shared" si="165"/>
        <v/>
      </c>
      <c r="AC1085" s="10" t="str">
        <f t="shared" si="167"/>
        <v/>
      </c>
      <c r="AD1085" s="10">
        <f>IF(AND(Q1085&gt;0,Q1085&lt;30,K1085&lt;8),Markniveau!Z1085*'Udvaskning nøgletal'!$I$12/100,IF(AND(Q1085&gt;0,Q1085&lt;30,K1085=216),Markniveau!Z1085*'Udvaskning nøgletal'!$I$34/100,Markniveau!Z1085))</f>
        <v>33.723295792149436</v>
      </c>
      <c r="AE1085" s="10">
        <f t="shared" si="173"/>
        <v>210.09613278509102</v>
      </c>
      <c r="AF1085" s="10" t="str">
        <f t="shared" si="168"/>
        <v/>
      </c>
      <c r="AG1085" s="10" t="str">
        <f t="shared" si="174"/>
        <v/>
      </c>
      <c r="AH1085" s="10" t="str">
        <f>IF(AND(Q1085&gt;0,Q1085&lt;30,K1085=216),'Udvaskning nøgletal'!$C$42,IF(AND(Q1085&gt;0,Q1085&lt;30,K1085&gt;7,K1085&lt;17),'Udvaskning nøgletal'!$C$61,IF(AND(Q1085&gt;0,Q1085&lt;30,K1085&lt;7),'Udvaskning nøgletal'!$C$62,"")))</f>
        <v/>
      </c>
      <c r="AI1085" s="10">
        <f t="shared" si="170"/>
        <v>260</v>
      </c>
      <c r="AJ1085" s="10">
        <f>IF($X1085=1,LOOKUP(AI1085,'Udvaskning nøgletal'!$C$12:$C$62,'Udvaskning nøgletal'!$E$12:$E$62)+Markniveau!$Y1085*Markniveau!$S1085/100,IF($X1085=2,LOOKUP(AI1085,'Udvaskning nøgletal'!$C$12:$C$62,'Udvaskning nøgletal'!$F$12:$F$62)+Markniveau!$Y1085*Markniveau!$S1085/100,IF($X1085=3,LOOKUP(AI1085,'Udvaskning nøgletal'!$C$12:$C$62,'Udvaskning nøgletal'!Q1095:Q1145)+Markniveau!$Y1085*Markniveau!$S1085/100,"")))</f>
        <v>33.723295792149436</v>
      </c>
      <c r="AK1085" s="10">
        <f t="shared" si="169"/>
        <v>210.09613278509102</v>
      </c>
      <c r="AL1085" s="10" t="str">
        <f t="shared" si="171"/>
        <v/>
      </c>
      <c r="AM1085" s="10" t="str">
        <f t="shared" si="172"/>
        <v/>
      </c>
    </row>
    <row r="1086" spans="1:39" x14ac:dyDescent="0.25">
      <c r="A1086" s="15">
        <v>32812864</v>
      </c>
      <c r="B1086" s="15">
        <v>16.32</v>
      </c>
      <c r="C1086" s="15">
        <v>32127</v>
      </c>
      <c r="D1086" s="15">
        <v>156150</v>
      </c>
      <c r="E1086" s="15" t="s">
        <v>854</v>
      </c>
      <c r="F1086" s="15">
        <v>2011</v>
      </c>
      <c r="G1086" s="15">
        <v>20110414</v>
      </c>
      <c r="H1086" s="15">
        <v>46251</v>
      </c>
      <c r="I1086" s="15">
        <v>4.63</v>
      </c>
      <c r="J1086" s="6" t="s">
        <v>61</v>
      </c>
      <c r="K1086" s="15">
        <v>216</v>
      </c>
      <c r="L1086" s="15" t="s">
        <v>116</v>
      </c>
      <c r="M1086" s="15" t="s">
        <v>5</v>
      </c>
      <c r="N1086" s="11" t="s">
        <v>1391</v>
      </c>
      <c r="O1086" s="11" t="s">
        <v>46</v>
      </c>
      <c r="P1086" s="11" t="s">
        <v>33</v>
      </c>
      <c r="Q1086" s="15">
        <v>0</v>
      </c>
      <c r="R1086" s="11" t="s">
        <v>1386</v>
      </c>
      <c r="S1086" s="10">
        <v>210.27964524570999</v>
      </c>
      <c r="T1086" s="15">
        <v>80</v>
      </c>
      <c r="U1086" s="15">
        <v>1</v>
      </c>
      <c r="V1086" s="15">
        <v>0</v>
      </c>
      <c r="W1086" s="15">
        <v>0</v>
      </c>
      <c r="X1086" s="15">
        <f>IF(O1086='Udvaskning nøgletal'!$D$65,1,IF(O1086='Udvaskning nøgletal'!$D$66,2,IF(O1086='Udvaskning nøgletal'!$D$67,3,IF(O1086='Udvaskning nøgletal'!$D$68,2,""))))</f>
        <v>2</v>
      </c>
      <c r="Y1086" s="15">
        <f>LOOKUP(K1086,'Udvaskning nøgletal'!$C$12:$C$60,'Udvaskning nøgletal'!$H$12:$H$60)</f>
        <v>0</v>
      </c>
      <c r="Z1086" s="10">
        <f>IF(X1086=1,LOOKUP(K1086,'Udvaskning nøgletal'!$C$12:$C$60,'Udvaskning nøgletal'!$E$12:$E$60)+Markniveau!Y1086*Markniveau!S1086/100,IF(X1086=2,LOOKUP(K1086,'Udvaskning nøgletal'!$C$12:$C$60,'Udvaskning nøgletal'!$F$12:$F$60)+Markniveau!Y1086*Markniveau!S1086/100,IF(X1086=3,LOOKUP(K1086,'Udvaskning nøgletal'!$C$12:$C$60,'Udvaskning nøgletal'!G1096:G1144)+Markniveau!Y1086*Markniveau!S1086/100,"")))</f>
        <v>101.66744640811392</v>
      </c>
      <c r="AA1086" s="10">
        <f t="shared" si="166"/>
        <v>470.72027686956744</v>
      </c>
      <c r="AB1086" s="10" t="str">
        <f t="shared" si="165"/>
        <v/>
      </c>
      <c r="AC1086" s="10" t="str">
        <f t="shared" si="167"/>
        <v/>
      </c>
      <c r="AD1086" s="10">
        <f>IF(AND(Q1086&gt;0,Q1086&lt;30,K1086&lt;8),Markniveau!Z1086*'Udvaskning nøgletal'!$I$12/100,IF(AND(Q1086&gt;0,Q1086&lt;30,K1086=216),Markniveau!Z1086*'Udvaskning nøgletal'!$I$34/100,Markniveau!Z1086))</f>
        <v>101.66744640811392</v>
      </c>
      <c r="AE1086" s="10">
        <f t="shared" si="173"/>
        <v>470.72027686956744</v>
      </c>
      <c r="AF1086" s="10" t="str">
        <f t="shared" si="168"/>
        <v/>
      </c>
      <c r="AG1086" s="10" t="str">
        <f t="shared" si="174"/>
        <v/>
      </c>
      <c r="AH1086" s="10" t="str">
        <f>IF(AND(Q1086&gt;0,Q1086&lt;30,K1086=216),'Udvaskning nøgletal'!$C$42,IF(AND(Q1086&gt;0,Q1086&lt;30,K1086&gt;7,K1086&lt;17),'Udvaskning nøgletal'!$C$61,IF(AND(Q1086&gt;0,Q1086&lt;30,K1086&lt;7),'Udvaskning nøgletal'!$C$62,"")))</f>
        <v/>
      </c>
      <c r="AI1086" s="10">
        <f t="shared" si="170"/>
        <v>216</v>
      </c>
      <c r="AJ1086" s="10">
        <f>IF($X1086=1,LOOKUP(AI1086,'Udvaskning nøgletal'!$C$12:$C$62,'Udvaskning nøgletal'!$E$12:$E$62)+Markniveau!$Y1086*Markniveau!$S1086/100,IF($X1086=2,LOOKUP(AI1086,'Udvaskning nøgletal'!$C$12:$C$62,'Udvaskning nøgletal'!$F$12:$F$62)+Markniveau!$Y1086*Markniveau!$S1086/100,IF($X1086=3,LOOKUP(AI1086,'Udvaskning nøgletal'!$C$12:$C$62,'Udvaskning nøgletal'!Q1096:Q1146)+Markniveau!$Y1086*Markniveau!$S1086/100,"")))</f>
        <v>101.66744640811392</v>
      </c>
      <c r="AK1086" s="10">
        <f t="shared" si="169"/>
        <v>470.72027686956744</v>
      </c>
      <c r="AL1086" s="10" t="str">
        <f t="shared" si="171"/>
        <v/>
      </c>
      <c r="AM1086" s="10" t="str">
        <f t="shared" si="172"/>
        <v/>
      </c>
    </row>
    <row r="1087" spans="1:39" x14ac:dyDescent="0.25">
      <c r="A1087" s="15">
        <v>32812864</v>
      </c>
      <c r="B1087" s="15">
        <v>16.32</v>
      </c>
      <c r="C1087" s="15">
        <v>83855</v>
      </c>
      <c r="D1087" s="15">
        <v>156150</v>
      </c>
      <c r="E1087" s="15" t="s">
        <v>834</v>
      </c>
      <c r="F1087" s="15">
        <v>2011</v>
      </c>
      <c r="G1087" s="15">
        <v>20110414</v>
      </c>
      <c r="H1087" s="15">
        <v>107250</v>
      </c>
      <c r="I1087" s="15">
        <v>10.73</v>
      </c>
      <c r="J1087" s="6" t="s">
        <v>589</v>
      </c>
      <c r="K1087" s="15">
        <v>216</v>
      </c>
      <c r="L1087" s="15" t="s">
        <v>116</v>
      </c>
      <c r="M1087" s="15" t="s">
        <v>5</v>
      </c>
      <c r="N1087" s="11" t="s">
        <v>1384</v>
      </c>
      <c r="O1087" s="11" t="s">
        <v>28</v>
      </c>
      <c r="P1087" s="11" t="s">
        <v>33</v>
      </c>
      <c r="Q1087" s="15">
        <v>0</v>
      </c>
      <c r="R1087" s="11" t="s">
        <v>1386</v>
      </c>
      <c r="S1087" s="10">
        <v>210.27964524570999</v>
      </c>
      <c r="T1087" s="15">
        <v>80</v>
      </c>
      <c r="U1087" s="15">
        <v>1</v>
      </c>
      <c r="V1087" s="15">
        <v>0</v>
      </c>
      <c r="W1087" s="15">
        <v>0</v>
      </c>
      <c r="X1087" s="15">
        <f>IF(O1087='Udvaskning nøgletal'!$D$65,1,IF(O1087='Udvaskning nøgletal'!$D$66,2,IF(O1087='Udvaskning nøgletal'!$D$67,3,IF(O1087='Udvaskning nøgletal'!$D$68,2,""))))</f>
        <v>1</v>
      </c>
      <c r="Y1087" s="15">
        <f>LOOKUP(K1087,'Udvaskning nøgletal'!$C$12:$C$60,'Udvaskning nøgletal'!$H$12:$H$60)</f>
        <v>0</v>
      </c>
      <c r="Z1087" s="10">
        <f>IF(X1087=1,LOOKUP(K1087,'Udvaskning nøgletal'!$C$12:$C$60,'Udvaskning nøgletal'!$E$12:$E$60)+Markniveau!Y1087*Markniveau!S1087/100,IF(X1087=2,LOOKUP(K1087,'Udvaskning nøgletal'!$C$12:$C$60,'Udvaskning nøgletal'!$F$12:$F$60)+Markniveau!Y1087*Markniveau!S1087/100,IF(X1087=3,LOOKUP(K1087,'Udvaskning nøgletal'!$C$12:$C$60,'Udvaskning nøgletal'!G1097:G1145)+Markniveau!Y1087*Markniveau!S1087/100,"")))</f>
        <v>125.85383557148924</v>
      </c>
      <c r="AA1087" s="10">
        <f t="shared" si="166"/>
        <v>1350.4116556820795</v>
      </c>
      <c r="AB1087" s="10" t="str">
        <f t="shared" si="165"/>
        <v/>
      </c>
      <c r="AC1087" s="10" t="str">
        <f t="shared" si="167"/>
        <v/>
      </c>
      <c r="AD1087" s="10">
        <f>IF(AND(Q1087&gt;0,Q1087&lt;30,K1087&lt;8),Markniveau!Z1087*'Udvaskning nøgletal'!$I$12/100,IF(AND(Q1087&gt;0,Q1087&lt;30,K1087=216),Markniveau!Z1087*'Udvaskning nøgletal'!$I$34/100,Markniveau!Z1087))</f>
        <v>125.85383557148924</v>
      </c>
      <c r="AE1087" s="10">
        <f t="shared" si="173"/>
        <v>1350.4116556820795</v>
      </c>
      <c r="AF1087" s="10" t="str">
        <f t="shared" si="168"/>
        <v/>
      </c>
      <c r="AG1087" s="10" t="str">
        <f t="shared" si="174"/>
        <v/>
      </c>
      <c r="AH1087" s="10" t="str">
        <f>IF(AND(Q1087&gt;0,Q1087&lt;30,K1087=216),'Udvaskning nøgletal'!$C$42,IF(AND(Q1087&gt;0,Q1087&lt;30,K1087&gt;7,K1087&lt;17),'Udvaskning nøgletal'!$C$61,IF(AND(Q1087&gt;0,Q1087&lt;30,K1087&lt;7),'Udvaskning nøgletal'!$C$62,"")))</f>
        <v/>
      </c>
      <c r="AI1087" s="10">
        <f t="shared" si="170"/>
        <v>216</v>
      </c>
      <c r="AJ1087" s="10">
        <f>IF($X1087=1,LOOKUP(AI1087,'Udvaskning nøgletal'!$C$12:$C$62,'Udvaskning nøgletal'!$E$12:$E$62)+Markniveau!$Y1087*Markniveau!$S1087/100,IF($X1087=2,LOOKUP(AI1087,'Udvaskning nøgletal'!$C$12:$C$62,'Udvaskning nøgletal'!$F$12:$F$62)+Markniveau!$Y1087*Markniveau!$S1087/100,IF($X1087=3,LOOKUP(AI1087,'Udvaskning nøgletal'!$C$12:$C$62,'Udvaskning nøgletal'!Q1097:Q1147)+Markniveau!$Y1087*Markniveau!$S1087/100,"")))</f>
        <v>125.85383557148924</v>
      </c>
      <c r="AK1087" s="10">
        <f t="shared" si="169"/>
        <v>1350.4116556820795</v>
      </c>
      <c r="AL1087" s="10" t="str">
        <f t="shared" si="171"/>
        <v/>
      </c>
      <c r="AM1087" s="10" t="str">
        <f t="shared" si="172"/>
        <v/>
      </c>
    </row>
    <row r="1088" spans="1:39" x14ac:dyDescent="0.25">
      <c r="A1088" s="15">
        <v>35557628</v>
      </c>
      <c r="B1088" s="15">
        <v>9.15</v>
      </c>
      <c r="C1088" s="15">
        <v>264172</v>
      </c>
      <c r="D1088" s="15">
        <v>55926</v>
      </c>
      <c r="E1088" s="15" t="s">
        <v>862</v>
      </c>
      <c r="F1088" s="15">
        <v>2011</v>
      </c>
      <c r="G1088" s="15">
        <v>20110512</v>
      </c>
      <c r="H1088" s="15">
        <v>24097</v>
      </c>
      <c r="I1088" s="15">
        <v>2.41</v>
      </c>
      <c r="J1088" s="6" t="s">
        <v>606</v>
      </c>
      <c r="K1088" s="15">
        <v>1</v>
      </c>
      <c r="L1088" s="15" t="s">
        <v>32</v>
      </c>
      <c r="M1088" s="15" t="s">
        <v>5</v>
      </c>
      <c r="N1088" s="11" t="s">
        <v>1384</v>
      </c>
      <c r="O1088" s="11" t="s">
        <v>28</v>
      </c>
      <c r="P1088" s="11" t="s">
        <v>33</v>
      </c>
      <c r="Q1088" s="15">
        <v>0</v>
      </c>
      <c r="R1088" s="11" t="s">
        <v>1386</v>
      </c>
      <c r="S1088" s="10">
        <v>90.815594824257005</v>
      </c>
      <c r="T1088" s="15">
        <v>80</v>
      </c>
      <c r="U1088" s="15">
        <v>0</v>
      </c>
      <c r="V1088" s="15">
        <v>0</v>
      </c>
      <c r="W1088" s="15">
        <v>0</v>
      </c>
      <c r="X1088" s="15">
        <f>IF(O1088='Udvaskning nøgletal'!$D$65,1,IF(O1088='Udvaskning nøgletal'!$D$66,2,IF(O1088='Udvaskning nøgletal'!$D$67,3,IF(O1088='Udvaskning nøgletal'!$D$68,2,""))))</f>
        <v>1</v>
      </c>
      <c r="Y1088" s="15">
        <f>LOOKUP(K1088,'Udvaskning nøgletal'!$C$12:$C$60,'Udvaskning nøgletal'!$H$12:$H$60)</f>
        <v>5</v>
      </c>
      <c r="Z1088" s="10">
        <f>IF(X1088=1,LOOKUP(K1088,'Udvaskning nøgletal'!$C$12:$C$60,'Udvaskning nøgletal'!$E$12:$E$60)+Markniveau!Y1088*Markniveau!S1088/100,IF(X1088=2,LOOKUP(K1088,'Udvaskning nøgletal'!$C$12:$C$60,'Udvaskning nøgletal'!$F$12:$F$60)+Markniveau!Y1088*Markniveau!S1088/100,IF(X1088=3,LOOKUP(K1088,'Udvaskning nøgletal'!$C$12:$C$60,'Udvaskning nøgletal'!G1098:G1146)+Markniveau!Y1088*Markniveau!S1088/100,"")))</f>
        <v>69.200779741212841</v>
      </c>
      <c r="AA1088" s="10">
        <f t="shared" si="166"/>
        <v>166.77387917632296</v>
      </c>
      <c r="AB1088" s="10" t="str">
        <f t="shared" si="165"/>
        <v/>
      </c>
      <c r="AC1088" s="10" t="str">
        <f t="shared" si="167"/>
        <v/>
      </c>
      <c r="AD1088" s="10">
        <f>IF(AND(Q1088&gt;0,Q1088&lt;30,K1088&lt;8),Markniveau!Z1088*'Udvaskning nøgletal'!$I$12/100,IF(AND(Q1088&gt;0,Q1088&lt;30,K1088=216),Markniveau!Z1088*'Udvaskning nøgletal'!$I$34/100,Markniveau!Z1088))</f>
        <v>69.200779741212841</v>
      </c>
      <c r="AE1088" s="10">
        <f t="shared" si="173"/>
        <v>166.77387917632296</v>
      </c>
      <c r="AF1088" s="10" t="str">
        <f t="shared" si="168"/>
        <v/>
      </c>
      <c r="AG1088" s="10" t="str">
        <f t="shared" si="174"/>
        <v/>
      </c>
      <c r="AH1088" s="10" t="str">
        <f>IF(AND(Q1088&gt;0,Q1088&lt;30,K1088=216),'Udvaskning nøgletal'!$C$42,IF(AND(Q1088&gt;0,Q1088&lt;30,K1088&gt;7,K1088&lt;17),'Udvaskning nøgletal'!$C$61,IF(AND(Q1088&gt;0,Q1088&lt;30,K1088&lt;7),'Udvaskning nøgletal'!$C$62,"")))</f>
        <v/>
      </c>
      <c r="AI1088" s="10">
        <f t="shared" si="170"/>
        <v>1</v>
      </c>
      <c r="AJ1088" s="10">
        <f>IF($X1088=1,LOOKUP(AI1088,'Udvaskning nøgletal'!$C$12:$C$62,'Udvaskning nøgletal'!$E$12:$E$62)+Markniveau!$Y1088*Markniveau!$S1088/100,IF($X1088=2,LOOKUP(AI1088,'Udvaskning nøgletal'!$C$12:$C$62,'Udvaskning nøgletal'!$F$12:$F$62)+Markniveau!$Y1088*Markniveau!$S1088/100,IF($X1088=3,LOOKUP(AI1088,'Udvaskning nøgletal'!$C$12:$C$62,'Udvaskning nøgletal'!Q1098:Q1148)+Markniveau!$Y1088*Markniveau!$S1088/100,"")))</f>
        <v>69.200779741212841</v>
      </c>
      <c r="AK1088" s="10">
        <f t="shared" si="169"/>
        <v>166.77387917632296</v>
      </c>
      <c r="AL1088" s="10" t="str">
        <f t="shared" si="171"/>
        <v/>
      </c>
      <c r="AM1088" s="10" t="str">
        <f t="shared" si="172"/>
        <v/>
      </c>
    </row>
    <row r="1089" spans="1:39" x14ac:dyDescent="0.25">
      <c r="A1089" s="15">
        <v>35557628</v>
      </c>
      <c r="B1089" s="15">
        <v>9.15</v>
      </c>
      <c r="C1089" s="15">
        <v>264189</v>
      </c>
      <c r="D1089" s="15">
        <v>55926</v>
      </c>
      <c r="E1089" s="15" t="s">
        <v>863</v>
      </c>
      <c r="F1089" s="15">
        <v>2011</v>
      </c>
      <c r="G1089" s="15">
        <v>20110512</v>
      </c>
      <c r="H1089" s="15">
        <v>5348</v>
      </c>
      <c r="I1089" s="15">
        <v>0.53</v>
      </c>
      <c r="J1089" s="6" t="s">
        <v>864</v>
      </c>
      <c r="K1089" s="15">
        <v>15</v>
      </c>
      <c r="L1089" s="15" t="s">
        <v>362</v>
      </c>
      <c r="M1089" s="15" t="s">
        <v>5</v>
      </c>
      <c r="N1089" s="11" t="s">
        <v>1384</v>
      </c>
      <c r="O1089" s="11" t="s">
        <v>28</v>
      </c>
      <c r="P1089" s="11" t="s">
        <v>33</v>
      </c>
      <c r="Q1089" s="15">
        <v>0</v>
      </c>
      <c r="R1089" s="11" t="s">
        <v>1386</v>
      </c>
      <c r="S1089" s="10">
        <v>90.815594824257005</v>
      </c>
      <c r="T1089" s="15">
        <v>80</v>
      </c>
      <c r="U1089" s="15">
        <v>0</v>
      </c>
      <c r="V1089" s="15">
        <v>0</v>
      </c>
      <c r="W1089" s="15">
        <v>0</v>
      </c>
      <c r="X1089" s="15">
        <f>IF(O1089='Udvaskning nøgletal'!$D$65,1,IF(O1089='Udvaskning nøgletal'!$D$66,2,IF(O1089='Udvaskning nøgletal'!$D$67,3,IF(O1089='Udvaskning nøgletal'!$D$68,2,""))))</f>
        <v>1</v>
      </c>
      <c r="Y1089" s="15">
        <f>LOOKUP(K1089,'Udvaskning nøgletal'!$C$12:$C$60,'Udvaskning nøgletal'!$H$12:$H$60)</f>
        <v>5</v>
      </c>
      <c r="Z1089" s="10">
        <f>IF(X1089=1,LOOKUP(K1089,'Udvaskning nøgletal'!$C$12:$C$60,'Udvaskning nøgletal'!$E$12:$E$60)+Markniveau!Y1089*Markniveau!S1089/100,IF(X1089=2,LOOKUP(K1089,'Udvaskning nøgletal'!$C$12:$C$60,'Udvaskning nøgletal'!$F$12:$F$60)+Markniveau!Y1089*Markniveau!S1089/100,IF(X1089=3,LOOKUP(K1089,'Udvaskning nøgletal'!$C$12:$C$60,'Udvaskning nøgletal'!G1099:G1147)+Markniveau!Y1089*Markniveau!S1089/100,"")))</f>
        <v>69.200779741212841</v>
      </c>
      <c r="AA1089" s="10">
        <f t="shared" si="166"/>
        <v>36.676413262842807</v>
      </c>
      <c r="AB1089" s="10" t="str">
        <f t="shared" si="165"/>
        <v/>
      </c>
      <c r="AC1089" s="10" t="str">
        <f t="shared" si="167"/>
        <v/>
      </c>
      <c r="AD1089" s="10">
        <f>IF(AND(Q1089&gt;0,Q1089&lt;30,K1089&lt;8),Markniveau!Z1089*'Udvaskning nøgletal'!$I$12/100,IF(AND(Q1089&gt;0,Q1089&lt;30,K1089=216),Markniveau!Z1089*'Udvaskning nøgletal'!$I$34/100,Markniveau!Z1089))</f>
        <v>69.200779741212841</v>
      </c>
      <c r="AE1089" s="10">
        <f t="shared" si="173"/>
        <v>36.676413262842807</v>
      </c>
      <c r="AF1089" s="10" t="str">
        <f t="shared" si="168"/>
        <v/>
      </c>
      <c r="AG1089" s="10" t="str">
        <f t="shared" si="174"/>
        <v/>
      </c>
      <c r="AH1089" s="10" t="str">
        <f>IF(AND(Q1089&gt;0,Q1089&lt;30,K1089=216),'Udvaskning nøgletal'!$C$42,IF(AND(Q1089&gt;0,Q1089&lt;30,K1089&gt;7,K1089&lt;17),'Udvaskning nøgletal'!$C$61,IF(AND(Q1089&gt;0,Q1089&lt;30,K1089&lt;7),'Udvaskning nøgletal'!$C$62,"")))</f>
        <v/>
      </c>
      <c r="AI1089" s="10">
        <f t="shared" si="170"/>
        <v>15</v>
      </c>
      <c r="AJ1089" s="10">
        <f>IF($X1089=1,LOOKUP(AI1089,'Udvaskning nøgletal'!$C$12:$C$62,'Udvaskning nøgletal'!$E$12:$E$62)+Markniveau!$Y1089*Markniveau!$S1089/100,IF($X1089=2,LOOKUP(AI1089,'Udvaskning nøgletal'!$C$12:$C$62,'Udvaskning nøgletal'!$F$12:$F$62)+Markniveau!$Y1089*Markniveau!$S1089/100,IF($X1089=3,LOOKUP(AI1089,'Udvaskning nøgletal'!$C$12:$C$62,'Udvaskning nøgletal'!Q1099:Q1149)+Markniveau!$Y1089*Markniveau!$S1089/100,"")))</f>
        <v>69.200779741212841</v>
      </c>
      <c r="AK1089" s="10">
        <f t="shared" si="169"/>
        <v>36.676413262842807</v>
      </c>
      <c r="AL1089" s="10" t="str">
        <f t="shared" si="171"/>
        <v/>
      </c>
      <c r="AM1089" s="10" t="str">
        <f t="shared" si="172"/>
        <v/>
      </c>
    </row>
    <row r="1090" spans="1:39" x14ac:dyDescent="0.25">
      <c r="A1090" s="15">
        <v>35557628</v>
      </c>
      <c r="B1090" s="15">
        <v>9.15</v>
      </c>
      <c r="C1090" s="15">
        <v>264582</v>
      </c>
      <c r="D1090" s="15">
        <v>55926</v>
      </c>
      <c r="E1090" s="15" t="s">
        <v>865</v>
      </c>
      <c r="F1090" s="15">
        <v>2011</v>
      </c>
      <c r="G1090" s="15">
        <v>20110512</v>
      </c>
      <c r="H1090" s="15">
        <v>20195</v>
      </c>
      <c r="I1090" s="15">
        <v>2.02</v>
      </c>
      <c r="J1090" s="6" t="s">
        <v>563</v>
      </c>
      <c r="K1090" s="15">
        <v>22</v>
      </c>
      <c r="L1090" s="15" t="s">
        <v>213</v>
      </c>
      <c r="M1090" s="15" t="s">
        <v>5</v>
      </c>
      <c r="N1090" s="11" t="s">
        <v>1384</v>
      </c>
      <c r="O1090" s="11" t="s">
        <v>28</v>
      </c>
      <c r="P1090" s="11" t="s">
        <v>33</v>
      </c>
      <c r="Q1090" s="15">
        <v>0</v>
      </c>
      <c r="R1090" s="11" t="s">
        <v>1386</v>
      </c>
      <c r="S1090" s="10">
        <v>90.815594824257005</v>
      </c>
      <c r="T1090" s="15">
        <v>80</v>
      </c>
      <c r="U1090" s="15">
        <v>0</v>
      </c>
      <c r="V1090" s="15">
        <v>0</v>
      </c>
      <c r="W1090" s="15">
        <v>0</v>
      </c>
      <c r="X1090" s="15">
        <f>IF(O1090='Udvaskning nøgletal'!$D$65,1,IF(O1090='Udvaskning nøgletal'!$D$66,2,IF(O1090='Udvaskning nøgletal'!$D$67,3,IF(O1090='Udvaskning nøgletal'!$D$68,2,""))))</f>
        <v>1</v>
      </c>
      <c r="Y1090" s="15">
        <f>LOOKUP(K1090,'Udvaskning nøgletal'!$C$12:$C$60,'Udvaskning nøgletal'!$H$12:$H$60)</f>
        <v>5</v>
      </c>
      <c r="Z1090" s="10">
        <f>IF(X1090=1,LOOKUP(K1090,'Udvaskning nøgletal'!$C$12:$C$60,'Udvaskning nøgletal'!$E$12:$E$60)+Markniveau!Y1090*Markniveau!S1090/100,IF(X1090=2,LOOKUP(K1090,'Udvaskning nøgletal'!$C$12:$C$60,'Udvaskning nøgletal'!$F$12:$F$60)+Markniveau!Y1090*Markniveau!S1090/100,IF(X1090=3,LOOKUP(K1090,'Udvaskning nøgletal'!$C$12:$C$60,'Udvaskning nøgletal'!G1100:G1148)+Markniveau!Y1090*Markniveau!S1090/100,"")))</f>
        <v>69.200779741212841</v>
      </c>
      <c r="AA1090" s="10">
        <f t="shared" si="166"/>
        <v>139.78557507724994</v>
      </c>
      <c r="AB1090" s="10" t="str">
        <f t="shared" ref="AB1090:AB1153" si="175">IF(Q1090&gt;0,(100-Q1090)*Z1090/100,"")</f>
        <v/>
      </c>
      <c r="AC1090" s="10" t="str">
        <f t="shared" si="167"/>
        <v/>
      </c>
      <c r="AD1090" s="10">
        <f>IF(AND(Q1090&gt;0,Q1090&lt;30,K1090&lt;8),Markniveau!Z1090*'Udvaskning nøgletal'!$I$12/100,IF(AND(Q1090&gt;0,Q1090&lt;30,K1090=216),Markniveau!Z1090*'Udvaskning nøgletal'!$I$34/100,Markniveau!Z1090))</f>
        <v>69.200779741212841</v>
      </c>
      <c r="AE1090" s="10">
        <f t="shared" si="173"/>
        <v>139.78557507724994</v>
      </c>
      <c r="AF1090" s="10" t="str">
        <f t="shared" si="168"/>
        <v/>
      </c>
      <c r="AG1090" s="10" t="str">
        <f t="shared" si="174"/>
        <v/>
      </c>
      <c r="AH1090" s="10" t="str">
        <f>IF(AND(Q1090&gt;0,Q1090&lt;30,K1090=216),'Udvaskning nøgletal'!$C$42,IF(AND(Q1090&gt;0,Q1090&lt;30,K1090&gt;7,K1090&lt;17),'Udvaskning nøgletal'!$C$61,IF(AND(Q1090&gt;0,Q1090&lt;30,K1090&lt;7),'Udvaskning nøgletal'!$C$62,"")))</f>
        <v/>
      </c>
      <c r="AI1090" s="10">
        <f t="shared" si="170"/>
        <v>22</v>
      </c>
      <c r="AJ1090" s="10">
        <f>IF($X1090=1,LOOKUP(AI1090,'Udvaskning nøgletal'!$C$12:$C$62,'Udvaskning nøgletal'!$E$12:$E$62)+Markniveau!$Y1090*Markniveau!$S1090/100,IF($X1090=2,LOOKUP(AI1090,'Udvaskning nøgletal'!$C$12:$C$62,'Udvaskning nøgletal'!$F$12:$F$62)+Markniveau!$Y1090*Markniveau!$S1090/100,IF($X1090=3,LOOKUP(AI1090,'Udvaskning nøgletal'!$C$12:$C$62,'Udvaskning nøgletal'!Q1100:Q1150)+Markniveau!$Y1090*Markniveau!$S1090/100,"")))</f>
        <v>69.200779741212841</v>
      </c>
      <c r="AK1090" s="10">
        <f t="shared" si="169"/>
        <v>139.78557507724994</v>
      </c>
      <c r="AL1090" s="10" t="str">
        <f t="shared" si="171"/>
        <v/>
      </c>
      <c r="AM1090" s="10" t="str">
        <f t="shared" si="172"/>
        <v/>
      </c>
    </row>
    <row r="1091" spans="1:39" x14ac:dyDescent="0.25">
      <c r="A1091" s="15">
        <v>35557628</v>
      </c>
      <c r="B1091" s="15">
        <v>9.15</v>
      </c>
      <c r="C1091" s="15">
        <v>265013</v>
      </c>
      <c r="D1091" s="15">
        <v>55926</v>
      </c>
      <c r="E1091" s="15" t="s">
        <v>866</v>
      </c>
      <c r="F1091" s="15">
        <v>2011</v>
      </c>
      <c r="G1091" s="15">
        <v>20110512</v>
      </c>
      <c r="H1091" s="15">
        <v>55528</v>
      </c>
      <c r="I1091" s="15">
        <v>5.55</v>
      </c>
      <c r="J1091" s="6" t="s">
        <v>867</v>
      </c>
      <c r="K1091" s="15">
        <v>152</v>
      </c>
      <c r="L1091" s="15" t="s">
        <v>333</v>
      </c>
      <c r="M1091" s="15" t="s">
        <v>5</v>
      </c>
      <c r="N1091" s="11" t="s">
        <v>1384</v>
      </c>
      <c r="O1091" s="11" t="s">
        <v>28</v>
      </c>
      <c r="P1091" s="11" t="s">
        <v>33</v>
      </c>
      <c r="Q1091" s="15">
        <v>0</v>
      </c>
      <c r="R1091" s="11" t="s">
        <v>1386</v>
      </c>
      <c r="S1091" s="10">
        <v>90.815594824257005</v>
      </c>
      <c r="T1091" s="15">
        <v>80</v>
      </c>
      <c r="U1091" s="15">
        <v>0</v>
      </c>
      <c r="V1091" s="15">
        <v>0</v>
      </c>
      <c r="W1091" s="15">
        <v>0</v>
      </c>
      <c r="X1091" s="15">
        <f>IF(O1091='Udvaskning nøgletal'!$D$65,1,IF(O1091='Udvaskning nøgletal'!$D$66,2,IF(O1091='Udvaskning nøgletal'!$D$67,3,IF(O1091='Udvaskning nøgletal'!$D$68,2,""))))</f>
        <v>1</v>
      </c>
      <c r="Y1091" s="15">
        <f>LOOKUP(K1091,'Udvaskning nøgletal'!$C$12:$C$60,'Udvaskning nøgletal'!$H$12:$H$60)</f>
        <v>5</v>
      </c>
      <c r="Z1091" s="10">
        <f>IF(X1091=1,LOOKUP(K1091,'Udvaskning nøgletal'!$C$12:$C$60,'Udvaskning nøgletal'!$E$12:$E$60)+Markniveau!Y1091*Markniveau!S1091/100,IF(X1091=2,LOOKUP(K1091,'Udvaskning nøgletal'!$C$12:$C$60,'Udvaskning nøgletal'!$F$12:$F$60)+Markniveau!Y1091*Markniveau!S1091/100,IF(X1091=3,LOOKUP(K1091,'Udvaskning nøgletal'!$C$12:$C$60,'Udvaskning nøgletal'!G1101:G1149)+Markniveau!Y1091*Markniveau!S1091/100,"")))</f>
        <v>69.200779741212841</v>
      </c>
      <c r="AA1091" s="10">
        <f t="shared" ref="AA1091:AA1154" si="176">Z1091*I1091</f>
        <v>384.06432756373124</v>
      </c>
      <c r="AB1091" s="10" t="str">
        <f t="shared" si="175"/>
        <v/>
      </c>
      <c r="AC1091" s="10" t="str">
        <f t="shared" ref="AC1091:AC1154" si="177">IF(Q1091&gt;0,AB1091*I1091,"")</f>
        <v/>
      </c>
      <c r="AD1091" s="10">
        <f>IF(AND(Q1091&gt;0,Q1091&lt;30,K1091&lt;8),Markniveau!Z1091*'Udvaskning nøgletal'!$I$12/100,IF(AND(Q1091&gt;0,Q1091&lt;30,K1091=216),Markniveau!Z1091*'Udvaskning nøgletal'!$I$34/100,Markniveau!Z1091))</f>
        <v>69.200779741212841</v>
      </c>
      <c r="AE1091" s="10">
        <f t="shared" si="173"/>
        <v>384.06432756373124</v>
      </c>
      <c r="AF1091" s="10" t="str">
        <f t="shared" ref="AF1091:AF1154" si="178">IF($Q1091&gt;0,(100-$Q1091)*$AD1091/100,"")</f>
        <v/>
      </c>
      <c r="AG1091" s="10" t="str">
        <f t="shared" si="174"/>
        <v/>
      </c>
      <c r="AH1091" s="10" t="str">
        <f>IF(AND(Q1091&gt;0,Q1091&lt;30,K1091=216),'Udvaskning nøgletal'!$C$42,IF(AND(Q1091&gt;0,Q1091&lt;30,K1091&gt;7,K1091&lt;17),'Udvaskning nøgletal'!$C$61,IF(AND(Q1091&gt;0,Q1091&lt;30,K1091&lt;7),'Udvaskning nøgletal'!$C$62,"")))</f>
        <v/>
      </c>
      <c r="AI1091" s="10">
        <f t="shared" si="170"/>
        <v>152</v>
      </c>
      <c r="AJ1091" s="10">
        <f>IF($X1091=1,LOOKUP(AI1091,'Udvaskning nøgletal'!$C$12:$C$62,'Udvaskning nøgletal'!$E$12:$E$62)+Markniveau!$Y1091*Markniveau!$S1091/100,IF($X1091=2,LOOKUP(AI1091,'Udvaskning nøgletal'!$C$12:$C$62,'Udvaskning nøgletal'!$F$12:$F$62)+Markniveau!$Y1091*Markniveau!$S1091/100,IF($X1091=3,LOOKUP(AI1091,'Udvaskning nøgletal'!$C$12:$C$62,'Udvaskning nøgletal'!Q1101:Q1151)+Markniveau!$Y1091*Markniveau!$S1091/100,"")))</f>
        <v>69.200779741212841</v>
      </c>
      <c r="AK1091" s="10">
        <f t="shared" ref="AK1091:AK1154" si="179">AJ1091*$I1091</f>
        <v>384.06432756373124</v>
      </c>
      <c r="AL1091" s="10" t="str">
        <f t="shared" si="171"/>
        <v/>
      </c>
      <c r="AM1091" s="10" t="str">
        <f t="shared" si="172"/>
        <v/>
      </c>
    </row>
    <row r="1092" spans="1:39" x14ac:dyDescent="0.25">
      <c r="A1092" s="15">
        <v>35557628</v>
      </c>
      <c r="B1092" s="15">
        <v>9.15</v>
      </c>
      <c r="C1092" s="15">
        <v>265166</v>
      </c>
      <c r="D1092" s="15">
        <v>55926</v>
      </c>
      <c r="E1092" s="15" t="s">
        <v>868</v>
      </c>
      <c r="F1092" s="15">
        <v>2011</v>
      </c>
      <c r="G1092" s="15">
        <v>20110512</v>
      </c>
      <c r="H1092" s="15">
        <v>119131</v>
      </c>
      <c r="I1092" s="15">
        <v>11.91</v>
      </c>
      <c r="J1092" s="6" t="s">
        <v>869</v>
      </c>
      <c r="K1092" s="15">
        <v>11</v>
      </c>
      <c r="L1092" s="15" t="s">
        <v>102</v>
      </c>
      <c r="M1092" s="15" t="s">
        <v>5</v>
      </c>
      <c r="N1092" s="11" t="s">
        <v>1391</v>
      </c>
      <c r="O1092" s="11" t="s">
        <v>46</v>
      </c>
      <c r="P1092" s="11" t="s">
        <v>33</v>
      </c>
      <c r="Q1092" s="15">
        <v>0</v>
      </c>
      <c r="R1092" s="11" t="s">
        <v>1386</v>
      </c>
      <c r="S1092" s="10">
        <v>90.815594824257005</v>
      </c>
      <c r="T1092" s="15">
        <v>80</v>
      </c>
      <c r="U1092" s="15">
        <v>0</v>
      </c>
      <c r="V1092" s="15">
        <v>0</v>
      </c>
      <c r="W1092" s="15">
        <v>0</v>
      </c>
      <c r="X1092" s="15">
        <f>IF(O1092='Udvaskning nøgletal'!$D$65,1,IF(O1092='Udvaskning nøgletal'!$D$66,2,IF(O1092='Udvaskning nøgletal'!$D$67,3,IF(O1092='Udvaskning nøgletal'!$D$68,2,""))))</f>
        <v>2</v>
      </c>
      <c r="Y1092" s="15">
        <f>LOOKUP(K1092,'Udvaskning nøgletal'!$C$12:$C$60,'Udvaskning nøgletal'!$H$12:$H$60)</f>
        <v>5</v>
      </c>
      <c r="Z1092" s="10">
        <f>IF(X1092=1,LOOKUP(K1092,'Udvaskning nøgletal'!$C$12:$C$60,'Udvaskning nøgletal'!$E$12:$E$60)+Markniveau!Y1092*Markniveau!S1092/100,IF(X1092=2,LOOKUP(K1092,'Udvaskning nøgletal'!$C$12:$C$60,'Udvaskning nøgletal'!$F$12:$F$60)+Markniveau!Y1092*Markniveau!S1092/100,IF(X1092=3,LOOKUP(K1092,'Udvaskning nøgletal'!$C$12:$C$60,'Udvaskning nøgletal'!G1102:G1150)+Markniveau!Y1092*Markniveau!S1092/100,"")))</f>
        <v>55.420779741212854</v>
      </c>
      <c r="AA1092" s="10">
        <f t="shared" si="176"/>
        <v>660.06148671784513</v>
      </c>
      <c r="AB1092" s="10" t="str">
        <f t="shared" si="175"/>
        <v/>
      </c>
      <c r="AC1092" s="10" t="str">
        <f t="shared" si="177"/>
        <v/>
      </c>
      <c r="AD1092" s="10">
        <f>IF(AND(Q1092&gt;0,Q1092&lt;30,K1092&lt;8),Markniveau!Z1092*'Udvaskning nøgletal'!$I$12/100,IF(AND(Q1092&gt;0,Q1092&lt;30,K1092=216),Markniveau!Z1092*'Udvaskning nøgletal'!$I$34/100,Markniveau!Z1092))</f>
        <v>55.420779741212854</v>
      </c>
      <c r="AE1092" s="10">
        <f t="shared" si="173"/>
        <v>660.06148671784513</v>
      </c>
      <c r="AF1092" s="10" t="str">
        <f t="shared" si="178"/>
        <v/>
      </c>
      <c r="AG1092" s="10" t="str">
        <f t="shared" si="174"/>
        <v/>
      </c>
      <c r="AH1092" s="10" t="str">
        <f>IF(AND(Q1092&gt;0,Q1092&lt;30,K1092=216),'Udvaskning nøgletal'!$C$42,IF(AND(Q1092&gt;0,Q1092&lt;30,K1092&gt;7,K1092&lt;17),'Udvaskning nøgletal'!$C$61,IF(AND(Q1092&gt;0,Q1092&lt;30,K1092&lt;7),'Udvaskning nøgletal'!$C$62,"")))</f>
        <v/>
      </c>
      <c r="AI1092" s="10">
        <f t="shared" si="170"/>
        <v>11</v>
      </c>
      <c r="AJ1092" s="10">
        <f>IF($X1092=1,LOOKUP(AI1092,'Udvaskning nøgletal'!$C$12:$C$62,'Udvaskning nøgletal'!$E$12:$E$62)+Markniveau!$Y1092*Markniveau!$S1092/100,IF($X1092=2,LOOKUP(AI1092,'Udvaskning nøgletal'!$C$12:$C$62,'Udvaskning nøgletal'!$F$12:$F$62)+Markniveau!$Y1092*Markniveau!$S1092/100,IF($X1092=3,LOOKUP(AI1092,'Udvaskning nøgletal'!$C$12:$C$62,'Udvaskning nøgletal'!Q1102:Q1152)+Markniveau!$Y1092*Markniveau!$S1092/100,"")))</f>
        <v>55.420779741212854</v>
      </c>
      <c r="AK1092" s="10">
        <f t="shared" si="179"/>
        <v>660.06148671784513</v>
      </c>
      <c r="AL1092" s="10" t="str">
        <f t="shared" si="171"/>
        <v/>
      </c>
      <c r="AM1092" s="10" t="str">
        <f t="shared" si="172"/>
        <v/>
      </c>
    </row>
    <row r="1093" spans="1:39" x14ac:dyDescent="0.25">
      <c r="A1093" s="15">
        <v>35557628</v>
      </c>
      <c r="B1093" s="15">
        <v>9.15</v>
      </c>
      <c r="C1093" s="15">
        <v>265469</v>
      </c>
      <c r="D1093" s="15">
        <v>55926</v>
      </c>
      <c r="E1093" s="15" t="s">
        <v>870</v>
      </c>
      <c r="F1093" s="15">
        <v>2011</v>
      </c>
      <c r="G1093" s="15">
        <v>20110512</v>
      </c>
      <c r="H1093" s="15">
        <v>28777</v>
      </c>
      <c r="I1093" s="15">
        <v>2.88</v>
      </c>
      <c r="J1093" s="6" t="s">
        <v>871</v>
      </c>
      <c r="K1093" s="15">
        <v>15</v>
      </c>
      <c r="L1093" s="15" t="s">
        <v>362</v>
      </c>
      <c r="M1093" s="15" t="s">
        <v>5</v>
      </c>
      <c r="N1093" s="11" t="s">
        <v>1384</v>
      </c>
      <c r="O1093" s="11" t="s">
        <v>28</v>
      </c>
      <c r="P1093" s="11" t="s">
        <v>33</v>
      </c>
      <c r="Q1093" s="15">
        <v>0</v>
      </c>
      <c r="R1093" s="11" t="s">
        <v>1386</v>
      </c>
      <c r="S1093" s="10">
        <v>90.815594824257005</v>
      </c>
      <c r="T1093" s="15">
        <v>80</v>
      </c>
      <c r="U1093" s="15">
        <v>0</v>
      </c>
      <c r="V1093" s="15">
        <v>0</v>
      </c>
      <c r="W1093" s="15">
        <v>0</v>
      </c>
      <c r="X1093" s="15">
        <f>IF(O1093='Udvaskning nøgletal'!$D$65,1,IF(O1093='Udvaskning nøgletal'!$D$66,2,IF(O1093='Udvaskning nøgletal'!$D$67,3,IF(O1093='Udvaskning nøgletal'!$D$68,2,""))))</f>
        <v>1</v>
      </c>
      <c r="Y1093" s="15">
        <f>LOOKUP(K1093,'Udvaskning nøgletal'!$C$12:$C$60,'Udvaskning nøgletal'!$H$12:$H$60)</f>
        <v>5</v>
      </c>
      <c r="Z1093" s="10">
        <f>IF(X1093=1,LOOKUP(K1093,'Udvaskning nøgletal'!$C$12:$C$60,'Udvaskning nøgletal'!$E$12:$E$60)+Markniveau!Y1093*Markniveau!S1093/100,IF(X1093=2,LOOKUP(K1093,'Udvaskning nøgletal'!$C$12:$C$60,'Udvaskning nøgletal'!$F$12:$F$60)+Markniveau!Y1093*Markniveau!S1093/100,IF(X1093=3,LOOKUP(K1093,'Udvaskning nøgletal'!$C$12:$C$60,'Udvaskning nøgletal'!G1103:G1151)+Markniveau!Y1093*Markniveau!S1093/100,"")))</f>
        <v>69.200779741212841</v>
      </c>
      <c r="AA1093" s="10">
        <f t="shared" si="176"/>
        <v>199.29824565469298</v>
      </c>
      <c r="AB1093" s="10" t="str">
        <f t="shared" si="175"/>
        <v/>
      </c>
      <c r="AC1093" s="10" t="str">
        <f t="shared" si="177"/>
        <v/>
      </c>
      <c r="AD1093" s="10">
        <f>IF(AND(Q1093&gt;0,Q1093&lt;30,K1093&lt;8),Markniveau!Z1093*'Udvaskning nøgletal'!$I$12/100,IF(AND(Q1093&gt;0,Q1093&lt;30,K1093=216),Markniveau!Z1093*'Udvaskning nøgletal'!$I$34/100,Markniveau!Z1093))</f>
        <v>69.200779741212841</v>
      </c>
      <c r="AE1093" s="10">
        <f t="shared" si="173"/>
        <v>199.29824565469298</v>
      </c>
      <c r="AF1093" s="10" t="str">
        <f t="shared" si="178"/>
        <v/>
      </c>
      <c r="AG1093" s="10" t="str">
        <f t="shared" si="174"/>
        <v/>
      </c>
      <c r="AH1093" s="10" t="str">
        <f>IF(AND(Q1093&gt;0,Q1093&lt;30,K1093=216),'Udvaskning nøgletal'!$C$42,IF(AND(Q1093&gt;0,Q1093&lt;30,K1093&gt;7,K1093&lt;17),'Udvaskning nøgletal'!$C$61,IF(AND(Q1093&gt;0,Q1093&lt;30,K1093&lt;7),'Udvaskning nøgletal'!$C$62,"")))</f>
        <v/>
      </c>
      <c r="AI1093" s="10">
        <f t="shared" si="170"/>
        <v>15</v>
      </c>
      <c r="AJ1093" s="10">
        <f>IF($X1093=1,LOOKUP(AI1093,'Udvaskning nøgletal'!$C$12:$C$62,'Udvaskning nøgletal'!$E$12:$E$62)+Markniveau!$Y1093*Markniveau!$S1093/100,IF($X1093=2,LOOKUP(AI1093,'Udvaskning nøgletal'!$C$12:$C$62,'Udvaskning nøgletal'!$F$12:$F$62)+Markniveau!$Y1093*Markniveau!$S1093/100,IF($X1093=3,LOOKUP(AI1093,'Udvaskning nøgletal'!$C$12:$C$62,'Udvaskning nøgletal'!Q1103:Q1153)+Markniveau!$Y1093*Markniveau!$S1093/100,"")))</f>
        <v>69.200779741212841</v>
      </c>
      <c r="AK1093" s="10">
        <f t="shared" si="179"/>
        <v>199.29824565469298</v>
      </c>
      <c r="AL1093" s="10" t="str">
        <f t="shared" si="171"/>
        <v/>
      </c>
      <c r="AM1093" s="10" t="str">
        <f t="shared" si="172"/>
        <v/>
      </c>
    </row>
    <row r="1094" spans="1:39" x14ac:dyDescent="0.25">
      <c r="A1094" s="15">
        <v>35557628</v>
      </c>
      <c r="B1094" s="15">
        <v>9.15</v>
      </c>
      <c r="C1094" s="15">
        <v>265471</v>
      </c>
      <c r="D1094" s="15">
        <v>55926</v>
      </c>
      <c r="E1094" s="15" t="s">
        <v>872</v>
      </c>
      <c r="F1094" s="15">
        <v>2011</v>
      </c>
      <c r="G1094" s="15">
        <v>20110512</v>
      </c>
      <c r="H1094" s="15">
        <v>84389</v>
      </c>
      <c r="I1094" s="15">
        <v>8.44</v>
      </c>
      <c r="J1094" s="6" t="s">
        <v>74</v>
      </c>
      <c r="K1094" s="15">
        <v>1</v>
      </c>
      <c r="L1094" s="15" t="s">
        <v>32</v>
      </c>
      <c r="M1094" s="15" t="s">
        <v>5</v>
      </c>
      <c r="N1094" s="11" t="s">
        <v>1384</v>
      </c>
      <c r="O1094" s="11" t="s">
        <v>28</v>
      </c>
      <c r="P1094" s="11" t="s">
        <v>33</v>
      </c>
      <c r="Q1094" s="15">
        <v>0</v>
      </c>
      <c r="R1094" s="11" t="s">
        <v>1386</v>
      </c>
      <c r="S1094" s="10">
        <v>90.815594824257005</v>
      </c>
      <c r="T1094" s="15">
        <v>80</v>
      </c>
      <c r="U1094" s="15">
        <v>0</v>
      </c>
      <c r="V1094" s="15">
        <v>0</v>
      </c>
      <c r="W1094" s="15">
        <v>0</v>
      </c>
      <c r="X1094" s="15">
        <f>IF(O1094='Udvaskning nøgletal'!$D$65,1,IF(O1094='Udvaskning nøgletal'!$D$66,2,IF(O1094='Udvaskning nøgletal'!$D$67,3,IF(O1094='Udvaskning nøgletal'!$D$68,2,""))))</f>
        <v>1</v>
      </c>
      <c r="Y1094" s="15">
        <f>LOOKUP(K1094,'Udvaskning nøgletal'!$C$12:$C$60,'Udvaskning nøgletal'!$H$12:$H$60)</f>
        <v>5</v>
      </c>
      <c r="Z1094" s="10">
        <f>IF(X1094=1,LOOKUP(K1094,'Udvaskning nøgletal'!$C$12:$C$60,'Udvaskning nøgletal'!$E$12:$E$60)+Markniveau!Y1094*Markniveau!S1094/100,IF(X1094=2,LOOKUP(K1094,'Udvaskning nøgletal'!$C$12:$C$60,'Udvaskning nøgletal'!$F$12:$F$60)+Markniveau!Y1094*Markniveau!S1094/100,IF(X1094=3,LOOKUP(K1094,'Udvaskning nøgletal'!$C$12:$C$60,'Udvaskning nøgletal'!G1104:G1152)+Markniveau!Y1094*Markniveau!S1094/100,"")))</f>
        <v>69.200779741212841</v>
      </c>
      <c r="AA1094" s="10">
        <f t="shared" si="176"/>
        <v>584.05458101583633</v>
      </c>
      <c r="AB1094" s="10" t="str">
        <f t="shared" si="175"/>
        <v/>
      </c>
      <c r="AC1094" s="10" t="str">
        <f t="shared" si="177"/>
        <v/>
      </c>
      <c r="AD1094" s="10">
        <f>IF(AND(Q1094&gt;0,Q1094&lt;30,K1094&lt;8),Markniveau!Z1094*'Udvaskning nøgletal'!$I$12/100,IF(AND(Q1094&gt;0,Q1094&lt;30,K1094=216),Markniveau!Z1094*'Udvaskning nøgletal'!$I$34/100,Markniveau!Z1094))</f>
        <v>69.200779741212841</v>
      </c>
      <c r="AE1094" s="10">
        <f t="shared" si="173"/>
        <v>584.05458101583633</v>
      </c>
      <c r="AF1094" s="10" t="str">
        <f t="shared" si="178"/>
        <v/>
      </c>
      <c r="AG1094" s="10" t="str">
        <f t="shared" si="174"/>
        <v/>
      </c>
      <c r="AH1094" s="10" t="str">
        <f>IF(AND(Q1094&gt;0,Q1094&lt;30,K1094=216),'Udvaskning nøgletal'!$C$42,IF(AND(Q1094&gt;0,Q1094&lt;30,K1094&gt;7,K1094&lt;17),'Udvaskning nøgletal'!$C$61,IF(AND(Q1094&gt;0,Q1094&lt;30,K1094&lt;7),'Udvaskning nøgletal'!$C$62,"")))</f>
        <v/>
      </c>
      <c r="AI1094" s="10">
        <f t="shared" si="170"/>
        <v>1</v>
      </c>
      <c r="AJ1094" s="10">
        <f>IF($X1094=1,LOOKUP(AI1094,'Udvaskning nøgletal'!$C$12:$C$62,'Udvaskning nøgletal'!$E$12:$E$62)+Markniveau!$Y1094*Markniveau!$S1094/100,IF($X1094=2,LOOKUP(AI1094,'Udvaskning nøgletal'!$C$12:$C$62,'Udvaskning nøgletal'!$F$12:$F$62)+Markniveau!$Y1094*Markniveau!$S1094/100,IF($X1094=3,LOOKUP(AI1094,'Udvaskning nøgletal'!$C$12:$C$62,'Udvaskning nøgletal'!Q1104:Q1154)+Markniveau!$Y1094*Markniveau!$S1094/100,"")))</f>
        <v>69.200779741212841</v>
      </c>
      <c r="AK1094" s="10">
        <f t="shared" si="179"/>
        <v>584.05458101583633</v>
      </c>
      <c r="AL1094" s="10" t="str">
        <f t="shared" si="171"/>
        <v/>
      </c>
      <c r="AM1094" s="10" t="str">
        <f t="shared" si="172"/>
        <v/>
      </c>
    </row>
    <row r="1095" spans="1:39" x14ac:dyDescent="0.25">
      <c r="A1095" s="15">
        <v>35557628</v>
      </c>
      <c r="B1095" s="15">
        <v>9.15</v>
      </c>
      <c r="C1095" s="15">
        <v>265881</v>
      </c>
      <c r="D1095" s="15">
        <v>55926</v>
      </c>
      <c r="E1095" s="15" t="s">
        <v>873</v>
      </c>
      <c r="F1095" s="15">
        <v>2011</v>
      </c>
      <c r="G1095" s="15">
        <v>20110512</v>
      </c>
      <c r="H1095" s="15">
        <v>70074</v>
      </c>
      <c r="I1095" s="15">
        <v>7.01</v>
      </c>
      <c r="J1095" s="6" t="s">
        <v>874</v>
      </c>
      <c r="K1095" s="15">
        <v>22</v>
      </c>
      <c r="L1095" s="15" t="s">
        <v>213</v>
      </c>
      <c r="M1095" s="15" t="s">
        <v>5</v>
      </c>
      <c r="N1095" s="11" t="s">
        <v>1384</v>
      </c>
      <c r="O1095" s="11" t="s">
        <v>28</v>
      </c>
      <c r="P1095" s="11" t="s">
        <v>33</v>
      </c>
      <c r="Q1095" s="15">
        <v>0</v>
      </c>
      <c r="R1095" s="11" t="s">
        <v>1386</v>
      </c>
      <c r="S1095" s="10">
        <v>90.815594824257005</v>
      </c>
      <c r="T1095" s="15">
        <v>80</v>
      </c>
      <c r="U1095" s="15">
        <v>0</v>
      </c>
      <c r="V1095" s="15">
        <v>0</v>
      </c>
      <c r="W1095" s="15">
        <v>0</v>
      </c>
      <c r="X1095" s="15">
        <f>IF(O1095='Udvaskning nøgletal'!$D$65,1,IF(O1095='Udvaskning nøgletal'!$D$66,2,IF(O1095='Udvaskning nøgletal'!$D$67,3,IF(O1095='Udvaskning nøgletal'!$D$68,2,""))))</f>
        <v>1</v>
      </c>
      <c r="Y1095" s="15">
        <f>LOOKUP(K1095,'Udvaskning nøgletal'!$C$12:$C$60,'Udvaskning nøgletal'!$H$12:$H$60)</f>
        <v>5</v>
      </c>
      <c r="Z1095" s="10">
        <f>IF(X1095=1,LOOKUP(K1095,'Udvaskning nøgletal'!$C$12:$C$60,'Udvaskning nøgletal'!$E$12:$E$60)+Markniveau!Y1095*Markniveau!S1095/100,IF(X1095=2,LOOKUP(K1095,'Udvaskning nøgletal'!$C$12:$C$60,'Udvaskning nøgletal'!$F$12:$F$60)+Markniveau!Y1095*Markniveau!S1095/100,IF(X1095=3,LOOKUP(K1095,'Udvaskning nøgletal'!$C$12:$C$60,'Udvaskning nøgletal'!G1105:G1153)+Markniveau!Y1095*Markniveau!S1095/100,"")))</f>
        <v>69.200779741212841</v>
      </c>
      <c r="AA1095" s="10">
        <f t="shared" si="176"/>
        <v>485.09746598590198</v>
      </c>
      <c r="AB1095" s="10" t="str">
        <f t="shared" si="175"/>
        <v/>
      </c>
      <c r="AC1095" s="10" t="str">
        <f t="shared" si="177"/>
        <v/>
      </c>
      <c r="AD1095" s="10">
        <f>IF(AND(Q1095&gt;0,Q1095&lt;30,K1095&lt;8),Markniveau!Z1095*'Udvaskning nøgletal'!$I$12/100,IF(AND(Q1095&gt;0,Q1095&lt;30,K1095=216),Markniveau!Z1095*'Udvaskning nøgletal'!$I$34/100,Markniveau!Z1095))</f>
        <v>69.200779741212841</v>
      </c>
      <c r="AE1095" s="10">
        <f t="shared" si="173"/>
        <v>485.09746598590198</v>
      </c>
      <c r="AF1095" s="10" t="str">
        <f t="shared" si="178"/>
        <v/>
      </c>
      <c r="AG1095" s="10" t="str">
        <f t="shared" si="174"/>
        <v/>
      </c>
      <c r="AH1095" s="10" t="str">
        <f>IF(AND(Q1095&gt;0,Q1095&lt;30,K1095=216),'Udvaskning nøgletal'!$C$42,IF(AND(Q1095&gt;0,Q1095&lt;30,K1095&gt;7,K1095&lt;17),'Udvaskning nøgletal'!$C$61,IF(AND(Q1095&gt;0,Q1095&lt;30,K1095&lt;7),'Udvaskning nøgletal'!$C$62,"")))</f>
        <v/>
      </c>
      <c r="AI1095" s="10">
        <f t="shared" si="170"/>
        <v>22</v>
      </c>
      <c r="AJ1095" s="10">
        <f>IF($X1095=1,LOOKUP(AI1095,'Udvaskning nøgletal'!$C$12:$C$62,'Udvaskning nøgletal'!$E$12:$E$62)+Markniveau!$Y1095*Markniveau!$S1095/100,IF($X1095=2,LOOKUP(AI1095,'Udvaskning nøgletal'!$C$12:$C$62,'Udvaskning nøgletal'!$F$12:$F$62)+Markniveau!$Y1095*Markniveau!$S1095/100,IF($X1095=3,LOOKUP(AI1095,'Udvaskning nøgletal'!$C$12:$C$62,'Udvaskning nøgletal'!Q1105:Q1155)+Markniveau!$Y1095*Markniveau!$S1095/100,"")))</f>
        <v>69.200779741212841</v>
      </c>
      <c r="AK1095" s="10">
        <f t="shared" si="179"/>
        <v>485.09746598590198</v>
      </c>
      <c r="AL1095" s="10" t="str">
        <f t="shared" si="171"/>
        <v/>
      </c>
      <c r="AM1095" s="10" t="str">
        <f t="shared" si="172"/>
        <v/>
      </c>
    </row>
    <row r="1096" spans="1:39" x14ac:dyDescent="0.25">
      <c r="A1096" s="15">
        <v>35557628</v>
      </c>
      <c r="B1096" s="15">
        <v>9.15</v>
      </c>
      <c r="C1096" s="15">
        <v>265883</v>
      </c>
      <c r="D1096" s="15">
        <v>55926</v>
      </c>
      <c r="E1096" s="15" t="s">
        <v>873</v>
      </c>
      <c r="F1096" s="15">
        <v>2011</v>
      </c>
      <c r="G1096" s="15">
        <v>20110512</v>
      </c>
      <c r="H1096" s="15">
        <v>7846</v>
      </c>
      <c r="I1096" s="15">
        <v>0.78</v>
      </c>
      <c r="J1096" s="6" t="s">
        <v>875</v>
      </c>
      <c r="K1096" s="15">
        <v>1</v>
      </c>
      <c r="L1096" s="15" t="s">
        <v>32</v>
      </c>
      <c r="M1096" s="15" t="s">
        <v>5</v>
      </c>
      <c r="N1096" s="11" t="s">
        <v>1384</v>
      </c>
      <c r="O1096" s="11" t="s">
        <v>28</v>
      </c>
      <c r="P1096" s="11" t="s">
        <v>33</v>
      </c>
      <c r="Q1096" s="15">
        <v>0</v>
      </c>
      <c r="R1096" s="11" t="s">
        <v>1386</v>
      </c>
      <c r="S1096" s="10">
        <v>90.815594824257005</v>
      </c>
      <c r="T1096" s="15">
        <v>80</v>
      </c>
      <c r="U1096" s="15">
        <v>0</v>
      </c>
      <c r="V1096" s="15">
        <v>0</v>
      </c>
      <c r="W1096" s="15">
        <v>0</v>
      </c>
      <c r="X1096" s="15">
        <f>IF(O1096='Udvaskning nøgletal'!$D$65,1,IF(O1096='Udvaskning nøgletal'!$D$66,2,IF(O1096='Udvaskning nøgletal'!$D$67,3,IF(O1096='Udvaskning nøgletal'!$D$68,2,""))))</f>
        <v>1</v>
      </c>
      <c r="Y1096" s="15">
        <f>LOOKUP(K1096,'Udvaskning nøgletal'!$C$12:$C$60,'Udvaskning nøgletal'!$H$12:$H$60)</f>
        <v>5</v>
      </c>
      <c r="Z1096" s="10">
        <f>IF(X1096=1,LOOKUP(K1096,'Udvaskning nøgletal'!$C$12:$C$60,'Udvaskning nøgletal'!$E$12:$E$60)+Markniveau!Y1096*Markniveau!S1096/100,IF(X1096=2,LOOKUP(K1096,'Udvaskning nøgletal'!$C$12:$C$60,'Udvaskning nøgletal'!$F$12:$F$60)+Markniveau!Y1096*Markniveau!S1096/100,IF(X1096=3,LOOKUP(K1096,'Udvaskning nøgletal'!$C$12:$C$60,'Udvaskning nøgletal'!G1106:G1154)+Markniveau!Y1096*Markniveau!S1096/100,"")))</f>
        <v>69.200779741212841</v>
      </c>
      <c r="AA1096" s="10">
        <f t="shared" si="176"/>
        <v>53.976608198146018</v>
      </c>
      <c r="AB1096" s="10" t="str">
        <f t="shared" si="175"/>
        <v/>
      </c>
      <c r="AC1096" s="10" t="str">
        <f t="shared" si="177"/>
        <v/>
      </c>
      <c r="AD1096" s="10">
        <f>IF(AND(Q1096&gt;0,Q1096&lt;30,K1096&lt;8),Markniveau!Z1096*'Udvaskning nøgletal'!$I$12/100,IF(AND(Q1096&gt;0,Q1096&lt;30,K1096=216),Markniveau!Z1096*'Udvaskning nøgletal'!$I$34/100,Markniveau!Z1096))</f>
        <v>69.200779741212841</v>
      </c>
      <c r="AE1096" s="10">
        <f t="shared" si="173"/>
        <v>53.976608198146018</v>
      </c>
      <c r="AF1096" s="10" t="str">
        <f t="shared" si="178"/>
        <v/>
      </c>
      <c r="AG1096" s="10" t="str">
        <f t="shared" si="174"/>
        <v/>
      </c>
      <c r="AH1096" s="10" t="str">
        <f>IF(AND(Q1096&gt;0,Q1096&lt;30,K1096=216),'Udvaskning nøgletal'!$C$42,IF(AND(Q1096&gt;0,Q1096&lt;30,K1096&gt;7,K1096&lt;17),'Udvaskning nøgletal'!$C$61,IF(AND(Q1096&gt;0,Q1096&lt;30,K1096&lt;7),'Udvaskning nøgletal'!$C$62,"")))</f>
        <v/>
      </c>
      <c r="AI1096" s="10">
        <f t="shared" ref="AI1096:AI1159" si="180">IF(SUM(AH1096)&gt;0,AH1096,K1096)</f>
        <v>1</v>
      </c>
      <c r="AJ1096" s="10">
        <f>IF($X1096=1,LOOKUP(AI1096,'Udvaskning nøgletal'!$C$12:$C$62,'Udvaskning nøgletal'!$E$12:$E$62)+Markniveau!$Y1096*Markniveau!$S1096/100,IF($X1096=2,LOOKUP(AI1096,'Udvaskning nøgletal'!$C$12:$C$62,'Udvaskning nøgletal'!$F$12:$F$62)+Markniveau!$Y1096*Markniveau!$S1096/100,IF($X1096=3,LOOKUP(AI1096,'Udvaskning nøgletal'!$C$12:$C$62,'Udvaskning nøgletal'!Q1106:Q1156)+Markniveau!$Y1096*Markniveau!$S1096/100,"")))</f>
        <v>69.200779741212841</v>
      </c>
      <c r="AK1096" s="10">
        <f t="shared" si="179"/>
        <v>53.976608198146018</v>
      </c>
      <c r="AL1096" s="10" t="str">
        <f t="shared" si="171"/>
        <v/>
      </c>
      <c r="AM1096" s="10" t="str">
        <f t="shared" si="172"/>
        <v/>
      </c>
    </row>
    <row r="1097" spans="1:39" x14ac:dyDescent="0.25">
      <c r="A1097" s="15">
        <v>35557628</v>
      </c>
      <c r="B1097" s="15">
        <v>9.15</v>
      </c>
      <c r="C1097" s="15">
        <v>265884</v>
      </c>
      <c r="D1097" s="15">
        <v>55926</v>
      </c>
      <c r="E1097" s="15" t="s">
        <v>876</v>
      </c>
      <c r="F1097" s="15">
        <v>2011</v>
      </c>
      <c r="G1097" s="15">
        <v>20110512</v>
      </c>
      <c r="H1097" s="15">
        <v>3953</v>
      </c>
      <c r="I1097" s="15">
        <v>0.4</v>
      </c>
      <c r="J1097" s="6" t="s">
        <v>877</v>
      </c>
      <c r="K1097" s="15">
        <v>1</v>
      </c>
      <c r="L1097" s="15" t="s">
        <v>32</v>
      </c>
      <c r="M1097" s="15" t="s">
        <v>5</v>
      </c>
      <c r="N1097" s="11" t="s">
        <v>1384</v>
      </c>
      <c r="O1097" s="11" t="s">
        <v>28</v>
      </c>
      <c r="P1097" s="11" t="s">
        <v>33</v>
      </c>
      <c r="Q1097" s="15">
        <v>0</v>
      </c>
      <c r="R1097" s="11" t="s">
        <v>1386</v>
      </c>
      <c r="S1097" s="10">
        <v>90.815594824257005</v>
      </c>
      <c r="T1097" s="15">
        <v>80</v>
      </c>
      <c r="U1097" s="15">
        <v>0</v>
      </c>
      <c r="V1097" s="15">
        <v>0</v>
      </c>
      <c r="W1097" s="15">
        <v>0</v>
      </c>
      <c r="X1097" s="15">
        <f>IF(O1097='Udvaskning nøgletal'!$D$65,1,IF(O1097='Udvaskning nøgletal'!$D$66,2,IF(O1097='Udvaskning nøgletal'!$D$67,3,IF(O1097='Udvaskning nøgletal'!$D$68,2,""))))</f>
        <v>1</v>
      </c>
      <c r="Y1097" s="15">
        <f>LOOKUP(K1097,'Udvaskning nøgletal'!$C$12:$C$60,'Udvaskning nøgletal'!$H$12:$H$60)</f>
        <v>5</v>
      </c>
      <c r="Z1097" s="10">
        <f>IF(X1097=1,LOOKUP(K1097,'Udvaskning nøgletal'!$C$12:$C$60,'Udvaskning nøgletal'!$E$12:$E$60)+Markniveau!Y1097*Markniveau!S1097/100,IF(X1097=2,LOOKUP(K1097,'Udvaskning nøgletal'!$C$12:$C$60,'Udvaskning nøgletal'!$F$12:$F$60)+Markniveau!Y1097*Markniveau!S1097/100,IF(X1097=3,LOOKUP(K1097,'Udvaskning nøgletal'!$C$12:$C$60,'Udvaskning nøgletal'!G1107:G1155)+Markniveau!Y1097*Markniveau!S1097/100,"")))</f>
        <v>69.200779741212841</v>
      </c>
      <c r="AA1097" s="10">
        <f t="shared" si="176"/>
        <v>27.680311896485136</v>
      </c>
      <c r="AB1097" s="10" t="str">
        <f t="shared" si="175"/>
        <v/>
      </c>
      <c r="AC1097" s="10" t="str">
        <f t="shared" si="177"/>
        <v/>
      </c>
      <c r="AD1097" s="10">
        <f>IF(AND(Q1097&gt;0,Q1097&lt;30,K1097&lt;8),Markniveau!Z1097*'Udvaskning nøgletal'!$I$12/100,IF(AND(Q1097&gt;0,Q1097&lt;30,K1097=216),Markniveau!Z1097*'Udvaskning nøgletal'!$I$34/100,Markniveau!Z1097))</f>
        <v>69.200779741212841</v>
      </c>
      <c r="AE1097" s="10">
        <f t="shared" si="173"/>
        <v>27.680311896485136</v>
      </c>
      <c r="AF1097" s="10" t="str">
        <f t="shared" si="178"/>
        <v/>
      </c>
      <c r="AG1097" s="10" t="str">
        <f t="shared" si="174"/>
        <v/>
      </c>
      <c r="AH1097" s="10" t="str">
        <f>IF(AND(Q1097&gt;0,Q1097&lt;30,K1097=216),'Udvaskning nøgletal'!$C$42,IF(AND(Q1097&gt;0,Q1097&lt;30,K1097&gt;7,K1097&lt;17),'Udvaskning nøgletal'!$C$61,IF(AND(Q1097&gt;0,Q1097&lt;30,K1097&lt;7),'Udvaskning nøgletal'!$C$62,"")))</f>
        <v/>
      </c>
      <c r="AI1097" s="10">
        <f t="shared" si="180"/>
        <v>1</v>
      </c>
      <c r="AJ1097" s="10">
        <f>IF($X1097=1,LOOKUP(AI1097,'Udvaskning nøgletal'!$C$12:$C$62,'Udvaskning nøgletal'!$E$12:$E$62)+Markniveau!$Y1097*Markniveau!$S1097/100,IF($X1097=2,LOOKUP(AI1097,'Udvaskning nøgletal'!$C$12:$C$62,'Udvaskning nøgletal'!$F$12:$F$62)+Markniveau!$Y1097*Markniveau!$S1097/100,IF($X1097=3,LOOKUP(AI1097,'Udvaskning nøgletal'!$C$12:$C$62,'Udvaskning nøgletal'!Q1107:Q1157)+Markniveau!$Y1097*Markniveau!$S1097/100,"")))</f>
        <v>69.200779741212841</v>
      </c>
      <c r="AK1097" s="10">
        <f t="shared" si="179"/>
        <v>27.680311896485136</v>
      </c>
      <c r="AL1097" s="10" t="str">
        <f t="shared" si="171"/>
        <v/>
      </c>
      <c r="AM1097" s="10" t="str">
        <f t="shared" si="172"/>
        <v/>
      </c>
    </row>
    <row r="1098" spans="1:39" x14ac:dyDescent="0.25">
      <c r="A1098" s="15">
        <v>35557628</v>
      </c>
      <c r="B1098" s="15">
        <v>9.15</v>
      </c>
      <c r="C1098" s="15">
        <v>266740</v>
      </c>
      <c r="D1098" s="15">
        <v>55926</v>
      </c>
      <c r="E1098" s="15" t="s">
        <v>878</v>
      </c>
      <c r="F1098" s="15">
        <v>2011</v>
      </c>
      <c r="G1098" s="15">
        <v>20110512</v>
      </c>
      <c r="H1098" s="15">
        <v>6593</v>
      </c>
      <c r="I1098" s="15">
        <v>0.66</v>
      </c>
      <c r="J1098" s="6" t="s">
        <v>879</v>
      </c>
      <c r="K1098" s="15">
        <v>152</v>
      </c>
      <c r="L1098" s="15" t="s">
        <v>333</v>
      </c>
      <c r="M1098" s="15" t="s">
        <v>5</v>
      </c>
      <c r="N1098" s="11" t="s">
        <v>1391</v>
      </c>
      <c r="O1098" s="11" t="s">
        <v>46</v>
      </c>
      <c r="P1098" s="11" t="s">
        <v>33</v>
      </c>
      <c r="Q1098" s="15">
        <v>0</v>
      </c>
      <c r="R1098" s="11" t="s">
        <v>1386</v>
      </c>
      <c r="S1098" s="10">
        <v>90.815594824257005</v>
      </c>
      <c r="T1098" s="15">
        <v>80</v>
      </c>
      <c r="U1098" s="15">
        <v>0</v>
      </c>
      <c r="V1098" s="15">
        <v>0</v>
      </c>
      <c r="W1098" s="15">
        <v>0</v>
      </c>
      <c r="X1098" s="15">
        <f>IF(O1098='Udvaskning nøgletal'!$D$65,1,IF(O1098='Udvaskning nøgletal'!$D$66,2,IF(O1098='Udvaskning nøgletal'!$D$67,3,IF(O1098='Udvaskning nøgletal'!$D$68,2,""))))</f>
        <v>2</v>
      </c>
      <c r="Y1098" s="15">
        <f>LOOKUP(K1098,'Udvaskning nøgletal'!$C$12:$C$60,'Udvaskning nøgletal'!$H$12:$H$60)</f>
        <v>5</v>
      </c>
      <c r="Z1098" s="10">
        <f>IF(X1098=1,LOOKUP(K1098,'Udvaskning nøgletal'!$C$12:$C$60,'Udvaskning nøgletal'!$E$12:$E$60)+Markniveau!Y1098*Markniveau!S1098/100,IF(X1098=2,LOOKUP(K1098,'Udvaskning nøgletal'!$C$12:$C$60,'Udvaskning nøgletal'!$F$12:$F$60)+Markniveau!Y1098*Markniveau!S1098/100,IF(X1098=3,LOOKUP(K1098,'Udvaskning nøgletal'!$C$12:$C$60,'Udvaskning nøgletal'!G1108:G1156)+Markniveau!Y1098*Markniveau!S1098/100,"")))</f>
        <v>55.420779741212854</v>
      </c>
      <c r="AA1098" s="10">
        <f t="shared" si="176"/>
        <v>36.577714629200486</v>
      </c>
      <c r="AB1098" s="10" t="str">
        <f t="shared" si="175"/>
        <v/>
      </c>
      <c r="AC1098" s="10" t="str">
        <f t="shared" si="177"/>
        <v/>
      </c>
      <c r="AD1098" s="10">
        <f>IF(AND(Q1098&gt;0,Q1098&lt;30,K1098&lt;8),Markniveau!Z1098*'Udvaskning nøgletal'!$I$12/100,IF(AND(Q1098&gt;0,Q1098&lt;30,K1098=216),Markniveau!Z1098*'Udvaskning nøgletal'!$I$34/100,Markniveau!Z1098))</f>
        <v>55.420779741212854</v>
      </c>
      <c r="AE1098" s="10">
        <f t="shared" si="173"/>
        <v>36.577714629200486</v>
      </c>
      <c r="AF1098" s="10" t="str">
        <f t="shared" si="178"/>
        <v/>
      </c>
      <c r="AG1098" s="10" t="str">
        <f t="shared" si="174"/>
        <v/>
      </c>
      <c r="AH1098" s="10" t="str">
        <f>IF(AND(Q1098&gt;0,Q1098&lt;30,K1098=216),'Udvaskning nøgletal'!$C$42,IF(AND(Q1098&gt;0,Q1098&lt;30,K1098&gt;7,K1098&lt;17),'Udvaskning nøgletal'!$C$61,IF(AND(Q1098&gt;0,Q1098&lt;30,K1098&lt;7),'Udvaskning nøgletal'!$C$62,"")))</f>
        <v/>
      </c>
      <c r="AI1098" s="10">
        <f t="shared" si="180"/>
        <v>152</v>
      </c>
      <c r="AJ1098" s="10">
        <f>IF($X1098=1,LOOKUP(AI1098,'Udvaskning nøgletal'!$C$12:$C$62,'Udvaskning nøgletal'!$E$12:$E$62)+Markniveau!$Y1098*Markniveau!$S1098/100,IF($X1098=2,LOOKUP(AI1098,'Udvaskning nøgletal'!$C$12:$C$62,'Udvaskning nøgletal'!$F$12:$F$62)+Markniveau!$Y1098*Markniveau!$S1098/100,IF($X1098=3,LOOKUP(AI1098,'Udvaskning nøgletal'!$C$12:$C$62,'Udvaskning nøgletal'!Q1108:Q1158)+Markniveau!$Y1098*Markniveau!$S1098/100,"")))</f>
        <v>55.420779741212854</v>
      </c>
      <c r="AK1098" s="10">
        <f t="shared" si="179"/>
        <v>36.577714629200486</v>
      </c>
      <c r="AL1098" s="10" t="str">
        <f t="shared" si="171"/>
        <v/>
      </c>
      <c r="AM1098" s="10" t="str">
        <f t="shared" si="172"/>
        <v/>
      </c>
    </row>
    <row r="1099" spans="1:39" x14ac:dyDescent="0.25">
      <c r="A1099" s="15">
        <v>35557628</v>
      </c>
      <c r="B1099" s="15">
        <v>9.15</v>
      </c>
      <c r="C1099" s="15">
        <v>266742</v>
      </c>
      <c r="D1099" s="15">
        <v>55926</v>
      </c>
      <c r="E1099" s="15" t="s">
        <v>880</v>
      </c>
      <c r="F1099" s="15">
        <v>2011</v>
      </c>
      <c r="G1099" s="15">
        <v>20110512</v>
      </c>
      <c r="H1099" s="15">
        <v>45979</v>
      </c>
      <c r="I1099" s="15">
        <v>4.5999999999999996</v>
      </c>
      <c r="J1099" s="6" t="s">
        <v>881</v>
      </c>
      <c r="K1099" s="15">
        <v>15</v>
      </c>
      <c r="L1099" s="15" t="s">
        <v>362</v>
      </c>
      <c r="M1099" s="15" t="s">
        <v>5</v>
      </c>
      <c r="N1099" s="11" t="s">
        <v>1391</v>
      </c>
      <c r="O1099" s="11" t="s">
        <v>46</v>
      </c>
      <c r="P1099" s="11" t="s">
        <v>33</v>
      </c>
      <c r="Q1099" s="15">
        <v>0</v>
      </c>
      <c r="R1099" s="11" t="s">
        <v>1386</v>
      </c>
      <c r="S1099" s="10">
        <v>90.815594824257005</v>
      </c>
      <c r="T1099" s="15">
        <v>80</v>
      </c>
      <c r="U1099" s="15">
        <v>0</v>
      </c>
      <c r="V1099" s="15">
        <v>0</v>
      </c>
      <c r="W1099" s="15">
        <v>0</v>
      </c>
      <c r="X1099" s="15">
        <f>IF(O1099='Udvaskning nøgletal'!$D$65,1,IF(O1099='Udvaskning nøgletal'!$D$66,2,IF(O1099='Udvaskning nøgletal'!$D$67,3,IF(O1099='Udvaskning nøgletal'!$D$68,2,""))))</f>
        <v>2</v>
      </c>
      <c r="Y1099" s="15">
        <f>LOOKUP(K1099,'Udvaskning nøgletal'!$C$12:$C$60,'Udvaskning nøgletal'!$H$12:$H$60)</f>
        <v>5</v>
      </c>
      <c r="Z1099" s="10">
        <f>IF(X1099=1,LOOKUP(K1099,'Udvaskning nøgletal'!$C$12:$C$60,'Udvaskning nøgletal'!$E$12:$E$60)+Markniveau!Y1099*Markniveau!S1099/100,IF(X1099=2,LOOKUP(K1099,'Udvaskning nøgletal'!$C$12:$C$60,'Udvaskning nøgletal'!$F$12:$F$60)+Markniveau!Y1099*Markniveau!S1099/100,IF(X1099=3,LOOKUP(K1099,'Udvaskning nøgletal'!$C$12:$C$60,'Udvaskning nøgletal'!G1109:G1157)+Markniveau!Y1099*Markniveau!S1099/100,"")))</f>
        <v>55.420779741212854</v>
      </c>
      <c r="AA1099" s="10">
        <f t="shared" si="176"/>
        <v>254.93558680957912</v>
      </c>
      <c r="AB1099" s="10" t="str">
        <f t="shared" si="175"/>
        <v/>
      </c>
      <c r="AC1099" s="10" t="str">
        <f t="shared" si="177"/>
        <v/>
      </c>
      <c r="AD1099" s="10">
        <f>IF(AND(Q1099&gt;0,Q1099&lt;30,K1099&lt;8),Markniveau!Z1099*'Udvaskning nøgletal'!$I$12/100,IF(AND(Q1099&gt;0,Q1099&lt;30,K1099=216),Markniveau!Z1099*'Udvaskning nøgletal'!$I$34/100,Markniveau!Z1099))</f>
        <v>55.420779741212854</v>
      </c>
      <c r="AE1099" s="10">
        <f t="shared" si="173"/>
        <v>254.93558680957912</v>
      </c>
      <c r="AF1099" s="10" t="str">
        <f t="shared" si="178"/>
        <v/>
      </c>
      <c r="AG1099" s="10" t="str">
        <f t="shared" si="174"/>
        <v/>
      </c>
      <c r="AH1099" s="10" t="str">
        <f>IF(AND(Q1099&gt;0,Q1099&lt;30,K1099=216),'Udvaskning nøgletal'!$C$42,IF(AND(Q1099&gt;0,Q1099&lt;30,K1099&gt;7,K1099&lt;17),'Udvaskning nøgletal'!$C$61,IF(AND(Q1099&gt;0,Q1099&lt;30,K1099&lt;7),'Udvaskning nøgletal'!$C$62,"")))</f>
        <v/>
      </c>
      <c r="AI1099" s="10">
        <f t="shared" si="180"/>
        <v>15</v>
      </c>
      <c r="AJ1099" s="10">
        <f>IF($X1099=1,LOOKUP(AI1099,'Udvaskning nøgletal'!$C$12:$C$62,'Udvaskning nøgletal'!$E$12:$E$62)+Markniveau!$Y1099*Markniveau!$S1099/100,IF($X1099=2,LOOKUP(AI1099,'Udvaskning nøgletal'!$C$12:$C$62,'Udvaskning nøgletal'!$F$12:$F$62)+Markniveau!$Y1099*Markniveau!$S1099/100,IF($X1099=3,LOOKUP(AI1099,'Udvaskning nøgletal'!$C$12:$C$62,'Udvaskning nøgletal'!Q1109:Q1159)+Markniveau!$Y1099*Markniveau!$S1099/100,"")))</f>
        <v>55.420779741212854</v>
      </c>
      <c r="AK1099" s="10">
        <f t="shared" si="179"/>
        <v>254.93558680957912</v>
      </c>
      <c r="AL1099" s="10" t="str">
        <f t="shared" ref="AL1099:AL1162" si="181">IF($Q1099&gt;0,(100-$Q1099)*AJ1099/100,"")</f>
        <v/>
      </c>
      <c r="AM1099" s="10" t="str">
        <f t="shared" ref="AM1099:AM1162" si="182">IF($Q1099&gt;0,(100-$Q1099)*AJ1099/100*I1099,"")</f>
        <v/>
      </c>
    </row>
    <row r="1100" spans="1:39" x14ac:dyDescent="0.25">
      <c r="A1100" s="15">
        <v>35557628</v>
      </c>
      <c r="B1100" s="15">
        <v>9.15</v>
      </c>
      <c r="C1100" s="15">
        <v>266860</v>
      </c>
      <c r="D1100" s="15">
        <v>55926</v>
      </c>
      <c r="E1100" s="15" t="s">
        <v>882</v>
      </c>
      <c r="F1100" s="15">
        <v>2011</v>
      </c>
      <c r="G1100" s="15">
        <v>20110512</v>
      </c>
      <c r="H1100" s="15">
        <v>167456</v>
      </c>
      <c r="I1100" s="15">
        <v>16.75</v>
      </c>
      <c r="J1100" s="6" t="s">
        <v>883</v>
      </c>
      <c r="K1100" s="15">
        <v>152</v>
      </c>
      <c r="L1100" s="15" t="s">
        <v>333</v>
      </c>
      <c r="M1100" s="15" t="s">
        <v>5</v>
      </c>
      <c r="N1100" s="11" t="s">
        <v>1391</v>
      </c>
      <c r="O1100" s="11" t="s">
        <v>46</v>
      </c>
      <c r="P1100" s="11" t="s">
        <v>33</v>
      </c>
      <c r="Q1100" s="15">
        <v>0</v>
      </c>
      <c r="R1100" s="11" t="s">
        <v>1386</v>
      </c>
      <c r="S1100" s="10">
        <v>90.815594824257005</v>
      </c>
      <c r="T1100" s="15">
        <v>80</v>
      </c>
      <c r="U1100" s="15">
        <v>0</v>
      </c>
      <c r="V1100" s="15">
        <v>0</v>
      </c>
      <c r="W1100" s="15">
        <v>0</v>
      </c>
      <c r="X1100" s="15">
        <f>IF(O1100='Udvaskning nøgletal'!$D$65,1,IF(O1100='Udvaskning nøgletal'!$D$66,2,IF(O1100='Udvaskning nøgletal'!$D$67,3,IF(O1100='Udvaskning nøgletal'!$D$68,2,""))))</f>
        <v>2</v>
      </c>
      <c r="Y1100" s="15">
        <f>LOOKUP(K1100,'Udvaskning nøgletal'!$C$12:$C$60,'Udvaskning nøgletal'!$H$12:$H$60)</f>
        <v>5</v>
      </c>
      <c r="Z1100" s="10">
        <f>IF(X1100=1,LOOKUP(K1100,'Udvaskning nøgletal'!$C$12:$C$60,'Udvaskning nøgletal'!$E$12:$E$60)+Markniveau!Y1100*Markniveau!S1100/100,IF(X1100=2,LOOKUP(K1100,'Udvaskning nøgletal'!$C$12:$C$60,'Udvaskning nøgletal'!$F$12:$F$60)+Markniveau!Y1100*Markniveau!S1100/100,IF(X1100=3,LOOKUP(K1100,'Udvaskning nøgletal'!$C$12:$C$60,'Udvaskning nøgletal'!G1110:G1158)+Markniveau!Y1100*Markniveau!S1100/100,"")))</f>
        <v>55.420779741212854</v>
      </c>
      <c r="AA1100" s="10">
        <f t="shared" si="176"/>
        <v>928.29806066531535</v>
      </c>
      <c r="AB1100" s="10" t="str">
        <f t="shared" si="175"/>
        <v/>
      </c>
      <c r="AC1100" s="10" t="str">
        <f t="shared" si="177"/>
        <v/>
      </c>
      <c r="AD1100" s="10">
        <f>IF(AND(Q1100&gt;0,Q1100&lt;30,K1100&lt;8),Markniveau!Z1100*'Udvaskning nøgletal'!$I$12/100,IF(AND(Q1100&gt;0,Q1100&lt;30,K1100=216),Markniveau!Z1100*'Udvaskning nøgletal'!$I$34/100,Markniveau!Z1100))</f>
        <v>55.420779741212854</v>
      </c>
      <c r="AE1100" s="10">
        <f t="shared" si="173"/>
        <v>928.29806066531535</v>
      </c>
      <c r="AF1100" s="10" t="str">
        <f t="shared" si="178"/>
        <v/>
      </c>
      <c r="AG1100" s="10" t="str">
        <f t="shared" si="174"/>
        <v/>
      </c>
      <c r="AH1100" s="10" t="str">
        <f>IF(AND(Q1100&gt;0,Q1100&lt;30,K1100=216),'Udvaskning nøgletal'!$C$42,IF(AND(Q1100&gt;0,Q1100&lt;30,K1100&gt;7,K1100&lt;17),'Udvaskning nøgletal'!$C$61,IF(AND(Q1100&gt;0,Q1100&lt;30,K1100&lt;7),'Udvaskning nøgletal'!$C$62,"")))</f>
        <v/>
      </c>
      <c r="AI1100" s="10">
        <f t="shared" si="180"/>
        <v>152</v>
      </c>
      <c r="AJ1100" s="10">
        <f>IF($X1100=1,LOOKUP(AI1100,'Udvaskning nøgletal'!$C$12:$C$62,'Udvaskning nøgletal'!$E$12:$E$62)+Markniveau!$Y1100*Markniveau!$S1100/100,IF($X1100=2,LOOKUP(AI1100,'Udvaskning nøgletal'!$C$12:$C$62,'Udvaskning nøgletal'!$F$12:$F$62)+Markniveau!$Y1100*Markniveau!$S1100/100,IF($X1100=3,LOOKUP(AI1100,'Udvaskning nøgletal'!$C$12:$C$62,'Udvaskning nøgletal'!Q1110:Q1160)+Markniveau!$Y1100*Markniveau!$S1100/100,"")))</f>
        <v>55.420779741212854</v>
      </c>
      <c r="AK1100" s="10">
        <f t="shared" si="179"/>
        <v>928.29806066531535</v>
      </c>
      <c r="AL1100" s="10" t="str">
        <f t="shared" si="181"/>
        <v/>
      </c>
      <c r="AM1100" s="10" t="str">
        <f t="shared" si="182"/>
        <v/>
      </c>
    </row>
    <row r="1101" spans="1:39" x14ac:dyDescent="0.25">
      <c r="A1101" s="15">
        <v>35557628</v>
      </c>
      <c r="B1101" s="15">
        <v>9.15</v>
      </c>
      <c r="C1101" s="15">
        <v>266978</v>
      </c>
      <c r="D1101" s="15">
        <v>55926</v>
      </c>
      <c r="E1101" s="15" t="s">
        <v>884</v>
      </c>
      <c r="F1101" s="15">
        <v>2011</v>
      </c>
      <c r="G1101" s="15">
        <v>20110512</v>
      </c>
      <c r="H1101" s="15">
        <v>71242</v>
      </c>
      <c r="I1101" s="15">
        <v>7.12</v>
      </c>
      <c r="J1101" s="6" t="s">
        <v>885</v>
      </c>
      <c r="K1101" s="15">
        <v>22</v>
      </c>
      <c r="L1101" s="15" t="s">
        <v>213</v>
      </c>
      <c r="M1101" s="15" t="s">
        <v>5</v>
      </c>
      <c r="N1101" s="11" t="s">
        <v>1384</v>
      </c>
      <c r="O1101" s="11" t="s">
        <v>28</v>
      </c>
      <c r="P1101" s="11" t="s">
        <v>33</v>
      </c>
      <c r="Q1101" s="15">
        <v>0</v>
      </c>
      <c r="R1101" s="11" t="s">
        <v>1386</v>
      </c>
      <c r="S1101" s="10">
        <v>90.815594824257005</v>
      </c>
      <c r="T1101" s="15">
        <v>80</v>
      </c>
      <c r="U1101" s="15">
        <v>0</v>
      </c>
      <c r="V1101" s="15">
        <v>0</v>
      </c>
      <c r="W1101" s="15">
        <v>0</v>
      </c>
      <c r="X1101" s="15">
        <f>IF(O1101='Udvaskning nøgletal'!$D$65,1,IF(O1101='Udvaskning nøgletal'!$D$66,2,IF(O1101='Udvaskning nøgletal'!$D$67,3,IF(O1101='Udvaskning nøgletal'!$D$68,2,""))))</f>
        <v>1</v>
      </c>
      <c r="Y1101" s="15">
        <f>LOOKUP(K1101,'Udvaskning nøgletal'!$C$12:$C$60,'Udvaskning nøgletal'!$H$12:$H$60)</f>
        <v>5</v>
      </c>
      <c r="Z1101" s="10">
        <f>IF(X1101=1,LOOKUP(K1101,'Udvaskning nøgletal'!$C$12:$C$60,'Udvaskning nøgletal'!$E$12:$E$60)+Markniveau!Y1101*Markniveau!S1101/100,IF(X1101=2,LOOKUP(K1101,'Udvaskning nøgletal'!$C$12:$C$60,'Udvaskning nøgletal'!$F$12:$F$60)+Markniveau!Y1101*Markniveau!S1101/100,IF(X1101=3,LOOKUP(K1101,'Udvaskning nøgletal'!$C$12:$C$60,'Udvaskning nøgletal'!G1111:G1159)+Markniveau!Y1101*Markniveau!S1101/100,"")))</f>
        <v>69.200779741212841</v>
      </c>
      <c r="AA1101" s="10">
        <f t="shared" si="176"/>
        <v>492.70955175743546</v>
      </c>
      <c r="AB1101" s="10" t="str">
        <f t="shared" si="175"/>
        <v/>
      </c>
      <c r="AC1101" s="10" t="str">
        <f t="shared" si="177"/>
        <v/>
      </c>
      <c r="AD1101" s="10">
        <f>IF(AND(Q1101&gt;0,Q1101&lt;30,K1101&lt;8),Markniveau!Z1101*'Udvaskning nøgletal'!$I$12/100,IF(AND(Q1101&gt;0,Q1101&lt;30,K1101=216),Markniveau!Z1101*'Udvaskning nøgletal'!$I$34/100,Markniveau!Z1101))</f>
        <v>69.200779741212841</v>
      </c>
      <c r="AE1101" s="10">
        <f t="shared" si="173"/>
        <v>492.70955175743546</v>
      </c>
      <c r="AF1101" s="10" t="str">
        <f t="shared" si="178"/>
        <v/>
      </c>
      <c r="AG1101" s="10" t="str">
        <f t="shared" si="174"/>
        <v/>
      </c>
      <c r="AH1101" s="10" t="str">
        <f>IF(AND(Q1101&gt;0,Q1101&lt;30,K1101=216),'Udvaskning nøgletal'!$C$42,IF(AND(Q1101&gt;0,Q1101&lt;30,K1101&gt;7,K1101&lt;17),'Udvaskning nøgletal'!$C$61,IF(AND(Q1101&gt;0,Q1101&lt;30,K1101&lt;7),'Udvaskning nøgletal'!$C$62,"")))</f>
        <v/>
      </c>
      <c r="AI1101" s="10">
        <f t="shared" si="180"/>
        <v>22</v>
      </c>
      <c r="AJ1101" s="10">
        <f>IF($X1101=1,LOOKUP(AI1101,'Udvaskning nøgletal'!$C$12:$C$62,'Udvaskning nøgletal'!$E$12:$E$62)+Markniveau!$Y1101*Markniveau!$S1101/100,IF($X1101=2,LOOKUP(AI1101,'Udvaskning nøgletal'!$C$12:$C$62,'Udvaskning nøgletal'!$F$12:$F$62)+Markniveau!$Y1101*Markniveau!$S1101/100,IF($X1101=3,LOOKUP(AI1101,'Udvaskning nøgletal'!$C$12:$C$62,'Udvaskning nøgletal'!Q1111:Q1161)+Markniveau!$Y1101*Markniveau!$S1101/100,"")))</f>
        <v>69.200779741212841</v>
      </c>
      <c r="AK1101" s="10">
        <f t="shared" si="179"/>
        <v>492.70955175743546</v>
      </c>
      <c r="AL1101" s="10" t="str">
        <f t="shared" si="181"/>
        <v/>
      </c>
      <c r="AM1101" s="10" t="str">
        <f t="shared" si="182"/>
        <v/>
      </c>
    </row>
    <row r="1102" spans="1:39" x14ac:dyDescent="0.25">
      <c r="A1102" s="15">
        <v>35557628</v>
      </c>
      <c r="B1102" s="15">
        <v>9.15</v>
      </c>
      <c r="C1102" s="15">
        <v>266995</v>
      </c>
      <c r="D1102" s="15">
        <v>55926</v>
      </c>
      <c r="E1102" s="15" t="s">
        <v>886</v>
      </c>
      <c r="F1102" s="15">
        <v>2011</v>
      </c>
      <c r="G1102" s="15">
        <v>20110512</v>
      </c>
      <c r="H1102" s="15">
        <v>117221</v>
      </c>
      <c r="I1102" s="15">
        <v>11.72</v>
      </c>
      <c r="J1102" s="6" t="s">
        <v>887</v>
      </c>
      <c r="K1102" s="15">
        <v>152</v>
      </c>
      <c r="L1102" s="15" t="s">
        <v>333</v>
      </c>
      <c r="M1102" s="15" t="s">
        <v>5</v>
      </c>
      <c r="N1102" s="11" t="s">
        <v>1391</v>
      </c>
      <c r="O1102" s="11" t="s">
        <v>46</v>
      </c>
      <c r="P1102" s="11" t="s">
        <v>33</v>
      </c>
      <c r="Q1102" s="15">
        <v>0</v>
      </c>
      <c r="R1102" s="11" t="s">
        <v>1386</v>
      </c>
      <c r="S1102" s="10">
        <v>90.815594824257005</v>
      </c>
      <c r="T1102" s="15">
        <v>80</v>
      </c>
      <c r="U1102" s="15">
        <v>0</v>
      </c>
      <c r="V1102" s="15">
        <v>0</v>
      </c>
      <c r="W1102" s="15">
        <v>0</v>
      </c>
      <c r="X1102" s="15">
        <f>IF(O1102='Udvaskning nøgletal'!$D$65,1,IF(O1102='Udvaskning nøgletal'!$D$66,2,IF(O1102='Udvaskning nøgletal'!$D$67,3,IF(O1102='Udvaskning nøgletal'!$D$68,2,""))))</f>
        <v>2</v>
      </c>
      <c r="Y1102" s="15">
        <f>LOOKUP(K1102,'Udvaskning nøgletal'!$C$12:$C$60,'Udvaskning nøgletal'!$H$12:$H$60)</f>
        <v>5</v>
      </c>
      <c r="Z1102" s="10">
        <f>IF(X1102=1,LOOKUP(K1102,'Udvaskning nøgletal'!$C$12:$C$60,'Udvaskning nøgletal'!$E$12:$E$60)+Markniveau!Y1102*Markniveau!S1102/100,IF(X1102=2,LOOKUP(K1102,'Udvaskning nøgletal'!$C$12:$C$60,'Udvaskning nøgletal'!$F$12:$F$60)+Markniveau!Y1102*Markniveau!S1102/100,IF(X1102=3,LOOKUP(K1102,'Udvaskning nøgletal'!$C$12:$C$60,'Udvaskning nøgletal'!G1112:G1160)+Markniveau!Y1102*Markniveau!S1102/100,"")))</f>
        <v>55.420779741212854</v>
      </c>
      <c r="AA1102" s="10">
        <f t="shared" si="176"/>
        <v>649.53153856701465</v>
      </c>
      <c r="AB1102" s="10" t="str">
        <f t="shared" si="175"/>
        <v/>
      </c>
      <c r="AC1102" s="10" t="str">
        <f t="shared" si="177"/>
        <v/>
      </c>
      <c r="AD1102" s="10">
        <f>IF(AND(Q1102&gt;0,Q1102&lt;30,K1102&lt;8),Markniveau!Z1102*'Udvaskning nøgletal'!$I$12/100,IF(AND(Q1102&gt;0,Q1102&lt;30,K1102=216),Markniveau!Z1102*'Udvaskning nøgletal'!$I$34/100,Markniveau!Z1102))</f>
        <v>55.420779741212854</v>
      </c>
      <c r="AE1102" s="10">
        <f t="shared" si="173"/>
        <v>649.53153856701465</v>
      </c>
      <c r="AF1102" s="10" t="str">
        <f t="shared" si="178"/>
        <v/>
      </c>
      <c r="AG1102" s="10" t="str">
        <f t="shared" si="174"/>
        <v/>
      </c>
      <c r="AH1102" s="10" t="str">
        <f>IF(AND(Q1102&gt;0,Q1102&lt;30,K1102=216),'Udvaskning nøgletal'!$C$42,IF(AND(Q1102&gt;0,Q1102&lt;30,K1102&gt;7,K1102&lt;17),'Udvaskning nøgletal'!$C$61,IF(AND(Q1102&gt;0,Q1102&lt;30,K1102&lt;7),'Udvaskning nøgletal'!$C$62,"")))</f>
        <v/>
      </c>
      <c r="AI1102" s="10">
        <f t="shared" si="180"/>
        <v>152</v>
      </c>
      <c r="AJ1102" s="10">
        <f>IF($X1102=1,LOOKUP(AI1102,'Udvaskning nøgletal'!$C$12:$C$62,'Udvaskning nøgletal'!$E$12:$E$62)+Markniveau!$Y1102*Markniveau!$S1102/100,IF($X1102=2,LOOKUP(AI1102,'Udvaskning nøgletal'!$C$12:$C$62,'Udvaskning nøgletal'!$F$12:$F$62)+Markniveau!$Y1102*Markniveau!$S1102/100,IF($X1102=3,LOOKUP(AI1102,'Udvaskning nøgletal'!$C$12:$C$62,'Udvaskning nøgletal'!Q1112:Q1162)+Markniveau!$Y1102*Markniveau!$S1102/100,"")))</f>
        <v>55.420779741212854</v>
      </c>
      <c r="AK1102" s="10">
        <f t="shared" si="179"/>
        <v>649.53153856701465</v>
      </c>
      <c r="AL1102" s="10" t="str">
        <f t="shared" si="181"/>
        <v/>
      </c>
      <c r="AM1102" s="10" t="str">
        <f t="shared" si="182"/>
        <v/>
      </c>
    </row>
    <row r="1103" spans="1:39" x14ac:dyDescent="0.25">
      <c r="A1103" s="15">
        <v>35557628</v>
      </c>
      <c r="B1103" s="15">
        <v>9.15</v>
      </c>
      <c r="C1103" s="15">
        <v>267000</v>
      </c>
      <c r="D1103" s="15">
        <v>55926</v>
      </c>
      <c r="E1103" s="15" t="s">
        <v>888</v>
      </c>
      <c r="F1103" s="15">
        <v>2011</v>
      </c>
      <c r="G1103" s="15">
        <v>20110512</v>
      </c>
      <c r="H1103" s="15">
        <v>32564</v>
      </c>
      <c r="I1103" s="15">
        <v>3.26</v>
      </c>
      <c r="J1103" s="6" t="s">
        <v>889</v>
      </c>
      <c r="K1103" s="15">
        <v>15</v>
      </c>
      <c r="L1103" s="15" t="s">
        <v>362</v>
      </c>
      <c r="M1103" s="15" t="s">
        <v>5</v>
      </c>
      <c r="N1103" s="11" t="s">
        <v>1384</v>
      </c>
      <c r="O1103" s="11" t="s">
        <v>28</v>
      </c>
      <c r="P1103" s="11" t="s">
        <v>33</v>
      </c>
      <c r="Q1103" s="15">
        <v>0</v>
      </c>
      <c r="R1103" s="11" t="s">
        <v>1386</v>
      </c>
      <c r="S1103" s="10">
        <v>90.815594824257005</v>
      </c>
      <c r="T1103" s="15">
        <v>80</v>
      </c>
      <c r="U1103" s="15">
        <v>0</v>
      </c>
      <c r="V1103" s="15">
        <v>0</v>
      </c>
      <c r="W1103" s="15">
        <v>0</v>
      </c>
      <c r="X1103" s="15">
        <f>IF(O1103='Udvaskning nøgletal'!$D$65,1,IF(O1103='Udvaskning nøgletal'!$D$66,2,IF(O1103='Udvaskning nøgletal'!$D$67,3,IF(O1103='Udvaskning nøgletal'!$D$68,2,""))))</f>
        <v>1</v>
      </c>
      <c r="Y1103" s="15">
        <f>LOOKUP(K1103,'Udvaskning nøgletal'!$C$12:$C$60,'Udvaskning nøgletal'!$H$12:$H$60)</f>
        <v>5</v>
      </c>
      <c r="Z1103" s="10">
        <f>IF(X1103=1,LOOKUP(K1103,'Udvaskning nøgletal'!$C$12:$C$60,'Udvaskning nøgletal'!$E$12:$E$60)+Markniveau!Y1103*Markniveau!S1103/100,IF(X1103=2,LOOKUP(K1103,'Udvaskning nøgletal'!$C$12:$C$60,'Udvaskning nøgletal'!$F$12:$F$60)+Markniveau!Y1103*Markniveau!S1103/100,IF(X1103=3,LOOKUP(K1103,'Udvaskning nøgletal'!$C$12:$C$60,'Udvaskning nøgletal'!G1113:G1161)+Markniveau!Y1103*Markniveau!S1103/100,"")))</f>
        <v>69.200779741212841</v>
      </c>
      <c r="AA1103" s="10">
        <f t="shared" si="176"/>
        <v>225.59454195635385</v>
      </c>
      <c r="AB1103" s="10" t="str">
        <f t="shared" si="175"/>
        <v/>
      </c>
      <c r="AC1103" s="10" t="str">
        <f t="shared" si="177"/>
        <v/>
      </c>
      <c r="AD1103" s="10">
        <f>IF(AND(Q1103&gt;0,Q1103&lt;30,K1103&lt;8),Markniveau!Z1103*'Udvaskning nøgletal'!$I$12/100,IF(AND(Q1103&gt;0,Q1103&lt;30,K1103=216),Markniveau!Z1103*'Udvaskning nøgletal'!$I$34/100,Markniveau!Z1103))</f>
        <v>69.200779741212841</v>
      </c>
      <c r="AE1103" s="10">
        <f t="shared" si="173"/>
        <v>225.59454195635385</v>
      </c>
      <c r="AF1103" s="10" t="str">
        <f t="shared" si="178"/>
        <v/>
      </c>
      <c r="AG1103" s="10" t="str">
        <f t="shared" si="174"/>
        <v/>
      </c>
      <c r="AH1103" s="10" t="str">
        <f>IF(AND(Q1103&gt;0,Q1103&lt;30,K1103=216),'Udvaskning nøgletal'!$C$42,IF(AND(Q1103&gt;0,Q1103&lt;30,K1103&gt;7,K1103&lt;17),'Udvaskning nøgletal'!$C$61,IF(AND(Q1103&gt;0,Q1103&lt;30,K1103&lt;7),'Udvaskning nøgletal'!$C$62,"")))</f>
        <v/>
      </c>
      <c r="AI1103" s="10">
        <f t="shared" si="180"/>
        <v>15</v>
      </c>
      <c r="AJ1103" s="10">
        <f>IF($X1103=1,LOOKUP(AI1103,'Udvaskning nøgletal'!$C$12:$C$62,'Udvaskning nøgletal'!$E$12:$E$62)+Markniveau!$Y1103*Markniveau!$S1103/100,IF($X1103=2,LOOKUP(AI1103,'Udvaskning nøgletal'!$C$12:$C$62,'Udvaskning nøgletal'!$F$12:$F$62)+Markniveau!$Y1103*Markniveau!$S1103/100,IF($X1103=3,LOOKUP(AI1103,'Udvaskning nøgletal'!$C$12:$C$62,'Udvaskning nøgletal'!Q1113:Q1163)+Markniveau!$Y1103*Markniveau!$S1103/100,"")))</f>
        <v>69.200779741212841</v>
      </c>
      <c r="AK1103" s="10">
        <f t="shared" si="179"/>
        <v>225.59454195635385</v>
      </c>
      <c r="AL1103" s="10" t="str">
        <f t="shared" si="181"/>
        <v/>
      </c>
      <c r="AM1103" s="10" t="str">
        <f t="shared" si="182"/>
        <v/>
      </c>
    </row>
    <row r="1104" spans="1:39" x14ac:dyDescent="0.25">
      <c r="A1104" s="15">
        <v>35557628</v>
      </c>
      <c r="B1104" s="15">
        <v>9.15</v>
      </c>
      <c r="C1104" s="15">
        <v>267040</v>
      </c>
      <c r="D1104" s="15">
        <v>55926</v>
      </c>
      <c r="E1104" s="15" t="s">
        <v>890</v>
      </c>
      <c r="F1104" s="15">
        <v>2011</v>
      </c>
      <c r="G1104" s="15">
        <v>20110512</v>
      </c>
      <c r="H1104" s="15">
        <v>38740</v>
      </c>
      <c r="I1104" s="15">
        <v>3.87</v>
      </c>
      <c r="J1104" s="6" t="s">
        <v>840</v>
      </c>
      <c r="K1104" s="15">
        <v>11</v>
      </c>
      <c r="L1104" s="15" t="s">
        <v>102</v>
      </c>
      <c r="M1104" s="15" t="s">
        <v>5</v>
      </c>
      <c r="N1104" s="11" t="s">
        <v>1384</v>
      </c>
      <c r="O1104" s="11" t="s">
        <v>28</v>
      </c>
      <c r="P1104" s="11" t="s">
        <v>33</v>
      </c>
      <c r="Q1104" s="15">
        <v>0</v>
      </c>
      <c r="R1104" s="11" t="s">
        <v>1386</v>
      </c>
      <c r="S1104" s="10">
        <v>90.815594824257005</v>
      </c>
      <c r="T1104" s="15">
        <v>80</v>
      </c>
      <c r="U1104" s="15">
        <v>0</v>
      </c>
      <c r="V1104" s="15">
        <v>0</v>
      </c>
      <c r="W1104" s="15">
        <v>0</v>
      </c>
      <c r="X1104" s="15">
        <f>IF(O1104='Udvaskning nøgletal'!$D$65,1,IF(O1104='Udvaskning nøgletal'!$D$66,2,IF(O1104='Udvaskning nøgletal'!$D$67,3,IF(O1104='Udvaskning nøgletal'!$D$68,2,""))))</f>
        <v>1</v>
      </c>
      <c r="Y1104" s="15">
        <f>LOOKUP(K1104,'Udvaskning nøgletal'!$C$12:$C$60,'Udvaskning nøgletal'!$H$12:$H$60)</f>
        <v>5</v>
      </c>
      <c r="Z1104" s="10">
        <f>IF(X1104=1,LOOKUP(K1104,'Udvaskning nøgletal'!$C$12:$C$60,'Udvaskning nøgletal'!$E$12:$E$60)+Markniveau!Y1104*Markniveau!S1104/100,IF(X1104=2,LOOKUP(K1104,'Udvaskning nøgletal'!$C$12:$C$60,'Udvaskning nøgletal'!$F$12:$F$60)+Markniveau!Y1104*Markniveau!S1104/100,IF(X1104=3,LOOKUP(K1104,'Udvaskning nøgletal'!$C$12:$C$60,'Udvaskning nøgletal'!G1114:G1162)+Markniveau!Y1104*Markniveau!S1104/100,"")))</f>
        <v>69.200779741212841</v>
      </c>
      <c r="AA1104" s="10">
        <f t="shared" si="176"/>
        <v>267.8070175984937</v>
      </c>
      <c r="AB1104" s="10" t="str">
        <f t="shared" si="175"/>
        <v/>
      </c>
      <c r="AC1104" s="10" t="str">
        <f t="shared" si="177"/>
        <v/>
      </c>
      <c r="AD1104" s="10">
        <f>IF(AND(Q1104&gt;0,Q1104&lt;30,K1104&lt;8),Markniveau!Z1104*'Udvaskning nøgletal'!$I$12/100,IF(AND(Q1104&gt;0,Q1104&lt;30,K1104=216),Markniveau!Z1104*'Udvaskning nøgletal'!$I$34/100,Markniveau!Z1104))</f>
        <v>69.200779741212841</v>
      </c>
      <c r="AE1104" s="10">
        <f t="shared" si="173"/>
        <v>267.8070175984937</v>
      </c>
      <c r="AF1104" s="10" t="str">
        <f t="shared" si="178"/>
        <v/>
      </c>
      <c r="AG1104" s="10" t="str">
        <f t="shared" si="174"/>
        <v/>
      </c>
      <c r="AH1104" s="10" t="str">
        <f>IF(AND(Q1104&gt;0,Q1104&lt;30,K1104=216),'Udvaskning nøgletal'!$C$42,IF(AND(Q1104&gt;0,Q1104&lt;30,K1104&gt;7,K1104&lt;17),'Udvaskning nøgletal'!$C$61,IF(AND(Q1104&gt;0,Q1104&lt;30,K1104&lt;7),'Udvaskning nøgletal'!$C$62,"")))</f>
        <v/>
      </c>
      <c r="AI1104" s="10">
        <f t="shared" si="180"/>
        <v>11</v>
      </c>
      <c r="AJ1104" s="10">
        <f>IF($X1104=1,LOOKUP(AI1104,'Udvaskning nøgletal'!$C$12:$C$62,'Udvaskning nøgletal'!$E$12:$E$62)+Markniveau!$Y1104*Markniveau!$S1104/100,IF($X1104=2,LOOKUP(AI1104,'Udvaskning nøgletal'!$C$12:$C$62,'Udvaskning nøgletal'!$F$12:$F$62)+Markniveau!$Y1104*Markniveau!$S1104/100,IF($X1104=3,LOOKUP(AI1104,'Udvaskning nøgletal'!$C$12:$C$62,'Udvaskning nøgletal'!Q1114:Q1164)+Markniveau!$Y1104*Markniveau!$S1104/100,"")))</f>
        <v>69.200779741212841</v>
      </c>
      <c r="AK1104" s="10">
        <f t="shared" si="179"/>
        <v>267.8070175984937</v>
      </c>
      <c r="AL1104" s="10" t="str">
        <f t="shared" si="181"/>
        <v/>
      </c>
      <c r="AM1104" s="10" t="str">
        <f t="shared" si="182"/>
        <v/>
      </c>
    </row>
    <row r="1105" spans="1:39" x14ac:dyDescent="0.25">
      <c r="A1105" s="15">
        <v>35557628</v>
      </c>
      <c r="B1105" s="15">
        <v>9.15</v>
      </c>
      <c r="C1105" s="15">
        <v>267154</v>
      </c>
      <c r="D1105" s="15">
        <v>55926</v>
      </c>
      <c r="E1105" s="15" t="s">
        <v>891</v>
      </c>
      <c r="F1105" s="15">
        <v>2011</v>
      </c>
      <c r="G1105" s="15">
        <v>20110512</v>
      </c>
      <c r="H1105" s="15">
        <v>11330</v>
      </c>
      <c r="I1105" s="15">
        <v>1.1299999999999999</v>
      </c>
      <c r="J1105" s="6" t="s">
        <v>35</v>
      </c>
      <c r="K1105" s="15">
        <v>310</v>
      </c>
      <c r="L1105" s="15" t="s">
        <v>484</v>
      </c>
      <c r="M1105" s="15" t="s">
        <v>81</v>
      </c>
      <c r="N1105" s="11" t="s">
        <v>1384</v>
      </c>
      <c r="O1105" s="11" t="s">
        <v>28</v>
      </c>
      <c r="P1105" s="11" t="s">
        <v>33</v>
      </c>
      <c r="Q1105" s="15">
        <v>0</v>
      </c>
      <c r="R1105" s="11" t="s">
        <v>1386</v>
      </c>
      <c r="S1105" s="10">
        <v>90.815594824257005</v>
      </c>
      <c r="T1105" s="15">
        <v>80</v>
      </c>
      <c r="U1105" s="15">
        <v>0</v>
      </c>
      <c r="V1105" s="15">
        <v>0</v>
      </c>
      <c r="W1105" s="15">
        <v>0</v>
      </c>
      <c r="X1105" s="15">
        <f>IF(O1105='Udvaskning nøgletal'!$D$65,1,IF(O1105='Udvaskning nøgletal'!$D$66,2,IF(O1105='Udvaskning nøgletal'!$D$67,3,IF(O1105='Udvaskning nøgletal'!$D$68,2,""))))</f>
        <v>1</v>
      </c>
      <c r="Y1105" s="15">
        <f>LOOKUP(K1105,'Udvaskning nøgletal'!$C$12:$C$60,'Udvaskning nøgletal'!$H$12:$H$60)</f>
        <v>0</v>
      </c>
      <c r="Z1105" s="10">
        <f>IF(X1105=1,LOOKUP(K1105,'Udvaskning nøgletal'!$C$12:$C$60,'Udvaskning nøgletal'!$E$12:$E$60)+Markniveau!Y1105*Markniveau!S1105/100,IF(X1105=2,LOOKUP(K1105,'Udvaskning nøgletal'!$C$12:$C$60,'Udvaskning nøgletal'!$F$12:$F$60)+Markniveau!Y1105*Markniveau!S1105/100,IF(X1105=3,LOOKUP(K1105,'Udvaskning nøgletal'!$C$12:$C$60,'Udvaskning nøgletal'!G1115:G1163)+Markniveau!Y1105*Markniveau!S1105/100,"")))</f>
        <v>10</v>
      </c>
      <c r="AA1105" s="10">
        <f t="shared" si="176"/>
        <v>11.299999999999999</v>
      </c>
      <c r="AB1105" s="10" t="str">
        <f t="shared" si="175"/>
        <v/>
      </c>
      <c r="AC1105" s="10" t="str">
        <f t="shared" si="177"/>
        <v/>
      </c>
      <c r="AD1105" s="10">
        <f>IF(AND(Q1105&gt;0,Q1105&lt;30,K1105&lt;8),Markniveau!Z1105*'Udvaskning nøgletal'!$I$12/100,IF(AND(Q1105&gt;0,Q1105&lt;30,K1105=216),Markniveau!Z1105*'Udvaskning nøgletal'!$I$34/100,Markniveau!Z1105))</f>
        <v>10</v>
      </c>
      <c r="AE1105" s="10">
        <f t="shared" ref="AE1105:AE1168" si="183">AD1105*I1105</f>
        <v>11.299999999999999</v>
      </c>
      <c r="AF1105" s="10" t="str">
        <f t="shared" si="178"/>
        <v/>
      </c>
      <c r="AG1105" s="10" t="str">
        <f t="shared" ref="AG1105:AG1168" si="184">IF($Q1105&gt;0,(100-$Q1105)*$AD1105/100*I1105,"")</f>
        <v/>
      </c>
      <c r="AH1105" s="10" t="str">
        <f>IF(AND(Q1105&gt;0,Q1105&lt;30,K1105=216),'Udvaskning nøgletal'!$C$42,IF(AND(Q1105&gt;0,Q1105&lt;30,K1105&gt;7,K1105&lt;17),'Udvaskning nøgletal'!$C$61,IF(AND(Q1105&gt;0,Q1105&lt;30,K1105&lt;7),'Udvaskning nøgletal'!$C$62,"")))</f>
        <v/>
      </c>
      <c r="AI1105" s="10">
        <f t="shared" si="180"/>
        <v>310</v>
      </c>
      <c r="AJ1105" s="10">
        <f>IF($X1105=1,LOOKUP(AI1105,'Udvaskning nøgletal'!$C$12:$C$62,'Udvaskning nøgletal'!$E$12:$E$62)+Markniveau!$Y1105*Markniveau!$S1105/100,IF($X1105=2,LOOKUP(AI1105,'Udvaskning nøgletal'!$C$12:$C$62,'Udvaskning nøgletal'!$F$12:$F$62)+Markniveau!$Y1105*Markniveau!$S1105/100,IF($X1105=3,LOOKUP(AI1105,'Udvaskning nøgletal'!$C$12:$C$62,'Udvaskning nøgletal'!Q1115:Q1165)+Markniveau!$Y1105*Markniveau!$S1105/100,"")))</f>
        <v>10</v>
      </c>
      <c r="AK1105" s="10">
        <f t="shared" si="179"/>
        <v>11.299999999999999</v>
      </c>
      <c r="AL1105" s="10" t="str">
        <f t="shared" si="181"/>
        <v/>
      </c>
      <c r="AM1105" s="10" t="str">
        <f t="shared" si="182"/>
        <v/>
      </c>
    </row>
    <row r="1106" spans="1:39" x14ac:dyDescent="0.25">
      <c r="A1106" s="15">
        <v>35557628</v>
      </c>
      <c r="B1106" s="15">
        <v>9.15</v>
      </c>
      <c r="C1106" s="15">
        <v>267249</v>
      </c>
      <c r="D1106" s="15">
        <v>55926</v>
      </c>
      <c r="E1106" s="15" t="s">
        <v>892</v>
      </c>
      <c r="F1106" s="15">
        <v>2011</v>
      </c>
      <c r="G1106" s="15">
        <v>20110512</v>
      </c>
      <c r="H1106" s="15">
        <v>36099</v>
      </c>
      <c r="I1106" s="15">
        <v>3.61</v>
      </c>
      <c r="J1106" s="6" t="s">
        <v>893</v>
      </c>
      <c r="K1106" s="15">
        <v>22</v>
      </c>
      <c r="L1106" s="15" t="s">
        <v>213</v>
      </c>
      <c r="M1106" s="15" t="s">
        <v>5</v>
      </c>
      <c r="N1106" s="11" t="s">
        <v>1384</v>
      </c>
      <c r="O1106" s="11" t="s">
        <v>28</v>
      </c>
      <c r="P1106" s="11" t="s">
        <v>33</v>
      </c>
      <c r="Q1106" s="15">
        <v>0</v>
      </c>
      <c r="R1106" s="11" t="s">
        <v>1386</v>
      </c>
      <c r="S1106" s="10">
        <v>90.815594824257005</v>
      </c>
      <c r="T1106" s="15">
        <v>80</v>
      </c>
      <c r="U1106" s="15">
        <v>0</v>
      </c>
      <c r="V1106" s="15">
        <v>0</v>
      </c>
      <c r="W1106" s="15">
        <v>0</v>
      </c>
      <c r="X1106" s="15">
        <f>IF(O1106='Udvaskning nøgletal'!$D$65,1,IF(O1106='Udvaskning nøgletal'!$D$66,2,IF(O1106='Udvaskning nøgletal'!$D$67,3,IF(O1106='Udvaskning nøgletal'!$D$68,2,""))))</f>
        <v>1</v>
      </c>
      <c r="Y1106" s="15">
        <f>LOOKUP(K1106,'Udvaskning nøgletal'!$C$12:$C$60,'Udvaskning nøgletal'!$H$12:$H$60)</f>
        <v>5</v>
      </c>
      <c r="Z1106" s="10">
        <f>IF(X1106=1,LOOKUP(K1106,'Udvaskning nøgletal'!$C$12:$C$60,'Udvaskning nøgletal'!$E$12:$E$60)+Markniveau!Y1106*Markniveau!S1106/100,IF(X1106=2,LOOKUP(K1106,'Udvaskning nøgletal'!$C$12:$C$60,'Udvaskning nøgletal'!$F$12:$F$60)+Markniveau!Y1106*Markniveau!S1106/100,IF(X1106=3,LOOKUP(K1106,'Udvaskning nøgletal'!$C$12:$C$60,'Udvaskning nøgletal'!G1116:G1164)+Markniveau!Y1106*Markniveau!S1106/100,"")))</f>
        <v>69.200779741212841</v>
      </c>
      <c r="AA1106" s="10">
        <f t="shared" si="176"/>
        <v>249.81481486577835</v>
      </c>
      <c r="AB1106" s="10" t="str">
        <f t="shared" si="175"/>
        <v/>
      </c>
      <c r="AC1106" s="10" t="str">
        <f t="shared" si="177"/>
        <v/>
      </c>
      <c r="AD1106" s="10">
        <f>IF(AND(Q1106&gt;0,Q1106&lt;30,K1106&lt;8),Markniveau!Z1106*'Udvaskning nøgletal'!$I$12/100,IF(AND(Q1106&gt;0,Q1106&lt;30,K1106=216),Markniveau!Z1106*'Udvaskning nøgletal'!$I$34/100,Markniveau!Z1106))</f>
        <v>69.200779741212841</v>
      </c>
      <c r="AE1106" s="10">
        <f t="shared" si="183"/>
        <v>249.81481486577835</v>
      </c>
      <c r="AF1106" s="10" t="str">
        <f t="shared" si="178"/>
        <v/>
      </c>
      <c r="AG1106" s="10" t="str">
        <f t="shared" si="184"/>
        <v/>
      </c>
      <c r="AH1106" s="10" t="str">
        <f>IF(AND(Q1106&gt;0,Q1106&lt;30,K1106=216),'Udvaskning nøgletal'!$C$42,IF(AND(Q1106&gt;0,Q1106&lt;30,K1106&gt;7,K1106&lt;17),'Udvaskning nøgletal'!$C$61,IF(AND(Q1106&gt;0,Q1106&lt;30,K1106&lt;7),'Udvaskning nøgletal'!$C$62,"")))</f>
        <v/>
      </c>
      <c r="AI1106" s="10">
        <f t="shared" si="180"/>
        <v>22</v>
      </c>
      <c r="AJ1106" s="10">
        <f>IF($X1106=1,LOOKUP(AI1106,'Udvaskning nøgletal'!$C$12:$C$62,'Udvaskning nøgletal'!$E$12:$E$62)+Markniveau!$Y1106*Markniveau!$S1106/100,IF($X1106=2,LOOKUP(AI1106,'Udvaskning nøgletal'!$C$12:$C$62,'Udvaskning nøgletal'!$F$12:$F$62)+Markniveau!$Y1106*Markniveau!$S1106/100,IF($X1106=3,LOOKUP(AI1106,'Udvaskning nøgletal'!$C$12:$C$62,'Udvaskning nøgletal'!Q1116:Q1166)+Markniveau!$Y1106*Markniveau!$S1106/100,"")))</f>
        <v>69.200779741212841</v>
      </c>
      <c r="AK1106" s="10">
        <f t="shared" si="179"/>
        <v>249.81481486577835</v>
      </c>
      <c r="AL1106" s="10" t="str">
        <f t="shared" si="181"/>
        <v/>
      </c>
      <c r="AM1106" s="10" t="str">
        <f t="shared" si="182"/>
        <v/>
      </c>
    </row>
    <row r="1107" spans="1:39" x14ac:dyDescent="0.25">
      <c r="A1107" s="15">
        <v>35557628</v>
      </c>
      <c r="B1107" s="15">
        <v>9.15</v>
      </c>
      <c r="C1107" s="15">
        <v>267251</v>
      </c>
      <c r="D1107" s="15">
        <v>55926</v>
      </c>
      <c r="E1107" s="15" t="s">
        <v>894</v>
      </c>
      <c r="F1107" s="15">
        <v>2011</v>
      </c>
      <c r="G1107" s="15">
        <v>20110512</v>
      </c>
      <c r="H1107" s="15">
        <v>22413</v>
      </c>
      <c r="I1107" s="15">
        <v>2.2400000000000002</v>
      </c>
      <c r="J1107" s="6" t="s">
        <v>895</v>
      </c>
      <c r="K1107" s="15">
        <v>150</v>
      </c>
      <c r="L1107" s="15" t="s">
        <v>896</v>
      </c>
      <c r="M1107" s="15" t="s">
        <v>5</v>
      </c>
      <c r="N1107" s="11" t="s">
        <v>1384</v>
      </c>
      <c r="O1107" s="11" t="s">
        <v>28</v>
      </c>
      <c r="P1107" s="11" t="s">
        <v>33</v>
      </c>
      <c r="Q1107" s="15">
        <v>0</v>
      </c>
      <c r="R1107" s="11" t="s">
        <v>1386</v>
      </c>
      <c r="S1107" s="10">
        <v>90.815594824257005</v>
      </c>
      <c r="T1107" s="15">
        <v>80</v>
      </c>
      <c r="U1107" s="15">
        <v>0</v>
      </c>
      <c r="V1107" s="15">
        <v>0</v>
      </c>
      <c r="W1107" s="15">
        <v>0</v>
      </c>
      <c r="X1107" s="15">
        <f>IF(O1107='Udvaskning nøgletal'!$D$65,1,IF(O1107='Udvaskning nøgletal'!$D$66,2,IF(O1107='Udvaskning nøgletal'!$D$67,3,IF(O1107='Udvaskning nøgletal'!$D$68,2,""))))</f>
        <v>1</v>
      </c>
      <c r="Y1107" s="15">
        <f>LOOKUP(K1107,'Udvaskning nøgletal'!$C$12:$C$60,'Udvaskning nøgletal'!$H$12:$H$60)</f>
        <v>5</v>
      </c>
      <c r="Z1107" s="10">
        <f>IF(X1107=1,LOOKUP(K1107,'Udvaskning nøgletal'!$C$12:$C$60,'Udvaskning nøgletal'!$E$12:$E$60)+Markniveau!Y1107*Markniveau!S1107/100,IF(X1107=2,LOOKUP(K1107,'Udvaskning nøgletal'!$C$12:$C$60,'Udvaskning nøgletal'!$F$12:$F$60)+Markniveau!Y1107*Markniveau!S1107/100,IF(X1107=3,LOOKUP(K1107,'Udvaskning nøgletal'!$C$12:$C$60,'Udvaskning nøgletal'!G1117:G1165)+Markniveau!Y1107*Markniveau!S1107/100,"")))</f>
        <v>69.200779741212841</v>
      </c>
      <c r="AA1107" s="10">
        <f t="shared" si="176"/>
        <v>155.00974662031678</v>
      </c>
      <c r="AB1107" s="10" t="str">
        <f t="shared" si="175"/>
        <v/>
      </c>
      <c r="AC1107" s="10" t="str">
        <f t="shared" si="177"/>
        <v/>
      </c>
      <c r="AD1107" s="10">
        <f>IF(AND(Q1107&gt;0,Q1107&lt;30,K1107&lt;8),Markniveau!Z1107*'Udvaskning nøgletal'!$I$12/100,IF(AND(Q1107&gt;0,Q1107&lt;30,K1107=216),Markniveau!Z1107*'Udvaskning nøgletal'!$I$34/100,Markniveau!Z1107))</f>
        <v>69.200779741212841</v>
      </c>
      <c r="AE1107" s="10">
        <f t="shared" si="183"/>
        <v>155.00974662031678</v>
      </c>
      <c r="AF1107" s="10" t="str">
        <f t="shared" si="178"/>
        <v/>
      </c>
      <c r="AG1107" s="10" t="str">
        <f t="shared" si="184"/>
        <v/>
      </c>
      <c r="AH1107" s="10" t="str">
        <f>IF(AND(Q1107&gt;0,Q1107&lt;30,K1107=216),'Udvaskning nøgletal'!$C$42,IF(AND(Q1107&gt;0,Q1107&lt;30,K1107&gt;7,K1107&lt;17),'Udvaskning nøgletal'!$C$61,IF(AND(Q1107&gt;0,Q1107&lt;30,K1107&lt;7),'Udvaskning nøgletal'!$C$62,"")))</f>
        <v/>
      </c>
      <c r="AI1107" s="10">
        <f t="shared" si="180"/>
        <v>150</v>
      </c>
      <c r="AJ1107" s="10">
        <f>IF($X1107=1,LOOKUP(AI1107,'Udvaskning nøgletal'!$C$12:$C$62,'Udvaskning nøgletal'!$E$12:$E$62)+Markniveau!$Y1107*Markniveau!$S1107/100,IF($X1107=2,LOOKUP(AI1107,'Udvaskning nøgletal'!$C$12:$C$62,'Udvaskning nøgletal'!$F$12:$F$62)+Markniveau!$Y1107*Markniveau!$S1107/100,IF($X1107=3,LOOKUP(AI1107,'Udvaskning nøgletal'!$C$12:$C$62,'Udvaskning nøgletal'!Q1117:Q1167)+Markniveau!$Y1107*Markniveau!$S1107/100,"")))</f>
        <v>69.200779741212841</v>
      </c>
      <c r="AK1107" s="10">
        <f t="shared" si="179"/>
        <v>155.00974662031678</v>
      </c>
      <c r="AL1107" s="10" t="str">
        <f t="shared" si="181"/>
        <v/>
      </c>
      <c r="AM1107" s="10" t="str">
        <f t="shared" si="182"/>
        <v/>
      </c>
    </row>
    <row r="1108" spans="1:39" x14ac:dyDescent="0.25">
      <c r="A1108" s="15">
        <v>35557628</v>
      </c>
      <c r="B1108" s="15">
        <v>9.15</v>
      </c>
      <c r="C1108" s="15">
        <v>267997</v>
      </c>
      <c r="D1108" s="15">
        <v>55926</v>
      </c>
      <c r="E1108" s="15" t="s">
        <v>897</v>
      </c>
      <c r="F1108" s="15">
        <v>2011</v>
      </c>
      <c r="G1108" s="15">
        <v>20110512</v>
      </c>
      <c r="H1108" s="15">
        <v>69040</v>
      </c>
      <c r="I1108" s="15">
        <v>6.9</v>
      </c>
      <c r="J1108" s="6" t="s">
        <v>601</v>
      </c>
      <c r="K1108" s="15">
        <v>22</v>
      </c>
      <c r="L1108" s="15" t="s">
        <v>213</v>
      </c>
      <c r="M1108" s="15" t="s">
        <v>5</v>
      </c>
      <c r="N1108" s="11" t="s">
        <v>1384</v>
      </c>
      <c r="O1108" s="11" t="s">
        <v>28</v>
      </c>
      <c r="P1108" s="11" t="s">
        <v>33</v>
      </c>
      <c r="Q1108" s="15">
        <v>0</v>
      </c>
      <c r="R1108" s="11" t="s">
        <v>1386</v>
      </c>
      <c r="S1108" s="10">
        <v>90.815594824257005</v>
      </c>
      <c r="T1108" s="15">
        <v>80</v>
      </c>
      <c r="U1108" s="15">
        <v>0</v>
      </c>
      <c r="V1108" s="15">
        <v>0</v>
      </c>
      <c r="W1108" s="15">
        <v>0</v>
      </c>
      <c r="X1108" s="15">
        <f>IF(O1108='Udvaskning nøgletal'!$D$65,1,IF(O1108='Udvaskning nøgletal'!$D$66,2,IF(O1108='Udvaskning nøgletal'!$D$67,3,IF(O1108='Udvaskning nøgletal'!$D$68,2,""))))</f>
        <v>1</v>
      </c>
      <c r="Y1108" s="15">
        <f>LOOKUP(K1108,'Udvaskning nøgletal'!$C$12:$C$60,'Udvaskning nøgletal'!$H$12:$H$60)</f>
        <v>5</v>
      </c>
      <c r="Z1108" s="10">
        <f>IF(X1108=1,LOOKUP(K1108,'Udvaskning nøgletal'!$C$12:$C$60,'Udvaskning nøgletal'!$E$12:$E$60)+Markniveau!Y1108*Markniveau!S1108/100,IF(X1108=2,LOOKUP(K1108,'Udvaskning nøgletal'!$C$12:$C$60,'Udvaskning nøgletal'!$F$12:$F$60)+Markniveau!Y1108*Markniveau!S1108/100,IF(X1108=3,LOOKUP(K1108,'Udvaskning nøgletal'!$C$12:$C$60,'Udvaskning nøgletal'!G1118:G1166)+Markniveau!Y1108*Markniveau!S1108/100,"")))</f>
        <v>69.200779741212841</v>
      </c>
      <c r="AA1108" s="10">
        <f t="shared" si="176"/>
        <v>477.4853802143686</v>
      </c>
      <c r="AB1108" s="10" t="str">
        <f t="shared" si="175"/>
        <v/>
      </c>
      <c r="AC1108" s="10" t="str">
        <f t="shared" si="177"/>
        <v/>
      </c>
      <c r="AD1108" s="10">
        <f>IF(AND(Q1108&gt;0,Q1108&lt;30,K1108&lt;8),Markniveau!Z1108*'Udvaskning nøgletal'!$I$12/100,IF(AND(Q1108&gt;0,Q1108&lt;30,K1108=216),Markniveau!Z1108*'Udvaskning nøgletal'!$I$34/100,Markniveau!Z1108))</f>
        <v>69.200779741212841</v>
      </c>
      <c r="AE1108" s="10">
        <f t="shared" si="183"/>
        <v>477.4853802143686</v>
      </c>
      <c r="AF1108" s="10" t="str">
        <f t="shared" si="178"/>
        <v/>
      </c>
      <c r="AG1108" s="10" t="str">
        <f t="shared" si="184"/>
        <v/>
      </c>
      <c r="AH1108" s="10" t="str">
        <f>IF(AND(Q1108&gt;0,Q1108&lt;30,K1108=216),'Udvaskning nøgletal'!$C$42,IF(AND(Q1108&gt;0,Q1108&lt;30,K1108&gt;7,K1108&lt;17),'Udvaskning nøgletal'!$C$61,IF(AND(Q1108&gt;0,Q1108&lt;30,K1108&lt;7),'Udvaskning nøgletal'!$C$62,"")))</f>
        <v/>
      </c>
      <c r="AI1108" s="10">
        <f t="shared" si="180"/>
        <v>22</v>
      </c>
      <c r="AJ1108" s="10">
        <f>IF($X1108=1,LOOKUP(AI1108,'Udvaskning nøgletal'!$C$12:$C$62,'Udvaskning nøgletal'!$E$12:$E$62)+Markniveau!$Y1108*Markniveau!$S1108/100,IF($X1108=2,LOOKUP(AI1108,'Udvaskning nøgletal'!$C$12:$C$62,'Udvaskning nøgletal'!$F$12:$F$62)+Markniveau!$Y1108*Markniveau!$S1108/100,IF($X1108=3,LOOKUP(AI1108,'Udvaskning nøgletal'!$C$12:$C$62,'Udvaskning nøgletal'!Q1118:Q1168)+Markniveau!$Y1108*Markniveau!$S1108/100,"")))</f>
        <v>69.200779741212841</v>
      </c>
      <c r="AK1108" s="10">
        <f t="shared" si="179"/>
        <v>477.4853802143686</v>
      </c>
      <c r="AL1108" s="10" t="str">
        <f t="shared" si="181"/>
        <v/>
      </c>
      <c r="AM1108" s="10" t="str">
        <f t="shared" si="182"/>
        <v/>
      </c>
    </row>
    <row r="1109" spans="1:39" x14ac:dyDescent="0.25">
      <c r="A1109" s="15">
        <v>35557628</v>
      </c>
      <c r="B1109" s="15">
        <v>9.15</v>
      </c>
      <c r="C1109" s="15">
        <v>268049</v>
      </c>
      <c r="D1109" s="15">
        <v>55926</v>
      </c>
      <c r="E1109" s="15" t="s">
        <v>898</v>
      </c>
      <c r="F1109" s="15">
        <v>2011</v>
      </c>
      <c r="G1109" s="15">
        <v>20110512</v>
      </c>
      <c r="H1109" s="15">
        <v>61330</v>
      </c>
      <c r="I1109" s="15">
        <v>6.13</v>
      </c>
      <c r="J1109" s="6" t="s">
        <v>899</v>
      </c>
      <c r="K1109" s="15">
        <v>15</v>
      </c>
      <c r="L1109" s="15" t="s">
        <v>362</v>
      </c>
      <c r="M1109" s="15" t="s">
        <v>5</v>
      </c>
      <c r="N1109" s="11" t="s">
        <v>1384</v>
      </c>
      <c r="O1109" s="11" t="s">
        <v>28</v>
      </c>
      <c r="P1109" s="11" t="s">
        <v>33</v>
      </c>
      <c r="Q1109" s="15">
        <v>0</v>
      </c>
      <c r="R1109" s="11" t="s">
        <v>1386</v>
      </c>
      <c r="S1109" s="10">
        <v>90.815594824257005</v>
      </c>
      <c r="T1109" s="15">
        <v>80</v>
      </c>
      <c r="U1109" s="15">
        <v>0</v>
      </c>
      <c r="V1109" s="15">
        <v>0</v>
      </c>
      <c r="W1109" s="15">
        <v>0</v>
      </c>
      <c r="X1109" s="15">
        <f>IF(O1109='Udvaskning nøgletal'!$D$65,1,IF(O1109='Udvaskning nøgletal'!$D$66,2,IF(O1109='Udvaskning nøgletal'!$D$67,3,IF(O1109='Udvaskning nøgletal'!$D$68,2,""))))</f>
        <v>1</v>
      </c>
      <c r="Y1109" s="15">
        <f>LOOKUP(K1109,'Udvaskning nøgletal'!$C$12:$C$60,'Udvaskning nøgletal'!$H$12:$H$60)</f>
        <v>5</v>
      </c>
      <c r="Z1109" s="10">
        <f>IF(X1109=1,LOOKUP(K1109,'Udvaskning nøgletal'!$C$12:$C$60,'Udvaskning nøgletal'!$E$12:$E$60)+Markniveau!Y1109*Markniveau!S1109/100,IF(X1109=2,LOOKUP(K1109,'Udvaskning nøgletal'!$C$12:$C$60,'Udvaskning nøgletal'!$F$12:$F$60)+Markniveau!Y1109*Markniveau!S1109/100,IF(X1109=3,LOOKUP(K1109,'Udvaskning nøgletal'!$C$12:$C$60,'Udvaskning nøgletal'!G1119:G1167)+Markniveau!Y1109*Markniveau!S1109/100,"")))</f>
        <v>69.200779741212841</v>
      </c>
      <c r="AA1109" s="10">
        <f t="shared" si="176"/>
        <v>424.20077981363471</v>
      </c>
      <c r="AB1109" s="10" t="str">
        <f t="shared" si="175"/>
        <v/>
      </c>
      <c r="AC1109" s="10" t="str">
        <f t="shared" si="177"/>
        <v/>
      </c>
      <c r="AD1109" s="10">
        <f>IF(AND(Q1109&gt;0,Q1109&lt;30,K1109&lt;8),Markniveau!Z1109*'Udvaskning nøgletal'!$I$12/100,IF(AND(Q1109&gt;0,Q1109&lt;30,K1109=216),Markniveau!Z1109*'Udvaskning nøgletal'!$I$34/100,Markniveau!Z1109))</f>
        <v>69.200779741212841</v>
      </c>
      <c r="AE1109" s="10">
        <f t="shared" si="183"/>
        <v>424.20077981363471</v>
      </c>
      <c r="AF1109" s="10" t="str">
        <f t="shared" si="178"/>
        <v/>
      </c>
      <c r="AG1109" s="10" t="str">
        <f t="shared" si="184"/>
        <v/>
      </c>
      <c r="AH1109" s="10" t="str">
        <f>IF(AND(Q1109&gt;0,Q1109&lt;30,K1109=216),'Udvaskning nøgletal'!$C$42,IF(AND(Q1109&gt;0,Q1109&lt;30,K1109&gt;7,K1109&lt;17),'Udvaskning nøgletal'!$C$61,IF(AND(Q1109&gt;0,Q1109&lt;30,K1109&lt;7),'Udvaskning nøgletal'!$C$62,"")))</f>
        <v/>
      </c>
      <c r="AI1109" s="10">
        <f t="shared" si="180"/>
        <v>15</v>
      </c>
      <c r="AJ1109" s="10">
        <f>IF($X1109=1,LOOKUP(AI1109,'Udvaskning nøgletal'!$C$12:$C$62,'Udvaskning nøgletal'!$E$12:$E$62)+Markniveau!$Y1109*Markniveau!$S1109/100,IF($X1109=2,LOOKUP(AI1109,'Udvaskning nøgletal'!$C$12:$C$62,'Udvaskning nøgletal'!$F$12:$F$62)+Markniveau!$Y1109*Markniveau!$S1109/100,IF($X1109=3,LOOKUP(AI1109,'Udvaskning nøgletal'!$C$12:$C$62,'Udvaskning nøgletal'!Q1119:Q1169)+Markniveau!$Y1109*Markniveau!$S1109/100,"")))</f>
        <v>69.200779741212841</v>
      </c>
      <c r="AK1109" s="10">
        <f t="shared" si="179"/>
        <v>424.20077981363471</v>
      </c>
      <c r="AL1109" s="10" t="str">
        <f t="shared" si="181"/>
        <v/>
      </c>
      <c r="AM1109" s="10" t="str">
        <f t="shared" si="182"/>
        <v/>
      </c>
    </row>
    <row r="1110" spans="1:39" x14ac:dyDescent="0.25">
      <c r="A1110" s="15">
        <v>35557628</v>
      </c>
      <c r="B1110" s="15">
        <v>9.15</v>
      </c>
      <c r="C1110" s="15">
        <v>268190</v>
      </c>
      <c r="D1110" s="15">
        <v>55926</v>
      </c>
      <c r="E1110" s="15" t="s">
        <v>900</v>
      </c>
      <c r="F1110" s="15">
        <v>2011</v>
      </c>
      <c r="G1110" s="15">
        <v>20110512</v>
      </c>
      <c r="H1110" s="15">
        <v>81116</v>
      </c>
      <c r="I1110" s="15">
        <v>8.11</v>
      </c>
      <c r="J1110" s="6" t="s">
        <v>901</v>
      </c>
      <c r="K1110" s="15">
        <v>152</v>
      </c>
      <c r="L1110" s="15" t="s">
        <v>333</v>
      </c>
      <c r="M1110" s="15" t="s">
        <v>5</v>
      </c>
      <c r="N1110" s="11" t="s">
        <v>1391</v>
      </c>
      <c r="O1110" s="11" t="s">
        <v>46</v>
      </c>
      <c r="P1110" s="11" t="s">
        <v>33</v>
      </c>
      <c r="Q1110" s="15">
        <v>0</v>
      </c>
      <c r="R1110" s="11" t="s">
        <v>1386</v>
      </c>
      <c r="S1110" s="10">
        <v>90.815594824257005</v>
      </c>
      <c r="T1110" s="15">
        <v>80</v>
      </c>
      <c r="U1110" s="15">
        <v>0</v>
      </c>
      <c r="V1110" s="15">
        <v>0</v>
      </c>
      <c r="W1110" s="15">
        <v>0</v>
      </c>
      <c r="X1110" s="15">
        <f>IF(O1110='Udvaskning nøgletal'!$D$65,1,IF(O1110='Udvaskning nøgletal'!$D$66,2,IF(O1110='Udvaskning nøgletal'!$D$67,3,IF(O1110='Udvaskning nøgletal'!$D$68,2,""))))</f>
        <v>2</v>
      </c>
      <c r="Y1110" s="15">
        <f>LOOKUP(K1110,'Udvaskning nøgletal'!$C$12:$C$60,'Udvaskning nøgletal'!$H$12:$H$60)</f>
        <v>5</v>
      </c>
      <c r="Z1110" s="10">
        <f>IF(X1110=1,LOOKUP(K1110,'Udvaskning nøgletal'!$C$12:$C$60,'Udvaskning nøgletal'!$E$12:$E$60)+Markniveau!Y1110*Markniveau!S1110/100,IF(X1110=2,LOOKUP(K1110,'Udvaskning nøgletal'!$C$12:$C$60,'Udvaskning nøgletal'!$F$12:$F$60)+Markniveau!Y1110*Markniveau!S1110/100,IF(X1110=3,LOOKUP(K1110,'Udvaskning nøgletal'!$C$12:$C$60,'Udvaskning nøgletal'!G1120:G1168)+Markniveau!Y1110*Markniveau!S1110/100,"")))</f>
        <v>55.420779741212854</v>
      </c>
      <c r="AA1110" s="10">
        <f t="shared" si="176"/>
        <v>449.46252370123619</v>
      </c>
      <c r="AB1110" s="10" t="str">
        <f t="shared" si="175"/>
        <v/>
      </c>
      <c r="AC1110" s="10" t="str">
        <f t="shared" si="177"/>
        <v/>
      </c>
      <c r="AD1110" s="10">
        <f>IF(AND(Q1110&gt;0,Q1110&lt;30,K1110&lt;8),Markniveau!Z1110*'Udvaskning nøgletal'!$I$12/100,IF(AND(Q1110&gt;0,Q1110&lt;30,K1110=216),Markniveau!Z1110*'Udvaskning nøgletal'!$I$34/100,Markniveau!Z1110))</f>
        <v>55.420779741212854</v>
      </c>
      <c r="AE1110" s="10">
        <f t="shared" si="183"/>
        <v>449.46252370123619</v>
      </c>
      <c r="AF1110" s="10" t="str">
        <f t="shared" si="178"/>
        <v/>
      </c>
      <c r="AG1110" s="10" t="str">
        <f t="shared" si="184"/>
        <v/>
      </c>
      <c r="AH1110" s="10" t="str">
        <f>IF(AND(Q1110&gt;0,Q1110&lt;30,K1110=216),'Udvaskning nøgletal'!$C$42,IF(AND(Q1110&gt;0,Q1110&lt;30,K1110&gt;7,K1110&lt;17),'Udvaskning nøgletal'!$C$61,IF(AND(Q1110&gt;0,Q1110&lt;30,K1110&lt;7),'Udvaskning nøgletal'!$C$62,"")))</f>
        <v/>
      </c>
      <c r="AI1110" s="10">
        <f t="shared" si="180"/>
        <v>152</v>
      </c>
      <c r="AJ1110" s="10">
        <f>IF($X1110=1,LOOKUP(AI1110,'Udvaskning nøgletal'!$C$12:$C$62,'Udvaskning nøgletal'!$E$12:$E$62)+Markniveau!$Y1110*Markniveau!$S1110/100,IF($X1110=2,LOOKUP(AI1110,'Udvaskning nøgletal'!$C$12:$C$62,'Udvaskning nøgletal'!$F$12:$F$62)+Markniveau!$Y1110*Markniveau!$S1110/100,IF($X1110=3,LOOKUP(AI1110,'Udvaskning nøgletal'!$C$12:$C$62,'Udvaskning nøgletal'!Q1120:Q1170)+Markniveau!$Y1110*Markniveau!$S1110/100,"")))</f>
        <v>55.420779741212854</v>
      </c>
      <c r="AK1110" s="10">
        <f t="shared" si="179"/>
        <v>449.46252370123619</v>
      </c>
      <c r="AL1110" s="10" t="str">
        <f t="shared" si="181"/>
        <v/>
      </c>
      <c r="AM1110" s="10" t="str">
        <f t="shared" si="182"/>
        <v/>
      </c>
    </row>
    <row r="1111" spans="1:39" x14ac:dyDescent="0.25">
      <c r="A1111" s="15">
        <v>35557628</v>
      </c>
      <c r="B1111" s="15">
        <v>9.15</v>
      </c>
      <c r="C1111" s="15">
        <v>268192</v>
      </c>
      <c r="D1111" s="15">
        <v>55926</v>
      </c>
      <c r="E1111" s="15" t="s">
        <v>902</v>
      </c>
      <c r="F1111" s="15">
        <v>2011</v>
      </c>
      <c r="G1111" s="15">
        <v>20110512</v>
      </c>
      <c r="H1111" s="15">
        <v>80579</v>
      </c>
      <c r="I1111" s="15">
        <v>8.06</v>
      </c>
      <c r="J1111" s="6" t="s">
        <v>31</v>
      </c>
      <c r="K1111" s="15">
        <v>150</v>
      </c>
      <c r="L1111" s="15" t="s">
        <v>896</v>
      </c>
      <c r="M1111" s="15" t="s">
        <v>5</v>
      </c>
      <c r="N1111" s="11" t="s">
        <v>1384</v>
      </c>
      <c r="O1111" s="11" t="s">
        <v>28</v>
      </c>
      <c r="P1111" s="11" t="s">
        <v>33</v>
      </c>
      <c r="Q1111" s="15">
        <v>0</v>
      </c>
      <c r="R1111" s="11" t="s">
        <v>1386</v>
      </c>
      <c r="S1111" s="10">
        <v>90.815594824257005</v>
      </c>
      <c r="T1111" s="15">
        <v>80</v>
      </c>
      <c r="U1111" s="15">
        <v>0</v>
      </c>
      <c r="V1111" s="15">
        <v>0</v>
      </c>
      <c r="W1111" s="15">
        <v>0</v>
      </c>
      <c r="X1111" s="15">
        <f>IF(O1111='Udvaskning nøgletal'!$D$65,1,IF(O1111='Udvaskning nøgletal'!$D$66,2,IF(O1111='Udvaskning nøgletal'!$D$67,3,IF(O1111='Udvaskning nøgletal'!$D$68,2,""))))</f>
        <v>1</v>
      </c>
      <c r="Y1111" s="15">
        <f>LOOKUP(K1111,'Udvaskning nøgletal'!$C$12:$C$60,'Udvaskning nøgletal'!$H$12:$H$60)</f>
        <v>5</v>
      </c>
      <c r="Z1111" s="10">
        <f>IF(X1111=1,LOOKUP(K1111,'Udvaskning nøgletal'!$C$12:$C$60,'Udvaskning nøgletal'!$E$12:$E$60)+Markniveau!Y1111*Markniveau!S1111/100,IF(X1111=2,LOOKUP(K1111,'Udvaskning nøgletal'!$C$12:$C$60,'Udvaskning nøgletal'!$F$12:$F$60)+Markniveau!Y1111*Markniveau!S1111/100,IF(X1111=3,LOOKUP(K1111,'Udvaskning nøgletal'!$C$12:$C$60,'Udvaskning nøgletal'!G1121:G1169)+Markniveau!Y1111*Markniveau!S1111/100,"")))</f>
        <v>69.200779741212841</v>
      </c>
      <c r="AA1111" s="10">
        <f t="shared" si="176"/>
        <v>557.75828471417549</v>
      </c>
      <c r="AB1111" s="10" t="str">
        <f t="shared" si="175"/>
        <v/>
      </c>
      <c r="AC1111" s="10" t="str">
        <f t="shared" si="177"/>
        <v/>
      </c>
      <c r="AD1111" s="10">
        <f>IF(AND(Q1111&gt;0,Q1111&lt;30,K1111&lt;8),Markniveau!Z1111*'Udvaskning nøgletal'!$I$12/100,IF(AND(Q1111&gt;0,Q1111&lt;30,K1111=216),Markniveau!Z1111*'Udvaskning nøgletal'!$I$34/100,Markniveau!Z1111))</f>
        <v>69.200779741212841</v>
      </c>
      <c r="AE1111" s="10">
        <f t="shared" si="183"/>
        <v>557.75828471417549</v>
      </c>
      <c r="AF1111" s="10" t="str">
        <f t="shared" si="178"/>
        <v/>
      </c>
      <c r="AG1111" s="10" t="str">
        <f t="shared" si="184"/>
        <v/>
      </c>
      <c r="AH1111" s="10" t="str">
        <f>IF(AND(Q1111&gt;0,Q1111&lt;30,K1111=216),'Udvaskning nøgletal'!$C$42,IF(AND(Q1111&gt;0,Q1111&lt;30,K1111&gt;7,K1111&lt;17),'Udvaskning nøgletal'!$C$61,IF(AND(Q1111&gt;0,Q1111&lt;30,K1111&lt;7),'Udvaskning nøgletal'!$C$62,"")))</f>
        <v/>
      </c>
      <c r="AI1111" s="10">
        <f t="shared" si="180"/>
        <v>150</v>
      </c>
      <c r="AJ1111" s="10">
        <f>IF($X1111=1,LOOKUP(AI1111,'Udvaskning nøgletal'!$C$12:$C$62,'Udvaskning nøgletal'!$E$12:$E$62)+Markniveau!$Y1111*Markniveau!$S1111/100,IF($X1111=2,LOOKUP(AI1111,'Udvaskning nøgletal'!$C$12:$C$62,'Udvaskning nøgletal'!$F$12:$F$62)+Markniveau!$Y1111*Markniveau!$S1111/100,IF($X1111=3,LOOKUP(AI1111,'Udvaskning nøgletal'!$C$12:$C$62,'Udvaskning nøgletal'!Q1121:Q1171)+Markniveau!$Y1111*Markniveau!$S1111/100,"")))</f>
        <v>69.200779741212841</v>
      </c>
      <c r="AK1111" s="10">
        <f t="shared" si="179"/>
        <v>557.75828471417549</v>
      </c>
      <c r="AL1111" s="10" t="str">
        <f t="shared" si="181"/>
        <v/>
      </c>
      <c r="AM1111" s="10" t="str">
        <f t="shared" si="182"/>
        <v/>
      </c>
    </row>
    <row r="1112" spans="1:39" x14ac:dyDescent="0.25">
      <c r="A1112" s="15">
        <v>35557628</v>
      </c>
      <c r="B1112" s="15">
        <v>9.15</v>
      </c>
      <c r="C1112" s="15">
        <v>268392</v>
      </c>
      <c r="D1112" s="15">
        <v>55926</v>
      </c>
      <c r="E1112" s="15" t="s">
        <v>903</v>
      </c>
      <c r="F1112" s="15">
        <v>2011</v>
      </c>
      <c r="G1112" s="15">
        <v>20110512</v>
      </c>
      <c r="H1112" s="15">
        <v>106123</v>
      </c>
      <c r="I1112" s="15">
        <v>10.61</v>
      </c>
      <c r="J1112" s="6" t="s">
        <v>584</v>
      </c>
      <c r="K1112" s="15">
        <v>150</v>
      </c>
      <c r="L1112" s="15" t="s">
        <v>896</v>
      </c>
      <c r="M1112" s="15" t="s">
        <v>5</v>
      </c>
      <c r="N1112" s="11" t="s">
        <v>1391</v>
      </c>
      <c r="O1112" s="11" t="s">
        <v>46</v>
      </c>
      <c r="P1112" s="11" t="s">
        <v>33</v>
      </c>
      <c r="Q1112" s="15">
        <v>0</v>
      </c>
      <c r="R1112" s="11" t="s">
        <v>1386</v>
      </c>
      <c r="S1112" s="10">
        <v>90.815594824257005</v>
      </c>
      <c r="T1112" s="15">
        <v>80</v>
      </c>
      <c r="U1112" s="15">
        <v>0</v>
      </c>
      <c r="V1112" s="15">
        <v>0</v>
      </c>
      <c r="W1112" s="15">
        <v>0</v>
      </c>
      <c r="X1112" s="15">
        <f>IF(O1112='Udvaskning nøgletal'!$D$65,1,IF(O1112='Udvaskning nøgletal'!$D$66,2,IF(O1112='Udvaskning nøgletal'!$D$67,3,IF(O1112='Udvaskning nøgletal'!$D$68,2,""))))</f>
        <v>2</v>
      </c>
      <c r="Y1112" s="15">
        <f>LOOKUP(K1112,'Udvaskning nøgletal'!$C$12:$C$60,'Udvaskning nøgletal'!$H$12:$H$60)</f>
        <v>5</v>
      </c>
      <c r="Z1112" s="10">
        <f>IF(X1112=1,LOOKUP(K1112,'Udvaskning nøgletal'!$C$12:$C$60,'Udvaskning nøgletal'!$E$12:$E$60)+Markniveau!Y1112*Markniveau!S1112/100,IF(X1112=2,LOOKUP(K1112,'Udvaskning nøgletal'!$C$12:$C$60,'Udvaskning nøgletal'!$F$12:$F$60)+Markniveau!Y1112*Markniveau!S1112/100,IF(X1112=3,LOOKUP(K1112,'Udvaskning nøgletal'!$C$12:$C$60,'Udvaskning nøgletal'!G1122:G1170)+Markniveau!Y1112*Markniveau!S1112/100,"")))</f>
        <v>55.420779741212854</v>
      </c>
      <c r="AA1112" s="10">
        <f t="shared" si="176"/>
        <v>588.01447305426836</v>
      </c>
      <c r="AB1112" s="10" t="str">
        <f t="shared" si="175"/>
        <v/>
      </c>
      <c r="AC1112" s="10" t="str">
        <f t="shared" si="177"/>
        <v/>
      </c>
      <c r="AD1112" s="10">
        <f>IF(AND(Q1112&gt;0,Q1112&lt;30,K1112&lt;8),Markniveau!Z1112*'Udvaskning nøgletal'!$I$12/100,IF(AND(Q1112&gt;0,Q1112&lt;30,K1112=216),Markniveau!Z1112*'Udvaskning nøgletal'!$I$34/100,Markniveau!Z1112))</f>
        <v>55.420779741212854</v>
      </c>
      <c r="AE1112" s="10">
        <f t="shared" si="183"/>
        <v>588.01447305426836</v>
      </c>
      <c r="AF1112" s="10" t="str">
        <f t="shared" si="178"/>
        <v/>
      </c>
      <c r="AG1112" s="10" t="str">
        <f t="shared" si="184"/>
        <v/>
      </c>
      <c r="AH1112" s="10" t="str">
        <f>IF(AND(Q1112&gt;0,Q1112&lt;30,K1112=216),'Udvaskning nøgletal'!$C$42,IF(AND(Q1112&gt;0,Q1112&lt;30,K1112&gt;7,K1112&lt;17),'Udvaskning nøgletal'!$C$61,IF(AND(Q1112&gt;0,Q1112&lt;30,K1112&lt;7),'Udvaskning nøgletal'!$C$62,"")))</f>
        <v/>
      </c>
      <c r="AI1112" s="10">
        <f t="shared" si="180"/>
        <v>150</v>
      </c>
      <c r="AJ1112" s="10">
        <f>IF($X1112=1,LOOKUP(AI1112,'Udvaskning nøgletal'!$C$12:$C$62,'Udvaskning nøgletal'!$E$12:$E$62)+Markniveau!$Y1112*Markniveau!$S1112/100,IF($X1112=2,LOOKUP(AI1112,'Udvaskning nøgletal'!$C$12:$C$62,'Udvaskning nøgletal'!$F$12:$F$62)+Markniveau!$Y1112*Markniveau!$S1112/100,IF($X1112=3,LOOKUP(AI1112,'Udvaskning nøgletal'!$C$12:$C$62,'Udvaskning nøgletal'!Q1122:Q1172)+Markniveau!$Y1112*Markniveau!$S1112/100,"")))</f>
        <v>55.420779741212854</v>
      </c>
      <c r="AK1112" s="10">
        <f t="shared" si="179"/>
        <v>588.01447305426836</v>
      </c>
      <c r="AL1112" s="10" t="str">
        <f t="shared" si="181"/>
        <v/>
      </c>
      <c r="AM1112" s="10" t="str">
        <f t="shared" si="182"/>
        <v/>
      </c>
    </row>
    <row r="1113" spans="1:39" x14ac:dyDescent="0.25">
      <c r="A1113" s="15">
        <v>35557628</v>
      </c>
      <c r="B1113" s="15">
        <v>9.15</v>
      </c>
      <c r="C1113" s="15">
        <v>268452</v>
      </c>
      <c r="D1113" s="15">
        <v>55926</v>
      </c>
      <c r="E1113" s="15" t="s">
        <v>904</v>
      </c>
      <c r="F1113" s="15">
        <v>2011</v>
      </c>
      <c r="G1113" s="15">
        <v>20110512</v>
      </c>
      <c r="H1113" s="15">
        <v>69143</v>
      </c>
      <c r="I1113" s="15">
        <v>6.91</v>
      </c>
      <c r="J1113" s="6" t="s">
        <v>905</v>
      </c>
      <c r="K1113" s="15">
        <v>152</v>
      </c>
      <c r="L1113" s="15" t="s">
        <v>333</v>
      </c>
      <c r="M1113" s="15" t="s">
        <v>5</v>
      </c>
      <c r="N1113" s="11" t="s">
        <v>1384</v>
      </c>
      <c r="O1113" s="11" t="s">
        <v>28</v>
      </c>
      <c r="P1113" s="11" t="s">
        <v>33</v>
      </c>
      <c r="Q1113" s="15">
        <v>0</v>
      </c>
      <c r="R1113" s="11" t="s">
        <v>1386</v>
      </c>
      <c r="S1113" s="10">
        <v>90.815594824257005</v>
      </c>
      <c r="T1113" s="15">
        <v>80</v>
      </c>
      <c r="U1113" s="15">
        <v>0</v>
      </c>
      <c r="V1113" s="15">
        <v>0</v>
      </c>
      <c r="W1113" s="15">
        <v>0</v>
      </c>
      <c r="X1113" s="15">
        <f>IF(O1113='Udvaskning nøgletal'!$D$65,1,IF(O1113='Udvaskning nøgletal'!$D$66,2,IF(O1113='Udvaskning nøgletal'!$D$67,3,IF(O1113='Udvaskning nøgletal'!$D$68,2,""))))</f>
        <v>1</v>
      </c>
      <c r="Y1113" s="15">
        <f>LOOKUP(K1113,'Udvaskning nøgletal'!$C$12:$C$60,'Udvaskning nøgletal'!$H$12:$H$60)</f>
        <v>5</v>
      </c>
      <c r="Z1113" s="10">
        <f>IF(X1113=1,LOOKUP(K1113,'Udvaskning nøgletal'!$C$12:$C$60,'Udvaskning nøgletal'!$E$12:$E$60)+Markniveau!Y1113*Markniveau!S1113/100,IF(X1113=2,LOOKUP(K1113,'Udvaskning nøgletal'!$C$12:$C$60,'Udvaskning nøgletal'!$F$12:$F$60)+Markniveau!Y1113*Markniveau!S1113/100,IF(X1113=3,LOOKUP(K1113,'Udvaskning nøgletal'!$C$12:$C$60,'Udvaskning nøgletal'!G1123:G1171)+Markniveau!Y1113*Markniveau!S1113/100,"")))</f>
        <v>69.200779741212841</v>
      </c>
      <c r="AA1113" s="10">
        <f t="shared" si="176"/>
        <v>478.17738801178075</v>
      </c>
      <c r="AB1113" s="10" t="str">
        <f t="shared" si="175"/>
        <v/>
      </c>
      <c r="AC1113" s="10" t="str">
        <f t="shared" si="177"/>
        <v/>
      </c>
      <c r="AD1113" s="10">
        <f>IF(AND(Q1113&gt;0,Q1113&lt;30,K1113&lt;8),Markniveau!Z1113*'Udvaskning nøgletal'!$I$12/100,IF(AND(Q1113&gt;0,Q1113&lt;30,K1113=216),Markniveau!Z1113*'Udvaskning nøgletal'!$I$34/100,Markniveau!Z1113))</f>
        <v>69.200779741212841</v>
      </c>
      <c r="AE1113" s="10">
        <f t="shared" si="183"/>
        <v>478.17738801178075</v>
      </c>
      <c r="AF1113" s="10" t="str">
        <f t="shared" si="178"/>
        <v/>
      </c>
      <c r="AG1113" s="10" t="str">
        <f t="shared" si="184"/>
        <v/>
      </c>
      <c r="AH1113" s="10" t="str">
        <f>IF(AND(Q1113&gt;0,Q1113&lt;30,K1113=216),'Udvaskning nøgletal'!$C$42,IF(AND(Q1113&gt;0,Q1113&lt;30,K1113&gt;7,K1113&lt;17),'Udvaskning nøgletal'!$C$61,IF(AND(Q1113&gt;0,Q1113&lt;30,K1113&lt;7),'Udvaskning nøgletal'!$C$62,"")))</f>
        <v/>
      </c>
      <c r="AI1113" s="10">
        <f t="shared" si="180"/>
        <v>152</v>
      </c>
      <c r="AJ1113" s="10">
        <f>IF($X1113=1,LOOKUP(AI1113,'Udvaskning nøgletal'!$C$12:$C$62,'Udvaskning nøgletal'!$E$12:$E$62)+Markniveau!$Y1113*Markniveau!$S1113/100,IF($X1113=2,LOOKUP(AI1113,'Udvaskning nøgletal'!$C$12:$C$62,'Udvaskning nøgletal'!$F$12:$F$62)+Markniveau!$Y1113*Markniveau!$S1113/100,IF($X1113=3,LOOKUP(AI1113,'Udvaskning nøgletal'!$C$12:$C$62,'Udvaskning nøgletal'!Q1123:Q1173)+Markniveau!$Y1113*Markniveau!$S1113/100,"")))</f>
        <v>69.200779741212841</v>
      </c>
      <c r="AK1113" s="10">
        <f t="shared" si="179"/>
        <v>478.17738801178075</v>
      </c>
      <c r="AL1113" s="10" t="str">
        <f t="shared" si="181"/>
        <v/>
      </c>
      <c r="AM1113" s="10" t="str">
        <f t="shared" si="182"/>
        <v/>
      </c>
    </row>
    <row r="1114" spans="1:39" x14ac:dyDescent="0.25">
      <c r="A1114" s="15">
        <v>35557628</v>
      </c>
      <c r="B1114" s="15">
        <v>9.15</v>
      </c>
      <c r="C1114" s="15">
        <v>268454</v>
      </c>
      <c r="D1114" s="15">
        <v>55926</v>
      </c>
      <c r="E1114" s="15" t="s">
        <v>906</v>
      </c>
      <c r="F1114" s="15">
        <v>2011</v>
      </c>
      <c r="G1114" s="15">
        <v>20110512</v>
      </c>
      <c r="H1114" s="15">
        <v>103096</v>
      </c>
      <c r="I1114" s="15">
        <v>10.31</v>
      </c>
      <c r="J1114" s="6" t="s">
        <v>176</v>
      </c>
      <c r="K1114" s="15">
        <v>150</v>
      </c>
      <c r="L1114" s="15" t="s">
        <v>896</v>
      </c>
      <c r="M1114" s="15" t="s">
        <v>5</v>
      </c>
      <c r="N1114" s="11" t="s">
        <v>1384</v>
      </c>
      <c r="O1114" s="11" t="s">
        <v>28</v>
      </c>
      <c r="P1114" s="11" t="s">
        <v>33</v>
      </c>
      <c r="Q1114" s="15">
        <v>0</v>
      </c>
      <c r="R1114" s="11" t="s">
        <v>1386</v>
      </c>
      <c r="S1114" s="10">
        <v>90.815594824257005</v>
      </c>
      <c r="T1114" s="15">
        <v>80</v>
      </c>
      <c r="U1114" s="15">
        <v>0</v>
      </c>
      <c r="V1114" s="15">
        <v>0</v>
      </c>
      <c r="W1114" s="15">
        <v>0</v>
      </c>
      <c r="X1114" s="15">
        <f>IF(O1114='Udvaskning nøgletal'!$D$65,1,IF(O1114='Udvaskning nøgletal'!$D$66,2,IF(O1114='Udvaskning nøgletal'!$D$67,3,IF(O1114='Udvaskning nøgletal'!$D$68,2,""))))</f>
        <v>1</v>
      </c>
      <c r="Y1114" s="15">
        <f>LOOKUP(K1114,'Udvaskning nøgletal'!$C$12:$C$60,'Udvaskning nøgletal'!$H$12:$H$60)</f>
        <v>5</v>
      </c>
      <c r="Z1114" s="10">
        <f>IF(X1114=1,LOOKUP(K1114,'Udvaskning nøgletal'!$C$12:$C$60,'Udvaskning nøgletal'!$E$12:$E$60)+Markniveau!Y1114*Markniveau!S1114/100,IF(X1114=2,LOOKUP(K1114,'Udvaskning nøgletal'!$C$12:$C$60,'Udvaskning nøgletal'!$F$12:$F$60)+Markniveau!Y1114*Markniveau!S1114/100,IF(X1114=3,LOOKUP(K1114,'Udvaskning nøgletal'!$C$12:$C$60,'Udvaskning nøgletal'!G1124:G1172)+Markniveau!Y1114*Markniveau!S1114/100,"")))</f>
        <v>69.200779741212841</v>
      </c>
      <c r="AA1114" s="10">
        <f t="shared" si="176"/>
        <v>713.46003913190441</v>
      </c>
      <c r="AB1114" s="10" t="str">
        <f t="shared" si="175"/>
        <v/>
      </c>
      <c r="AC1114" s="10" t="str">
        <f t="shared" si="177"/>
        <v/>
      </c>
      <c r="AD1114" s="10">
        <f>IF(AND(Q1114&gt;0,Q1114&lt;30,K1114&lt;8),Markniveau!Z1114*'Udvaskning nøgletal'!$I$12/100,IF(AND(Q1114&gt;0,Q1114&lt;30,K1114=216),Markniveau!Z1114*'Udvaskning nøgletal'!$I$34/100,Markniveau!Z1114))</f>
        <v>69.200779741212841</v>
      </c>
      <c r="AE1114" s="10">
        <f t="shared" si="183"/>
        <v>713.46003913190441</v>
      </c>
      <c r="AF1114" s="10" t="str">
        <f t="shared" si="178"/>
        <v/>
      </c>
      <c r="AG1114" s="10" t="str">
        <f t="shared" si="184"/>
        <v/>
      </c>
      <c r="AH1114" s="10" t="str">
        <f>IF(AND(Q1114&gt;0,Q1114&lt;30,K1114=216),'Udvaskning nøgletal'!$C$42,IF(AND(Q1114&gt;0,Q1114&lt;30,K1114&gt;7,K1114&lt;17),'Udvaskning nøgletal'!$C$61,IF(AND(Q1114&gt;0,Q1114&lt;30,K1114&lt;7),'Udvaskning nøgletal'!$C$62,"")))</f>
        <v/>
      </c>
      <c r="AI1114" s="10">
        <f t="shared" si="180"/>
        <v>150</v>
      </c>
      <c r="AJ1114" s="10">
        <f>IF($X1114=1,LOOKUP(AI1114,'Udvaskning nøgletal'!$C$12:$C$62,'Udvaskning nøgletal'!$E$12:$E$62)+Markniveau!$Y1114*Markniveau!$S1114/100,IF($X1114=2,LOOKUP(AI1114,'Udvaskning nøgletal'!$C$12:$C$62,'Udvaskning nøgletal'!$F$12:$F$62)+Markniveau!$Y1114*Markniveau!$S1114/100,IF($X1114=3,LOOKUP(AI1114,'Udvaskning nøgletal'!$C$12:$C$62,'Udvaskning nøgletal'!Q1124:Q1174)+Markniveau!$Y1114*Markniveau!$S1114/100,"")))</f>
        <v>69.200779741212841</v>
      </c>
      <c r="AK1114" s="10">
        <f t="shared" si="179"/>
        <v>713.46003913190441</v>
      </c>
      <c r="AL1114" s="10" t="str">
        <f t="shared" si="181"/>
        <v/>
      </c>
      <c r="AM1114" s="10" t="str">
        <f t="shared" si="182"/>
        <v/>
      </c>
    </row>
    <row r="1115" spans="1:39" x14ac:dyDescent="0.25">
      <c r="A1115" s="15">
        <v>35557628</v>
      </c>
      <c r="B1115" s="15">
        <v>9.15</v>
      </c>
      <c r="C1115" s="15">
        <v>269029</v>
      </c>
      <c r="D1115" s="15">
        <v>55926</v>
      </c>
      <c r="E1115" s="15" t="s">
        <v>907</v>
      </c>
      <c r="F1115" s="15">
        <v>2011</v>
      </c>
      <c r="G1115" s="15">
        <v>20110512</v>
      </c>
      <c r="H1115" s="15">
        <v>23158</v>
      </c>
      <c r="I1115" s="15">
        <v>2.3199999999999998</v>
      </c>
      <c r="J1115" s="6" t="s">
        <v>908</v>
      </c>
      <c r="K1115" s="15">
        <v>1</v>
      </c>
      <c r="L1115" s="15" t="s">
        <v>32</v>
      </c>
      <c r="M1115" s="15" t="s">
        <v>5</v>
      </c>
      <c r="N1115" s="11" t="s">
        <v>1384</v>
      </c>
      <c r="O1115" s="11" t="s">
        <v>28</v>
      </c>
      <c r="P1115" s="11" t="s">
        <v>33</v>
      </c>
      <c r="Q1115" s="15">
        <v>0</v>
      </c>
      <c r="R1115" s="11" t="s">
        <v>1386</v>
      </c>
      <c r="S1115" s="10">
        <v>90.815594824257005</v>
      </c>
      <c r="T1115" s="15">
        <v>80</v>
      </c>
      <c r="U1115" s="15">
        <v>0</v>
      </c>
      <c r="V1115" s="15">
        <v>0</v>
      </c>
      <c r="W1115" s="15">
        <v>0</v>
      </c>
      <c r="X1115" s="15">
        <f>IF(O1115='Udvaskning nøgletal'!$D$65,1,IF(O1115='Udvaskning nøgletal'!$D$66,2,IF(O1115='Udvaskning nøgletal'!$D$67,3,IF(O1115='Udvaskning nøgletal'!$D$68,2,""))))</f>
        <v>1</v>
      </c>
      <c r="Y1115" s="15">
        <f>LOOKUP(K1115,'Udvaskning nøgletal'!$C$12:$C$60,'Udvaskning nøgletal'!$H$12:$H$60)</f>
        <v>5</v>
      </c>
      <c r="Z1115" s="10">
        <f>IF(X1115=1,LOOKUP(K1115,'Udvaskning nøgletal'!$C$12:$C$60,'Udvaskning nøgletal'!$E$12:$E$60)+Markniveau!Y1115*Markniveau!S1115/100,IF(X1115=2,LOOKUP(K1115,'Udvaskning nøgletal'!$C$12:$C$60,'Udvaskning nøgletal'!$F$12:$F$60)+Markniveau!Y1115*Markniveau!S1115/100,IF(X1115=3,LOOKUP(K1115,'Udvaskning nøgletal'!$C$12:$C$60,'Udvaskning nøgletal'!G1125:G1173)+Markniveau!Y1115*Markniveau!S1115/100,"")))</f>
        <v>69.200779741212841</v>
      </c>
      <c r="AA1115" s="10">
        <f t="shared" si="176"/>
        <v>160.54580899961377</v>
      </c>
      <c r="AB1115" s="10" t="str">
        <f t="shared" si="175"/>
        <v/>
      </c>
      <c r="AC1115" s="10" t="str">
        <f t="shared" si="177"/>
        <v/>
      </c>
      <c r="AD1115" s="10">
        <f>IF(AND(Q1115&gt;0,Q1115&lt;30,K1115&lt;8),Markniveau!Z1115*'Udvaskning nøgletal'!$I$12/100,IF(AND(Q1115&gt;0,Q1115&lt;30,K1115=216),Markniveau!Z1115*'Udvaskning nøgletal'!$I$34/100,Markniveau!Z1115))</f>
        <v>69.200779741212841</v>
      </c>
      <c r="AE1115" s="10">
        <f t="shared" si="183"/>
        <v>160.54580899961377</v>
      </c>
      <c r="AF1115" s="10" t="str">
        <f t="shared" si="178"/>
        <v/>
      </c>
      <c r="AG1115" s="10" t="str">
        <f t="shared" si="184"/>
        <v/>
      </c>
      <c r="AH1115" s="10" t="str">
        <f>IF(AND(Q1115&gt;0,Q1115&lt;30,K1115=216),'Udvaskning nøgletal'!$C$42,IF(AND(Q1115&gt;0,Q1115&lt;30,K1115&gt;7,K1115&lt;17),'Udvaskning nøgletal'!$C$61,IF(AND(Q1115&gt;0,Q1115&lt;30,K1115&lt;7),'Udvaskning nøgletal'!$C$62,"")))</f>
        <v/>
      </c>
      <c r="AI1115" s="10">
        <f t="shared" si="180"/>
        <v>1</v>
      </c>
      <c r="AJ1115" s="10">
        <f>IF($X1115=1,LOOKUP(AI1115,'Udvaskning nøgletal'!$C$12:$C$62,'Udvaskning nøgletal'!$E$12:$E$62)+Markniveau!$Y1115*Markniveau!$S1115/100,IF($X1115=2,LOOKUP(AI1115,'Udvaskning nøgletal'!$C$12:$C$62,'Udvaskning nøgletal'!$F$12:$F$62)+Markniveau!$Y1115*Markniveau!$S1115/100,IF($X1115=3,LOOKUP(AI1115,'Udvaskning nøgletal'!$C$12:$C$62,'Udvaskning nøgletal'!Q1125:Q1175)+Markniveau!$Y1115*Markniveau!$S1115/100,"")))</f>
        <v>69.200779741212841</v>
      </c>
      <c r="AK1115" s="10">
        <f t="shared" si="179"/>
        <v>160.54580899961377</v>
      </c>
      <c r="AL1115" s="10" t="str">
        <f t="shared" si="181"/>
        <v/>
      </c>
      <c r="AM1115" s="10" t="str">
        <f t="shared" si="182"/>
        <v/>
      </c>
    </row>
    <row r="1116" spans="1:39" x14ac:dyDescent="0.25">
      <c r="A1116" s="15">
        <v>35557628</v>
      </c>
      <c r="B1116" s="15">
        <v>9.15</v>
      </c>
      <c r="C1116" s="15">
        <v>269033</v>
      </c>
      <c r="D1116" s="15">
        <v>55926</v>
      </c>
      <c r="E1116" s="15" t="s">
        <v>909</v>
      </c>
      <c r="F1116" s="15">
        <v>2011</v>
      </c>
      <c r="G1116" s="15">
        <v>20110512</v>
      </c>
      <c r="H1116" s="15">
        <v>47163</v>
      </c>
      <c r="I1116" s="15">
        <v>4.72</v>
      </c>
      <c r="J1116" s="6" t="s">
        <v>910</v>
      </c>
      <c r="K1116" s="15">
        <v>15</v>
      </c>
      <c r="L1116" s="15" t="s">
        <v>362</v>
      </c>
      <c r="M1116" s="15" t="s">
        <v>5</v>
      </c>
      <c r="N1116" s="11" t="s">
        <v>1384</v>
      </c>
      <c r="O1116" s="11" t="s">
        <v>28</v>
      </c>
      <c r="P1116" s="11" t="s">
        <v>33</v>
      </c>
      <c r="Q1116" s="15">
        <v>0</v>
      </c>
      <c r="R1116" s="11" t="s">
        <v>1386</v>
      </c>
      <c r="S1116" s="10">
        <v>90.815594824257005</v>
      </c>
      <c r="T1116" s="15">
        <v>80</v>
      </c>
      <c r="U1116" s="15">
        <v>0</v>
      </c>
      <c r="V1116" s="15">
        <v>0</v>
      </c>
      <c r="W1116" s="15">
        <v>0</v>
      </c>
      <c r="X1116" s="15">
        <f>IF(O1116='Udvaskning nøgletal'!$D$65,1,IF(O1116='Udvaskning nøgletal'!$D$66,2,IF(O1116='Udvaskning nøgletal'!$D$67,3,IF(O1116='Udvaskning nøgletal'!$D$68,2,""))))</f>
        <v>1</v>
      </c>
      <c r="Y1116" s="15">
        <f>LOOKUP(K1116,'Udvaskning nøgletal'!$C$12:$C$60,'Udvaskning nøgletal'!$H$12:$H$60)</f>
        <v>5</v>
      </c>
      <c r="Z1116" s="10">
        <f>IF(X1116=1,LOOKUP(K1116,'Udvaskning nøgletal'!$C$12:$C$60,'Udvaskning nøgletal'!$E$12:$E$60)+Markniveau!Y1116*Markniveau!S1116/100,IF(X1116=2,LOOKUP(K1116,'Udvaskning nøgletal'!$C$12:$C$60,'Udvaskning nøgletal'!$F$12:$F$60)+Markniveau!Y1116*Markniveau!S1116/100,IF(X1116=3,LOOKUP(K1116,'Udvaskning nøgletal'!$C$12:$C$60,'Udvaskning nøgletal'!G1126:G1174)+Markniveau!Y1116*Markniveau!S1116/100,"")))</f>
        <v>69.200779741212841</v>
      </c>
      <c r="AA1116" s="10">
        <f t="shared" si="176"/>
        <v>326.62768037852459</v>
      </c>
      <c r="AB1116" s="10" t="str">
        <f t="shared" si="175"/>
        <v/>
      </c>
      <c r="AC1116" s="10" t="str">
        <f t="shared" si="177"/>
        <v/>
      </c>
      <c r="AD1116" s="10">
        <f>IF(AND(Q1116&gt;0,Q1116&lt;30,K1116&lt;8),Markniveau!Z1116*'Udvaskning nøgletal'!$I$12/100,IF(AND(Q1116&gt;0,Q1116&lt;30,K1116=216),Markniveau!Z1116*'Udvaskning nøgletal'!$I$34/100,Markniveau!Z1116))</f>
        <v>69.200779741212841</v>
      </c>
      <c r="AE1116" s="10">
        <f t="shared" si="183"/>
        <v>326.62768037852459</v>
      </c>
      <c r="AF1116" s="10" t="str">
        <f t="shared" si="178"/>
        <v/>
      </c>
      <c r="AG1116" s="10" t="str">
        <f t="shared" si="184"/>
        <v/>
      </c>
      <c r="AH1116" s="10" t="str">
        <f>IF(AND(Q1116&gt;0,Q1116&lt;30,K1116=216),'Udvaskning nøgletal'!$C$42,IF(AND(Q1116&gt;0,Q1116&lt;30,K1116&gt;7,K1116&lt;17),'Udvaskning nøgletal'!$C$61,IF(AND(Q1116&gt;0,Q1116&lt;30,K1116&lt;7),'Udvaskning nøgletal'!$C$62,"")))</f>
        <v/>
      </c>
      <c r="AI1116" s="10">
        <f t="shared" si="180"/>
        <v>15</v>
      </c>
      <c r="AJ1116" s="10">
        <f>IF($X1116=1,LOOKUP(AI1116,'Udvaskning nøgletal'!$C$12:$C$62,'Udvaskning nøgletal'!$E$12:$E$62)+Markniveau!$Y1116*Markniveau!$S1116/100,IF($X1116=2,LOOKUP(AI1116,'Udvaskning nøgletal'!$C$12:$C$62,'Udvaskning nøgletal'!$F$12:$F$62)+Markniveau!$Y1116*Markniveau!$S1116/100,IF($X1116=3,LOOKUP(AI1116,'Udvaskning nøgletal'!$C$12:$C$62,'Udvaskning nøgletal'!Q1126:Q1176)+Markniveau!$Y1116*Markniveau!$S1116/100,"")))</f>
        <v>69.200779741212841</v>
      </c>
      <c r="AK1116" s="10">
        <f t="shared" si="179"/>
        <v>326.62768037852459</v>
      </c>
      <c r="AL1116" s="10" t="str">
        <f t="shared" si="181"/>
        <v/>
      </c>
      <c r="AM1116" s="10" t="str">
        <f t="shared" si="182"/>
        <v/>
      </c>
    </row>
    <row r="1117" spans="1:39" x14ac:dyDescent="0.25">
      <c r="A1117" s="15">
        <v>35557628</v>
      </c>
      <c r="B1117" s="15">
        <v>9.15</v>
      </c>
      <c r="C1117" s="15">
        <v>269101</v>
      </c>
      <c r="D1117" s="15">
        <v>55926</v>
      </c>
      <c r="E1117" s="15" t="s">
        <v>911</v>
      </c>
      <c r="F1117" s="15">
        <v>2011</v>
      </c>
      <c r="G1117" s="15">
        <v>20110512</v>
      </c>
      <c r="H1117" s="15">
        <v>26186</v>
      </c>
      <c r="I1117" s="15">
        <v>2.62</v>
      </c>
      <c r="J1117" s="6" t="s">
        <v>912</v>
      </c>
      <c r="K1117" s="15">
        <v>15</v>
      </c>
      <c r="L1117" s="15" t="s">
        <v>362</v>
      </c>
      <c r="M1117" s="15" t="s">
        <v>5</v>
      </c>
      <c r="N1117" s="11" t="s">
        <v>1384</v>
      </c>
      <c r="O1117" s="11" t="s">
        <v>28</v>
      </c>
      <c r="P1117" s="11" t="s">
        <v>33</v>
      </c>
      <c r="Q1117" s="15">
        <v>0</v>
      </c>
      <c r="R1117" s="11" t="s">
        <v>1386</v>
      </c>
      <c r="S1117" s="10">
        <v>90.815594824257005</v>
      </c>
      <c r="T1117" s="15">
        <v>80</v>
      </c>
      <c r="U1117" s="15">
        <v>0</v>
      </c>
      <c r="V1117" s="15">
        <v>0</v>
      </c>
      <c r="W1117" s="15">
        <v>0</v>
      </c>
      <c r="X1117" s="15">
        <f>IF(O1117='Udvaskning nøgletal'!$D$65,1,IF(O1117='Udvaskning nøgletal'!$D$66,2,IF(O1117='Udvaskning nøgletal'!$D$67,3,IF(O1117='Udvaskning nøgletal'!$D$68,2,""))))</f>
        <v>1</v>
      </c>
      <c r="Y1117" s="15">
        <f>LOOKUP(K1117,'Udvaskning nøgletal'!$C$12:$C$60,'Udvaskning nøgletal'!$H$12:$H$60)</f>
        <v>5</v>
      </c>
      <c r="Z1117" s="10">
        <f>IF(X1117=1,LOOKUP(K1117,'Udvaskning nøgletal'!$C$12:$C$60,'Udvaskning nøgletal'!$E$12:$E$60)+Markniveau!Y1117*Markniveau!S1117/100,IF(X1117=2,LOOKUP(K1117,'Udvaskning nøgletal'!$C$12:$C$60,'Udvaskning nøgletal'!$F$12:$F$60)+Markniveau!Y1117*Markniveau!S1117/100,IF(X1117=3,LOOKUP(K1117,'Udvaskning nøgletal'!$C$12:$C$60,'Udvaskning nøgletal'!G1127:G1175)+Markniveau!Y1117*Markniveau!S1117/100,"")))</f>
        <v>69.200779741212841</v>
      </c>
      <c r="AA1117" s="10">
        <f t="shared" si="176"/>
        <v>181.30604292197765</v>
      </c>
      <c r="AB1117" s="10" t="str">
        <f t="shared" si="175"/>
        <v/>
      </c>
      <c r="AC1117" s="10" t="str">
        <f t="shared" si="177"/>
        <v/>
      </c>
      <c r="AD1117" s="10">
        <f>IF(AND(Q1117&gt;0,Q1117&lt;30,K1117&lt;8),Markniveau!Z1117*'Udvaskning nøgletal'!$I$12/100,IF(AND(Q1117&gt;0,Q1117&lt;30,K1117=216),Markniveau!Z1117*'Udvaskning nøgletal'!$I$34/100,Markniveau!Z1117))</f>
        <v>69.200779741212841</v>
      </c>
      <c r="AE1117" s="10">
        <f t="shared" si="183"/>
        <v>181.30604292197765</v>
      </c>
      <c r="AF1117" s="10" t="str">
        <f t="shared" si="178"/>
        <v/>
      </c>
      <c r="AG1117" s="10" t="str">
        <f t="shared" si="184"/>
        <v/>
      </c>
      <c r="AH1117" s="10" t="str">
        <f>IF(AND(Q1117&gt;0,Q1117&lt;30,K1117=216),'Udvaskning nøgletal'!$C$42,IF(AND(Q1117&gt;0,Q1117&lt;30,K1117&gt;7,K1117&lt;17),'Udvaskning nøgletal'!$C$61,IF(AND(Q1117&gt;0,Q1117&lt;30,K1117&lt;7),'Udvaskning nøgletal'!$C$62,"")))</f>
        <v/>
      </c>
      <c r="AI1117" s="10">
        <f t="shared" si="180"/>
        <v>15</v>
      </c>
      <c r="AJ1117" s="10">
        <f>IF($X1117=1,LOOKUP(AI1117,'Udvaskning nøgletal'!$C$12:$C$62,'Udvaskning nøgletal'!$E$12:$E$62)+Markniveau!$Y1117*Markniveau!$S1117/100,IF($X1117=2,LOOKUP(AI1117,'Udvaskning nøgletal'!$C$12:$C$62,'Udvaskning nøgletal'!$F$12:$F$62)+Markniveau!$Y1117*Markniveau!$S1117/100,IF($X1117=3,LOOKUP(AI1117,'Udvaskning nøgletal'!$C$12:$C$62,'Udvaskning nøgletal'!Q1127:Q1177)+Markniveau!$Y1117*Markniveau!$S1117/100,"")))</f>
        <v>69.200779741212841</v>
      </c>
      <c r="AK1117" s="10">
        <f t="shared" si="179"/>
        <v>181.30604292197765</v>
      </c>
      <c r="AL1117" s="10" t="str">
        <f t="shared" si="181"/>
        <v/>
      </c>
      <c r="AM1117" s="10" t="str">
        <f t="shared" si="182"/>
        <v/>
      </c>
    </row>
    <row r="1118" spans="1:39" x14ac:dyDescent="0.25">
      <c r="A1118" s="15">
        <v>35557628</v>
      </c>
      <c r="B1118" s="15">
        <v>9.15</v>
      </c>
      <c r="C1118" s="15">
        <v>270243</v>
      </c>
      <c r="D1118" s="15">
        <v>55926</v>
      </c>
      <c r="E1118" s="15" t="s">
        <v>913</v>
      </c>
      <c r="F1118" s="15">
        <v>2011</v>
      </c>
      <c r="G1118" s="15">
        <v>20110512</v>
      </c>
      <c r="H1118" s="15">
        <v>44560</v>
      </c>
      <c r="I1118" s="15">
        <v>4.46</v>
      </c>
      <c r="J1118" s="6" t="s">
        <v>914</v>
      </c>
      <c r="K1118" s="15">
        <v>11</v>
      </c>
      <c r="L1118" s="15" t="s">
        <v>102</v>
      </c>
      <c r="M1118" s="15" t="s">
        <v>5</v>
      </c>
      <c r="N1118" s="11" t="s">
        <v>1391</v>
      </c>
      <c r="O1118" s="11" t="s">
        <v>46</v>
      </c>
      <c r="P1118" s="11" t="s">
        <v>33</v>
      </c>
      <c r="Q1118" s="15">
        <v>0</v>
      </c>
      <c r="R1118" s="11" t="s">
        <v>1386</v>
      </c>
      <c r="S1118" s="10">
        <v>90.815594824257005</v>
      </c>
      <c r="T1118" s="15">
        <v>80</v>
      </c>
      <c r="U1118" s="15">
        <v>0</v>
      </c>
      <c r="V1118" s="15">
        <v>0</v>
      </c>
      <c r="W1118" s="15">
        <v>0</v>
      </c>
      <c r="X1118" s="15">
        <f>IF(O1118='Udvaskning nøgletal'!$D$65,1,IF(O1118='Udvaskning nøgletal'!$D$66,2,IF(O1118='Udvaskning nøgletal'!$D$67,3,IF(O1118='Udvaskning nøgletal'!$D$68,2,""))))</f>
        <v>2</v>
      </c>
      <c r="Y1118" s="15">
        <f>LOOKUP(K1118,'Udvaskning nøgletal'!$C$12:$C$60,'Udvaskning nøgletal'!$H$12:$H$60)</f>
        <v>5</v>
      </c>
      <c r="Z1118" s="10">
        <f>IF(X1118=1,LOOKUP(K1118,'Udvaskning nøgletal'!$C$12:$C$60,'Udvaskning nøgletal'!$E$12:$E$60)+Markniveau!Y1118*Markniveau!S1118/100,IF(X1118=2,LOOKUP(K1118,'Udvaskning nøgletal'!$C$12:$C$60,'Udvaskning nøgletal'!$F$12:$F$60)+Markniveau!Y1118*Markniveau!S1118/100,IF(X1118=3,LOOKUP(K1118,'Udvaskning nøgletal'!$C$12:$C$60,'Udvaskning nøgletal'!G1128:G1176)+Markniveau!Y1118*Markniveau!S1118/100,"")))</f>
        <v>55.420779741212854</v>
      </c>
      <c r="AA1118" s="10">
        <f t="shared" si="176"/>
        <v>247.17667764580932</v>
      </c>
      <c r="AB1118" s="10" t="str">
        <f t="shared" si="175"/>
        <v/>
      </c>
      <c r="AC1118" s="10" t="str">
        <f t="shared" si="177"/>
        <v/>
      </c>
      <c r="AD1118" s="10">
        <f>IF(AND(Q1118&gt;0,Q1118&lt;30,K1118&lt;8),Markniveau!Z1118*'Udvaskning nøgletal'!$I$12/100,IF(AND(Q1118&gt;0,Q1118&lt;30,K1118=216),Markniveau!Z1118*'Udvaskning nøgletal'!$I$34/100,Markniveau!Z1118))</f>
        <v>55.420779741212854</v>
      </c>
      <c r="AE1118" s="10">
        <f t="shared" si="183"/>
        <v>247.17667764580932</v>
      </c>
      <c r="AF1118" s="10" t="str">
        <f t="shared" si="178"/>
        <v/>
      </c>
      <c r="AG1118" s="10" t="str">
        <f t="shared" si="184"/>
        <v/>
      </c>
      <c r="AH1118" s="10" t="str">
        <f>IF(AND(Q1118&gt;0,Q1118&lt;30,K1118=216),'Udvaskning nøgletal'!$C$42,IF(AND(Q1118&gt;0,Q1118&lt;30,K1118&gt;7,K1118&lt;17),'Udvaskning nøgletal'!$C$61,IF(AND(Q1118&gt;0,Q1118&lt;30,K1118&lt;7),'Udvaskning nøgletal'!$C$62,"")))</f>
        <v/>
      </c>
      <c r="AI1118" s="10">
        <f t="shared" si="180"/>
        <v>11</v>
      </c>
      <c r="AJ1118" s="10">
        <f>IF($X1118=1,LOOKUP(AI1118,'Udvaskning nøgletal'!$C$12:$C$62,'Udvaskning nøgletal'!$E$12:$E$62)+Markniveau!$Y1118*Markniveau!$S1118/100,IF($X1118=2,LOOKUP(AI1118,'Udvaskning nøgletal'!$C$12:$C$62,'Udvaskning nøgletal'!$F$12:$F$62)+Markniveau!$Y1118*Markniveau!$S1118/100,IF($X1118=3,LOOKUP(AI1118,'Udvaskning nøgletal'!$C$12:$C$62,'Udvaskning nøgletal'!Q1128:Q1178)+Markniveau!$Y1118*Markniveau!$S1118/100,"")))</f>
        <v>55.420779741212854</v>
      </c>
      <c r="AK1118" s="10">
        <f t="shared" si="179"/>
        <v>247.17667764580932</v>
      </c>
      <c r="AL1118" s="10" t="str">
        <f t="shared" si="181"/>
        <v/>
      </c>
      <c r="AM1118" s="10" t="str">
        <f t="shared" si="182"/>
        <v/>
      </c>
    </row>
    <row r="1119" spans="1:39" x14ac:dyDescent="0.25">
      <c r="A1119" s="15">
        <v>35557628</v>
      </c>
      <c r="B1119" s="15">
        <v>9.15</v>
      </c>
      <c r="C1119" s="15">
        <v>270363</v>
      </c>
      <c r="D1119" s="15">
        <v>55926</v>
      </c>
      <c r="E1119" s="15" t="s">
        <v>915</v>
      </c>
      <c r="F1119" s="15">
        <v>2011</v>
      </c>
      <c r="G1119" s="15">
        <v>20110512</v>
      </c>
      <c r="H1119" s="15">
        <v>119315</v>
      </c>
      <c r="I1119" s="15">
        <v>11.93</v>
      </c>
      <c r="J1119" s="6" t="s">
        <v>916</v>
      </c>
      <c r="K1119" s="15">
        <v>15</v>
      </c>
      <c r="L1119" s="15" t="s">
        <v>362</v>
      </c>
      <c r="M1119" s="15" t="s">
        <v>5</v>
      </c>
      <c r="N1119" s="11" t="s">
        <v>1384</v>
      </c>
      <c r="O1119" s="11" t="s">
        <v>28</v>
      </c>
      <c r="P1119" s="11" t="s">
        <v>33</v>
      </c>
      <c r="Q1119" s="15">
        <v>0</v>
      </c>
      <c r="R1119" s="11" t="s">
        <v>1386</v>
      </c>
      <c r="S1119" s="10">
        <v>90.815594824257005</v>
      </c>
      <c r="T1119" s="15">
        <v>80</v>
      </c>
      <c r="U1119" s="15">
        <v>0</v>
      </c>
      <c r="V1119" s="15">
        <v>0</v>
      </c>
      <c r="W1119" s="15">
        <v>0</v>
      </c>
      <c r="X1119" s="15">
        <f>IF(O1119='Udvaskning nøgletal'!$D$65,1,IF(O1119='Udvaskning nøgletal'!$D$66,2,IF(O1119='Udvaskning nøgletal'!$D$67,3,IF(O1119='Udvaskning nøgletal'!$D$68,2,""))))</f>
        <v>1</v>
      </c>
      <c r="Y1119" s="15">
        <f>LOOKUP(K1119,'Udvaskning nøgletal'!$C$12:$C$60,'Udvaskning nøgletal'!$H$12:$H$60)</f>
        <v>5</v>
      </c>
      <c r="Z1119" s="10">
        <f>IF(X1119=1,LOOKUP(K1119,'Udvaskning nøgletal'!$C$12:$C$60,'Udvaskning nøgletal'!$E$12:$E$60)+Markniveau!Y1119*Markniveau!S1119/100,IF(X1119=2,LOOKUP(K1119,'Udvaskning nøgletal'!$C$12:$C$60,'Udvaskning nøgletal'!$F$12:$F$60)+Markniveau!Y1119*Markniveau!S1119/100,IF(X1119=3,LOOKUP(K1119,'Udvaskning nøgletal'!$C$12:$C$60,'Udvaskning nøgletal'!G1129:G1177)+Markniveau!Y1119*Markniveau!S1119/100,"")))</f>
        <v>69.200779741212841</v>
      </c>
      <c r="AA1119" s="10">
        <f t="shared" si="176"/>
        <v>825.56530231266913</v>
      </c>
      <c r="AB1119" s="10" t="str">
        <f t="shared" si="175"/>
        <v/>
      </c>
      <c r="AC1119" s="10" t="str">
        <f t="shared" si="177"/>
        <v/>
      </c>
      <c r="AD1119" s="10">
        <f>IF(AND(Q1119&gt;0,Q1119&lt;30,K1119&lt;8),Markniveau!Z1119*'Udvaskning nøgletal'!$I$12/100,IF(AND(Q1119&gt;0,Q1119&lt;30,K1119=216),Markniveau!Z1119*'Udvaskning nøgletal'!$I$34/100,Markniveau!Z1119))</f>
        <v>69.200779741212841</v>
      </c>
      <c r="AE1119" s="10">
        <f t="shared" si="183"/>
        <v>825.56530231266913</v>
      </c>
      <c r="AF1119" s="10" t="str">
        <f t="shared" si="178"/>
        <v/>
      </c>
      <c r="AG1119" s="10" t="str">
        <f t="shared" si="184"/>
        <v/>
      </c>
      <c r="AH1119" s="10" t="str">
        <f>IF(AND(Q1119&gt;0,Q1119&lt;30,K1119=216),'Udvaskning nøgletal'!$C$42,IF(AND(Q1119&gt;0,Q1119&lt;30,K1119&gt;7,K1119&lt;17),'Udvaskning nøgletal'!$C$61,IF(AND(Q1119&gt;0,Q1119&lt;30,K1119&lt;7),'Udvaskning nøgletal'!$C$62,"")))</f>
        <v/>
      </c>
      <c r="AI1119" s="10">
        <f t="shared" si="180"/>
        <v>15</v>
      </c>
      <c r="AJ1119" s="10">
        <f>IF($X1119=1,LOOKUP(AI1119,'Udvaskning nøgletal'!$C$12:$C$62,'Udvaskning nøgletal'!$E$12:$E$62)+Markniveau!$Y1119*Markniveau!$S1119/100,IF($X1119=2,LOOKUP(AI1119,'Udvaskning nøgletal'!$C$12:$C$62,'Udvaskning nøgletal'!$F$12:$F$62)+Markniveau!$Y1119*Markniveau!$S1119/100,IF($X1119=3,LOOKUP(AI1119,'Udvaskning nøgletal'!$C$12:$C$62,'Udvaskning nøgletal'!Q1129:Q1179)+Markniveau!$Y1119*Markniveau!$S1119/100,"")))</f>
        <v>69.200779741212841</v>
      </c>
      <c r="AK1119" s="10">
        <f t="shared" si="179"/>
        <v>825.56530231266913</v>
      </c>
      <c r="AL1119" s="10" t="str">
        <f t="shared" si="181"/>
        <v/>
      </c>
      <c r="AM1119" s="10" t="str">
        <f t="shared" si="182"/>
        <v/>
      </c>
    </row>
    <row r="1120" spans="1:39" x14ac:dyDescent="0.25">
      <c r="A1120" s="15">
        <v>35557628</v>
      </c>
      <c r="B1120" s="15">
        <v>9.15</v>
      </c>
      <c r="C1120" s="15">
        <v>270487</v>
      </c>
      <c r="D1120" s="15">
        <v>55926</v>
      </c>
      <c r="E1120" s="15" t="s">
        <v>897</v>
      </c>
      <c r="F1120" s="15">
        <v>2011</v>
      </c>
      <c r="G1120" s="15">
        <v>20110512</v>
      </c>
      <c r="H1120" s="15">
        <v>20326</v>
      </c>
      <c r="I1120" s="15">
        <v>2.0299999999999998</v>
      </c>
      <c r="J1120" s="6" t="s">
        <v>917</v>
      </c>
      <c r="K1120" s="15">
        <v>22</v>
      </c>
      <c r="L1120" s="15" t="s">
        <v>213</v>
      </c>
      <c r="M1120" s="15" t="s">
        <v>5</v>
      </c>
      <c r="N1120" s="11" t="s">
        <v>1384</v>
      </c>
      <c r="O1120" s="11" t="s">
        <v>28</v>
      </c>
      <c r="P1120" s="11" t="s">
        <v>33</v>
      </c>
      <c r="Q1120" s="15">
        <v>0</v>
      </c>
      <c r="R1120" s="11" t="s">
        <v>1386</v>
      </c>
      <c r="S1120" s="10">
        <v>90.815594824257005</v>
      </c>
      <c r="T1120" s="15">
        <v>80</v>
      </c>
      <c r="U1120" s="15">
        <v>0</v>
      </c>
      <c r="V1120" s="15">
        <v>0</v>
      </c>
      <c r="W1120" s="15">
        <v>0</v>
      </c>
      <c r="X1120" s="15">
        <f>IF(O1120='Udvaskning nøgletal'!$D$65,1,IF(O1120='Udvaskning nøgletal'!$D$66,2,IF(O1120='Udvaskning nøgletal'!$D$67,3,IF(O1120='Udvaskning nøgletal'!$D$68,2,""))))</f>
        <v>1</v>
      </c>
      <c r="Y1120" s="15">
        <f>LOOKUP(K1120,'Udvaskning nøgletal'!$C$12:$C$60,'Udvaskning nøgletal'!$H$12:$H$60)</f>
        <v>5</v>
      </c>
      <c r="Z1120" s="10">
        <f>IF(X1120=1,LOOKUP(K1120,'Udvaskning nøgletal'!$C$12:$C$60,'Udvaskning nøgletal'!$E$12:$E$60)+Markniveau!Y1120*Markniveau!S1120/100,IF(X1120=2,LOOKUP(K1120,'Udvaskning nøgletal'!$C$12:$C$60,'Udvaskning nøgletal'!$F$12:$F$60)+Markniveau!Y1120*Markniveau!S1120/100,IF(X1120=3,LOOKUP(K1120,'Udvaskning nøgletal'!$C$12:$C$60,'Udvaskning nøgletal'!G1130:G1178)+Markniveau!Y1120*Markniveau!S1120/100,"")))</f>
        <v>69.200779741212841</v>
      </c>
      <c r="AA1120" s="10">
        <f t="shared" si="176"/>
        <v>140.47758287466206</v>
      </c>
      <c r="AB1120" s="10" t="str">
        <f t="shared" si="175"/>
        <v/>
      </c>
      <c r="AC1120" s="10" t="str">
        <f t="shared" si="177"/>
        <v/>
      </c>
      <c r="AD1120" s="10">
        <f>IF(AND(Q1120&gt;0,Q1120&lt;30,K1120&lt;8),Markniveau!Z1120*'Udvaskning nøgletal'!$I$12/100,IF(AND(Q1120&gt;0,Q1120&lt;30,K1120=216),Markniveau!Z1120*'Udvaskning nøgletal'!$I$34/100,Markniveau!Z1120))</f>
        <v>69.200779741212841</v>
      </c>
      <c r="AE1120" s="10">
        <f t="shared" si="183"/>
        <v>140.47758287466206</v>
      </c>
      <c r="AF1120" s="10" t="str">
        <f t="shared" si="178"/>
        <v/>
      </c>
      <c r="AG1120" s="10" t="str">
        <f t="shared" si="184"/>
        <v/>
      </c>
      <c r="AH1120" s="10" t="str">
        <f>IF(AND(Q1120&gt;0,Q1120&lt;30,K1120=216),'Udvaskning nøgletal'!$C$42,IF(AND(Q1120&gt;0,Q1120&lt;30,K1120&gt;7,K1120&lt;17),'Udvaskning nøgletal'!$C$61,IF(AND(Q1120&gt;0,Q1120&lt;30,K1120&lt;7),'Udvaskning nøgletal'!$C$62,"")))</f>
        <v/>
      </c>
      <c r="AI1120" s="10">
        <f t="shared" si="180"/>
        <v>22</v>
      </c>
      <c r="AJ1120" s="10">
        <f>IF($X1120=1,LOOKUP(AI1120,'Udvaskning nøgletal'!$C$12:$C$62,'Udvaskning nøgletal'!$E$12:$E$62)+Markniveau!$Y1120*Markniveau!$S1120/100,IF($X1120=2,LOOKUP(AI1120,'Udvaskning nøgletal'!$C$12:$C$62,'Udvaskning nøgletal'!$F$12:$F$62)+Markniveau!$Y1120*Markniveau!$S1120/100,IF($X1120=3,LOOKUP(AI1120,'Udvaskning nøgletal'!$C$12:$C$62,'Udvaskning nøgletal'!Q1130:Q1180)+Markniveau!$Y1120*Markniveau!$S1120/100,"")))</f>
        <v>69.200779741212841</v>
      </c>
      <c r="AK1120" s="10">
        <f t="shared" si="179"/>
        <v>140.47758287466206</v>
      </c>
      <c r="AL1120" s="10" t="str">
        <f t="shared" si="181"/>
        <v/>
      </c>
      <c r="AM1120" s="10" t="str">
        <f t="shared" si="182"/>
        <v/>
      </c>
    </row>
    <row r="1121" spans="1:39" x14ac:dyDescent="0.25">
      <c r="A1121" s="15">
        <v>35557628</v>
      </c>
      <c r="B1121" s="15">
        <v>9.15</v>
      </c>
      <c r="C1121" s="15">
        <v>270539</v>
      </c>
      <c r="D1121" s="15">
        <v>55926</v>
      </c>
      <c r="E1121" s="15" t="s">
        <v>130</v>
      </c>
      <c r="F1121" s="15">
        <v>2011</v>
      </c>
      <c r="G1121" s="15">
        <v>20110512</v>
      </c>
      <c r="H1121" s="15">
        <v>91451</v>
      </c>
      <c r="I1121" s="15">
        <v>9.15</v>
      </c>
      <c r="J1121" s="6" t="s">
        <v>918</v>
      </c>
      <c r="K1121" s="15">
        <v>152</v>
      </c>
      <c r="L1121" s="15" t="s">
        <v>333</v>
      </c>
      <c r="M1121" s="15" t="s">
        <v>5</v>
      </c>
      <c r="N1121" s="11" t="s">
        <v>1391</v>
      </c>
      <c r="O1121" s="11" t="s">
        <v>46</v>
      </c>
      <c r="P1121" s="11" t="s">
        <v>29</v>
      </c>
      <c r="Q1121" s="15">
        <v>95</v>
      </c>
      <c r="R1121" s="11" t="s">
        <v>3</v>
      </c>
      <c r="S1121" s="10">
        <v>90.815594824257005</v>
      </c>
      <c r="T1121" s="15">
        <v>80</v>
      </c>
      <c r="U1121" s="15">
        <v>0</v>
      </c>
      <c r="V1121" s="15">
        <v>0</v>
      </c>
      <c r="W1121" s="15">
        <v>0</v>
      </c>
      <c r="X1121" s="15">
        <f>IF(O1121='Udvaskning nøgletal'!$D$65,1,IF(O1121='Udvaskning nøgletal'!$D$66,2,IF(O1121='Udvaskning nøgletal'!$D$67,3,IF(O1121='Udvaskning nøgletal'!$D$68,2,""))))</f>
        <v>2</v>
      </c>
      <c r="Y1121" s="15">
        <f>LOOKUP(K1121,'Udvaskning nøgletal'!$C$12:$C$60,'Udvaskning nøgletal'!$H$12:$H$60)</f>
        <v>5</v>
      </c>
      <c r="Z1121" s="10">
        <f>IF(X1121=1,LOOKUP(K1121,'Udvaskning nøgletal'!$C$12:$C$60,'Udvaskning nøgletal'!$E$12:$E$60)+Markniveau!Y1121*Markniveau!S1121/100,IF(X1121=2,LOOKUP(K1121,'Udvaskning nøgletal'!$C$12:$C$60,'Udvaskning nøgletal'!$F$12:$F$60)+Markniveau!Y1121*Markniveau!S1121/100,IF(X1121=3,LOOKUP(K1121,'Udvaskning nøgletal'!$C$12:$C$60,'Udvaskning nøgletal'!G1131:G1179)+Markniveau!Y1121*Markniveau!S1121/100,"")))</f>
        <v>55.420779741212854</v>
      </c>
      <c r="AA1121" s="10">
        <f t="shared" si="176"/>
        <v>507.10013463209765</v>
      </c>
      <c r="AB1121" s="10">
        <f t="shared" si="175"/>
        <v>2.7710389870606429</v>
      </c>
      <c r="AC1121" s="10">
        <f t="shared" si="177"/>
        <v>25.355006731604885</v>
      </c>
      <c r="AD1121" s="10">
        <f>IF(AND(Q1121&gt;0,Q1121&lt;30,K1121&lt;8),Markniveau!Z1121*'Udvaskning nøgletal'!$I$12/100,IF(AND(Q1121&gt;0,Q1121&lt;30,K1121=216),Markniveau!Z1121*'Udvaskning nøgletal'!$I$34/100,Markniveau!Z1121))</f>
        <v>55.420779741212854</v>
      </c>
      <c r="AE1121" s="10">
        <f t="shared" si="183"/>
        <v>507.10013463209765</v>
      </c>
      <c r="AF1121" s="10">
        <f t="shared" si="178"/>
        <v>2.7710389870606429</v>
      </c>
      <c r="AG1121" s="10">
        <f t="shared" si="184"/>
        <v>25.355006731604885</v>
      </c>
      <c r="AH1121" s="10" t="str">
        <f>IF(AND(Q1121&gt;0,Q1121&lt;30,K1121=216),'Udvaskning nøgletal'!$C$42,IF(AND(Q1121&gt;0,Q1121&lt;30,K1121&gt;7,K1121&lt;17),'Udvaskning nøgletal'!$C$61,IF(AND(Q1121&gt;0,Q1121&lt;30,K1121&lt;7),'Udvaskning nøgletal'!$C$62,"")))</f>
        <v/>
      </c>
      <c r="AI1121" s="10">
        <f t="shared" si="180"/>
        <v>152</v>
      </c>
      <c r="AJ1121" s="10">
        <f>IF($X1121=1,LOOKUP(AI1121,'Udvaskning nøgletal'!$C$12:$C$62,'Udvaskning nøgletal'!$E$12:$E$62)+Markniveau!$Y1121*Markniveau!$S1121/100,IF($X1121=2,LOOKUP(AI1121,'Udvaskning nøgletal'!$C$12:$C$62,'Udvaskning nøgletal'!$F$12:$F$62)+Markniveau!$Y1121*Markniveau!$S1121/100,IF($X1121=3,LOOKUP(AI1121,'Udvaskning nøgletal'!$C$12:$C$62,'Udvaskning nøgletal'!Q1131:Q1181)+Markniveau!$Y1121*Markniveau!$S1121/100,"")))</f>
        <v>55.420779741212854</v>
      </c>
      <c r="AK1121" s="10">
        <f t="shared" si="179"/>
        <v>507.10013463209765</v>
      </c>
      <c r="AL1121" s="10">
        <f t="shared" si="181"/>
        <v>2.7710389870606429</v>
      </c>
      <c r="AM1121" s="10">
        <f t="shared" si="182"/>
        <v>25.355006731604885</v>
      </c>
    </row>
    <row r="1122" spans="1:39" x14ac:dyDescent="0.25">
      <c r="A1122" s="15">
        <v>35557628</v>
      </c>
      <c r="B1122" s="15">
        <v>9.15</v>
      </c>
      <c r="C1122" s="15">
        <v>270540</v>
      </c>
      <c r="D1122" s="15">
        <v>55926</v>
      </c>
      <c r="E1122" s="15" t="s">
        <v>891</v>
      </c>
      <c r="F1122" s="15">
        <v>2011</v>
      </c>
      <c r="G1122" s="15">
        <v>20110512</v>
      </c>
      <c r="H1122" s="15">
        <v>98292</v>
      </c>
      <c r="I1122" s="15">
        <v>9.83</v>
      </c>
      <c r="J1122" s="6" t="s">
        <v>34</v>
      </c>
      <c r="K1122" s="15">
        <v>1</v>
      </c>
      <c r="L1122" s="15" t="s">
        <v>32</v>
      </c>
      <c r="M1122" s="15" t="s">
        <v>5</v>
      </c>
      <c r="N1122" s="11" t="s">
        <v>1384</v>
      </c>
      <c r="O1122" s="11" t="s">
        <v>28</v>
      </c>
      <c r="P1122" s="11" t="s">
        <v>33</v>
      </c>
      <c r="Q1122" s="15">
        <v>0</v>
      </c>
      <c r="R1122" s="11" t="s">
        <v>1386</v>
      </c>
      <c r="S1122" s="10">
        <v>90.815594824257005</v>
      </c>
      <c r="T1122" s="15">
        <v>80</v>
      </c>
      <c r="U1122" s="15">
        <v>0</v>
      </c>
      <c r="V1122" s="15">
        <v>0</v>
      </c>
      <c r="W1122" s="15">
        <v>0</v>
      </c>
      <c r="X1122" s="15">
        <f>IF(O1122='Udvaskning nøgletal'!$D$65,1,IF(O1122='Udvaskning nøgletal'!$D$66,2,IF(O1122='Udvaskning nøgletal'!$D$67,3,IF(O1122='Udvaskning nøgletal'!$D$68,2,""))))</f>
        <v>1</v>
      </c>
      <c r="Y1122" s="15">
        <f>LOOKUP(K1122,'Udvaskning nøgletal'!$C$12:$C$60,'Udvaskning nøgletal'!$H$12:$H$60)</f>
        <v>5</v>
      </c>
      <c r="Z1122" s="10">
        <f>IF(X1122=1,LOOKUP(K1122,'Udvaskning nøgletal'!$C$12:$C$60,'Udvaskning nøgletal'!$E$12:$E$60)+Markniveau!Y1122*Markniveau!S1122/100,IF(X1122=2,LOOKUP(K1122,'Udvaskning nøgletal'!$C$12:$C$60,'Udvaskning nøgletal'!$F$12:$F$60)+Markniveau!Y1122*Markniveau!S1122/100,IF(X1122=3,LOOKUP(K1122,'Udvaskning nøgletal'!$C$12:$C$60,'Udvaskning nøgletal'!G1132:G1180)+Markniveau!Y1122*Markniveau!S1122/100,"")))</f>
        <v>69.200779741212841</v>
      </c>
      <c r="AA1122" s="10">
        <f t="shared" si="176"/>
        <v>680.24366485612222</v>
      </c>
      <c r="AB1122" s="10" t="str">
        <f t="shared" si="175"/>
        <v/>
      </c>
      <c r="AC1122" s="10" t="str">
        <f t="shared" si="177"/>
        <v/>
      </c>
      <c r="AD1122" s="10">
        <f>IF(AND(Q1122&gt;0,Q1122&lt;30,K1122&lt;8),Markniveau!Z1122*'Udvaskning nøgletal'!$I$12/100,IF(AND(Q1122&gt;0,Q1122&lt;30,K1122=216),Markniveau!Z1122*'Udvaskning nøgletal'!$I$34/100,Markniveau!Z1122))</f>
        <v>69.200779741212841</v>
      </c>
      <c r="AE1122" s="10">
        <f t="shared" si="183"/>
        <v>680.24366485612222</v>
      </c>
      <c r="AF1122" s="10" t="str">
        <f t="shared" si="178"/>
        <v/>
      </c>
      <c r="AG1122" s="10" t="str">
        <f t="shared" si="184"/>
        <v/>
      </c>
      <c r="AH1122" s="10" t="str">
        <f>IF(AND(Q1122&gt;0,Q1122&lt;30,K1122=216),'Udvaskning nøgletal'!$C$42,IF(AND(Q1122&gt;0,Q1122&lt;30,K1122&gt;7,K1122&lt;17),'Udvaskning nøgletal'!$C$61,IF(AND(Q1122&gt;0,Q1122&lt;30,K1122&lt;7),'Udvaskning nøgletal'!$C$62,"")))</f>
        <v/>
      </c>
      <c r="AI1122" s="10">
        <f t="shared" si="180"/>
        <v>1</v>
      </c>
      <c r="AJ1122" s="10">
        <f>IF($X1122=1,LOOKUP(AI1122,'Udvaskning nøgletal'!$C$12:$C$62,'Udvaskning nøgletal'!$E$12:$E$62)+Markniveau!$Y1122*Markniveau!$S1122/100,IF($X1122=2,LOOKUP(AI1122,'Udvaskning nøgletal'!$C$12:$C$62,'Udvaskning nøgletal'!$F$12:$F$62)+Markniveau!$Y1122*Markniveau!$S1122/100,IF($X1122=3,LOOKUP(AI1122,'Udvaskning nøgletal'!$C$12:$C$62,'Udvaskning nøgletal'!Q1132:Q1182)+Markniveau!$Y1122*Markniveau!$S1122/100,"")))</f>
        <v>69.200779741212841</v>
      </c>
      <c r="AK1122" s="10">
        <f t="shared" si="179"/>
        <v>680.24366485612222</v>
      </c>
      <c r="AL1122" s="10" t="str">
        <f t="shared" si="181"/>
        <v/>
      </c>
      <c r="AM1122" s="10" t="str">
        <f t="shared" si="182"/>
        <v/>
      </c>
    </row>
    <row r="1123" spans="1:39" x14ac:dyDescent="0.25">
      <c r="A1123" s="15">
        <v>35557628</v>
      </c>
      <c r="B1123" s="15">
        <v>9.15</v>
      </c>
      <c r="C1123" s="15">
        <v>270541</v>
      </c>
      <c r="D1123" s="15">
        <v>55926</v>
      </c>
      <c r="E1123" s="15" t="s">
        <v>919</v>
      </c>
      <c r="F1123" s="15">
        <v>2011</v>
      </c>
      <c r="G1123" s="15">
        <v>20110512</v>
      </c>
      <c r="H1123" s="15">
        <v>59258</v>
      </c>
      <c r="I1123" s="15">
        <v>5.93</v>
      </c>
      <c r="J1123" s="6" t="s">
        <v>920</v>
      </c>
      <c r="K1123" s="15">
        <v>11</v>
      </c>
      <c r="L1123" s="15" t="s">
        <v>102</v>
      </c>
      <c r="M1123" s="15" t="s">
        <v>5</v>
      </c>
      <c r="N1123" s="11" t="s">
        <v>1384</v>
      </c>
      <c r="O1123" s="11" t="s">
        <v>28</v>
      </c>
      <c r="P1123" s="11" t="s">
        <v>33</v>
      </c>
      <c r="Q1123" s="15">
        <v>0</v>
      </c>
      <c r="R1123" s="11" t="s">
        <v>1386</v>
      </c>
      <c r="S1123" s="10">
        <v>90.815594824257005</v>
      </c>
      <c r="T1123" s="15">
        <v>80</v>
      </c>
      <c r="U1123" s="15">
        <v>0</v>
      </c>
      <c r="V1123" s="15">
        <v>0</v>
      </c>
      <c r="W1123" s="15">
        <v>0</v>
      </c>
      <c r="X1123" s="15">
        <f>IF(O1123='Udvaskning nøgletal'!$D$65,1,IF(O1123='Udvaskning nøgletal'!$D$66,2,IF(O1123='Udvaskning nøgletal'!$D$67,3,IF(O1123='Udvaskning nøgletal'!$D$68,2,""))))</f>
        <v>1</v>
      </c>
      <c r="Y1123" s="15">
        <f>LOOKUP(K1123,'Udvaskning nøgletal'!$C$12:$C$60,'Udvaskning nøgletal'!$H$12:$H$60)</f>
        <v>5</v>
      </c>
      <c r="Z1123" s="10">
        <f>IF(X1123=1,LOOKUP(K1123,'Udvaskning nøgletal'!$C$12:$C$60,'Udvaskning nøgletal'!$E$12:$E$60)+Markniveau!Y1123*Markniveau!S1123/100,IF(X1123=2,LOOKUP(K1123,'Udvaskning nøgletal'!$C$12:$C$60,'Udvaskning nøgletal'!$F$12:$F$60)+Markniveau!Y1123*Markniveau!S1123/100,IF(X1123=3,LOOKUP(K1123,'Udvaskning nøgletal'!$C$12:$C$60,'Udvaskning nøgletal'!G1133:G1181)+Markniveau!Y1123*Markniveau!S1123/100,"")))</f>
        <v>69.200779741212841</v>
      </c>
      <c r="AA1123" s="10">
        <f t="shared" si="176"/>
        <v>410.36062386539214</v>
      </c>
      <c r="AB1123" s="10" t="str">
        <f t="shared" si="175"/>
        <v/>
      </c>
      <c r="AC1123" s="10" t="str">
        <f t="shared" si="177"/>
        <v/>
      </c>
      <c r="AD1123" s="10">
        <f>IF(AND(Q1123&gt;0,Q1123&lt;30,K1123&lt;8),Markniveau!Z1123*'Udvaskning nøgletal'!$I$12/100,IF(AND(Q1123&gt;0,Q1123&lt;30,K1123=216),Markniveau!Z1123*'Udvaskning nøgletal'!$I$34/100,Markniveau!Z1123))</f>
        <v>69.200779741212841</v>
      </c>
      <c r="AE1123" s="10">
        <f t="shared" si="183"/>
        <v>410.36062386539214</v>
      </c>
      <c r="AF1123" s="10" t="str">
        <f t="shared" si="178"/>
        <v/>
      </c>
      <c r="AG1123" s="10" t="str">
        <f t="shared" si="184"/>
        <v/>
      </c>
      <c r="AH1123" s="10" t="str">
        <f>IF(AND(Q1123&gt;0,Q1123&lt;30,K1123=216),'Udvaskning nøgletal'!$C$42,IF(AND(Q1123&gt;0,Q1123&lt;30,K1123&gt;7,K1123&lt;17),'Udvaskning nøgletal'!$C$61,IF(AND(Q1123&gt;0,Q1123&lt;30,K1123&lt;7),'Udvaskning nøgletal'!$C$62,"")))</f>
        <v/>
      </c>
      <c r="AI1123" s="10">
        <f t="shared" si="180"/>
        <v>11</v>
      </c>
      <c r="AJ1123" s="10">
        <f>IF($X1123=1,LOOKUP(AI1123,'Udvaskning nøgletal'!$C$12:$C$62,'Udvaskning nøgletal'!$E$12:$E$62)+Markniveau!$Y1123*Markniveau!$S1123/100,IF($X1123=2,LOOKUP(AI1123,'Udvaskning nøgletal'!$C$12:$C$62,'Udvaskning nøgletal'!$F$12:$F$62)+Markniveau!$Y1123*Markniveau!$S1123/100,IF($X1123=3,LOOKUP(AI1123,'Udvaskning nøgletal'!$C$12:$C$62,'Udvaskning nøgletal'!Q1133:Q1183)+Markniveau!$Y1123*Markniveau!$S1123/100,"")))</f>
        <v>69.200779741212841</v>
      </c>
      <c r="AK1123" s="10">
        <f t="shared" si="179"/>
        <v>410.36062386539214</v>
      </c>
      <c r="AL1123" s="10" t="str">
        <f t="shared" si="181"/>
        <v/>
      </c>
      <c r="AM1123" s="10" t="str">
        <f t="shared" si="182"/>
        <v/>
      </c>
    </row>
    <row r="1124" spans="1:39" x14ac:dyDescent="0.25">
      <c r="A1124" s="15">
        <v>35557628</v>
      </c>
      <c r="B1124" s="15">
        <v>9.15</v>
      </c>
      <c r="C1124" s="15">
        <v>270542</v>
      </c>
      <c r="D1124" s="15">
        <v>55926</v>
      </c>
      <c r="E1124" s="15" t="s">
        <v>921</v>
      </c>
      <c r="F1124" s="15">
        <v>2011</v>
      </c>
      <c r="G1124" s="15">
        <v>20110512</v>
      </c>
      <c r="H1124" s="15">
        <v>16234</v>
      </c>
      <c r="I1124" s="15">
        <v>1.62</v>
      </c>
      <c r="J1124" s="6" t="s">
        <v>76</v>
      </c>
      <c r="K1124" s="15">
        <v>11</v>
      </c>
      <c r="L1124" s="15" t="s">
        <v>102</v>
      </c>
      <c r="M1124" s="15" t="s">
        <v>5</v>
      </c>
      <c r="N1124" s="11" t="s">
        <v>1384</v>
      </c>
      <c r="O1124" s="11" t="s">
        <v>28</v>
      </c>
      <c r="P1124" s="11" t="s">
        <v>33</v>
      </c>
      <c r="Q1124" s="15">
        <v>0</v>
      </c>
      <c r="R1124" s="11" t="s">
        <v>1386</v>
      </c>
      <c r="S1124" s="10">
        <v>90.815594824257005</v>
      </c>
      <c r="T1124" s="15">
        <v>80</v>
      </c>
      <c r="U1124" s="15">
        <v>0</v>
      </c>
      <c r="V1124" s="15">
        <v>0</v>
      </c>
      <c r="W1124" s="15">
        <v>0</v>
      </c>
      <c r="X1124" s="15">
        <f>IF(O1124='Udvaskning nøgletal'!$D$65,1,IF(O1124='Udvaskning nøgletal'!$D$66,2,IF(O1124='Udvaskning nøgletal'!$D$67,3,IF(O1124='Udvaskning nøgletal'!$D$68,2,""))))</f>
        <v>1</v>
      </c>
      <c r="Y1124" s="15">
        <f>LOOKUP(K1124,'Udvaskning nøgletal'!$C$12:$C$60,'Udvaskning nøgletal'!$H$12:$H$60)</f>
        <v>5</v>
      </c>
      <c r="Z1124" s="10">
        <f>IF(X1124=1,LOOKUP(K1124,'Udvaskning nøgletal'!$C$12:$C$60,'Udvaskning nøgletal'!$E$12:$E$60)+Markniveau!Y1124*Markniveau!S1124/100,IF(X1124=2,LOOKUP(K1124,'Udvaskning nøgletal'!$C$12:$C$60,'Udvaskning nøgletal'!$F$12:$F$60)+Markniveau!Y1124*Markniveau!S1124/100,IF(X1124=3,LOOKUP(K1124,'Udvaskning nøgletal'!$C$12:$C$60,'Udvaskning nøgletal'!G1134:G1182)+Markniveau!Y1124*Markniveau!S1124/100,"")))</f>
        <v>69.200779741212841</v>
      </c>
      <c r="AA1124" s="10">
        <f t="shared" si="176"/>
        <v>112.10526318076481</v>
      </c>
      <c r="AB1124" s="10" t="str">
        <f t="shared" si="175"/>
        <v/>
      </c>
      <c r="AC1124" s="10" t="str">
        <f t="shared" si="177"/>
        <v/>
      </c>
      <c r="AD1124" s="10">
        <f>IF(AND(Q1124&gt;0,Q1124&lt;30,K1124&lt;8),Markniveau!Z1124*'Udvaskning nøgletal'!$I$12/100,IF(AND(Q1124&gt;0,Q1124&lt;30,K1124=216),Markniveau!Z1124*'Udvaskning nøgletal'!$I$34/100,Markniveau!Z1124))</f>
        <v>69.200779741212841</v>
      </c>
      <c r="AE1124" s="10">
        <f t="shared" si="183"/>
        <v>112.10526318076481</v>
      </c>
      <c r="AF1124" s="10" t="str">
        <f t="shared" si="178"/>
        <v/>
      </c>
      <c r="AG1124" s="10" t="str">
        <f t="shared" si="184"/>
        <v/>
      </c>
      <c r="AH1124" s="10" t="str">
        <f>IF(AND(Q1124&gt;0,Q1124&lt;30,K1124=216),'Udvaskning nøgletal'!$C$42,IF(AND(Q1124&gt;0,Q1124&lt;30,K1124&gt;7,K1124&lt;17),'Udvaskning nøgletal'!$C$61,IF(AND(Q1124&gt;0,Q1124&lt;30,K1124&lt;7),'Udvaskning nøgletal'!$C$62,"")))</f>
        <v/>
      </c>
      <c r="AI1124" s="10">
        <f t="shared" si="180"/>
        <v>11</v>
      </c>
      <c r="AJ1124" s="10">
        <f>IF($X1124=1,LOOKUP(AI1124,'Udvaskning nøgletal'!$C$12:$C$62,'Udvaskning nøgletal'!$E$12:$E$62)+Markniveau!$Y1124*Markniveau!$S1124/100,IF($X1124=2,LOOKUP(AI1124,'Udvaskning nøgletal'!$C$12:$C$62,'Udvaskning nøgletal'!$F$12:$F$62)+Markniveau!$Y1124*Markniveau!$S1124/100,IF($X1124=3,LOOKUP(AI1124,'Udvaskning nøgletal'!$C$12:$C$62,'Udvaskning nøgletal'!Q1134:Q1184)+Markniveau!$Y1124*Markniveau!$S1124/100,"")))</f>
        <v>69.200779741212841</v>
      </c>
      <c r="AK1124" s="10">
        <f t="shared" si="179"/>
        <v>112.10526318076481</v>
      </c>
      <c r="AL1124" s="10" t="str">
        <f t="shared" si="181"/>
        <v/>
      </c>
      <c r="AM1124" s="10" t="str">
        <f t="shared" si="182"/>
        <v/>
      </c>
    </row>
    <row r="1125" spans="1:39" x14ac:dyDescent="0.25">
      <c r="A1125" s="15">
        <v>35557628</v>
      </c>
      <c r="B1125" s="15">
        <v>9.15</v>
      </c>
      <c r="C1125" s="15">
        <v>270658</v>
      </c>
      <c r="D1125" s="15">
        <v>55926</v>
      </c>
      <c r="E1125" s="15" t="s">
        <v>922</v>
      </c>
      <c r="F1125" s="15">
        <v>2011</v>
      </c>
      <c r="G1125" s="15">
        <v>20110512</v>
      </c>
      <c r="H1125" s="15">
        <v>38038</v>
      </c>
      <c r="I1125" s="15">
        <v>3.8</v>
      </c>
      <c r="J1125" s="6" t="s">
        <v>923</v>
      </c>
      <c r="K1125" s="15">
        <v>15</v>
      </c>
      <c r="L1125" s="15" t="s">
        <v>362</v>
      </c>
      <c r="M1125" s="15" t="s">
        <v>5</v>
      </c>
      <c r="N1125" s="11" t="s">
        <v>1384</v>
      </c>
      <c r="O1125" s="11" t="s">
        <v>28</v>
      </c>
      <c r="P1125" s="11" t="s">
        <v>33</v>
      </c>
      <c r="Q1125" s="15">
        <v>0</v>
      </c>
      <c r="R1125" s="11" t="s">
        <v>1386</v>
      </c>
      <c r="S1125" s="10">
        <v>90.815594824257005</v>
      </c>
      <c r="T1125" s="15">
        <v>80</v>
      </c>
      <c r="U1125" s="15">
        <v>0</v>
      </c>
      <c r="V1125" s="15">
        <v>0</v>
      </c>
      <c r="W1125" s="15">
        <v>0</v>
      </c>
      <c r="X1125" s="15">
        <f>IF(O1125='Udvaskning nøgletal'!$D$65,1,IF(O1125='Udvaskning nøgletal'!$D$66,2,IF(O1125='Udvaskning nøgletal'!$D$67,3,IF(O1125='Udvaskning nøgletal'!$D$68,2,""))))</f>
        <v>1</v>
      </c>
      <c r="Y1125" s="15">
        <f>LOOKUP(K1125,'Udvaskning nøgletal'!$C$12:$C$60,'Udvaskning nøgletal'!$H$12:$H$60)</f>
        <v>5</v>
      </c>
      <c r="Z1125" s="10">
        <f>IF(X1125=1,LOOKUP(K1125,'Udvaskning nøgletal'!$C$12:$C$60,'Udvaskning nøgletal'!$E$12:$E$60)+Markniveau!Y1125*Markniveau!S1125/100,IF(X1125=2,LOOKUP(K1125,'Udvaskning nøgletal'!$C$12:$C$60,'Udvaskning nøgletal'!$F$12:$F$60)+Markniveau!Y1125*Markniveau!S1125/100,IF(X1125=3,LOOKUP(K1125,'Udvaskning nøgletal'!$C$12:$C$60,'Udvaskning nøgletal'!G1135:G1183)+Markniveau!Y1125*Markniveau!S1125/100,"")))</f>
        <v>69.200779741212841</v>
      </c>
      <c r="AA1125" s="10">
        <f t="shared" si="176"/>
        <v>262.9629630166088</v>
      </c>
      <c r="AB1125" s="10" t="str">
        <f t="shared" si="175"/>
        <v/>
      </c>
      <c r="AC1125" s="10" t="str">
        <f t="shared" si="177"/>
        <v/>
      </c>
      <c r="AD1125" s="10">
        <f>IF(AND(Q1125&gt;0,Q1125&lt;30,K1125&lt;8),Markniveau!Z1125*'Udvaskning nøgletal'!$I$12/100,IF(AND(Q1125&gt;0,Q1125&lt;30,K1125=216),Markniveau!Z1125*'Udvaskning nøgletal'!$I$34/100,Markniveau!Z1125))</f>
        <v>69.200779741212841</v>
      </c>
      <c r="AE1125" s="10">
        <f t="shared" si="183"/>
        <v>262.9629630166088</v>
      </c>
      <c r="AF1125" s="10" t="str">
        <f t="shared" si="178"/>
        <v/>
      </c>
      <c r="AG1125" s="10" t="str">
        <f t="shared" si="184"/>
        <v/>
      </c>
      <c r="AH1125" s="10" t="str">
        <f>IF(AND(Q1125&gt;0,Q1125&lt;30,K1125=216),'Udvaskning nøgletal'!$C$42,IF(AND(Q1125&gt;0,Q1125&lt;30,K1125&gt;7,K1125&lt;17),'Udvaskning nøgletal'!$C$61,IF(AND(Q1125&gt;0,Q1125&lt;30,K1125&lt;7),'Udvaskning nøgletal'!$C$62,"")))</f>
        <v/>
      </c>
      <c r="AI1125" s="10">
        <f t="shared" si="180"/>
        <v>15</v>
      </c>
      <c r="AJ1125" s="10">
        <f>IF($X1125=1,LOOKUP(AI1125,'Udvaskning nøgletal'!$C$12:$C$62,'Udvaskning nøgletal'!$E$12:$E$62)+Markniveau!$Y1125*Markniveau!$S1125/100,IF($X1125=2,LOOKUP(AI1125,'Udvaskning nøgletal'!$C$12:$C$62,'Udvaskning nøgletal'!$F$12:$F$62)+Markniveau!$Y1125*Markniveau!$S1125/100,IF($X1125=3,LOOKUP(AI1125,'Udvaskning nøgletal'!$C$12:$C$62,'Udvaskning nøgletal'!Q1135:Q1185)+Markniveau!$Y1125*Markniveau!$S1125/100,"")))</f>
        <v>69.200779741212841</v>
      </c>
      <c r="AK1125" s="10">
        <f t="shared" si="179"/>
        <v>262.9629630166088</v>
      </c>
      <c r="AL1125" s="10" t="str">
        <f t="shared" si="181"/>
        <v/>
      </c>
      <c r="AM1125" s="10" t="str">
        <f t="shared" si="182"/>
        <v/>
      </c>
    </row>
    <row r="1126" spans="1:39" x14ac:dyDescent="0.25">
      <c r="A1126" s="15">
        <v>35557628</v>
      </c>
      <c r="B1126" s="15">
        <v>9.15</v>
      </c>
      <c r="C1126" s="15">
        <v>271054</v>
      </c>
      <c r="D1126" s="15">
        <v>55926</v>
      </c>
      <c r="E1126" s="15" t="s">
        <v>924</v>
      </c>
      <c r="F1126" s="15">
        <v>2011</v>
      </c>
      <c r="G1126" s="15">
        <v>20110512</v>
      </c>
      <c r="H1126" s="15">
        <v>60101</v>
      </c>
      <c r="I1126" s="15">
        <v>6.01</v>
      </c>
      <c r="J1126" s="6" t="s">
        <v>26</v>
      </c>
      <c r="K1126" s="15">
        <v>150</v>
      </c>
      <c r="L1126" s="15" t="s">
        <v>896</v>
      </c>
      <c r="M1126" s="15" t="s">
        <v>5</v>
      </c>
      <c r="N1126" s="11" t="s">
        <v>1384</v>
      </c>
      <c r="O1126" s="11" t="s">
        <v>28</v>
      </c>
      <c r="P1126" s="11" t="s">
        <v>33</v>
      </c>
      <c r="Q1126" s="15">
        <v>0</v>
      </c>
      <c r="R1126" s="11" t="s">
        <v>1386</v>
      </c>
      <c r="S1126" s="10">
        <v>90.815594824257005</v>
      </c>
      <c r="T1126" s="15">
        <v>80</v>
      </c>
      <c r="U1126" s="15">
        <v>0</v>
      </c>
      <c r="V1126" s="15">
        <v>0</v>
      </c>
      <c r="W1126" s="15">
        <v>0</v>
      </c>
      <c r="X1126" s="15">
        <f>IF(O1126='Udvaskning nøgletal'!$D$65,1,IF(O1126='Udvaskning nøgletal'!$D$66,2,IF(O1126='Udvaskning nøgletal'!$D$67,3,IF(O1126='Udvaskning nøgletal'!$D$68,2,""))))</f>
        <v>1</v>
      </c>
      <c r="Y1126" s="15">
        <f>LOOKUP(K1126,'Udvaskning nøgletal'!$C$12:$C$60,'Udvaskning nøgletal'!$H$12:$H$60)</f>
        <v>5</v>
      </c>
      <c r="Z1126" s="10">
        <f>IF(X1126=1,LOOKUP(K1126,'Udvaskning nøgletal'!$C$12:$C$60,'Udvaskning nøgletal'!$E$12:$E$60)+Markniveau!Y1126*Markniveau!S1126/100,IF(X1126=2,LOOKUP(K1126,'Udvaskning nøgletal'!$C$12:$C$60,'Udvaskning nøgletal'!$F$12:$F$60)+Markniveau!Y1126*Markniveau!S1126/100,IF(X1126=3,LOOKUP(K1126,'Udvaskning nøgletal'!$C$12:$C$60,'Udvaskning nøgletal'!G1136:G1184)+Markniveau!Y1126*Markniveau!S1126/100,"")))</f>
        <v>69.200779741212841</v>
      </c>
      <c r="AA1126" s="10">
        <f t="shared" si="176"/>
        <v>415.89668624468914</v>
      </c>
      <c r="AB1126" s="10" t="str">
        <f t="shared" si="175"/>
        <v/>
      </c>
      <c r="AC1126" s="10" t="str">
        <f t="shared" si="177"/>
        <v/>
      </c>
      <c r="AD1126" s="10">
        <f>IF(AND(Q1126&gt;0,Q1126&lt;30,K1126&lt;8),Markniveau!Z1126*'Udvaskning nøgletal'!$I$12/100,IF(AND(Q1126&gt;0,Q1126&lt;30,K1126=216),Markniveau!Z1126*'Udvaskning nøgletal'!$I$34/100,Markniveau!Z1126))</f>
        <v>69.200779741212841</v>
      </c>
      <c r="AE1126" s="10">
        <f t="shared" si="183"/>
        <v>415.89668624468914</v>
      </c>
      <c r="AF1126" s="10" t="str">
        <f t="shared" si="178"/>
        <v/>
      </c>
      <c r="AG1126" s="10" t="str">
        <f t="shared" si="184"/>
        <v/>
      </c>
      <c r="AH1126" s="10" t="str">
        <f>IF(AND(Q1126&gt;0,Q1126&lt;30,K1126=216),'Udvaskning nøgletal'!$C$42,IF(AND(Q1126&gt;0,Q1126&lt;30,K1126&gt;7,K1126&lt;17),'Udvaskning nøgletal'!$C$61,IF(AND(Q1126&gt;0,Q1126&lt;30,K1126&lt;7),'Udvaskning nøgletal'!$C$62,"")))</f>
        <v/>
      </c>
      <c r="AI1126" s="10">
        <f t="shared" si="180"/>
        <v>150</v>
      </c>
      <c r="AJ1126" s="10">
        <f>IF($X1126=1,LOOKUP(AI1126,'Udvaskning nøgletal'!$C$12:$C$62,'Udvaskning nøgletal'!$E$12:$E$62)+Markniveau!$Y1126*Markniveau!$S1126/100,IF($X1126=2,LOOKUP(AI1126,'Udvaskning nøgletal'!$C$12:$C$62,'Udvaskning nøgletal'!$F$12:$F$62)+Markniveau!$Y1126*Markniveau!$S1126/100,IF($X1126=3,LOOKUP(AI1126,'Udvaskning nøgletal'!$C$12:$C$62,'Udvaskning nøgletal'!Q1136:Q1186)+Markniveau!$Y1126*Markniveau!$S1126/100,"")))</f>
        <v>69.200779741212841</v>
      </c>
      <c r="AK1126" s="10">
        <f t="shared" si="179"/>
        <v>415.89668624468914</v>
      </c>
      <c r="AL1126" s="10" t="str">
        <f t="shared" si="181"/>
        <v/>
      </c>
      <c r="AM1126" s="10" t="str">
        <f t="shared" si="182"/>
        <v/>
      </c>
    </row>
    <row r="1127" spans="1:39" x14ac:dyDescent="0.25">
      <c r="A1127" s="15">
        <v>35557628</v>
      </c>
      <c r="B1127" s="15">
        <v>9.15</v>
      </c>
      <c r="C1127" s="15">
        <v>272270</v>
      </c>
      <c r="D1127" s="15">
        <v>55926</v>
      </c>
      <c r="E1127" s="15" t="s">
        <v>925</v>
      </c>
      <c r="F1127" s="15">
        <v>2011</v>
      </c>
      <c r="G1127" s="15">
        <v>20110512</v>
      </c>
      <c r="H1127" s="15">
        <v>42437</v>
      </c>
      <c r="I1127" s="15">
        <v>4.24</v>
      </c>
      <c r="J1127" s="6" t="s">
        <v>926</v>
      </c>
      <c r="K1127" s="15">
        <v>15</v>
      </c>
      <c r="L1127" s="15" t="s">
        <v>362</v>
      </c>
      <c r="M1127" s="15" t="s">
        <v>5</v>
      </c>
      <c r="N1127" s="11" t="s">
        <v>1384</v>
      </c>
      <c r="O1127" s="11" t="s">
        <v>28</v>
      </c>
      <c r="P1127" s="11" t="s">
        <v>33</v>
      </c>
      <c r="Q1127" s="15">
        <v>0</v>
      </c>
      <c r="R1127" s="11" t="s">
        <v>1386</v>
      </c>
      <c r="S1127" s="10">
        <v>90.815594824257005</v>
      </c>
      <c r="T1127" s="15">
        <v>80</v>
      </c>
      <c r="U1127" s="15">
        <v>0</v>
      </c>
      <c r="V1127" s="15">
        <v>0</v>
      </c>
      <c r="W1127" s="15">
        <v>0</v>
      </c>
      <c r="X1127" s="15">
        <f>IF(O1127='Udvaskning nøgletal'!$D$65,1,IF(O1127='Udvaskning nøgletal'!$D$66,2,IF(O1127='Udvaskning nøgletal'!$D$67,3,IF(O1127='Udvaskning nøgletal'!$D$68,2,""))))</f>
        <v>1</v>
      </c>
      <c r="Y1127" s="15">
        <f>LOOKUP(K1127,'Udvaskning nøgletal'!$C$12:$C$60,'Udvaskning nøgletal'!$H$12:$H$60)</f>
        <v>5</v>
      </c>
      <c r="Z1127" s="10">
        <f>IF(X1127=1,LOOKUP(K1127,'Udvaskning nøgletal'!$C$12:$C$60,'Udvaskning nøgletal'!$E$12:$E$60)+Markniveau!Y1127*Markniveau!S1127/100,IF(X1127=2,LOOKUP(K1127,'Udvaskning nøgletal'!$C$12:$C$60,'Udvaskning nøgletal'!$F$12:$F$60)+Markniveau!Y1127*Markniveau!S1127/100,IF(X1127=3,LOOKUP(K1127,'Udvaskning nøgletal'!$C$12:$C$60,'Udvaskning nøgletal'!G1137:G1185)+Markniveau!Y1127*Markniveau!S1127/100,"")))</f>
        <v>69.200779741212841</v>
      </c>
      <c r="AA1127" s="10">
        <f t="shared" si="176"/>
        <v>293.41130610274246</v>
      </c>
      <c r="AB1127" s="10" t="str">
        <f t="shared" si="175"/>
        <v/>
      </c>
      <c r="AC1127" s="10" t="str">
        <f t="shared" si="177"/>
        <v/>
      </c>
      <c r="AD1127" s="10">
        <f>IF(AND(Q1127&gt;0,Q1127&lt;30,K1127&lt;8),Markniveau!Z1127*'Udvaskning nøgletal'!$I$12/100,IF(AND(Q1127&gt;0,Q1127&lt;30,K1127=216),Markniveau!Z1127*'Udvaskning nøgletal'!$I$34/100,Markniveau!Z1127))</f>
        <v>69.200779741212841</v>
      </c>
      <c r="AE1127" s="10">
        <f t="shared" si="183"/>
        <v>293.41130610274246</v>
      </c>
      <c r="AF1127" s="10" t="str">
        <f t="shared" si="178"/>
        <v/>
      </c>
      <c r="AG1127" s="10" t="str">
        <f t="shared" si="184"/>
        <v/>
      </c>
      <c r="AH1127" s="10" t="str">
        <f>IF(AND(Q1127&gt;0,Q1127&lt;30,K1127=216),'Udvaskning nøgletal'!$C$42,IF(AND(Q1127&gt;0,Q1127&lt;30,K1127&gt;7,K1127&lt;17),'Udvaskning nøgletal'!$C$61,IF(AND(Q1127&gt;0,Q1127&lt;30,K1127&lt;7),'Udvaskning nøgletal'!$C$62,"")))</f>
        <v/>
      </c>
      <c r="AI1127" s="10">
        <f t="shared" si="180"/>
        <v>15</v>
      </c>
      <c r="AJ1127" s="10">
        <f>IF($X1127=1,LOOKUP(AI1127,'Udvaskning nøgletal'!$C$12:$C$62,'Udvaskning nøgletal'!$E$12:$E$62)+Markniveau!$Y1127*Markniveau!$S1127/100,IF($X1127=2,LOOKUP(AI1127,'Udvaskning nøgletal'!$C$12:$C$62,'Udvaskning nøgletal'!$F$12:$F$62)+Markniveau!$Y1127*Markniveau!$S1127/100,IF($X1127=3,LOOKUP(AI1127,'Udvaskning nøgletal'!$C$12:$C$62,'Udvaskning nøgletal'!Q1137:Q1187)+Markniveau!$Y1127*Markniveau!$S1127/100,"")))</f>
        <v>69.200779741212841</v>
      </c>
      <c r="AK1127" s="10">
        <f t="shared" si="179"/>
        <v>293.41130610274246</v>
      </c>
      <c r="AL1127" s="10" t="str">
        <f t="shared" si="181"/>
        <v/>
      </c>
      <c r="AM1127" s="10" t="str">
        <f t="shared" si="182"/>
        <v/>
      </c>
    </row>
    <row r="1128" spans="1:39" x14ac:dyDescent="0.25">
      <c r="A1128" s="15">
        <v>35557628</v>
      </c>
      <c r="B1128" s="15">
        <v>9.15</v>
      </c>
      <c r="C1128" s="15">
        <v>272274</v>
      </c>
      <c r="D1128" s="15">
        <v>55926</v>
      </c>
      <c r="E1128" s="15" t="s">
        <v>927</v>
      </c>
      <c r="F1128" s="15">
        <v>2011</v>
      </c>
      <c r="G1128" s="15">
        <v>20110512</v>
      </c>
      <c r="H1128" s="15">
        <v>62263</v>
      </c>
      <c r="I1128" s="15">
        <v>6.23</v>
      </c>
      <c r="J1128" s="6" t="s">
        <v>928</v>
      </c>
      <c r="K1128" s="15">
        <v>152</v>
      </c>
      <c r="L1128" s="15" t="s">
        <v>333</v>
      </c>
      <c r="M1128" s="15" t="s">
        <v>5</v>
      </c>
      <c r="N1128" s="11" t="s">
        <v>1384</v>
      </c>
      <c r="O1128" s="11" t="s">
        <v>28</v>
      </c>
      <c r="P1128" s="11" t="s">
        <v>33</v>
      </c>
      <c r="Q1128" s="15">
        <v>0</v>
      </c>
      <c r="R1128" s="11" t="s">
        <v>1386</v>
      </c>
      <c r="S1128" s="10">
        <v>90.815594824257005</v>
      </c>
      <c r="T1128" s="15">
        <v>80</v>
      </c>
      <c r="U1128" s="15">
        <v>0</v>
      </c>
      <c r="V1128" s="15">
        <v>0</v>
      </c>
      <c r="W1128" s="15">
        <v>0</v>
      </c>
      <c r="X1128" s="15">
        <f>IF(O1128='Udvaskning nøgletal'!$D$65,1,IF(O1128='Udvaskning nøgletal'!$D$66,2,IF(O1128='Udvaskning nøgletal'!$D$67,3,IF(O1128='Udvaskning nøgletal'!$D$68,2,""))))</f>
        <v>1</v>
      </c>
      <c r="Y1128" s="15">
        <f>LOOKUP(K1128,'Udvaskning nøgletal'!$C$12:$C$60,'Udvaskning nøgletal'!$H$12:$H$60)</f>
        <v>5</v>
      </c>
      <c r="Z1128" s="10">
        <f>IF(X1128=1,LOOKUP(K1128,'Udvaskning nøgletal'!$C$12:$C$60,'Udvaskning nøgletal'!$E$12:$E$60)+Markniveau!Y1128*Markniveau!S1128/100,IF(X1128=2,LOOKUP(K1128,'Udvaskning nøgletal'!$C$12:$C$60,'Udvaskning nøgletal'!$F$12:$F$60)+Markniveau!Y1128*Markniveau!S1128/100,IF(X1128=3,LOOKUP(K1128,'Udvaskning nøgletal'!$C$12:$C$60,'Udvaskning nøgletal'!G1138:G1186)+Markniveau!Y1128*Markniveau!S1128/100,"")))</f>
        <v>69.200779741212841</v>
      </c>
      <c r="AA1128" s="10">
        <f t="shared" si="176"/>
        <v>431.12085778775605</v>
      </c>
      <c r="AB1128" s="10" t="str">
        <f t="shared" si="175"/>
        <v/>
      </c>
      <c r="AC1128" s="10" t="str">
        <f t="shared" si="177"/>
        <v/>
      </c>
      <c r="AD1128" s="10">
        <f>IF(AND(Q1128&gt;0,Q1128&lt;30,K1128&lt;8),Markniveau!Z1128*'Udvaskning nøgletal'!$I$12/100,IF(AND(Q1128&gt;0,Q1128&lt;30,K1128=216),Markniveau!Z1128*'Udvaskning nøgletal'!$I$34/100,Markniveau!Z1128))</f>
        <v>69.200779741212841</v>
      </c>
      <c r="AE1128" s="10">
        <f t="shared" si="183"/>
        <v>431.12085778775605</v>
      </c>
      <c r="AF1128" s="10" t="str">
        <f t="shared" si="178"/>
        <v/>
      </c>
      <c r="AG1128" s="10" t="str">
        <f t="shared" si="184"/>
        <v/>
      </c>
      <c r="AH1128" s="10" t="str">
        <f>IF(AND(Q1128&gt;0,Q1128&lt;30,K1128=216),'Udvaskning nøgletal'!$C$42,IF(AND(Q1128&gt;0,Q1128&lt;30,K1128&gt;7,K1128&lt;17),'Udvaskning nøgletal'!$C$61,IF(AND(Q1128&gt;0,Q1128&lt;30,K1128&lt;7),'Udvaskning nøgletal'!$C$62,"")))</f>
        <v/>
      </c>
      <c r="AI1128" s="10">
        <f t="shared" si="180"/>
        <v>152</v>
      </c>
      <c r="AJ1128" s="10">
        <f>IF($X1128=1,LOOKUP(AI1128,'Udvaskning nøgletal'!$C$12:$C$62,'Udvaskning nøgletal'!$E$12:$E$62)+Markniveau!$Y1128*Markniveau!$S1128/100,IF($X1128=2,LOOKUP(AI1128,'Udvaskning nøgletal'!$C$12:$C$62,'Udvaskning nøgletal'!$F$12:$F$62)+Markniveau!$Y1128*Markniveau!$S1128/100,IF($X1128=3,LOOKUP(AI1128,'Udvaskning nøgletal'!$C$12:$C$62,'Udvaskning nøgletal'!Q1138:Q1188)+Markniveau!$Y1128*Markniveau!$S1128/100,"")))</f>
        <v>69.200779741212841</v>
      </c>
      <c r="AK1128" s="10">
        <f t="shared" si="179"/>
        <v>431.12085778775605</v>
      </c>
      <c r="AL1128" s="10" t="str">
        <f t="shared" si="181"/>
        <v/>
      </c>
      <c r="AM1128" s="10" t="str">
        <f t="shared" si="182"/>
        <v/>
      </c>
    </row>
    <row r="1129" spans="1:39" x14ac:dyDescent="0.25">
      <c r="A1129" s="15">
        <v>35557628</v>
      </c>
      <c r="B1129" s="15">
        <v>9.15</v>
      </c>
      <c r="C1129" s="15">
        <v>272418</v>
      </c>
      <c r="D1129" s="15">
        <v>55926</v>
      </c>
      <c r="E1129" s="15" t="s">
        <v>929</v>
      </c>
      <c r="F1129" s="15">
        <v>2011</v>
      </c>
      <c r="G1129" s="15">
        <v>20110512</v>
      </c>
      <c r="H1129" s="15">
        <v>67187</v>
      </c>
      <c r="I1129" s="15">
        <v>6.72</v>
      </c>
      <c r="J1129" s="6" t="s">
        <v>930</v>
      </c>
      <c r="K1129" s="15">
        <v>11</v>
      </c>
      <c r="L1129" s="15" t="s">
        <v>102</v>
      </c>
      <c r="M1129" s="15" t="s">
        <v>5</v>
      </c>
      <c r="N1129" s="11" t="s">
        <v>1384</v>
      </c>
      <c r="O1129" s="11" t="s">
        <v>28</v>
      </c>
      <c r="P1129" s="11" t="s">
        <v>33</v>
      </c>
      <c r="Q1129" s="15">
        <v>0</v>
      </c>
      <c r="R1129" s="11" t="s">
        <v>1386</v>
      </c>
      <c r="S1129" s="10">
        <v>90.815594824257005</v>
      </c>
      <c r="T1129" s="15">
        <v>80</v>
      </c>
      <c r="U1129" s="15">
        <v>0</v>
      </c>
      <c r="V1129" s="15">
        <v>0</v>
      </c>
      <c r="W1129" s="15">
        <v>0</v>
      </c>
      <c r="X1129" s="15">
        <f>IF(O1129='Udvaskning nøgletal'!$D$65,1,IF(O1129='Udvaskning nøgletal'!$D$66,2,IF(O1129='Udvaskning nøgletal'!$D$67,3,IF(O1129='Udvaskning nøgletal'!$D$68,2,""))))</f>
        <v>1</v>
      </c>
      <c r="Y1129" s="15">
        <f>LOOKUP(K1129,'Udvaskning nøgletal'!$C$12:$C$60,'Udvaskning nøgletal'!$H$12:$H$60)</f>
        <v>5</v>
      </c>
      <c r="Z1129" s="10">
        <f>IF(X1129=1,LOOKUP(K1129,'Udvaskning nøgletal'!$C$12:$C$60,'Udvaskning nøgletal'!$E$12:$E$60)+Markniveau!Y1129*Markniveau!S1129/100,IF(X1129=2,LOOKUP(K1129,'Udvaskning nøgletal'!$C$12:$C$60,'Udvaskning nøgletal'!$F$12:$F$60)+Markniveau!Y1129*Markniveau!S1129/100,IF(X1129=3,LOOKUP(K1129,'Udvaskning nøgletal'!$C$12:$C$60,'Udvaskning nøgletal'!G1139:G1187)+Markniveau!Y1129*Markniveau!S1129/100,"")))</f>
        <v>69.200779741212841</v>
      </c>
      <c r="AA1129" s="10">
        <f t="shared" si="176"/>
        <v>465.02923986095027</v>
      </c>
      <c r="AB1129" s="10" t="str">
        <f t="shared" si="175"/>
        <v/>
      </c>
      <c r="AC1129" s="10" t="str">
        <f t="shared" si="177"/>
        <v/>
      </c>
      <c r="AD1129" s="10">
        <f>IF(AND(Q1129&gt;0,Q1129&lt;30,K1129&lt;8),Markniveau!Z1129*'Udvaskning nøgletal'!$I$12/100,IF(AND(Q1129&gt;0,Q1129&lt;30,K1129=216),Markniveau!Z1129*'Udvaskning nøgletal'!$I$34/100,Markniveau!Z1129))</f>
        <v>69.200779741212841</v>
      </c>
      <c r="AE1129" s="10">
        <f t="shared" si="183"/>
        <v>465.02923986095027</v>
      </c>
      <c r="AF1129" s="10" t="str">
        <f t="shared" si="178"/>
        <v/>
      </c>
      <c r="AG1129" s="10" t="str">
        <f t="shared" si="184"/>
        <v/>
      </c>
      <c r="AH1129" s="10" t="str">
        <f>IF(AND(Q1129&gt;0,Q1129&lt;30,K1129=216),'Udvaskning nøgletal'!$C$42,IF(AND(Q1129&gt;0,Q1129&lt;30,K1129&gt;7,K1129&lt;17),'Udvaskning nøgletal'!$C$61,IF(AND(Q1129&gt;0,Q1129&lt;30,K1129&lt;7),'Udvaskning nøgletal'!$C$62,"")))</f>
        <v/>
      </c>
      <c r="AI1129" s="10">
        <f t="shared" si="180"/>
        <v>11</v>
      </c>
      <c r="AJ1129" s="10">
        <f>IF($X1129=1,LOOKUP(AI1129,'Udvaskning nøgletal'!$C$12:$C$62,'Udvaskning nøgletal'!$E$12:$E$62)+Markniveau!$Y1129*Markniveau!$S1129/100,IF($X1129=2,LOOKUP(AI1129,'Udvaskning nøgletal'!$C$12:$C$62,'Udvaskning nøgletal'!$F$12:$F$62)+Markniveau!$Y1129*Markniveau!$S1129/100,IF($X1129=3,LOOKUP(AI1129,'Udvaskning nøgletal'!$C$12:$C$62,'Udvaskning nøgletal'!Q1139:Q1189)+Markniveau!$Y1129*Markniveau!$S1129/100,"")))</f>
        <v>69.200779741212841</v>
      </c>
      <c r="AK1129" s="10">
        <f t="shared" si="179"/>
        <v>465.02923986095027</v>
      </c>
      <c r="AL1129" s="10" t="str">
        <f t="shared" si="181"/>
        <v/>
      </c>
      <c r="AM1129" s="10" t="str">
        <f t="shared" si="182"/>
        <v/>
      </c>
    </row>
    <row r="1130" spans="1:39" x14ac:dyDescent="0.25">
      <c r="A1130" s="15">
        <v>35557628</v>
      </c>
      <c r="B1130" s="15">
        <v>9.15</v>
      </c>
      <c r="C1130" s="15">
        <v>272419</v>
      </c>
      <c r="D1130" s="15">
        <v>55926</v>
      </c>
      <c r="E1130" s="15" t="s">
        <v>931</v>
      </c>
      <c r="F1130" s="15">
        <v>2011</v>
      </c>
      <c r="G1130" s="15">
        <v>20110512</v>
      </c>
      <c r="H1130" s="15">
        <v>75205</v>
      </c>
      <c r="I1130" s="15">
        <v>7.52</v>
      </c>
      <c r="J1130" s="6" t="s">
        <v>932</v>
      </c>
      <c r="K1130" s="15">
        <v>152</v>
      </c>
      <c r="L1130" s="15" t="s">
        <v>333</v>
      </c>
      <c r="M1130" s="15" t="s">
        <v>5</v>
      </c>
      <c r="N1130" s="11" t="s">
        <v>1406</v>
      </c>
      <c r="O1130" s="11" t="s">
        <v>46</v>
      </c>
      <c r="P1130" s="11" t="s">
        <v>33</v>
      </c>
      <c r="Q1130" s="15">
        <v>0</v>
      </c>
      <c r="R1130" s="11" t="s">
        <v>1386</v>
      </c>
      <c r="S1130" s="10">
        <v>90.815594824257005</v>
      </c>
      <c r="T1130" s="15">
        <v>80</v>
      </c>
      <c r="U1130" s="15">
        <v>0</v>
      </c>
      <c r="V1130" s="15">
        <v>0</v>
      </c>
      <c r="W1130" s="15">
        <v>0</v>
      </c>
      <c r="X1130" s="15">
        <f>IF(O1130='Udvaskning nøgletal'!$D$65,1,IF(O1130='Udvaskning nøgletal'!$D$66,2,IF(O1130='Udvaskning nøgletal'!$D$67,3,IF(O1130='Udvaskning nøgletal'!$D$68,2,""))))</f>
        <v>2</v>
      </c>
      <c r="Y1130" s="15">
        <f>LOOKUP(K1130,'Udvaskning nøgletal'!$C$12:$C$60,'Udvaskning nøgletal'!$H$12:$H$60)</f>
        <v>5</v>
      </c>
      <c r="Z1130" s="10">
        <f>IF(X1130=1,LOOKUP(K1130,'Udvaskning nøgletal'!$C$12:$C$60,'Udvaskning nøgletal'!$E$12:$E$60)+Markniveau!Y1130*Markniveau!S1130/100,IF(X1130=2,LOOKUP(K1130,'Udvaskning nøgletal'!$C$12:$C$60,'Udvaskning nøgletal'!$F$12:$F$60)+Markniveau!Y1130*Markniveau!S1130/100,IF(X1130=3,LOOKUP(K1130,'Udvaskning nøgletal'!$C$12:$C$60,'Udvaskning nøgletal'!G1140:G1188)+Markniveau!Y1130*Markniveau!S1130/100,"")))</f>
        <v>55.420779741212854</v>
      </c>
      <c r="AA1130" s="10">
        <f t="shared" si="176"/>
        <v>416.76426365392064</v>
      </c>
      <c r="AB1130" s="10" t="str">
        <f t="shared" si="175"/>
        <v/>
      </c>
      <c r="AC1130" s="10" t="str">
        <f t="shared" si="177"/>
        <v/>
      </c>
      <c r="AD1130" s="10">
        <f>IF(AND(Q1130&gt;0,Q1130&lt;30,K1130&lt;8),Markniveau!Z1130*'Udvaskning nøgletal'!$I$12/100,IF(AND(Q1130&gt;0,Q1130&lt;30,K1130=216),Markniveau!Z1130*'Udvaskning nøgletal'!$I$34/100,Markniveau!Z1130))</f>
        <v>55.420779741212854</v>
      </c>
      <c r="AE1130" s="10">
        <f t="shared" si="183"/>
        <v>416.76426365392064</v>
      </c>
      <c r="AF1130" s="10" t="str">
        <f t="shared" si="178"/>
        <v/>
      </c>
      <c r="AG1130" s="10" t="str">
        <f t="shared" si="184"/>
        <v/>
      </c>
      <c r="AH1130" s="10" t="str">
        <f>IF(AND(Q1130&gt;0,Q1130&lt;30,K1130=216),'Udvaskning nøgletal'!$C$42,IF(AND(Q1130&gt;0,Q1130&lt;30,K1130&gt;7,K1130&lt;17),'Udvaskning nøgletal'!$C$61,IF(AND(Q1130&gt;0,Q1130&lt;30,K1130&lt;7),'Udvaskning nøgletal'!$C$62,"")))</f>
        <v/>
      </c>
      <c r="AI1130" s="10">
        <f t="shared" si="180"/>
        <v>152</v>
      </c>
      <c r="AJ1130" s="10">
        <f>IF($X1130=1,LOOKUP(AI1130,'Udvaskning nøgletal'!$C$12:$C$62,'Udvaskning nøgletal'!$E$12:$E$62)+Markniveau!$Y1130*Markniveau!$S1130/100,IF($X1130=2,LOOKUP(AI1130,'Udvaskning nøgletal'!$C$12:$C$62,'Udvaskning nøgletal'!$F$12:$F$62)+Markniveau!$Y1130*Markniveau!$S1130/100,IF($X1130=3,LOOKUP(AI1130,'Udvaskning nøgletal'!$C$12:$C$62,'Udvaskning nøgletal'!Q1140:Q1190)+Markniveau!$Y1130*Markniveau!$S1130/100,"")))</f>
        <v>55.420779741212854</v>
      </c>
      <c r="AK1130" s="10">
        <f t="shared" si="179"/>
        <v>416.76426365392064</v>
      </c>
      <c r="AL1130" s="10" t="str">
        <f t="shared" si="181"/>
        <v/>
      </c>
      <c r="AM1130" s="10" t="str">
        <f t="shared" si="182"/>
        <v/>
      </c>
    </row>
    <row r="1131" spans="1:39" x14ac:dyDescent="0.25">
      <c r="A1131" s="15">
        <v>35557628</v>
      </c>
      <c r="B1131" s="15">
        <v>9.15</v>
      </c>
      <c r="C1131" s="15">
        <v>272420</v>
      </c>
      <c r="D1131" s="15">
        <v>55926</v>
      </c>
      <c r="E1131" s="15" t="s">
        <v>880</v>
      </c>
      <c r="F1131" s="15">
        <v>2011</v>
      </c>
      <c r="G1131" s="15">
        <v>20110512</v>
      </c>
      <c r="H1131" s="15">
        <v>71264</v>
      </c>
      <c r="I1131" s="15">
        <v>7.13</v>
      </c>
      <c r="J1131" s="6" t="s">
        <v>933</v>
      </c>
      <c r="K1131" s="15">
        <v>15</v>
      </c>
      <c r="L1131" s="15" t="s">
        <v>362</v>
      </c>
      <c r="M1131" s="15" t="s">
        <v>5</v>
      </c>
      <c r="N1131" s="11" t="s">
        <v>1391</v>
      </c>
      <c r="O1131" s="11" t="s">
        <v>46</v>
      </c>
      <c r="P1131" s="11" t="s">
        <v>33</v>
      </c>
      <c r="Q1131" s="15">
        <v>0</v>
      </c>
      <c r="R1131" s="11" t="s">
        <v>1386</v>
      </c>
      <c r="S1131" s="10">
        <v>90.815594824257005</v>
      </c>
      <c r="T1131" s="15">
        <v>80</v>
      </c>
      <c r="U1131" s="15">
        <v>0</v>
      </c>
      <c r="V1131" s="15">
        <v>0</v>
      </c>
      <c r="W1131" s="15">
        <v>0</v>
      </c>
      <c r="X1131" s="15">
        <f>IF(O1131='Udvaskning nøgletal'!$D$65,1,IF(O1131='Udvaskning nøgletal'!$D$66,2,IF(O1131='Udvaskning nøgletal'!$D$67,3,IF(O1131='Udvaskning nøgletal'!$D$68,2,""))))</f>
        <v>2</v>
      </c>
      <c r="Y1131" s="15">
        <f>LOOKUP(K1131,'Udvaskning nøgletal'!$C$12:$C$60,'Udvaskning nøgletal'!$H$12:$H$60)</f>
        <v>5</v>
      </c>
      <c r="Z1131" s="10">
        <f>IF(X1131=1,LOOKUP(K1131,'Udvaskning nøgletal'!$C$12:$C$60,'Udvaskning nøgletal'!$E$12:$E$60)+Markniveau!Y1131*Markniveau!S1131/100,IF(X1131=2,LOOKUP(K1131,'Udvaskning nøgletal'!$C$12:$C$60,'Udvaskning nøgletal'!$F$12:$F$60)+Markniveau!Y1131*Markniveau!S1131/100,IF(X1131=3,LOOKUP(K1131,'Udvaskning nøgletal'!$C$12:$C$60,'Udvaskning nøgletal'!G1141:G1189)+Markniveau!Y1131*Markniveau!S1131/100,"")))</f>
        <v>55.420779741212854</v>
      </c>
      <c r="AA1131" s="10">
        <f t="shared" si="176"/>
        <v>395.15015955484762</v>
      </c>
      <c r="AB1131" s="10" t="str">
        <f t="shared" si="175"/>
        <v/>
      </c>
      <c r="AC1131" s="10" t="str">
        <f t="shared" si="177"/>
        <v/>
      </c>
      <c r="AD1131" s="10">
        <f>IF(AND(Q1131&gt;0,Q1131&lt;30,K1131&lt;8),Markniveau!Z1131*'Udvaskning nøgletal'!$I$12/100,IF(AND(Q1131&gt;0,Q1131&lt;30,K1131=216),Markniveau!Z1131*'Udvaskning nøgletal'!$I$34/100,Markniveau!Z1131))</f>
        <v>55.420779741212854</v>
      </c>
      <c r="AE1131" s="10">
        <f t="shared" si="183"/>
        <v>395.15015955484762</v>
      </c>
      <c r="AF1131" s="10" t="str">
        <f t="shared" si="178"/>
        <v/>
      </c>
      <c r="AG1131" s="10" t="str">
        <f t="shared" si="184"/>
        <v/>
      </c>
      <c r="AH1131" s="10" t="str">
        <f>IF(AND(Q1131&gt;0,Q1131&lt;30,K1131=216),'Udvaskning nøgletal'!$C$42,IF(AND(Q1131&gt;0,Q1131&lt;30,K1131&gt;7,K1131&lt;17),'Udvaskning nøgletal'!$C$61,IF(AND(Q1131&gt;0,Q1131&lt;30,K1131&lt;7),'Udvaskning nøgletal'!$C$62,"")))</f>
        <v/>
      </c>
      <c r="AI1131" s="10">
        <f t="shared" si="180"/>
        <v>15</v>
      </c>
      <c r="AJ1131" s="10">
        <f>IF($X1131=1,LOOKUP(AI1131,'Udvaskning nøgletal'!$C$12:$C$62,'Udvaskning nøgletal'!$E$12:$E$62)+Markniveau!$Y1131*Markniveau!$S1131/100,IF($X1131=2,LOOKUP(AI1131,'Udvaskning nøgletal'!$C$12:$C$62,'Udvaskning nøgletal'!$F$12:$F$62)+Markniveau!$Y1131*Markniveau!$S1131/100,IF($X1131=3,LOOKUP(AI1131,'Udvaskning nøgletal'!$C$12:$C$62,'Udvaskning nøgletal'!Q1141:Q1191)+Markniveau!$Y1131*Markniveau!$S1131/100,"")))</f>
        <v>55.420779741212854</v>
      </c>
      <c r="AK1131" s="10">
        <f t="shared" si="179"/>
        <v>395.15015955484762</v>
      </c>
      <c r="AL1131" s="10" t="str">
        <f t="shared" si="181"/>
        <v/>
      </c>
      <c r="AM1131" s="10" t="str">
        <f t="shared" si="182"/>
        <v/>
      </c>
    </row>
    <row r="1132" spans="1:39" x14ac:dyDescent="0.25">
      <c r="A1132" s="15">
        <v>35557628</v>
      </c>
      <c r="B1132" s="15">
        <v>9.15</v>
      </c>
      <c r="C1132" s="15">
        <v>272421</v>
      </c>
      <c r="D1132" s="15">
        <v>55926</v>
      </c>
      <c r="E1132" s="15" t="s">
        <v>934</v>
      </c>
      <c r="F1132" s="15">
        <v>2011</v>
      </c>
      <c r="G1132" s="15">
        <v>20110512</v>
      </c>
      <c r="H1132" s="15">
        <v>189312</v>
      </c>
      <c r="I1132" s="15">
        <v>18.93</v>
      </c>
      <c r="J1132" s="6" t="s">
        <v>935</v>
      </c>
      <c r="K1132" s="15">
        <v>150</v>
      </c>
      <c r="L1132" s="15" t="s">
        <v>896</v>
      </c>
      <c r="M1132" s="15" t="s">
        <v>5</v>
      </c>
      <c r="N1132" s="11" t="s">
        <v>1391</v>
      </c>
      <c r="O1132" s="11" t="s">
        <v>46</v>
      </c>
      <c r="P1132" s="11" t="s">
        <v>33</v>
      </c>
      <c r="Q1132" s="15">
        <v>0</v>
      </c>
      <c r="R1132" s="11" t="s">
        <v>1386</v>
      </c>
      <c r="S1132" s="10">
        <v>90.815594824257005</v>
      </c>
      <c r="T1132" s="15">
        <v>80</v>
      </c>
      <c r="U1132" s="15">
        <v>0</v>
      </c>
      <c r="V1132" s="15">
        <v>0</v>
      </c>
      <c r="W1132" s="15">
        <v>0</v>
      </c>
      <c r="X1132" s="15">
        <f>IF(O1132='Udvaskning nøgletal'!$D$65,1,IF(O1132='Udvaskning nøgletal'!$D$66,2,IF(O1132='Udvaskning nøgletal'!$D$67,3,IF(O1132='Udvaskning nøgletal'!$D$68,2,""))))</f>
        <v>2</v>
      </c>
      <c r="Y1132" s="15">
        <f>LOOKUP(K1132,'Udvaskning nøgletal'!$C$12:$C$60,'Udvaskning nøgletal'!$H$12:$H$60)</f>
        <v>5</v>
      </c>
      <c r="Z1132" s="10">
        <f>IF(X1132=1,LOOKUP(K1132,'Udvaskning nøgletal'!$C$12:$C$60,'Udvaskning nøgletal'!$E$12:$E$60)+Markniveau!Y1132*Markniveau!S1132/100,IF(X1132=2,LOOKUP(K1132,'Udvaskning nøgletal'!$C$12:$C$60,'Udvaskning nøgletal'!$F$12:$F$60)+Markniveau!Y1132*Markniveau!S1132/100,IF(X1132=3,LOOKUP(K1132,'Udvaskning nøgletal'!$C$12:$C$60,'Udvaskning nøgletal'!G1142:G1190)+Markniveau!Y1132*Markniveau!S1132/100,"")))</f>
        <v>55.420779741212854</v>
      </c>
      <c r="AA1132" s="10">
        <f t="shared" si="176"/>
        <v>1049.1153605011593</v>
      </c>
      <c r="AB1132" s="10" t="str">
        <f t="shared" si="175"/>
        <v/>
      </c>
      <c r="AC1132" s="10" t="str">
        <f t="shared" si="177"/>
        <v/>
      </c>
      <c r="AD1132" s="10">
        <f>IF(AND(Q1132&gt;0,Q1132&lt;30,K1132&lt;8),Markniveau!Z1132*'Udvaskning nøgletal'!$I$12/100,IF(AND(Q1132&gt;0,Q1132&lt;30,K1132=216),Markniveau!Z1132*'Udvaskning nøgletal'!$I$34/100,Markniveau!Z1132))</f>
        <v>55.420779741212854</v>
      </c>
      <c r="AE1132" s="10">
        <f t="shared" si="183"/>
        <v>1049.1153605011593</v>
      </c>
      <c r="AF1132" s="10" t="str">
        <f t="shared" si="178"/>
        <v/>
      </c>
      <c r="AG1132" s="10" t="str">
        <f t="shared" si="184"/>
        <v/>
      </c>
      <c r="AH1132" s="10" t="str">
        <f>IF(AND(Q1132&gt;0,Q1132&lt;30,K1132=216),'Udvaskning nøgletal'!$C$42,IF(AND(Q1132&gt;0,Q1132&lt;30,K1132&gt;7,K1132&lt;17),'Udvaskning nøgletal'!$C$61,IF(AND(Q1132&gt;0,Q1132&lt;30,K1132&lt;7),'Udvaskning nøgletal'!$C$62,"")))</f>
        <v/>
      </c>
      <c r="AI1132" s="10">
        <f t="shared" si="180"/>
        <v>150</v>
      </c>
      <c r="AJ1132" s="10">
        <f>IF($X1132=1,LOOKUP(AI1132,'Udvaskning nøgletal'!$C$12:$C$62,'Udvaskning nøgletal'!$E$12:$E$62)+Markniveau!$Y1132*Markniveau!$S1132/100,IF($X1132=2,LOOKUP(AI1132,'Udvaskning nøgletal'!$C$12:$C$62,'Udvaskning nøgletal'!$F$12:$F$62)+Markniveau!$Y1132*Markniveau!$S1132/100,IF($X1132=3,LOOKUP(AI1132,'Udvaskning nøgletal'!$C$12:$C$62,'Udvaskning nøgletal'!Q1142:Q1192)+Markniveau!$Y1132*Markniveau!$S1132/100,"")))</f>
        <v>55.420779741212854</v>
      </c>
      <c r="AK1132" s="10">
        <f t="shared" si="179"/>
        <v>1049.1153605011593</v>
      </c>
      <c r="AL1132" s="10" t="str">
        <f t="shared" si="181"/>
        <v/>
      </c>
      <c r="AM1132" s="10" t="str">
        <f t="shared" si="182"/>
        <v/>
      </c>
    </row>
    <row r="1133" spans="1:39" x14ac:dyDescent="0.25">
      <c r="A1133" s="15">
        <v>35557628</v>
      </c>
      <c r="B1133" s="15">
        <v>9.15</v>
      </c>
      <c r="C1133" s="15">
        <v>272506</v>
      </c>
      <c r="D1133" s="15">
        <v>55926</v>
      </c>
      <c r="E1133" s="15" t="s">
        <v>936</v>
      </c>
      <c r="F1133" s="15">
        <v>2011</v>
      </c>
      <c r="G1133" s="15">
        <v>20110512</v>
      </c>
      <c r="H1133" s="15">
        <v>44427</v>
      </c>
      <c r="I1133" s="15">
        <v>4.4400000000000004</v>
      </c>
      <c r="J1133" s="6" t="s">
        <v>937</v>
      </c>
      <c r="K1133" s="15">
        <v>150</v>
      </c>
      <c r="L1133" s="15" t="s">
        <v>896</v>
      </c>
      <c r="M1133" s="15" t="s">
        <v>5</v>
      </c>
      <c r="N1133" s="11" t="s">
        <v>1384</v>
      </c>
      <c r="O1133" s="11" t="s">
        <v>28</v>
      </c>
      <c r="P1133" s="11" t="s">
        <v>33</v>
      </c>
      <c r="Q1133" s="15">
        <v>0</v>
      </c>
      <c r="R1133" s="11" t="s">
        <v>1386</v>
      </c>
      <c r="S1133" s="10">
        <v>90.815594824257005</v>
      </c>
      <c r="T1133" s="15">
        <v>80</v>
      </c>
      <c r="U1133" s="15">
        <v>0</v>
      </c>
      <c r="V1133" s="15">
        <v>0</v>
      </c>
      <c r="W1133" s="15">
        <v>0</v>
      </c>
      <c r="X1133" s="15">
        <f>IF(O1133='Udvaskning nøgletal'!$D$65,1,IF(O1133='Udvaskning nøgletal'!$D$66,2,IF(O1133='Udvaskning nøgletal'!$D$67,3,IF(O1133='Udvaskning nøgletal'!$D$68,2,""))))</f>
        <v>1</v>
      </c>
      <c r="Y1133" s="15">
        <f>LOOKUP(K1133,'Udvaskning nøgletal'!$C$12:$C$60,'Udvaskning nøgletal'!$H$12:$H$60)</f>
        <v>5</v>
      </c>
      <c r="Z1133" s="10">
        <f>IF(X1133=1,LOOKUP(K1133,'Udvaskning nøgletal'!$C$12:$C$60,'Udvaskning nøgletal'!$E$12:$E$60)+Markniveau!Y1133*Markniveau!S1133/100,IF(X1133=2,LOOKUP(K1133,'Udvaskning nøgletal'!$C$12:$C$60,'Udvaskning nøgletal'!$F$12:$F$60)+Markniveau!Y1133*Markniveau!S1133/100,IF(X1133=3,LOOKUP(K1133,'Udvaskning nøgletal'!$C$12:$C$60,'Udvaskning nøgletal'!G1143:G1191)+Markniveau!Y1133*Markniveau!S1133/100,"")))</f>
        <v>69.200779741212841</v>
      </c>
      <c r="AA1133" s="10">
        <f t="shared" si="176"/>
        <v>307.25146205098503</v>
      </c>
      <c r="AB1133" s="10" t="str">
        <f t="shared" si="175"/>
        <v/>
      </c>
      <c r="AC1133" s="10" t="str">
        <f t="shared" si="177"/>
        <v/>
      </c>
      <c r="AD1133" s="10">
        <f>IF(AND(Q1133&gt;0,Q1133&lt;30,K1133&lt;8),Markniveau!Z1133*'Udvaskning nøgletal'!$I$12/100,IF(AND(Q1133&gt;0,Q1133&lt;30,K1133=216),Markniveau!Z1133*'Udvaskning nøgletal'!$I$34/100,Markniveau!Z1133))</f>
        <v>69.200779741212841</v>
      </c>
      <c r="AE1133" s="10">
        <f t="shared" si="183"/>
        <v>307.25146205098503</v>
      </c>
      <c r="AF1133" s="10" t="str">
        <f t="shared" si="178"/>
        <v/>
      </c>
      <c r="AG1133" s="10" t="str">
        <f t="shared" si="184"/>
        <v/>
      </c>
      <c r="AH1133" s="10" t="str">
        <f>IF(AND(Q1133&gt;0,Q1133&lt;30,K1133=216),'Udvaskning nøgletal'!$C$42,IF(AND(Q1133&gt;0,Q1133&lt;30,K1133&gt;7,K1133&lt;17),'Udvaskning nøgletal'!$C$61,IF(AND(Q1133&gt;0,Q1133&lt;30,K1133&lt;7),'Udvaskning nøgletal'!$C$62,"")))</f>
        <v/>
      </c>
      <c r="AI1133" s="10">
        <f t="shared" si="180"/>
        <v>150</v>
      </c>
      <c r="AJ1133" s="10">
        <f>IF($X1133=1,LOOKUP(AI1133,'Udvaskning nøgletal'!$C$12:$C$62,'Udvaskning nøgletal'!$E$12:$E$62)+Markniveau!$Y1133*Markniveau!$S1133/100,IF($X1133=2,LOOKUP(AI1133,'Udvaskning nøgletal'!$C$12:$C$62,'Udvaskning nøgletal'!$F$12:$F$62)+Markniveau!$Y1133*Markniveau!$S1133/100,IF($X1133=3,LOOKUP(AI1133,'Udvaskning nøgletal'!$C$12:$C$62,'Udvaskning nøgletal'!Q1143:Q1193)+Markniveau!$Y1133*Markniveau!$S1133/100,"")))</f>
        <v>69.200779741212841</v>
      </c>
      <c r="AK1133" s="10">
        <f t="shared" si="179"/>
        <v>307.25146205098503</v>
      </c>
      <c r="AL1133" s="10" t="str">
        <f t="shared" si="181"/>
        <v/>
      </c>
      <c r="AM1133" s="10" t="str">
        <f t="shared" si="182"/>
        <v/>
      </c>
    </row>
    <row r="1134" spans="1:39" x14ac:dyDescent="0.25">
      <c r="A1134" s="15">
        <v>35557628</v>
      </c>
      <c r="B1134" s="15">
        <v>9.15</v>
      </c>
      <c r="C1134" s="15">
        <v>272507</v>
      </c>
      <c r="D1134" s="15">
        <v>55926</v>
      </c>
      <c r="E1134" s="15" t="s">
        <v>938</v>
      </c>
      <c r="F1134" s="15">
        <v>2011</v>
      </c>
      <c r="G1134" s="15">
        <v>20110512</v>
      </c>
      <c r="H1134" s="15">
        <v>153039</v>
      </c>
      <c r="I1134" s="15">
        <v>15.3</v>
      </c>
      <c r="J1134" s="6" t="s">
        <v>939</v>
      </c>
      <c r="K1134" s="15">
        <v>150</v>
      </c>
      <c r="L1134" s="15" t="s">
        <v>896</v>
      </c>
      <c r="M1134" s="15" t="s">
        <v>5</v>
      </c>
      <c r="N1134" s="11" t="s">
        <v>1391</v>
      </c>
      <c r="O1134" s="11" t="s">
        <v>46</v>
      </c>
      <c r="P1134" s="11" t="s">
        <v>33</v>
      </c>
      <c r="Q1134" s="15">
        <v>0</v>
      </c>
      <c r="R1134" s="11" t="s">
        <v>1386</v>
      </c>
      <c r="S1134" s="10">
        <v>90.815594824257005</v>
      </c>
      <c r="T1134" s="15">
        <v>80</v>
      </c>
      <c r="U1134" s="15">
        <v>0</v>
      </c>
      <c r="V1134" s="15">
        <v>0</v>
      </c>
      <c r="W1134" s="15">
        <v>0</v>
      </c>
      <c r="X1134" s="15">
        <f>IF(O1134='Udvaskning nøgletal'!$D$65,1,IF(O1134='Udvaskning nøgletal'!$D$66,2,IF(O1134='Udvaskning nøgletal'!$D$67,3,IF(O1134='Udvaskning nøgletal'!$D$68,2,""))))</f>
        <v>2</v>
      </c>
      <c r="Y1134" s="15">
        <f>LOOKUP(K1134,'Udvaskning nøgletal'!$C$12:$C$60,'Udvaskning nøgletal'!$H$12:$H$60)</f>
        <v>5</v>
      </c>
      <c r="Z1134" s="10">
        <f>IF(X1134=1,LOOKUP(K1134,'Udvaskning nøgletal'!$C$12:$C$60,'Udvaskning nøgletal'!$E$12:$E$60)+Markniveau!Y1134*Markniveau!S1134/100,IF(X1134=2,LOOKUP(K1134,'Udvaskning nøgletal'!$C$12:$C$60,'Udvaskning nøgletal'!$F$12:$F$60)+Markniveau!Y1134*Markniveau!S1134/100,IF(X1134=3,LOOKUP(K1134,'Udvaskning nøgletal'!$C$12:$C$60,'Udvaskning nøgletal'!G1144:G1192)+Markniveau!Y1134*Markniveau!S1134/100,"")))</f>
        <v>55.420779741212854</v>
      </c>
      <c r="AA1134" s="10">
        <f t="shared" si="176"/>
        <v>847.93793004055669</v>
      </c>
      <c r="AB1134" s="10" t="str">
        <f t="shared" si="175"/>
        <v/>
      </c>
      <c r="AC1134" s="10" t="str">
        <f t="shared" si="177"/>
        <v/>
      </c>
      <c r="AD1134" s="10">
        <f>IF(AND(Q1134&gt;0,Q1134&lt;30,K1134&lt;8),Markniveau!Z1134*'Udvaskning nøgletal'!$I$12/100,IF(AND(Q1134&gt;0,Q1134&lt;30,K1134=216),Markniveau!Z1134*'Udvaskning nøgletal'!$I$34/100,Markniveau!Z1134))</f>
        <v>55.420779741212854</v>
      </c>
      <c r="AE1134" s="10">
        <f t="shared" si="183"/>
        <v>847.93793004055669</v>
      </c>
      <c r="AF1134" s="10" t="str">
        <f t="shared" si="178"/>
        <v/>
      </c>
      <c r="AG1134" s="10" t="str">
        <f t="shared" si="184"/>
        <v/>
      </c>
      <c r="AH1134" s="10" t="str">
        <f>IF(AND(Q1134&gt;0,Q1134&lt;30,K1134=216),'Udvaskning nøgletal'!$C$42,IF(AND(Q1134&gt;0,Q1134&lt;30,K1134&gt;7,K1134&lt;17),'Udvaskning nøgletal'!$C$61,IF(AND(Q1134&gt;0,Q1134&lt;30,K1134&lt;7),'Udvaskning nøgletal'!$C$62,"")))</f>
        <v/>
      </c>
      <c r="AI1134" s="10">
        <f t="shared" si="180"/>
        <v>150</v>
      </c>
      <c r="AJ1134" s="10">
        <f>IF($X1134=1,LOOKUP(AI1134,'Udvaskning nøgletal'!$C$12:$C$62,'Udvaskning nøgletal'!$E$12:$E$62)+Markniveau!$Y1134*Markniveau!$S1134/100,IF($X1134=2,LOOKUP(AI1134,'Udvaskning nøgletal'!$C$12:$C$62,'Udvaskning nøgletal'!$F$12:$F$62)+Markniveau!$Y1134*Markniveau!$S1134/100,IF($X1134=3,LOOKUP(AI1134,'Udvaskning nøgletal'!$C$12:$C$62,'Udvaskning nøgletal'!Q1144:Q1194)+Markniveau!$Y1134*Markniveau!$S1134/100,"")))</f>
        <v>55.420779741212854</v>
      </c>
      <c r="AK1134" s="10">
        <f t="shared" si="179"/>
        <v>847.93793004055669</v>
      </c>
      <c r="AL1134" s="10" t="str">
        <f t="shared" si="181"/>
        <v/>
      </c>
      <c r="AM1134" s="10" t="str">
        <f t="shared" si="182"/>
        <v/>
      </c>
    </row>
    <row r="1135" spans="1:39" x14ac:dyDescent="0.25">
      <c r="A1135" s="15">
        <v>35557628</v>
      </c>
      <c r="B1135" s="15">
        <v>9.15</v>
      </c>
      <c r="C1135" s="15">
        <v>272509</v>
      </c>
      <c r="D1135" s="15">
        <v>55926</v>
      </c>
      <c r="E1135" s="15" t="s">
        <v>940</v>
      </c>
      <c r="F1135" s="15">
        <v>2011</v>
      </c>
      <c r="G1135" s="15">
        <v>20110512</v>
      </c>
      <c r="H1135" s="15">
        <v>71286</v>
      </c>
      <c r="I1135" s="15">
        <v>7.13</v>
      </c>
      <c r="J1135" s="6" t="s">
        <v>941</v>
      </c>
      <c r="K1135" s="15">
        <v>150</v>
      </c>
      <c r="L1135" s="15" t="s">
        <v>896</v>
      </c>
      <c r="M1135" s="15" t="s">
        <v>5</v>
      </c>
      <c r="N1135" s="11" t="s">
        <v>1384</v>
      </c>
      <c r="O1135" s="11" t="s">
        <v>28</v>
      </c>
      <c r="P1135" s="11" t="s">
        <v>33</v>
      </c>
      <c r="Q1135" s="15">
        <v>0</v>
      </c>
      <c r="R1135" s="11" t="s">
        <v>1386</v>
      </c>
      <c r="S1135" s="10">
        <v>90.815594824257005</v>
      </c>
      <c r="T1135" s="15">
        <v>80</v>
      </c>
      <c r="U1135" s="15">
        <v>0</v>
      </c>
      <c r="V1135" s="15">
        <v>0</v>
      </c>
      <c r="W1135" s="15">
        <v>0</v>
      </c>
      <c r="X1135" s="15">
        <f>IF(O1135='Udvaskning nøgletal'!$D$65,1,IF(O1135='Udvaskning nøgletal'!$D$66,2,IF(O1135='Udvaskning nøgletal'!$D$67,3,IF(O1135='Udvaskning nøgletal'!$D$68,2,""))))</f>
        <v>1</v>
      </c>
      <c r="Y1135" s="15">
        <f>LOOKUP(K1135,'Udvaskning nøgletal'!$C$12:$C$60,'Udvaskning nøgletal'!$H$12:$H$60)</f>
        <v>5</v>
      </c>
      <c r="Z1135" s="10">
        <f>IF(X1135=1,LOOKUP(K1135,'Udvaskning nøgletal'!$C$12:$C$60,'Udvaskning nøgletal'!$E$12:$E$60)+Markniveau!Y1135*Markniveau!S1135/100,IF(X1135=2,LOOKUP(K1135,'Udvaskning nøgletal'!$C$12:$C$60,'Udvaskning nøgletal'!$F$12:$F$60)+Markniveau!Y1135*Markniveau!S1135/100,IF(X1135=3,LOOKUP(K1135,'Udvaskning nøgletal'!$C$12:$C$60,'Udvaskning nøgletal'!G1145:G1193)+Markniveau!Y1135*Markniveau!S1135/100,"")))</f>
        <v>69.200779741212841</v>
      </c>
      <c r="AA1135" s="10">
        <f t="shared" si="176"/>
        <v>493.40155955484755</v>
      </c>
      <c r="AB1135" s="10" t="str">
        <f t="shared" si="175"/>
        <v/>
      </c>
      <c r="AC1135" s="10" t="str">
        <f t="shared" si="177"/>
        <v/>
      </c>
      <c r="AD1135" s="10">
        <f>IF(AND(Q1135&gt;0,Q1135&lt;30,K1135&lt;8),Markniveau!Z1135*'Udvaskning nøgletal'!$I$12/100,IF(AND(Q1135&gt;0,Q1135&lt;30,K1135=216),Markniveau!Z1135*'Udvaskning nøgletal'!$I$34/100,Markniveau!Z1135))</f>
        <v>69.200779741212841</v>
      </c>
      <c r="AE1135" s="10">
        <f t="shared" si="183"/>
        <v>493.40155955484755</v>
      </c>
      <c r="AF1135" s="10" t="str">
        <f t="shared" si="178"/>
        <v/>
      </c>
      <c r="AG1135" s="10" t="str">
        <f t="shared" si="184"/>
        <v/>
      </c>
      <c r="AH1135" s="10" t="str">
        <f>IF(AND(Q1135&gt;0,Q1135&lt;30,K1135=216),'Udvaskning nøgletal'!$C$42,IF(AND(Q1135&gt;0,Q1135&lt;30,K1135&gt;7,K1135&lt;17),'Udvaskning nøgletal'!$C$61,IF(AND(Q1135&gt;0,Q1135&lt;30,K1135&lt;7),'Udvaskning nøgletal'!$C$62,"")))</f>
        <v/>
      </c>
      <c r="AI1135" s="10">
        <f t="shared" si="180"/>
        <v>150</v>
      </c>
      <c r="AJ1135" s="10">
        <f>IF($X1135=1,LOOKUP(AI1135,'Udvaskning nøgletal'!$C$12:$C$62,'Udvaskning nøgletal'!$E$12:$E$62)+Markniveau!$Y1135*Markniveau!$S1135/100,IF($X1135=2,LOOKUP(AI1135,'Udvaskning nøgletal'!$C$12:$C$62,'Udvaskning nøgletal'!$F$12:$F$62)+Markniveau!$Y1135*Markniveau!$S1135/100,IF($X1135=3,LOOKUP(AI1135,'Udvaskning nøgletal'!$C$12:$C$62,'Udvaskning nøgletal'!Q1145:Q1195)+Markniveau!$Y1135*Markniveau!$S1135/100,"")))</f>
        <v>69.200779741212841</v>
      </c>
      <c r="AK1135" s="10">
        <f t="shared" si="179"/>
        <v>493.40155955484755</v>
      </c>
      <c r="AL1135" s="10" t="str">
        <f t="shared" si="181"/>
        <v/>
      </c>
      <c r="AM1135" s="10" t="str">
        <f t="shared" si="182"/>
        <v/>
      </c>
    </row>
    <row r="1136" spans="1:39" x14ac:dyDescent="0.25">
      <c r="A1136" s="15">
        <v>35557628</v>
      </c>
      <c r="B1136" s="15">
        <v>9.15</v>
      </c>
      <c r="C1136" s="15">
        <v>273289</v>
      </c>
      <c r="D1136" s="15">
        <v>55926</v>
      </c>
      <c r="E1136" s="15" t="s">
        <v>942</v>
      </c>
      <c r="F1136" s="15">
        <v>2011</v>
      </c>
      <c r="G1136" s="15">
        <v>20110513</v>
      </c>
      <c r="H1136" s="15">
        <v>13102</v>
      </c>
      <c r="I1136" s="15">
        <v>1.31</v>
      </c>
      <c r="J1136" s="6" t="s">
        <v>133</v>
      </c>
      <c r="K1136" s="15">
        <v>263</v>
      </c>
      <c r="L1136" s="15" t="s">
        <v>39</v>
      </c>
      <c r="M1136" s="15" t="s">
        <v>5</v>
      </c>
      <c r="N1136" s="11" t="s">
        <v>1384</v>
      </c>
      <c r="O1136" s="11" t="s">
        <v>28</v>
      </c>
      <c r="P1136" s="11" t="s">
        <v>33</v>
      </c>
      <c r="Q1136" s="15">
        <v>0</v>
      </c>
      <c r="R1136" s="11" t="s">
        <v>1386</v>
      </c>
      <c r="S1136" s="10">
        <v>90.815594824257005</v>
      </c>
      <c r="T1136" s="15">
        <v>80</v>
      </c>
      <c r="U1136" s="15">
        <v>0</v>
      </c>
      <c r="V1136" s="15">
        <v>0</v>
      </c>
      <c r="W1136" s="15">
        <v>0</v>
      </c>
      <c r="X1136" s="15">
        <f>IF(O1136='Udvaskning nøgletal'!$D$65,1,IF(O1136='Udvaskning nøgletal'!$D$66,2,IF(O1136='Udvaskning nøgletal'!$D$67,3,IF(O1136='Udvaskning nøgletal'!$D$68,2,""))))</f>
        <v>1</v>
      </c>
      <c r="Y1136" s="15">
        <f>LOOKUP(K1136,'Udvaskning nøgletal'!$C$12:$C$60,'Udvaskning nøgletal'!$H$12:$H$60)</f>
        <v>0</v>
      </c>
      <c r="Z1136" s="10">
        <f>IF(X1136=1,LOOKUP(K1136,'Udvaskning nøgletal'!$C$12:$C$60,'Udvaskning nøgletal'!$E$12:$E$60)+Markniveau!Y1136*Markniveau!S1136/100,IF(X1136=2,LOOKUP(K1136,'Udvaskning nøgletal'!$C$12:$C$60,'Udvaskning nøgletal'!$F$12:$F$60)+Markniveau!Y1136*Markniveau!S1136/100,IF(X1136=3,LOOKUP(K1136,'Udvaskning nøgletal'!$C$12:$C$60,'Udvaskning nøgletal'!G1146:G1194)+Markniveau!Y1136*Markniveau!S1136/100,"")))</f>
        <v>33.723295792149436</v>
      </c>
      <c r="AA1136" s="10">
        <f t="shared" si="176"/>
        <v>44.177517487715761</v>
      </c>
      <c r="AB1136" s="10" t="str">
        <f t="shared" si="175"/>
        <v/>
      </c>
      <c r="AC1136" s="10" t="str">
        <f t="shared" si="177"/>
        <v/>
      </c>
      <c r="AD1136" s="10">
        <f>IF(AND(Q1136&gt;0,Q1136&lt;30,K1136&lt;8),Markniveau!Z1136*'Udvaskning nøgletal'!$I$12/100,IF(AND(Q1136&gt;0,Q1136&lt;30,K1136=216),Markniveau!Z1136*'Udvaskning nøgletal'!$I$34/100,Markniveau!Z1136))</f>
        <v>33.723295792149436</v>
      </c>
      <c r="AE1136" s="10">
        <f t="shared" si="183"/>
        <v>44.177517487715761</v>
      </c>
      <c r="AF1136" s="10" t="str">
        <f t="shared" si="178"/>
        <v/>
      </c>
      <c r="AG1136" s="10" t="str">
        <f t="shared" si="184"/>
        <v/>
      </c>
      <c r="AH1136" s="10" t="str">
        <f>IF(AND(Q1136&gt;0,Q1136&lt;30,K1136=216),'Udvaskning nøgletal'!$C$42,IF(AND(Q1136&gt;0,Q1136&lt;30,K1136&gt;7,K1136&lt;17),'Udvaskning nøgletal'!$C$61,IF(AND(Q1136&gt;0,Q1136&lt;30,K1136&lt;7),'Udvaskning nøgletal'!$C$62,"")))</f>
        <v/>
      </c>
      <c r="AI1136" s="10">
        <f t="shared" si="180"/>
        <v>263</v>
      </c>
      <c r="AJ1136" s="10">
        <f>IF($X1136=1,LOOKUP(AI1136,'Udvaskning nøgletal'!$C$12:$C$62,'Udvaskning nøgletal'!$E$12:$E$62)+Markniveau!$Y1136*Markniveau!$S1136/100,IF($X1136=2,LOOKUP(AI1136,'Udvaskning nøgletal'!$C$12:$C$62,'Udvaskning nøgletal'!$F$12:$F$62)+Markniveau!$Y1136*Markniveau!$S1136/100,IF($X1136=3,LOOKUP(AI1136,'Udvaskning nøgletal'!$C$12:$C$62,'Udvaskning nøgletal'!Q1146:Q1196)+Markniveau!$Y1136*Markniveau!$S1136/100,"")))</f>
        <v>33.723295792149436</v>
      </c>
      <c r="AK1136" s="10">
        <f t="shared" si="179"/>
        <v>44.177517487715761</v>
      </c>
      <c r="AL1136" s="10" t="str">
        <f t="shared" si="181"/>
        <v/>
      </c>
      <c r="AM1136" s="10" t="str">
        <f t="shared" si="182"/>
        <v/>
      </c>
    </row>
    <row r="1137" spans="1:39" x14ac:dyDescent="0.25">
      <c r="A1137" s="15">
        <v>35557628</v>
      </c>
      <c r="B1137" s="15">
        <v>9.15</v>
      </c>
      <c r="C1137" s="15">
        <v>273775</v>
      </c>
      <c r="D1137" s="15">
        <v>55926</v>
      </c>
      <c r="E1137" s="15" t="s">
        <v>943</v>
      </c>
      <c r="F1137" s="15">
        <v>2011</v>
      </c>
      <c r="G1137" s="15">
        <v>20110512</v>
      </c>
      <c r="H1137" s="15">
        <v>67630</v>
      </c>
      <c r="I1137" s="15">
        <v>6.76</v>
      </c>
      <c r="J1137" s="6" t="s">
        <v>944</v>
      </c>
      <c r="K1137" s="15">
        <v>2</v>
      </c>
      <c r="L1137" s="15" t="s">
        <v>49</v>
      </c>
      <c r="M1137" s="15" t="s">
        <v>5</v>
      </c>
      <c r="N1137" s="11" t="s">
        <v>1391</v>
      </c>
      <c r="O1137" s="11" t="s">
        <v>46</v>
      </c>
      <c r="P1137" s="11" t="s">
        <v>33</v>
      </c>
      <c r="Q1137" s="15">
        <v>0</v>
      </c>
      <c r="R1137" s="11" t="s">
        <v>1386</v>
      </c>
      <c r="S1137" s="10">
        <v>90.815594824257005</v>
      </c>
      <c r="T1137" s="15">
        <v>80</v>
      </c>
      <c r="U1137" s="15">
        <v>0</v>
      </c>
      <c r="V1137" s="15">
        <v>0</v>
      </c>
      <c r="W1137" s="15">
        <v>0</v>
      </c>
      <c r="X1137" s="15">
        <f>IF(O1137='Udvaskning nøgletal'!$D$65,1,IF(O1137='Udvaskning nøgletal'!$D$66,2,IF(O1137='Udvaskning nøgletal'!$D$67,3,IF(O1137='Udvaskning nøgletal'!$D$68,2,""))))</f>
        <v>2</v>
      </c>
      <c r="Y1137" s="15">
        <f>LOOKUP(K1137,'Udvaskning nøgletal'!$C$12:$C$60,'Udvaskning nøgletal'!$H$12:$H$60)</f>
        <v>5</v>
      </c>
      <c r="Z1137" s="10">
        <f>IF(X1137=1,LOOKUP(K1137,'Udvaskning nøgletal'!$C$12:$C$60,'Udvaskning nøgletal'!$E$12:$E$60)+Markniveau!Y1137*Markniveau!S1137/100,IF(X1137=2,LOOKUP(K1137,'Udvaskning nøgletal'!$C$12:$C$60,'Udvaskning nøgletal'!$F$12:$F$60)+Markniveau!Y1137*Markniveau!S1137/100,IF(X1137=3,LOOKUP(K1137,'Udvaskning nøgletal'!$C$12:$C$60,'Udvaskning nøgletal'!G1147:G1195)+Markniveau!Y1137*Markniveau!S1137/100,"")))</f>
        <v>55.420779741212854</v>
      </c>
      <c r="AA1137" s="10">
        <f t="shared" si="176"/>
        <v>374.6444710505989</v>
      </c>
      <c r="AB1137" s="10" t="str">
        <f t="shared" si="175"/>
        <v/>
      </c>
      <c r="AC1137" s="10" t="str">
        <f t="shared" si="177"/>
        <v/>
      </c>
      <c r="AD1137" s="10">
        <f>IF(AND(Q1137&gt;0,Q1137&lt;30,K1137&lt;8),Markniveau!Z1137*'Udvaskning nøgletal'!$I$12/100,IF(AND(Q1137&gt;0,Q1137&lt;30,K1137=216),Markniveau!Z1137*'Udvaskning nøgletal'!$I$34/100,Markniveau!Z1137))</f>
        <v>55.420779741212854</v>
      </c>
      <c r="AE1137" s="10">
        <f t="shared" si="183"/>
        <v>374.6444710505989</v>
      </c>
      <c r="AF1137" s="10" t="str">
        <f t="shared" si="178"/>
        <v/>
      </c>
      <c r="AG1137" s="10" t="str">
        <f t="shared" si="184"/>
        <v/>
      </c>
      <c r="AH1137" s="10" t="str">
        <f>IF(AND(Q1137&gt;0,Q1137&lt;30,K1137=216),'Udvaskning nøgletal'!$C$42,IF(AND(Q1137&gt;0,Q1137&lt;30,K1137&gt;7,K1137&lt;17),'Udvaskning nøgletal'!$C$61,IF(AND(Q1137&gt;0,Q1137&lt;30,K1137&lt;7),'Udvaskning nøgletal'!$C$62,"")))</f>
        <v/>
      </c>
      <c r="AI1137" s="10">
        <f t="shared" si="180"/>
        <v>2</v>
      </c>
      <c r="AJ1137" s="10">
        <f>IF($X1137=1,LOOKUP(AI1137,'Udvaskning nøgletal'!$C$12:$C$62,'Udvaskning nøgletal'!$E$12:$E$62)+Markniveau!$Y1137*Markniveau!$S1137/100,IF($X1137=2,LOOKUP(AI1137,'Udvaskning nøgletal'!$C$12:$C$62,'Udvaskning nøgletal'!$F$12:$F$62)+Markniveau!$Y1137*Markniveau!$S1137/100,IF($X1137=3,LOOKUP(AI1137,'Udvaskning nøgletal'!$C$12:$C$62,'Udvaskning nøgletal'!Q1147:Q1197)+Markniveau!$Y1137*Markniveau!$S1137/100,"")))</f>
        <v>55.420779741212854</v>
      </c>
      <c r="AK1137" s="10">
        <f t="shared" si="179"/>
        <v>374.6444710505989</v>
      </c>
      <c r="AL1137" s="10" t="str">
        <f t="shared" si="181"/>
        <v/>
      </c>
      <c r="AM1137" s="10" t="str">
        <f t="shared" si="182"/>
        <v/>
      </c>
    </row>
    <row r="1138" spans="1:39" x14ac:dyDescent="0.25">
      <c r="A1138" s="15">
        <v>35557628</v>
      </c>
      <c r="B1138" s="15">
        <v>9.15</v>
      </c>
      <c r="C1138" s="15">
        <v>273776</v>
      </c>
      <c r="D1138" s="15">
        <v>55926</v>
      </c>
      <c r="E1138" s="15" t="s">
        <v>945</v>
      </c>
      <c r="F1138" s="15">
        <v>2011</v>
      </c>
      <c r="G1138" s="15">
        <v>20110512</v>
      </c>
      <c r="H1138" s="15">
        <v>154892</v>
      </c>
      <c r="I1138" s="15">
        <v>15.49</v>
      </c>
      <c r="J1138" s="6" t="s">
        <v>946</v>
      </c>
      <c r="K1138" s="15">
        <v>152</v>
      </c>
      <c r="L1138" s="15" t="s">
        <v>333</v>
      </c>
      <c r="M1138" s="15" t="s">
        <v>5</v>
      </c>
      <c r="N1138" s="11" t="s">
        <v>1391</v>
      </c>
      <c r="O1138" s="11" t="s">
        <v>46</v>
      </c>
      <c r="P1138" s="11" t="s">
        <v>33</v>
      </c>
      <c r="Q1138" s="15">
        <v>0</v>
      </c>
      <c r="R1138" s="11" t="s">
        <v>1386</v>
      </c>
      <c r="S1138" s="10">
        <v>90.815594824257005</v>
      </c>
      <c r="T1138" s="15">
        <v>80</v>
      </c>
      <c r="U1138" s="15">
        <v>0</v>
      </c>
      <c r="V1138" s="15">
        <v>0</v>
      </c>
      <c r="W1138" s="15">
        <v>0</v>
      </c>
      <c r="X1138" s="15">
        <f>IF(O1138='Udvaskning nøgletal'!$D$65,1,IF(O1138='Udvaskning nøgletal'!$D$66,2,IF(O1138='Udvaskning nøgletal'!$D$67,3,IF(O1138='Udvaskning nøgletal'!$D$68,2,""))))</f>
        <v>2</v>
      </c>
      <c r="Y1138" s="15">
        <f>LOOKUP(K1138,'Udvaskning nøgletal'!$C$12:$C$60,'Udvaskning nøgletal'!$H$12:$H$60)</f>
        <v>5</v>
      </c>
      <c r="Z1138" s="10">
        <f>IF(X1138=1,LOOKUP(K1138,'Udvaskning nøgletal'!$C$12:$C$60,'Udvaskning nøgletal'!$E$12:$E$60)+Markniveau!Y1138*Markniveau!S1138/100,IF(X1138=2,LOOKUP(K1138,'Udvaskning nøgletal'!$C$12:$C$60,'Udvaskning nøgletal'!$F$12:$F$60)+Markniveau!Y1138*Markniveau!S1138/100,IF(X1138=3,LOOKUP(K1138,'Udvaskning nøgletal'!$C$12:$C$60,'Udvaskning nøgletal'!G1148:G1196)+Markniveau!Y1138*Markniveau!S1138/100,"")))</f>
        <v>55.420779741212854</v>
      </c>
      <c r="AA1138" s="10">
        <f t="shared" si="176"/>
        <v>858.46787819138717</v>
      </c>
      <c r="AB1138" s="10" t="str">
        <f t="shared" si="175"/>
        <v/>
      </c>
      <c r="AC1138" s="10" t="str">
        <f t="shared" si="177"/>
        <v/>
      </c>
      <c r="AD1138" s="10">
        <f>IF(AND(Q1138&gt;0,Q1138&lt;30,K1138&lt;8),Markniveau!Z1138*'Udvaskning nøgletal'!$I$12/100,IF(AND(Q1138&gt;0,Q1138&lt;30,K1138=216),Markniveau!Z1138*'Udvaskning nøgletal'!$I$34/100,Markniveau!Z1138))</f>
        <v>55.420779741212854</v>
      </c>
      <c r="AE1138" s="10">
        <f t="shared" si="183"/>
        <v>858.46787819138717</v>
      </c>
      <c r="AF1138" s="10" t="str">
        <f t="shared" si="178"/>
        <v/>
      </c>
      <c r="AG1138" s="10" t="str">
        <f t="shared" si="184"/>
        <v/>
      </c>
      <c r="AH1138" s="10" t="str">
        <f>IF(AND(Q1138&gt;0,Q1138&lt;30,K1138=216),'Udvaskning nøgletal'!$C$42,IF(AND(Q1138&gt;0,Q1138&lt;30,K1138&gt;7,K1138&lt;17),'Udvaskning nøgletal'!$C$61,IF(AND(Q1138&gt;0,Q1138&lt;30,K1138&lt;7),'Udvaskning nøgletal'!$C$62,"")))</f>
        <v/>
      </c>
      <c r="AI1138" s="10">
        <f t="shared" si="180"/>
        <v>152</v>
      </c>
      <c r="AJ1138" s="10">
        <f>IF($X1138=1,LOOKUP(AI1138,'Udvaskning nøgletal'!$C$12:$C$62,'Udvaskning nøgletal'!$E$12:$E$62)+Markniveau!$Y1138*Markniveau!$S1138/100,IF($X1138=2,LOOKUP(AI1138,'Udvaskning nøgletal'!$C$12:$C$62,'Udvaskning nøgletal'!$F$12:$F$62)+Markniveau!$Y1138*Markniveau!$S1138/100,IF($X1138=3,LOOKUP(AI1138,'Udvaskning nøgletal'!$C$12:$C$62,'Udvaskning nøgletal'!Q1148:Q1198)+Markniveau!$Y1138*Markniveau!$S1138/100,"")))</f>
        <v>55.420779741212854</v>
      </c>
      <c r="AK1138" s="10">
        <f t="shared" si="179"/>
        <v>858.46787819138717</v>
      </c>
      <c r="AL1138" s="10" t="str">
        <f t="shared" si="181"/>
        <v/>
      </c>
      <c r="AM1138" s="10" t="str">
        <f t="shared" si="182"/>
        <v/>
      </c>
    </row>
    <row r="1139" spans="1:39" x14ac:dyDescent="0.25">
      <c r="A1139" s="15">
        <v>35557628</v>
      </c>
      <c r="B1139" s="15">
        <v>9.15</v>
      </c>
      <c r="C1139" s="15">
        <v>273777</v>
      </c>
      <c r="D1139" s="15">
        <v>55926</v>
      </c>
      <c r="E1139" s="15" t="s">
        <v>945</v>
      </c>
      <c r="F1139" s="15">
        <v>2011</v>
      </c>
      <c r="G1139" s="15">
        <v>20110512</v>
      </c>
      <c r="H1139" s="15">
        <v>85427</v>
      </c>
      <c r="I1139" s="15">
        <v>8.5399999999999991</v>
      </c>
      <c r="J1139" s="6" t="s">
        <v>947</v>
      </c>
      <c r="K1139" s="15">
        <v>152</v>
      </c>
      <c r="L1139" s="15" t="s">
        <v>333</v>
      </c>
      <c r="M1139" s="15" t="s">
        <v>5</v>
      </c>
      <c r="N1139" s="11" t="s">
        <v>1391</v>
      </c>
      <c r="O1139" s="11" t="s">
        <v>46</v>
      </c>
      <c r="P1139" s="11" t="s">
        <v>33</v>
      </c>
      <c r="Q1139" s="15">
        <v>0</v>
      </c>
      <c r="R1139" s="11" t="s">
        <v>1386</v>
      </c>
      <c r="S1139" s="10">
        <v>90.815594824257005</v>
      </c>
      <c r="T1139" s="15">
        <v>80</v>
      </c>
      <c r="U1139" s="15">
        <v>0</v>
      </c>
      <c r="V1139" s="15">
        <v>0</v>
      </c>
      <c r="W1139" s="15">
        <v>0</v>
      </c>
      <c r="X1139" s="15">
        <f>IF(O1139='Udvaskning nøgletal'!$D$65,1,IF(O1139='Udvaskning nøgletal'!$D$66,2,IF(O1139='Udvaskning nøgletal'!$D$67,3,IF(O1139='Udvaskning nøgletal'!$D$68,2,""))))</f>
        <v>2</v>
      </c>
      <c r="Y1139" s="15">
        <f>LOOKUP(K1139,'Udvaskning nøgletal'!$C$12:$C$60,'Udvaskning nøgletal'!$H$12:$H$60)</f>
        <v>5</v>
      </c>
      <c r="Z1139" s="10">
        <f>IF(X1139=1,LOOKUP(K1139,'Udvaskning nøgletal'!$C$12:$C$60,'Udvaskning nøgletal'!$E$12:$E$60)+Markniveau!Y1139*Markniveau!S1139/100,IF(X1139=2,LOOKUP(K1139,'Udvaskning nøgletal'!$C$12:$C$60,'Udvaskning nøgletal'!$F$12:$F$60)+Markniveau!Y1139*Markniveau!S1139/100,IF(X1139=3,LOOKUP(K1139,'Udvaskning nøgletal'!$C$12:$C$60,'Udvaskning nøgletal'!G1149:G1197)+Markniveau!Y1139*Markniveau!S1139/100,"")))</f>
        <v>55.420779741212854</v>
      </c>
      <c r="AA1139" s="10">
        <f t="shared" si="176"/>
        <v>473.29345898995774</v>
      </c>
      <c r="AB1139" s="10" t="str">
        <f t="shared" si="175"/>
        <v/>
      </c>
      <c r="AC1139" s="10" t="str">
        <f t="shared" si="177"/>
        <v/>
      </c>
      <c r="AD1139" s="10">
        <f>IF(AND(Q1139&gt;0,Q1139&lt;30,K1139&lt;8),Markniveau!Z1139*'Udvaskning nøgletal'!$I$12/100,IF(AND(Q1139&gt;0,Q1139&lt;30,K1139=216),Markniveau!Z1139*'Udvaskning nøgletal'!$I$34/100,Markniveau!Z1139))</f>
        <v>55.420779741212854</v>
      </c>
      <c r="AE1139" s="10">
        <f t="shared" si="183"/>
        <v>473.29345898995774</v>
      </c>
      <c r="AF1139" s="10" t="str">
        <f t="shared" si="178"/>
        <v/>
      </c>
      <c r="AG1139" s="10" t="str">
        <f t="shared" si="184"/>
        <v/>
      </c>
      <c r="AH1139" s="10" t="str">
        <f>IF(AND(Q1139&gt;0,Q1139&lt;30,K1139=216),'Udvaskning nøgletal'!$C$42,IF(AND(Q1139&gt;0,Q1139&lt;30,K1139&gt;7,K1139&lt;17),'Udvaskning nøgletal'!$C$61,IF(AND(Q1139&gt;0,Q1139&lt;30,K1139&lt;7),'Udvaskning nøgletal'!$C$62,"")))</f>
        <v/>
      </c>
      <c r="AI1139" s="10">
        <f t="shared" si="180"/>
        <v>152</v>
      </c>
      <c r="AJ1139" s="10">
        <f>IF($X1139=1,LOOKUP(AI1139,'Udvaskning nøgletal'!$C$12:$C$62,'Udvaskning nøgletal'!$E$12:$E$62)+Markniveau!$Y1139*Markniveau!$S1139/100,IF($X1139=2,LOOKUP(AI1139,'Udvaskning nøgletal'!$C$12:$C$62,'Udvaskning nøgletal'!$F$12:$F$62)+Markniveau!$Y1139*Markniveau!$S1139/100,IF($X1139=3,LOOKUP(AI1139,'Udvaskning nøgletal'!$C$12:$C$62,'Udvaskning nøgletal'!Q1149:Q1199)+Markniveau!$Y1139*Markniveau!$S1139/100,"")))</f>
        <v>55.420779741212854</v>
      </c>
      <c r="AK1139" s="10">
        <f t="shared" si="179"/>
        <v>473.29345898995774</v>
      </c>
      <c r="AL1139" s="10" t="str">
        <f t="shared" si="181"/>
        <v/>
      </c>
      <c r="AM1139" s="10" t="str">
        <f t="shared" si="182"/>
        <v/>
      </c>
    </row>
    <row r="1140" spans="1:39" x14ac:dyDescent="0.25">
      <c r="A1140" s="15">
        <v>35557628</v>
      </c>
      <c r="B1140" s="15">
        <v>9.15</v>
      </c>
      <c r="C1140" s="15">
        <v>274056</v>
      </c>
      <c r="D1140" s="15">
        <v>55926</v>
      </c>
      <c r="E1140" s="15" t="s">
        <v>948</v>
      </c>
      <c r="F1140" s="15">
        <v>2011</v>
      </c>
      <c r="G1140" s="15">
        <v>20110512</v>
      </c>
      <c r="H1140" s="15">
        <v>1501</v>
      </c>
      <c r="I1140" s="15">
        <v>0.15</v>
      </c>
      <c r="J1140" s="6" t="s">
        <v>949</v>
      </c>
      <c r="K1140" s="15">
        <v>583</v>
      </c>
      <c r="L1140" s="15" t="s">
        <v>154</v>
      </c>
      <c r="M1140" s="15" t="s">
        <v>155</v>
      </c>
      <c r="N1140" s="11" t="s">
        <v>1390</v>
      </c>
      <c r="O1140" s="11" t="s">
        <v>42</v>
      </c>
      <c r="P1140" s="11" t="s">
        <v>33</v>
      </c>
      <c r="Q1140" s="15">
        <v>0</v>
      </c>
      <c r="R1140" s="11" t="s">
        <v>1386</v>
      </c>
      <c r="S1140" s="10">
        <v>90.815594824257005</v>
      </c>
      <c r="T1140" s="15">
        <v>80</v>
      </c>
      <c r="U1140" s="15">
        <v>0</v>
      </c>
      <c r="V1140" s="15">
        <v>0</v>
      </c>
      <c r="W1140" s="15">
        <v>0</v>
      </c>
      <c r="X1140" s="15">
        <f>IF(O1140='Udvaskning nøgletal'!$D$65,1,IF(O1140='Udvaskning nøgletal'!$D$66,2,IF(O1140='Udvaskning nøgletal'!$D$67,3,IF(O1140='Udvaskning nøgletal'!$D$68,2,""))))</f>
        <v>2</v>
      </c>
      <c r="Y1140" s="15">
        <f>LOOKUP(K1140,'Udvaskning nøgletal'!$C$12:$C$60,'Udvaskning nøgletal'!$H$12:$H$60)</f>
        <v>0</v>
      </c>
      <c r="Z1140" s="10">
        <f>IF(X1140=1,LOOKUP(K1140,'Udvaskning nøgletal'!$C$12:$C$60,'Udvaskning nøgletal'!$E$12:$E$60)+Markniveau!Y1140*Markniveau!S1140/100,IF(X1140=2,LOOKUP(K1140,'Udvaskning nøgletal'!$C$12:$C$60,'Udvaskning nøgletal'!$F$12:$F$60)+Markniveau!Y1140*Markniveau!S1140/100,IF(X1140=3,LOOKUP(K1140,'Udvaskning nøgletal'!$C$12:$C$60,'Udvaskning nøgletal'!G1150:G1198)+Markniveau!Y1140*Markniveau!S1140/100,"")))</f>
        <v>10</v>
      </c>
      <c r="AA1140" s="10">
        <f t="shared" si="176"/>
        <v>1.5</v>
      </c>
      <c r="AB1140" s="10" t="str">
        <f t="shared" si="175"/>
        <v/>
      </c>
      <c r="AC1140" s="10" t="str">
        <f t="shared" si="177"/>
        <v/>
      </c>
      <c r="AD1140" s="10">
        <f>IF(AND(Q1140&gt;0,Q1140&lt;30,K1140&lt;8),Markniveau!Z1140*'Udvaskning nøgletal'!$I$12/100,IF(AND(Q1140&gt;0,Q1140&lt;30,K1140=216),Markniveau!Z1140*'Udvaskning nøgletal'!$I$34/100,Markniveau!Z1140))</f>
        <v>10</v>
      </c>
      <c r="AE1140" s="10">
        <f t="shared" si="183"/>
        <v>1.5</v>
      </c>
      <c r="AF1140" s="10" t="str">
        <f t="shared" si="178"/>
        <v/>
      </c>
      <c r="AG1140" s="10" t="str">
        <f t="shared" si="184"/>
        <v/>
      </c>
      <c r="AH1140" s="10" t="str">
        <f>IF(AND(Q1140&gt;0,Q1140&lt;30,K1140=216),'Udvaskning nøgletal'!$C$42,IF(AND(Q1140&gt;0,Q1140&lt;30,K1140&gt;7,K1140&lt;17),'Udvaskning nøgletal'!$C$61,IF(AND(Q1140&gt;0,Q1140&lt;30,K1140&lt;7),'Udvaskning nøgletal'!$C$62,"")))</f>
        <v/>
      </c>
      <c r="AI1140" s="10">
        <f t="shared" si="180"/>
        <v>583</v>
      </c>
      <c r="AJ1140" s="10">
        <f>IF($X1140=1,LOOKUP(AI1140,'Udvaskning nøgletal'!$C$12:$C$62,'Udvaskning nøgletal'!$E$12:$E$62)+Markniveau!$Y1140*Markniveau!$S1140/100,IF($X1140=2,LOOKUP(AI1140,'Udvaskning nøgletal'!$C$12:$C$62,'Udvaskning nøgletal'!$F$12:$F$62)+Markniveau!$Y1140*Markniveau!$S1140/100,IF($X1140=3,LOOKUP(AI1140,'Udvaskning nøgletal'!$C$12:$C$62,'Udvaskning nøgletal'!Q1150:Q1200)+Markniveau!$Y1140*Markniveau!$S1140/100,"")))</f>
        <v>10</v>
      </c>
      <c r="AK1140" s="10">
        <f t="shared" si="179"/>
        <v>1.5</v>
      </c>
      <c r="AL1140" s="10" t="str">
        <f t="shared" si="181"/>
        <v/>
      </c>
      <c r="AM1140" s="10" t="str">
        <f t="shared" si="182"/>
        <v/>
      </c>
    </row>
    <row r="1141" spans="1:39" x14ac:dyDescent="0.25">
      <c r="A1141" s="15">
        <v>35557628</v>
      </c>
      <c r="B1141" s="15">
        <v>9.15</v>
      </c>
      <c r="C1141" s="15">
        <v>274057</v>
      </c>
      <c r="D1141" s="15">
        <v>55926</v>
      </c>
      <c r="E1141" s="15" t="s">
        <v>950</v>
      </c>
      <c r="F1141" s="15">
        <v>2011</v>
      </c>
      <c r="G1141" s="15">
        <v>20110512</v>
      </c>
      <c r="H1141" s="15">
        <v>49165</v>
      </c>
      <c r="I1141" s="15">
        <v>4.92</v>
      </c>
      <c r="J1141" s="6" t="s">
        <v>951</v>
      </c>
      <c r="K1141" s="15">
        <v>15</v>
      </c>
      <c r="L1141" s="15" t="s">
        <v>362</v>
      </c>
      <c r="M1141" s="15" t="s">
        <v>5</v>
      </c>
      <c r="N1141" s="11" t="s">
        <v>1384</v>
      </c>
      <c r="O1141" s="11" t="s">
        <v>28</v>
      </c>
      <c r="P1141" s="11" t="s">
        <v>33</v>
      </c>
      <c r="Q1141" s="15">
        <v>0</v>
      </c>
      <c r="R1141" s="11" t="s">
        <v>1386</v>
      </c>
      <c r="S1141" s="10">
        <v>90.815594824257005</v>
      </c>
      <c r="T1141" s="15">
        <v>80</v>
      </c>
      <c r="U1141" s="15">
        <v>0</v>
      </c>
      <c r="V1141" s="15">
        <v>0</v>
      </c>
      <c r="W1141" s="15">
        <v>0</v>
      </c>
      <c r="X1141" s="15">
        <f>IF(O1141='Udvaskning nøgletal'!$D$65,1,IF(O1141='Udvaskning nøgletal'!$D$66,2,IF(O1141='Udvaskning nøgletal'!$D$67,3,IF(O1141='Udvaskning nøgletal'!$D$68,2,""))))</f>
        <v>1</v>
      </c>
      <c r="Y1141" s="15">
        <f>LOOKUP(K1141,'Udvaskning nøgletal'!$C$12:$C$60,'Udvaskning nøgletal'!$H$12:$H$60)</f>
        <v>5</v>
      </c>
      <c r="Z1141" s="10">
        <f>IF(X1141=1,LOOKUP(K1141,'Udvaskning nøgletal'!$C$12:$C$60,'Udvaskning nøgletal'!$E$12:$E$60)+Markniveau!Y1141*Markniveau!S1141/100,IF(X1141=2,LOOKUP(K1141,'Udvaskning nøgletal'!$C$12:$C$60,'Udvaskning nøgletal'!$F$12:$F$60)+Markniveau!Y1141*Markniveau!S1141/100,IF(X1141=3,LOOKUP(K1141,'Udvaskning nøgletal'!$C$12:$C$60,'Udvaskning nøgletal'!G1151:G1199)+Markniveau!Y1141*Markniveau!S1141/100,"")))</f>
        <v>69.200779741212841</v>
      </c>
      <c r="AA1141" s="10">
        <f t="shared" si="176"/>
        <v>340.46783632676716</v>
      </c>
      <c r="AB1141" s="10" t="str">
        <f t="shared" si="175"/>
        <v/>
      </c>
      <c r="AC1141" s="10" t="str">
        <f t="shared" si="177"/>
        <v/>
      </c>
      <c r="AD1141" s="10">
        <f>IF(AND(Q1141&gt;0,Q1141&lt;30,K1141&lt;8),Markniveau!Z1141*'Udvaskning nøgletal'!$I$12/100,IF(AND(Q1141&gt;0,Q1141&lt;30,K1141=216),Markniveau!Z1141*'Udvaskning nøgletal'!$I$34/100,Markniveau!Z1141))</f>
        <v>69.200779741212841</v>
      </c>
      <c r="AE1141" s="10">
        <f t="shared" si="183"/>
        <v>340.46783632676716</v>
      </c>
      <c r="AF1141" s="10" t="str">
        <f t="shared" si="178"/>
        <v/>
      </c>
      <c r="AG1141" s="10" t="str">
        <f t="shared" si="184"/>
        <v/>
      </c>
      <c r="AH1141" s="10" t="str">
        <f>IF(AND(Q1141&gt;0,Q1141&lt;30,K1141=216),'Udvaskning nøgletal'!$C$42,IF(AND(Q1141&gt;0,Q1141&lt;30,K1141&gt;7,K1141&lt;17),'Udvaskning nøgletal'!$C$61,IF(AND(Q1141&gt;0,Q1141&lt;30,K1141&lt;7),'Udvaskning nøgletal'!$C$62,"")))</f>
        <v/>
      </c>
      <c r="AI1141" s="10">
        <f t="shared" si="180"/>
        <v>15</v>
      </c>
      <c r="AJ1141" s="10">
        <f>IF($X1141=1,LOOKUP(AI1141,'Udvaskning nøgletal'!$C$12:$C$62,'Udvaskning nøgletal'!$E$12:$E$62)+Markniveau!$Y1141*Markniveau!$S1141/100,IF($X1141=2,LOOKUP(AI1141,'Udvaskning nøgletal'!$C$12:$C$62,'Udvaskning nøgletal'!$F$12:$F$62)+Markniveau!$Y1141*Markniveau!$S1141/100,IF($X1141=3,LOOKUP(AI1141,'Udvaskning nøgletal'!$C$12:$C$62,'Udvaskning nøgletal'!Q1151:Q1201)+Markniveau!$Y1141*Markniveau!$S1141/100,"")))</f>
        <v>69.200779741212841</v>
      </c>
      <c r="AK1141" s="10">
        <f t="shared" si="179"/>
        <v>340.46783632676716</v>
      </c>
      <c r="AL1141" s="10" t="str">
        <f t="shared" si="181"/>
        <v/>
      </c>
      <c r="AM1141" s="10" t="str">
        <f t="shared" si="182"/>
        <v/>
      </c>
    </row>
    <row r="1142" spans="1:39" x14ac:dyDescent="0.25">
      <c r="A1142" s="15">
        <v>35557628</v>
      </c>
      <c r="B1142" s="15">
        <v>9.15</v>
      </c>
      <c r="C1142" s="15">
        <v>274557</v>
      </c>
      <c r="D1142" s="15">
        <v>55926</v>
      </c>
      <c r="E1142" s="15" t="s">
        <v>952</v>
      </c>
      <c r="F1142" s="15">
        <v>2011</v>
      </c>
      <c r="G1142" s="15">
        <v>20110512</v>
      </c>
      <c r="H1142" s="15">
        <v>56823</v>
      </c>
      <c r="I1142" s="15">
        <v>5.68</v>
      </c>
      <c r="J1142" s="6" t="s">
        <v>953</v>
      </c>
      <c r="K1142" s="15">
        <v>152</v>
      </c>
      <c r="L1142" s="15" t="s">
        <v>333</v>
      </c>
      <c r="M1142" s="15" t="s">
        <v>5</v>
      </c>
      <c r="N1142" s="11" t="s">
        <v>1406</v>
      </c>
      <c r="O1142" s="11" t="s">
        <v>46</v>
      </c>
      <c r="P1142" s="11" t="s">
        <v>33</v>
      </c>
      <c r="Q1142" s="15">
        <v>0</v>
      </c>
      <c r="R1142" s="11" t="s">
        <v>1386</v>
      </c>
      <c r="S1142" s="10">
        <v>90.815594824257005</v>
      </c>
      <c r="T1142" s="15">
        <v>80</v>
      </c>
      <c r="U1142" s="15">
        <v>0</v>
      </c>
      <c r="V1142" s="15">
        <v>0</v>
      </c>
      <c r="W1142" s="15">
        <v>0</v>
      </c>
      <c r="X1142" s="15">
        <f>IF(O1142='Udvaskning nøgletal'!$D$65,1,IF(O1142='Udvaskning nøgletal'!$D$66,2,IF(O1142='Udvaskning nøgletal'!$D$67,3,IF(O1142='Udvaskning nøgletal'!$D$68,2,""))))</f>
        <v>2</v>
      </c>
      <c r="Y1142" s="15">
        <f>LOOKUP(K1142,'Udvaskning nøgletal'!$C$12:$C$60,'Udvaskning nøgletal'!$H$12:$H$60)</f>
        <v>5</v>
      </c>
      <c r="Z1142" s="10">
        <f>IF(X1142=1,LOOKUP(K1142,'Udvaskning nøgletal'!$C$12:$C$60,'Udvaskning nøgletal'!$E$12:$E$60)+Markniveau!Y1142*Markniveau!S1142/100,IF(X1142=2,LOOKUP(K1142,'Udvaskning nøgletal'!$C$12:$C$60,'Udvaskning nøgletal'!$F$12:$F$60)+Markniveau!Y1142*Markniveau!S1142/100,IF(X1142=3,LOOKUP(K1142,'Udvaskning nøgletal'!$C$12:$C$60,'Udvaskning nøgletal'!G1152:G1200)+Markniveau!Y1142*Markniveau!S1142/100,"")))</f>
        <v>55.420779741212854</v>
      </c>
      <c r="AA1142" s="10">
        <f t="shared" si="176"/>
        <v>314.79002893008902</v>
      </c>
      <c r="AB1142" s="10" t="str">
        <f t="shared" si="175"/>
        <v/>
      </c>
      <c r="AC1142" s="10" t="str">
        <f t="shared" si="177"/>
        <v/>
      </c>
      <c r="AD1142" s="10">
        <f>IF(AND(Q1142&gt;0,Q1142&lt;30,K1142&lt;8),Markniveau!Z1142*'Udvaskning nøgletal'!$I$12/100,IF(AND(Q1142&gt;0,Q1142&lt;30,K1142=216),Markniveau!Z1142*'Udvaskning nøgletal'!$I$34/100,Markniveau!Z1142))</f>
        <v>55.420779741212854</v>
      </c>
      <c r="AE1142" s="10">
        <f t="shared" si="183"/>
        <v>314.79002893008902</v>
      </c>
      <c r="AF1142" s="10" t="str">
        <f t="shared" si="178"/>
        <v/>
      </c>
      <c r="AG1142" s="10" t="str">
        <f t="shared" si="184"/>
        <v/>
      </c>
      <c r="AH1142" s="10" t="str">
        <f>IF(AND(Q1142&gt;0,Q1142&lt;30,K1142=216),'Udvaskning nøgletal'!$C$42,IF(AND(Q1142&gt;0,Q1142&lt;30,K1142&gt;7,K1142&lt;17),'Udvaskning nøgletal'!$C$61,IF(AND(Q1142&gt;0,Q1142&lt;30,K1142&lt;7),'Udvaskning nøgletal'!$C$62,"")))</f>
        <v/>
      </c>
      <c r="AI1142" s="10">
        <f t="shared" si="180"/>
        <v>152</v>
      </c>
      <c r="AJ1142" s="10">
        <f>IF($X1142=1,LOOKUP(AI1142,'Udvaskning nøgletal'!$C$12:$C$62,'Udvaskning nøgletal'!$E$12:$E$62)+Markniveau!$Y1142*Markniveau!$S1142/100,IF($X1142=2,LOOKUP(AI1142,'Udvaskning nøgletal'!$C$12:$C$62,'Udvaskning nøgletal'!$F$12:$F$62)+Markniveau!$Y1142*Markniveau!$S1142/100,IF($X1142=3,LOOKUP(AI1142,'Udvaskning nøgletal'!$C$12:$C$62,'Udvaskning nøgletal'!Q1152:Q1202)+Markniveau!$Y1142*Markniveau!$S1142/100,"")))</f>
        <v>55.420779741212854</v>
      </c>
      <c r="AK1142" s="10">
        <f t="shared" si="179"/>
        <v>314.79002893008902</v>
      </c>
      <c r="AL1142" s="10" t="str">
        <f t="shared" si="181"/>
        <v/>
      </c>
      <c r="AM1142" s="10" t="str">
        <f t="shared" si="182"/>
        <v/>
      </c>
    </row>
    <row r="1143" spans="1:39" x14ac:dyDescent="0.25">
      <c r="A1143" s="15">
        <v>35557628</v>
      </c>
      <c r="B1143" s="15">
        <v>9.15</v>
      </c>
      <c r="C1143" s="15">
        <v>274616</v>
      </c>
      <c r="D1143" s="15">
        <v>55926</v>
      </c>
      <c r="E1143" s="15" t="s">
        <v>954</v>
      </c>
      <c r="F1143" s="15">
        <v>2011</v>
      </c>
      <c r="G1143" s="15">
        <v>20110512</v>
      </c>
      <c r="H1143" s="15">
        <v>35647</v>
      </c>
      <c r="I1143" s="15">
        <v>3.56</v>
      </c>
      <c r="J1143" s="6" t="s">
        <v>955</v>
      </c>
      <c r="K1143" s="15">
        <v>276</v>
      </c>
      <c r="L1143" s="15" t="s">
        <v>146</v>
      </c>
      <c r="M1143" s="15" t="s">
        <v>4</v>
      </c>
      <c r="N1143" s="11" t="s">
        <v>1390</v>
      </c>
      <c r="O1143" s="11" t="s">
        <v>42</v>
      </c>
      <c r="P1143" s="11" t="s">
        <v>33</v>
      </c>
      <c r="Q1143" s="15">
        <v>0</v>
      </c>
      <c r="R1143" s="11" t="s">
        <v>1386</v>
      </c>
      <c r="S1143" s="10">
        <v>90.815594824257005</v>
      </c>
      <c r="T1143" s="15">
        <v>80</v>
      </c>
      <c r="U1143" s="15">
        <v>0</v>
      </c>
      <c r="V1143" s="15">
        <v>0</v>
      </c>
      <c r="W1143" s="15">
        <v>0</v>
      </c>
      <c r="X1143" s="15">
        <f>IF(O1143='Udvaskning nøgletal'!$D$65,1,IF(O1143='Udvaskning nøgletal'!$D$66,2,IF(O1143='Udvaskning nøgletal'!$D$67,3,IF(O1143='Udvaskning nøgletal'!$D$68,2,""))))</f>
        <v>2</v>
      </c>
      <c r="Y1143" s="15">
        <f>LOOKUP(K1143,'Udvaskning nøgletal'!$C$12:$C$60,'Udvaskning nøgletal'!$H$12:$H$60)</f>
        <v>0</v>
      </c>
      <c r="Z1143" s="10">
        <f>IF(X1143=1,LOOKUP(K1143,'Udvaskning nøgletal'!$C$12:$C$60,'Udvaskning nøgletal'!$E$12:$E$60)+Markniveau!Y1143*Markniveau!S1143/100,IF(X1143=2,LOOKUP(K1143,'Udvaskning nøgletal'!$C$12:$C$60,'Udvaskning nøgletal'!$F$12:$F$60)+Markniveau!Y1143*Markniveau!S1143/100,IF(X1143=3,LOOKUP(K1143,'Udvaskning nøgletal'!$C$12:$C$60,'Udvaskning nøgletal'!G1153:G1201)+Markniveau!Y1143*Markniveau!S1143/100,"")))</f>
        <v>10.6</v>
      </c>
      <c r="AA1143" s="10">
        <f t="shared" si="176"/>
        <v>37.735999999999997</v>
      </c>
      <c r="AB1143" s="10" t="str">
        <f t="shared" si="175"/>
        <v/>
      </c>
      <c r="AC1143" s="10" t="str">
        <f t="shared" si="177"/>
        <v/>
      </c>
      <c r="AD1143" s="10">
        <f>IF(AND(Q1143&gt;0,Q1143&lt;30,K1143&lt;8),Markniveau!Z1143*'Udvaskning nøgletal'!$I$12/100,IF(AND(Q1143&gt;0,Q1143&lt;30,K1143=216),Markniveau!Z1143*'Udvaskning nøgletal'!$I$34/100,Markniveau!Z1143))</f>
        <v>10.6</v>
      </c>
      <c r="AE1143" s="10">
        <f t="shared" si="183"/>
        <v>37.735999999999997</v>
      </c>
      <c r="AF1143" s="10" t="str">
        <f t="shared" si="178"/>
        <v/>
      </c>
      <c r="AG1143" s="10" t="str">
        <f t="shared" si="184"/>
        <v/>
      </c>
      <c r="AH1143" s="10" t="str">
        <f>IF(AND(Q1143&gt;0,Q1143&lt;30,K1143=216),'Udvaskning nøgletal'!$C$42,IF(AND(Q1143&gt;0,Q1143&lt;30,K1143&gt;7,K1143&lt;17),'Udvaskning nøgletal'!$C$61,IF(AND(Q1143&gt;0,Q1143&lt;30,K1143&lt;7),'Udvaskning nøgletal'!$C$62,"")))</f>
        <v/>
      </c>
      <c r="AI1143" s="10">
        <f t="shared" si="180"/>
        <v>276</v>
      </c>
      <c r="AJ1143" s="10">
        <f>IF($X1143=1,LOOKUP(AI1143,'Udvaskning nøgletal'!$C$12:$C$62,'Udvaskning nøgletal'!$E$12:$E$62)+Markniveau!$Y1143*Markniveau!$S1143/100,IF($X1143=2,LOOKUP(AI1143,'Udvaskning nøgletal'!$C$12:$C$62,'Udvaskning nøgletal'!$F$12:$F$62)+Markniveau!$Y1143*Markniveau!$S1143/100,IF($X1143=3,LOOKUP(AI1143,'Udvaskning nøgletal'!$C$12:$C$62,'Udvaskning nøgletal'!Q1153:Q1203)+Markniveau!$Y1143*Markniveau!$S1143/100,"")))</f>
        <v>10.6</v>
      </c>
      <c r="AK1143" s="10">
        <f t="shared" si="179"/>
        <v>37.735999999999997</v>
      </c>
      <c r="AL1143" s="10" t="str">
        <f t="shared" si="181"/>
        <v/>
      </c>
      <c r="AM1143" s="10" t="str">
        <f t="shared" si="182"/>
        <v/>
      </c>
    </row>
    <row r="1144" spans="1:39" x14ac:dyDescent="0.25">
      <c r="A1144" s="15">
        <v>35557628</v>
      </c>
      <c r="B1144" s="15">
        <v>9.15</v>
      </c>
      <c r="C1144" s="15">
        <v>275085</v>
      </c>
      <c r="D1144" s="15">
        <v>55926</v>
      </c>
      <c r="E1144" s="15" t="s">
        <v>956</v>
      </c>
      <c r="F1144" s="15">
        <v>2011</v>
      </c>
      <c r="G1144" s="15">
        <v>20110512</v>
      </c>
      <c r="H1144" s="15">
        <v>48122</v>
      </c>
      <c r="I1144" s="15">
        <v>4.8099999999999996</v>
      </c>
      <c r="J1144" s="6" t="s">
        <v>75</v>
      </c>
      <c r="K1144" s="15">
        <v>11</v>
      </c>
      <c r="L1144" s="15" t="s">
        <v>102</v>
      </c>
      <c r="M1144" s="15" t="s">
        <v>5</v>
      </c>
      <c r="N1144" s="11" t="s">
        <v>1384</v>
      </c>
      <c r="O1144" s="11" t="s">
        <v>28</v>
      </c>
      <c r="P1144" s="11" t="s">
        <v>33</v>
      </c>
      <c r="Q1144" s="15">
        <v>0</v>
      </c>
      <c r="R1144" s="11" t="s">
        <v>1386</v>
      </c>
      <c r="S1144" s="10">
        <v>90.815594824257005</v>
      </c>
      <c r="T1144" s="15">
        <v>80</v>
      </c>
      <c r="U1144" s="15">
        <v>0</v>
      </c>
      <c r="V1144" s="15">
        <v>0</v>
      </c>
      <c r="W1144" s="15">
        <v>0</v>
      </c>
      <c r="X1144" s="15">
        <f>IF(O1144='Udvaskning nøgletal'!$D$65,1,IF(O1144='Udvaskning nøgletal'!$D$66,2,IF(O1144='Udvaskning nøgletal'!$D$67,3,IF(O1144='Udvaskning nøgletal'!$D$68,2,""))))</f>
        <v>1</v>
      </c>
      <c r="Y1144" s="15">
        <f>LOOKUP(K1144,'Udvaskning nøgletal'!$C$12:$C$60,'Udvaskning nøgletal'!$H$12:$H$60)</f>
        <v>5</v>
      </c>
      <c r="Z1144" s="10">
        <f>IF(X1144=1,LOOKUP(K1144,'Udvaskning nøgletal'!$C$12:$C$60,'Udvaskning nøgletal'!$E$12:$E$60)+Markniveau!Y1144*Markniveau!S1144/100,IF(X1144=2,LOOKUP(K1144,'Udvaskning nøgletal'!$C$12:$C$60,'Udvaskning nøgletal'!$F$12:$F$60)+Markniveau!Y1144*Markniveau!S1144/100,IF(X1144=3,LOOKUP(K1144,'Udvaskning nøgletal'!$C$12:$C$60,'Udvaskning nøgletal'!G1154:G1202)+Markniveau!Y1144*Markniveau!S1144/100,"")))</f>
        <v>69.200779741212841</v>
      </c>
      <c r="AA1144" s="10">
        <f t="shared" si="176"/>
        <v>332.85575055523373</v>
      </c>
      <c r="AB1144" s="10" t="str">
        <f t="shared" si="175"/>
        <v/>
      </c>
      <c r="AC1144" s="10" t="str">
        <f t="shared" si="177"/>
        <v/>
      </c>
      <c r="AD1144" s="10">
        <f>IF(AND(Q1144&gt;0,Q1144&lt;30,K1144&lt;8),Markniveau!Z1144*'Udvaskning nøgletal'!$I$12/100,IF(AND(Q1144&gt;0,Q1144&lt;30,K1144=216),Markniveau!Z1144*'Udvaskning nøgletal'!$I$34/100,Markniveau!Z1144))</f>
        <v>69.200779741212841</v>
      </c>
      <c r="AE1144" s="10">
        <f t="shared" si="183"/>
        <v>332.85575055523373</v>
      </c>
      <c r="AF1144" s="10" t="str">
        <f t="shared" si="178"/>
        <v/>
      </c>
      <c r="AG1144" s="10" t="str">
        <f t="shared" si="184"/>
        <v/>
      </c>
      <c r="AH1144" s="10" t="str">
        <f>IF(AND(Q1144&gt;0,Q1144&lt;30,K1144=216),'Udvaskning nøgletal'!$C$42,IF(AND(Q1144&gt;0,Q1144&lt;30,K1144&gt;7,K1144&lt;17),'Udvaskning nøgletal'!$C$61,IF(AND(Q1144&gt;0,Q1144&lt;30,K1144&lt;7),'Udvaskning nøgletal'!$C$62,"")))</f>
        <v/>
      </c>
      <c r="AI1144" s="10">
        <f t="shared" si="180"/>
        <v>11</v>
      </c>
      <c r="AJ1144" s="10">
        <f>IF($X1144=1,LOOKUP(AI1144,'Udvaskning nøgletal'!$C$12:$C$62,'Udvaskning nøgletal'!$E$12:$E$62)+Markniveau!$Y1144*Markniveau!$S1144/100,IF($X1144=2,LOOKUP(AI1144,'Udvaskning nøgletal'!$C$12:$C$62,'Udvaskning nøgletal'!$F$12:$F$62)+Markniveau!$Y1144*Markniveau!$S1144/100,IF($X1144=3,LOOKUP(AI1144,'Udvaskning nøgletal'!$C$12:$C$62,'Udvaskning nøgletal'!Q1154:Q1204)+Markniveau!$Y1144*Markniveau!$S1144/100,"")))</f>
        <v>69.200779741212841</v>
      </c>
      <c r="AK1144" s="10">
        <f t="shared" si="179"/>
        <v>332.85575055523373</v>
      </c>
      <c r="AL1144" s="10" t="str">
        <f t="shared" si="181"/>
        <v/>
      </c>
      <c r="AM1144" s="10" t="str">
        <f t="shared" si="182"/>
        <v/>
      </c>
    </row>
    <row r="1145" spans="1:39" x14ac:dyDescent="0.25">
      <c r="A1145" s="15">
        <v>35557628</v>
      </c>
      <c r="B1145" s="15">
        <v>9.15</v>
      </c>
      <c r="C1145" s="15">
        <v>275574</v>
      </c>
      <c r="D1145" s="15">
        <v>55926</v>
      </c>
      <c r="E1145" s="15" t="s">
        <v>957</v>
      </c>
      <c r="F1145" s="15">
        <v>2011</v>
      </c>
      <c r="G1145" s="15">
        <v>20110512</v>
      </c>
      <c r="H1145" s="15">
        <v>136196</v>
      </c>
      <c r="I1145" s="15">
        <v>13.62</v>
      </c>
      <c r="J1145" s="6" t="s">
        <v>958</v>
      </c>
      <c r="K1145" s="15">
        <v>152</v>
      </c>
      <c r="L1145" s="15" t="s">
        <v>333</v>
      </c>
      <c r="M1145" s="15" t="s">
        <v>5</v>
      </c>
      <c r="N1145" s="11" t="s">
        <v>1391</v>
      </c>
      <c r="O1145" s="11" t="s">
        <v>46</v>
      </c>
      <c r="P1145" s="11" t="s">
        <v>33</v>
      </c>
      <c r="Q1145" s="15">
        <v>0</v>
      </c>
      <c r="R1145" s="11" t="s">
        <v>1386</v>
      </c>
      <c r="S1145" s="10">
        <v>90.815594824257005</v>
      </c>
      <c r="T1145" s="15">
        <v>80</v>
      </c>
      <c r="U1145" s="15">
        <v>0</v>
      </c>
      <c r="V1145" s="15">
        <v>0</v>
      </c>
      <c r="W1145" s="15">
        <v>0</v>
      </c>
      <c r="X1145" s="15">
        <f>IF(O1145='Udvaskning nøgletal'!$D$65,1,IF(O1145='Udvaskning nøgletal'!$D$66,2,IF(O1145='Udvaskning nøgletal'!$D$67,3,IF(O1145='Udvaskning nøgletal'!$D$68,2,""))))</f>
        <v>2</v>
      </c>
      <c r="Y1145" s="15">
        <f>LOOKUP(K1145,'Udvaskning nøgletal'!$C$12:$C$60,'Udvaskning nøgletal'!$H$12:$H$60)</f>
        <v>5</v>
      </c>
      <c r="Z1145" s="10">
        <f>IF(X1145=1,LOOKUP(K1145,'Udvaskning nøgletal'!$C$12:$C$60,'Udvaskning nøgletal'!$E$12:$E$60)+Markniveau!Y1145*Markniveau!S1145/100,IF(X1145=2,LOOKUP(K1145,'Udvaskning nøgletal'!$C$12:$C$60,'Udvaskning nøgletal'!$F$12:$F$60)+Markniveau!Y1145*Markniveau!S1145/100,IF(X1145=3,LOOKUP(K1145,'Udvaskning nøgletal'!$C$12:$C$60,'Udvaskning nøgletal'!G1155:G1203)+Markniveau!Y1145*Markniveau!S1145/100,"")))</f>
        <v>55.420779741212854</v>
      </c>
      <c r="AA1145" s="10">
        <f t="shared" si="176"/>
        <v>754.83102007531897</v>
      </c>
      <c r="AB1145" s="10" t="str">
        <f t="shared" si="175"/>
        <v/>
      </c>
      <c r="AC1145" s="10" t="str">
        <f t="shared" si="177"/>
        <v/>
      </c>
      <c r="AD1145" s="10">
        <f>IF(AND(Q1145&gt;0,Q1145&lt;30,K1145&lt;8),Markniveau!Z1145*'Udvaskning nøgletal'!$I$12/100,IF(AND(Q1145&gt;0,Q1145&lt;30,K1145=216),Markniveau!Z1145*'Udvaskning nøgletal'!$I$34/100,Markniveau!Z1145))</f>
        <v>55.420779741212854</v>
      </c>
      <c r="AE1145" s="10">
        <f t="shared" si="183"/>
        <v>754.83102007531897</v>
      </c>
      <c r="AF1145" s="10" t="str">
        <f t="shared" si="178"/>
        <v/>
      </c>
      <c r="AG1145" s="10" t="str">
        <f t="shared" si="184"/>
        <v/>
      </c>
      <c r="AH1145" s="10" t="str">
        <f>IF(AND(Q1145&gt;0,Q1145&lt;30,K1145=216),'Udvaskning nøgletal'!$C$42,IF(AND(Q1145&gt;0,Q1145&lt;30,K1145&gt;7,K1145&lt;17),'Udvaskning nøgletal'!$C$61,IF(AND(Q1145&gt;0,Q1145&lt;30,K1145&lt;7),'Udvaskning nøgletal'!$C$62,"")))</f>
        <v/>
      </c>
      <c r="AI1145" s="10">
        <f t="shared" si="180"/>
        <v>152</v>
      </c>
      <c r="AJ1145" s="10">
        <f>IF($X1145=1,LOOKUP(AI1145,'Udvaskning nøgletal'!$C$12:$C$62,'Udvaskning nøgletal'!$E$12:$E$62)+Markniveau!$Y1145*Markniveau!$S1145/100,IF($X1145=2,LOOKUP(AI1145,'Udvaskning nøgletal'!$C$12:$C$62,'Udvaskning nøgletal'!$F$12:$F$62)+Markniveau!$Y1145*Markniveau!$S1145/100,IF($X1145=3,LOOKUP(AI1145,'Udvaskning nøgletal'!$C$12:$C$62,'Udvaskning nøgletal'!Q1155:Q1205)+Markniveau!$Y1145*Markniveau!$S1145/100,"")))</f>
        <v>55.420779741212854</v>
      </c>
      <c r="AK1145" s="10">
        <f t="shared" si="179"/>
        <v>754.83102007531897</v>
      </c>
      <c r="AL1145" s="10" t="str">
        <f t="shared" si="181"/>
        <v/>
      </c>
      <c r="AM1145" s="10" t="str">
        <f t="shared" si="182"/>
        <v/>
      </c>
    </row>
    <row r="1146" spans="1:39" x14ac:dyDescent="0.25">
      <c r="A1146" s="15">
        <v>35557628</v>
      </c>
      <c r="B1146" s="15">
        <v>9.15</v>
      </c>
      <c r="C1146" s="15">
        <v>275768</v>
      </c>
      <c r="D1146" s="15">
        <v>55926</v>
      </c>
      <c r="E1146" s="15" t="s">
        <v>959</v>
      </c>
      <c r="F1146" s="15">
        <v>2011</v>
      </c>
      <c r="G1146" s="15">
        <v>20110512</v>
      </c>
      <c r="H1146" s="15">
        <v>36734</v>
      </c>
      <c r="I1146" s="15">
        <v>3.67</v>
      </c>
      <c r="J1146" s="6" t="s">
        <v>960</v>
      </c>
      <c r="K1146" s="15">
        <v>150</v>
      </c>
      <c r="L1146" s="15" t="s">
        <v>896</v>
      </c>
      <c r="M1146" s="15" t="s">
        <v>5</v>
      </c>
      <c r="N1146" s="11" t="s">
        <v>1384</v>
      </c>
      <c r="O1146" s="11" t="s">
        <v>28</v>
      </c>
      <c r="P1146" s="11" t="s">
        <v>33</v>
      </c>
      <c r="Q1146" s="15">
        <v>0</v>
      </c>
      <c r="R1146" s="11" t="s">
        <v>1386</v>
      </c>
      <c r="S1146" s="10">
        <v>90.815594824257005</v>
      </c>
      <c r="T1146" s="15">
        <v>80</v>
      </c>
      <c r="U1146" s="15">
        <v>0</v>
      </c>
      <c r="V1146" s="15">
        <v>0</v>
      </c>
      <c r="W1146" s="15">
        <v>0</v>
      </c>
      <c r="X1146" s="15">
        <f>IF(O1146='Udvaskning nøgletal'!$D$65,1,IF(O1146='Udvaskning nøgletal'!$D$66,2,IF(O1146='Udvaskning nøgletal'!$D$67,3,IF(O1146='Udvaskning nøgletal'!$D$68,2,""))))</f>
        <v>1</v>
      </c>
      <c r="Y1146" s="15">
        <f>LOOKUP(K1146,'Udvaskning nøgletal'!$C$12:$C$60,'Udvaskning nøgletal'!$H$12:$H$60)</f>
        <v>5</v>
      </c>
      <c r="Z1146" s="10">
        <f>IF(X1146=1,LOOKUP(K1146,'Udvaskning nøgletal'!$C$12:$C$60,'Udvaskning nøgletal'!$E$12:$E$60)+Markniveau!Y1146*Markniveau!S1146/100,IF(X1146=2,LOOKUP(K1146,'Udvaskning nøgletal'!$C$12:$C$60,'Udvaskning nøgletal'!$F$12:$F$60)+Markniveau!Y1146*Markniveau!S1146/100,IF(X1146=3,LOOKUP(K1146,'Udvaskning nøgletal'!$C$12:$C$60,'Udvaskning nøgletal'!G1156:G1204)+Markniveau!Y1146*Markniveau!S1146/100,"")))</f>
        <v>69.200779741212841</v>
      </c>
      <c r="AA1146" s="10">
        <f t="shared" si="176"/>
        <v>253.96686165025113</v>
      </c>
      <c r="AB1146" s="10" t="str">
        <f t="shared" si="175"/>
        <v/>
      </c>
      <c r="AC1146" s="10" t="str">
        <f t="shared" si="177"/>
        <v/>
      </c>
      <c r="AD1146" s="10">
        <f>IF(AND(Q1146&gt;0,Q1146&lt;30,K1146&lt;8),Markniveau!Z1146*'Udvaskning nøgletal'!$I$12/100,IF(AND(Q1146&gt;0,Q1146&lt;30,K1146=216),Markniveau!Z1146*'Udvaskning nøgletal'!$I$34/100,Markniveau!Z1146))</f>
        <v>69.200779741212841</v>
      </c>
      <c r="AE1146" s="10">
        <f t="shared" si="183"/>
        <v>253.96686165025113</v>
      </c>
      <c r="AF1146" s="10" t="str">
        <f t="shared" si="178"/>
        <v/>
      </c>
      <c r="AG1146" s="10" t="str">
        <f t="shared" si="184"/>
        <v/>
      </c>
      <c r="AH1146" s="10" t="str">
        <f>IF(AND(Q1146&gt;0,Q1146&lt;30,K1146=216),'Udvaskning nøgletal'!$C$42,IF(AND(Q1146&gt;0,Q1146&lt;30,K1146&gt;7,K1146&lt;17),'Udvaskning nøgletal'!$C$61,IF(AND(Q1146&gt;0,Q1146&lt;30,K1146&lt;7),'Udvaskning nøgletal'!$C$62,"")))</f>
        <v/>
      </c>
      <c r="AI1146" s="10">
        <f t="shared" si="180"/>
        <v>150</v>
      </c>
      <c r="AJ1146" s="10">
        <f>IF($X1146=1,LOOKUP(AI1146,'Udvaskning nøgletal'!$C$12:$C$62,'Udvaskning nøgletal'!$E$12:$E$62)+Markniveau!$Y1146*Markniveau!$S1146/100,IF($X1146=2,LOOKUP(AI1146,'Udvaskning nøgletal'!$C$12:$C$62,'Udvaskning nøgletal'!$F$12:$F$62)+Markniveau!$Y1146*Markniveau!$S1146/100,IF($X1146=3,LOOKUP(AI1146,'Udvaskning nøgletal'!$C$12:$C$62,'Udvaskning nøgletal'!Q1156:Q1206)+Markniveau!$Y1146*Markniveau!$S1146/100,"")))</f>
        <v>69.200779741212841</v>
      </c>
      <c r="AK1146" s="10">
        <f t="shared" si="179"/>
        <v>253.96686165025113</v>
      </c>
      <c r="AL1146" s="10" t="str">
        <f t="shared" si="181"/>
        <v/>
      </c>
      <c r="AM1146" s="10" t="str">
        <f t="shared" si="182"/>
        <v/>
      </c>
    </row>
    <row r="1147" spans="1:39" x14ac:dyDescent="0.25">
      <c r="A1147" s="15">
        <v>35557628</v>
      </c>
      <c r="B1147" s="15">
        <v>9.15</v>
      </c>
      <c r="C1147" s="15">
        <v>275769</v>
      </c>
      <c r="D1147" s="15">
        <v>55926</v>
      </c>
      <c r="E1147" s="15" t="s">
        <v>961</v>
      </c>
      <c r="F1147" s="15">
        <v>2011</v>
      </c>
      <c r="G1147" s="15">
        <v>20110512</v>
      </c>
      <c r="H1147" s="15">
        <v>14267</v>
      </c>
      <c r="I1147" s="15">
        <v>1.43</v>
      </c>
      <c r="J1147" s="6" t="s">
        <v>962</v>
      </c>
      <c r="K1147" s="15">
        <v>150</v>
      </c>
      <c r="L1147" s="15" t="s">
        <v>896</v>
      </c>
      <c r="M1147" s="15" t="s">
        <v>5</v>
      </c>
      <c r="N1147" s="11" t="s">
        <v>1384</v>
      </c>
      <c r="O1147" s="11" t="s">
        <v>28</v>
      </c>
      <c r="P1147" s="11" t="s">
        <v>33</v>
      </c>
      <c r="Q1147" s="15">
        <v>0</v>
      </c>
      <c r="R1147" s="11" t="s">
        <v>1386</v>
      </c>
      <c r="S1147" s="10">
        <v>90.815594824257005</v>
      </c>
      <c r="T1147" s="15">
        <v>80</v>
      </c>
      <c r="U1147" s="15">
        <v>0</v>
      </c>
      <c r="V1147" s="15">
        <v>0</v>
      </c>
      <c r="W1147" s="15">
        <v>0</v>
      </c>
      <c r="X1147" s="15">
        <f>IF(O1147='Udvaskning nøgletal'!$D$65,1,IF(O1147='Udvaskning nøgletal'!$D$66,2,IF(O1147='Udvaskning nøgletal'!$D$67,3,IF(O1147='Udvaskning nøgletal'!$D$68,2,""))))</f>
        <v>1</v>
      </c>
      <c r="Y1147" s="15">
        <f>LOOKUP(K1147,'Udvaskning nøgletal'!$C$12:$C$60,'Udvaskning nøgletal'!$H$12:$H$60)</f>
        <v>5</v>
      </c>
      <c r="Z1147" s="10">
        <f>IF(X1147=1,LOOKUP(K1147,'Udvaskning nøgletal'!$C$12:$C$60,'Udvaskning nøgletal'!$E$12:$E$60)+Markniveau!Y1147*Markniveau!S1147/100,IF(X1147=2,LOOKUP(K1147,'Udvaskning nøgletal'!$C$12:$C$60,'Udvaskning nøgletal'!$F$12:$F$60)+Markniveau!Y1147*Markniveau!S1147/100,IF(X1147=3,LOOKUP(K1147,'Udvaskning nøgletal'!$C$12:$C$60,'Udvaskning nøgletal'!G1157:G1205)+Markniveau!Y1147*Markniveau!S1147/100,"")))</f>
        <v>69.200779741212841</v>
      </c>
      <c r="AA1147" s="10">
        <f t="shared" si="176"/>
        <v>98.957115029934357</v>
      </c>
      <c r="AB1147" s="10" t="str">
        <f t="shared" si="175"/>
        <v/>
      </c>
      <c r="AC1147" s="10" t="str">
        <f t="shared" si="177"/>
        <v/>
      </c>
      <c r="AD1147" s="10">
        <f>IF(AND(Q1147&gt;0,Q1147&lt;30,K1147&lt;8),Markniveau!Z1147*'Udvaskning nøgletal'!$I$12/100,IF(AND(Q1147&gt;0,Q1147&lt;30,K1147=216),Markniveau!Z1147*'Udvaskning nøgletal'!$I$34/100,Markniveau!Z1147))</f>
        <v>69.200779741212841</v>
      </c>
      <c r="AE1147" s="10">
        <f t="shared" si="183"/>
        <v>98.957115029934357</v>
      </c>
      <c r="AF1147" s="10" t="str">
        <f t="shared" si="178"/>
        <v/>
      </c>
      <c r="AG1147" s="10" t="str">
        <f t="shared" si="184"/>
        <v/>
      </c>
      <c r="AH1147" s="10" t="str">
        <f>IF(AND(Q1147&gt;0,Q1147&lt;30,K1147=216),'Udvaskning nøgletal'!$C$42,IF(AND(Q1147&gt;0,Q1147&lt;30,K1147&gt;7,K1147&lt;17),'Udvaskning nøgletal'!$C$61,IF(AND(Q1147&gt;0,Q1147&lt;30,K1147&lt;7),'Udvaskning nøgletal'!$C$62,"")))</f>
        <v/>
      </c>
      <c r="AI1147" s="10">
        <f t="shared" si="180"/>
        <v>150</v>
      </c>
      <c r="AJ1147" s="10">
        <f>IF($X1147=1,LOOKUP(AI1147,'Udvaskning nøgletal'!$C$12:$C$62,'Udvaskning nøgletal'!$E$12:$E$62)+Markniveau!$Y1147*Markniveau!$S1147/100,IF($X1147=2,LOOKUP(AI1147,'Udvaskning nøgletal'!$C$12:$C$62,'Udvaskning nøgletal'!$F$12:$F$62)+Markniveau!$Y1147*Markniveau!$S1147/100,IF($X1147=3,LOOKUP(AI1147,'Udvaskning nøgletal'!$C$12:$C$62,'Udvaskning nøgletal'!Q1157:Q1207)+Markniveau!$Y1147*Markniveau!$S1147/100,"")))</f>
        <v>69.200779741212841</v>
      </c>
      <c r="AK1147" s="10">
        <f t="shared" si="179"/>
        <v>98.957115029934357</v>
      </c>
      <c r="AL1147" s="10" t="str">
        <f t="shared" si="181"/>
        <v/>
      </c>
      <c r="AM1147" s="10" t="str">
        <f t="shared" si="182"/>
        <v/>
      </c>
    </row>
    <row r="1148" spans="1:39" x14ac:dyDescent="0.25">
      <c r="A1148" s="15">
        <v>35557628</v>
      </c>
      <c r="B1148" s="15">
        <v>9.15</v>
      </c>
      <c r="C1148" s="15">
        <v>275938</v>
      </c>
      <c r="D1148" s="15">
        <v>55926</v>
      </c>
      <c r="E1148" s="15" t="s">
        <v>963</v>
      </c>
      <c r="F1148" s="15">
        <v>2011</v>
      </c>
      <c r="G1148" s="15">
        <v>20110512</v>
      </c>
      <c r="H1148" s="15">
        <v>15346</v>
      </c>
      <c r="I1148" s="15">
        <v>1.53</v>
      </c>
      <c r="J1148" s="6" t="s">
        <v>964</v>
      </c>
      <c r="K1148" s="15">
        <v>15</v>
      </c>
      <c r="L1148" s="15" t="s">
        <v>362</v>
      </c>
      <c r="M1148" s="15" t="s">
        <v>5</v>
      </c>
      <c r="N1148" s="11" t="s">
        <v>1384</v>
      </c>
      <c r="O1148" s="11" t="s">
        <v>28</v>
      </c>
      <c r="P1148" s="11" t="s">
        <v>33</v>
      </c>
      <c r="Q1148" s="15">
        <v>0</v>
      </c>
      <c r="R1148" s="11" t="s">
        <v>1386</v>
      </c>
      <c r="S1148" s="10">
        <v>90.815594824257005</v>
      </c>
      <c r="T1148" s="15">
        <v>80</v>
      </c>
      <c r="U1148" s="15">
        <v>0</v>
      </c>
      <c r="V1148" s="15">
        <v>0</v>
      </c>
      <c r="W1148" s="15">
        <v>0</v>
      </c>
      <c r="X1148" s="15">
        <f>IF(O1148='Udvaskning nøgletal'!$D$65,1,IF(O1148='Udvaskning nøgletal'!$D$66,2,IF(O1148='Udvaskning nøgletal'!$D$67,3,IF(O1148='Udvaskning nøgletal'!$D$68,2,""))))</f>
        <v>1</v>
      </c>
      <c r="Y1148" s="15">
        <f>LOOKUP(K1148,'Udvaskning nøgletal'!$C$12:$C$60,'Udvaskning nøgletal'!$H$12:$H$60)</f>
        <v>5</v>
      </c>
      <c r="Z1148" s="10">
        <f>IF(X1148=1,LOOKUP(K1148,'Udvaskning nøgletal'!$C$12:$C$60,'Udvaskning nøgletal'!$E$12:$E$60)+Markniveau!Y1148*Markniveau!S1148/100,IF(X1148=2,LOOKUP(K1148,'Udvaskning nøgletal'!$C$12:$C$60,'Udvaskning nøgletal'!$F$12:$F$60)+Markniveau!Y1148*Markniveau!S1148/100,IF(X1148=3,LOOKUP(K1148,'Udvaskning nøgletal'!$C$12:$C$60,'Udvaskning nøgletal'!G1158:G1206)+Markniveau!Y1148*Markniveau!S1148/100,"")))</f>
        <v>69.200779741212841</v>
      </c>
      <c r="AA1148" s="10">
        <f t="shared" si="176"/>
        <v>105.87719300405566</v>
      </c>
      <c r="AB1148" s="10" t="str">
        <f t="shared" si="175"/>
        <v/>
      </c>
      <c r="AC1148" s="10" t="str">
        <f t="shared" si="177"/>
        <v/>
      </c>
      <c r="AD1148" s="10">
        <f>IF(AND(Q1148&gt;0,Q1148&lt;30,K1148&lt;8),Markniveau!Z1148*'Udvaskning nøgletal'!$I$12/100,IF(AND(Q1148&gt;0,Q1148&lt;30,K1148=216),Markniveau!Z1148*'Udvaskning nøgletal'!$I$34/100,Markniveau!Z1148))</f>
        <v>69.200779741212841</v>
      </c>
      <c r="AE1148" s="10">
        <f t="shared" si="183"/>
        <v>105.87719300405566</v>
      </c>
      <c r="AF1148" s="10" t="str">
        <f t="shared" si="178"/>
        <v/>
      </c>
      <c r="AG1148" s="10" t="str">
        <f t="shared" si="184"/>
        <v/>
      </c>
      <c r="AH1148" s="10" t="str">
        <f>IF(AND(Q1148&gt;0,Q1148&lt;30,K1148=216),'Udvaskning nøgletal'!$C$42,IF(AND(Q1148&gt;0,Q1148&lt;30,K1148&gt;7,K1148&lt;17),'Udvaskning nøgletal'!$C$61,IF(AND(Q1148&gt;0,Q1148&lt;30,K1148&lt;7),'Udvaskning nøgletal'!$C$62,"")))</f>
        <v/>
      </c>
      <c r="AI1148" s="10">
        <f t="shared" si="180"/>
        <v>15</v>
      </c>
      <c r="AJ1148" s="10">
        <f>IF($X1148=1,LOOKUP(AI1148,'Udvaskning nøgletal'!$C$12:$C$62,'Udvaskning nøgletal'!$E$12:$E$62)+Markniveau!$Y1148*Markniveau!$S1148/100,IF($X1148=2,LOOKUP(AI1148,'Udvaskning nøgletal'!$C$12:$C$62,'Udvaskning nøgletal'!$F$12:$F$62)+Markniveau!$Y1148*Markniveau!$S1148/100,IF($X1148=3,LOOKUP(AI1148,'Udvaskning nøgletal'!$C$12:$C$62,'Udvaskning nøgletal'!Q1158:Q1208)+Markniveau!$Y1148*Markniveau!$S1148/100,"")))</f>
        <v>69.200779741212841</v>
      </c>
      <c r="AK1148" s="10">
        <f t="shared" si="179"/>
        <v>105.87719300405566</v>
      </c>
      <c r="AL1148" s="10" t="str">
        <f t="shared" si="181"/>
        <v/>
      </c>
      <c r="AM1148" s="10" t="str">
        <f t="shared" si="182"/>
        <v/>
      </c>
    </row>
    <row r="1149" spans="1:39" x14ac:dyDescent="0.25">
      <c r="A1149" s="15">
        <v>35557628</v>
      </c>
      <c r="B1149" s="15">
        <v>9.15</v>
      </c>
      <c r="C1149" s="15">
        <v>276982</v>
      </c>
      <c r="D1149" s="15">
        <v>55926</v>
      </c>
      <c r="E1149" s="15" t="s">
        <v>965</v>
      </c>
      <c r="F1149" s="15">
        <v>2011</v>
      </c>
      <c r="G1149" s="15">
        <v>20110512</v>
      </c>
      <c r="H1149" s="15">
        <v>95779</v>
      </c>
      <c r="I1149" s="15">
        <v>9.58</v>
      </c>
      <c r="J1149" s="6" t="s">
        <v>966</v>
      </c>
      <c r="K1149" s="15">
        <v>152</v>
      </c>
      <c r="L1149" s="15" t="s">
        <v>333</v>
      </c>
      <c r="M1149" s="15" t="s">
        <v>5</v>
      </c>
      <c r="N1149" s="11" t="s">
        <v>1384</v>
      </c>
      <c r="O1149" s="11" t="s">
        <v>28</v>
      </c>
      <c r="P1149" s="11" t="s">
        <v>33</v>
      </c>
      <c r="Q1149" s="15">
        <v>0</v>
      </c>
      <c r="R1149" s="11" t="s">
        <v>1386</v>
      </c>
      <c r="S1149" s="10">
        <v>90.815594824257005</v>
      </c>
      <c r="T1149" s="15">
        <v>80</v>
      </c>
      <c r="U1149" s="15">
        <v>0</v>
      </c>
      <c r="V1149" s="15">
        <v>0</v>
      </c>
      <c r="W1149" s="15">
        <v>0</v>
      </c>
      <c r="X1149" s="15">
        <f>IF(O1149='Udvaskning nøgletal'!$D$65,1,IF(O1149='Udvaskning nøgletal'!$D$66,2,IF(O1149='Udvaskning nøgletal'!$D$67,3,IF(O1149='Udvaskning nøgletal'!$D$68,2,""))))</f>
        <v>1</v>
      </c>
      <c r="Y1149" s="15">
        <f>LOOKUP(K1149,'Udvaskning nøgletal'!$C$12:$C$60,'Udvaskning nøgletal'!$H$12:$H$60)</f>
        <v>5</v>
      </c>
      <c r="Z1149" s="10">
        <f>IF(X1149=1,LOOKUP(K1149,'Udvaskning nøgletal'!$C$12:$C$60,'Udvaskning nøgletal'!$E$12:$E$60)+Markniveau!Y1149*Markniveau!S1149/100,IF(X1149=2,LOOKUP(K1149,'Udvaskning nøgletal'!$C$12:$C$60,'Udvaskning nøgletal'!$F$12:$F$60)+Markniveau!Y1149*Markniveau!S1149/100,IF(X1149=3,LOOKUP(K1149,'Udvaskning nøgletal'!$C$12:$C$60,'Udvaskning nøgletal'!G1159:G1207)+Markniveau!Y1149*Markniveau!S1149/100,"")))</f>
        <v>69.200779741212841</v>
      </c>
      <c r="AA1149" s="10">
        <f t="shared" si="176"/>
        <v>662.94346992081898</v>
      </c>
      <c r="AB1149" s="10" t="str">
        <f t="shared" si="175"/>
        <v/>
      </c>
      <c r="AC1149" s="10" t="str">
        <f t="shared" si="177"/>
        <v/>
      </c>
      <c r="AD1149" s="10">
        <f>IF(AND(Q1149&gt;0,Q1149&lt;30,K1149&lt;8),Markniveau!Z1149*'Udvaskning nøgletal'!$I$12/100,IF(AND(Q1149&gt;0,Q1149&lt;30,K1149=216),Markniveau!Z1149*'Udvaskning nøgletal'!$I$34/100,Markniveau!Z1149))</f>
        <v>69.200779741212841</v>
      </c>
      <c r="AE1149" s="10">
        <f t="shared" si="183"/>
        <v>662.94346992081898</v>
      </c>
      <c r="AF1149" s="10" t="str">
        <f t="shared" si="178"/>
        <v/>
      </c>
      <c r="AG1149" s="10" t="str">
        <f t="shared" si="184"/>
        <v/>
      </c>
      <c r="AH1149" s="10" t="str">
        <f>IF(AND(Q1149&gt;0,Q1149&lt;30,K1149=216),'Udvaskning nøgletal'!$C$42,IF(AND(Q1149&gt;0,Q1149&lt;30,K1149&gt;7,K1149&lt;17),'Udvaskning nøgletal'!$C$61,IF(AND(Q1149&gt;0,Q1149&lt;30,K1149&lt;7),'Udvaskning nøgletal'!$C$62,"")))</f>
        <v/>
      </c>
      <c r="AI1149" s="10">
        <f t="shared" si="180"/>
        <v>152</v>
      </c>
      <c r="AJ1149" s="10">
        <f>IF($X1149=1,LOOKUP(AI1149,'Udvaskning nøgletal'!$C$12:$C$62,'Udvaskning nøgletal'!$E$12:$E$62)+Markniveau!$Y1149*Markniveau!$S1149/100,IF($X1149=2,LOOKUP(AI1149,'Udvaskning nøgletal'!$C$12:$C$62,'Udvaskning nøgletal'!$F$12:$F$62)+Markniveau!$Y1149*Markniveau!$S1149/100,IF($X1149=3,LOOKUP(AI1149,'Udvaskning nøgletal'!$C$12:$C$62,'Udvaskning nøgletal'!Q1159:Q1209)+Markniveau!$Y1149*Markniveau!$S1149/100,"")))</f>
        <v>69.200779741212841</v>
      </c>
      <c r="AK1149" s="10">
        <f t="shared" si="179"/>
        <v>662.94346992081898</v>
      </c>
      <c r="AL1149" s="10" t="str">
        <f t="shared" si="181"/>
        <v/>
      </c>
      <c r="AM1149" s="10" t="str">
        <f t="shared" si="182"/>
        <v/>
      </c>
    </row>
    <row r="1150" spans="1:39" x14ac:dyDescent="0.25">
      <c r="A1150" s="15">
        <v>35557628</v>
      </c>
      <c r="B1150" s="15">
        <v>9.15</v>
      </c>
      <c r="C1150" s="15">
        <v>277071</v>
      </c>
      <c r="D1150" s="15">
        <v>55926</v>
      </c>
      <c r="E1150" s="15" t="s">
        <v>967</v>
      </c>
      <c r="F1150" s="15">
        <v>2011</v>
      </c>
      <c r="G1150" s="15">
        <v>20110512</v>
      </c>
      <c r="H1150" s="15">
        <v>17599</v>
      </c>
      <c r="I1150" s="15">
        <v>1.76</v>
      </c>
      <c r="J1150" s="6" t="s">
        <v>125</v>
      </c>
      <c r="K1150" s="15">
        <v>310</v>
      </c>
      <c r="L1150" s="15" t="s">
        <v>484</v>
      </c>
      <c r="M1150" s="15" t="s">
        <v>81</v>
      </c>
      <c r="N1150" s="11" t="s">
        <v>1384</v>
      </c>
      <c r="O1150" s="11" t="s">
        <v>28</v>
      </c>
      <c r="P1150" s="11" t="s">
        <v>33</v>
      </c>
      <c r="Q1150" s="15">
        <v>0</v>
      </c>
      <c r="R1150" s="11" t="s">
        <v>1386</v>
      </c>
      <c r="S1150" s="10">
        <v>90.815594824257005</v>
      </c>
      <c r="T1150" s="15">
        <v>80</v>
      </c>
      <c r="U1150" s="15">
        <v>0</v>
      </c>
      <c r="V1150" s="15">
        <v>0</v>
      </c>
      <c r="W1150" s="15">
        <v>0</v>
      </c>
      <c r="X1150" s="15">
        <f>IF(O1150='Udvaskning nøgletal'!$D$65,1,IF(O1150='Udvaskning nøgletal'!$D$66,2,IF(O1150='Udvaskning nøgletal'!$D$67,3,IF(O1150='Udvaskning nøgletal'!$D$68,2,""))))</f>
        <v>1</v>
      </c>
      <c r="Y1150" s="15">
        <f>LOOKUP(K1150,'Udvaskning nøgletal'!$C$12:$C$60,'Udvaskning nøgletal'!$H$12:$H$60)</f>
        <v>0</v>
      </c>
      <c r="Z1150" s="10">
        <f>IF(X1150=1,LOOKUP(K1150,'Udvaskning nøgletal'!$C$12:$C$60,'Udvaskning nøgletal'!$E$12:$E$60)+Markniveau!Y1150*Markniveau!S1150/100,IF(X1150=2,LOOKUP(K1150,'Udvaskning nøgletal'!$C$12:$C$60,'Udvaskning nøgletal'!$F$12:$F$60)+Markniveau!Y1150*Markniveau!S1150/100,IF(X1150=3,LOOKUP(K1150,'Udvaskning nøgletal'!$C$12:$C$60,'Udvaskning nøgletal'!G1160:G1208)+Markniveau!Y1150*Markniveau!S1150/100,"")))</f>
        <v>10</v>
      </c>
      <c r="AA1150" s="10">
        <f t="shared" si="176"/>
        <v>17.600000000000001</v>
      </c>
      <c r="AB1150" s="10" t="str">
        <f t="shared" si="175"/>
        <v/>
      </c>
      <c r="AC1150" s="10" t="str">
        <f t="shared" si="177"/>
        <v/>
      </c>
      <c r="AD1150" s="10">
        <f>IF(AND(Q1150&gt;0,Q1150&lt;30,K1150&lt;8),Markniveau!Z1150*'Udvaskning nøgletal'!$I$12/100,IF(AND(Q1150&gt;0,Q1150&lt;30,K1150=216),Markniveau!Z1150*'Udvaskning nøgletal'!$I$34/100,Markniveau!Z1150))</f>
        <v>10</v>
      </c>
      <c r="AE1150" s="10">
        <f t="shared" si="183"/>
        <v>17.600000000000001</v>
      </c>
      <c r="AF1150" s="10" t="str">
        <f t="shared" si="178"/>
        <v/>
      </c>
      <c r="AG1150" s="10" t="str">
        <f t="shared" si="184"/>
        <v/>
      </c>
      <c r="AH1150" s="10" t="str">
        <f>IF(AND(Q1150&gt;0,Q1150&lt;30,K1150=216),'Udvaskning nøgletal'!$C$42,IF(AND(Q1150&gt;0,Q1150&lt;30,K1150&gt;7,K1150&lt;17),'Udvaskning nøgletal'!$C$61,IF(AND(Q1150&gt;0,Q1150&lt;30,K1150&lt;7),'Udvaskning nøgletal'!$C$62,"")))</f>
        <v/>
      </c>
      <c r="AI1150" s="10">
        <f t="shared" si="180"/>
        <v>310</v>
      </c>
      <c r="AJ1150" s="10">
        <f>IF($X1150=1,LOOKUP(AI1150,'Udvaskning nøgletal'!$C$12:$C$62,'Udvaskning nøgletal'!$E$12:$E$62)+Markniveau!$Y1150*Markniveau!$S1150/100,IF($X1150=2,LOOKUP(AI1150,'Udvaskning nøgletal'!$C$12:$C$62,'Udvaskning nøgletal'!$F$12:$F$62)+Markniveau!$Y1150*Markniveau!$S1150/100,IF($X1150=3,LOOKUP(AI1150,'Udvaskning nøgletal'!$C$12:$C$62,'Udvaskning nøgletal'!Q1160:Q1210)+Markniveau!$Y1150*Markniveau!$S1150/100,"")))</f>
        <v>10</v>
      </c>
      <c r="AK1150" s="10">
        <f t="shared" si="179"/>
        <v>17.600000000000001</v>
      </c>
      <c r="AL1150" s="10" t="str">
        <f t="shared" si="181"/>
        <v/>
      </c>
      <c r="AM1150" s="10" t="str">
        <f t="shared" si="182"/>
        <v/>
      </c>
    </row>
    <row r="1151" spans="1:39" x14ac:dyDescent="0.25">
      <c r="A1151" s="15">
        <v>35557628</v>
      </c>
      <c r="B1151" s="15">
        <v>9.15</v>
      </c>
      <c r="C1151" s="15">
        <v>277526</v>
      </c>
      <c r="D1151" s="15">
        <v>55926</v>
      </c>
      <c r="E1151" s="15" t="s">
        <v>968</v>
      </c>
      <c r="F1151" s="15">
        <v>2011</v>
      </c>
      <c r="G1151" s="15">
        <v>20110512</v>
      </c>
      <c r="H1151" s="15">
        <v>58939</v>
      </c>
      <c r="I1151" s="15">
        <v>5.89</v>
      </c>
      <c r="J1151" s="6" t="s">
        <v>969</v>
      </c>
      <c r="K1151" s="15">
        <v>152</v>
      </c>
      <c r="L1151" s="15" t="s">
        <v>333</v>
      </c>
      <c r="M1151" s="15" t="s">
        <v>5</v>
      </c>
      <c r="N1151" s="11" t="s">
        <v>1391</v>
      </c>
      <c r="O1151" s="11" t="s">
        <v>46</v>
      </c>
      <c r="P1151" s="11" t="s">
        <v>33</v>
      </c>
      <c r="Q1151" s="15">
        <v>0</v>
      </c>
      <c r="R1151" s="11" t="s">
        <v>1386</v>
      </c>
      <c r="S1151" s="10">
        <v>90.815594824257005</v>
      </c>
      <c r="T1151" s="15">
        <v>80</v>
      </c>
      <c r="U1151" s="15">
        <v>0</v>
      </c>
      <c r="V1151" s="15">
        <v>0</v>
      </c>
      <c r="W1151" s="15">
        <v>0</v>
      </c>
      <c r="X1151" s="15">
        <f>IF(O1151='Udvaskning nøgletal'!$D$65,1,IF(O1151='Udvaskning nøgletal'!$D$66,2,IF(O1151='Udvaskning nøgletal'!$D$67,3,IF(O1151='Udvaskning nøgletal'!$D$68,2,""))))</f>
        <v>2</v>
      </c>
      <c r="Y1151" s="15">
        <f>LOOKUP(K1151,'Udvaskning nøgletal'!$C$12:$C$60,'Udvaskning nøgletal'!$H$12:$H$60)</f>
        <v>5</v>
      </c>
      <c r="Z1151" s="10">
        <f>IF(X1151=1,LOOKUP(K1151,'Udvaskning nøgletal'!$C$12:$C$60,'Udvaskning nøgletal'!$E$12:$E$60)+Markniveau!Y1151*Markniveau!S1151/100,IF(X1151=2,LOOKUP(K1151,'Udvaskning nøgletal'!$C$12:$C$60,'Udvaskning nøgletal'!$F$12:$F$60)+Markniveau!Y1151*Markniveau!S1151/100,IF(X1151=3,LOOKUP(K1151,'Udvaskning nøgletal'!$C$12:$C$60,'Udvaskning nøgletal'!G1161:G1209)+Markniveau!Y1151*Markniveau!S1151/100,"")))</f>
        <v>55.420779741212854</v>
      </c>
      <c r="AA1151" s="10">
        <f t="shared" si="176"/>
        <v>326.42839267574368</v>
      </c>
      <c r="AB1151" s="10" t="str">
        <f t="shared" si="175"/>
        <v/>
      </c>
      <c r="AC1151" s="10" t="str">
        <f t="shared" si="177"/>
        <v/>
      </c>
      <c r="AD1151" s="10">
        <f>IF(AND(Q1151&gt;0,Q1151&lt;30,K1151&lt;8),Markniveau!Z1151*'Udvaskning nøgletal'!$I$12/100,IF(AND(Q1151&gt;0,Q1151&lt;30,K1151=216),Markniveau!Z1151*'Udvaskning nøgletal'!$I$34/100,Markniveau!Z1151))</f>
        <v>55.420779741212854</v>
      </c>
      <c r="AE1151" s="10">
        <f t="shared" si="183"/>
        <v>326.42839267574368</v>
      </c>
      <c r="AF1151" s="10" t="str">
        <f t="shared" si="178"/>
        <v/>
      </c>
      <c r="AG1151" s="10" t="str">
        <f t="shared" si="184"/>
        <v/>
      </c>
      <c r="AH1151" s="10" t="str">
        <f>IF(AND(Q1151&gt;0,Q1151&lt;30,K1151=216),'Udvaskning nøgletal'!$C$42,IF(AND(Q1151&gt;0,Q1151&lt;30,K1151&gt;7,K1151&lt;17),'Udvaskning nøgletal'!$C$61,IF(AND(Q1151&gt;0,Q1151&lt;30,K1151&lt;7),'Udvaskning nøgletal'!$C$62,"")))</f>
        <v/>
      </c>
      <c r="AI1151" s="10">
        <f t="shared" si="180"/>
        <v>152</v>
      </c>
      <c r="AJ1151" s="10">
        <f>IF($X1151=1,LOOKUP(AI1151,'Udvaskning nøgletal'!$C$12:$C$62,'Udvaskning nøgletal'!$E$12:$E$62)+Markniveau!$Y1151*Markniveau!$S1151/100,IF($X1151=2,LOOKUP(AI1151,'Udvaskning nøgletal'!$C$12:$C$62,'Udvaskning nøgletal'!$F$12:$F$62)+Markniveau!$Y1151*Markniveau!$S1151/100,IF($X1151=3,LOOKUP(AI1151,'Udvaskning nøgletal'!$C$12:$C$62,'Udvaskning nøgletal'!Q1161:Q1211)+Markniveau!$Y1151*Markniveau!$S1151/100,"")))</f>
        <v>55.420779741212854</v>
      </c>
      <c r="AK1151" s="10">
        <f t="shared" si="179"/>
        <v>326.42839267574368</v>
      </c>
      <c r="AL1151" s="10" t="str">
        <f t="shared" si="181"/>
        <v/>
      </c>
      <c r="AM1151" s="10" t="str">
        <f t="shared" si="182"/>
        <v/>
      </c>
    </row>
    <row r="1152" spans="1:39" x14ac:dyDescent="0.25">
      <c r="A1152" s="15">
        <v>35557628</v>
      </c>
      <c r="B1152" s="15">
        <v>9.15</v>
      </c>
      <c r="C1152" s="15">
        <v>277591</v>
      </c>
      <c r="D1152" s="15">
        <v>55926</v>
      </c>
      <c r="E1152" s="15" t="s">
        <v>970</v>
      </c>
      <c r="F1152" s="15">
        <v>2011</v>
      </c>
      <c r="G1152" s="15">
        <v>20110512</v>
      </c>
      <c r="H1152" s="15">
        <v>57393</v>
      </c>
      <c r="I1152" s="15">
        <v>5.74</v>
      </c>
      <c r="J1152" s="6" t="s">
        <v>971</v>
      </c>
      <c r="K1152" s="15">
        <v>152</v>
      </c>
      <c r="L1152" s="15" t="s">
        <v>333</v>
      </c>
      <c r="M1152" s="15" t="s">
        <v>5</v>
      </c>
      <c r="N1152" s="11" t="s">
        <v>1384</v>
      </c>
      <c r="O1152" s="11" t="s">
        <v>28</v>
      </c>
      <c r="P1152" s="11" t="s">
        <v>33</v>
      </c>
      <c r="Q1152" s="15">
        <v>0</v>
      </c>
      <c r="R1152" s="11" t="s">
        <v>1386</v>
      </c>
      <c r="S1152" s="10">
        <v>90.815594824257005</v>
      </c>
      <c r="T1152" s="15">
        <v>80</v>
      </c>
      <c r="U1152" s="15">
        <v>0</v>
      </c>
      <c r="V1152" s="15">
        <v>0</v>
      </c>
      <c r="W1152" s="15">
        <v>0</v>
      </c>
      <c r="X1152" s="15">
        <f>IF(O1152='Udvaskning nøgletal'!$D$65,1,IF(O1152='Udvaskning nøgletal'!$D$66,2,IF(O1152='Udvaskning nøgletal'!$D$67,3,IF(O1152='Udvaskning nøgletal'!$D$68,2,""))))</f>
        <v>1</v>
      </c>
      <c r="Y1152" s="15">
        <f>LOOKUP(K1152,'Udvaskning nøgletal'!$C$12:$C$60,'Udvaskning nøgletal'!$H$12:$H$60)</f>
        <v>5</v>
      </c>
      <c r="Z1152" s="10">
        <f>IF(X1152=1,LOOKUP(K1152,'Udvaskning nøgletal'!$C$12:$C$60,'Udvaskning nøgletal'!$E$12:$E$60)+Markniveau!Y1152*Markniveau!S1152/100,IF(X1152=2,LOOKUP(K1152,'Udvaskning nøgletal'!$C$12:$C$60,'Udvaskning nøgletal'!$F$12:$F$60)+Markniveau!Y1152*Markniveau!S1152/100,IF(X1152=3,LOOKUP(K1152,'Udvaskning nøgletal'!$C$12:$C$60,'Udvaskning nøgletal'!G1162:G1210)+Markniveau!Y1152*Markniveau!S1152/100,"")))</f>
        <v>69.200779741212841</v>
      </c>
      <c r="AA1152" s="10">
        <f t="shared" si="176"/>
        <v>397.21247571456172</v>
      </c>
      <c r="AB1152" s="10" t="str">
        <f t="shared" si="175"/>
        <v/>
      </c>
      <c r="AC1152" s="10" t="str">
        <f t="shared" si="177"/>
        <v/>
      </c>
      <c r="AD1152" s="10">
        <f>IF(AND(Q1152&gt;0,Q1152&lt;30,K1152&lt;8),Markniveau!Z1152*'Udvaskning nøgletal'!$I$12/100,IF(AND(Q1152&gt;0,Q1152&lt;30,K1152=216),Markniveau!Z1152*'Udvaskning nøgletal'!$I$34/100,Markniveau!Z1152))</f>
        <v>69.200779741212841</v>
      </c>
      <c r="AE1152" s="10">
        <f t="shared" si="183"/>
        <v>397.21247571456172</v>
      </c>
      <c r="AF1152" s="10" t="str">
        <f t="shared" si="178"/>
        <v/>
      </c>
      <c r="AG1152" s="10" t="str">
        <f t="shared" si="184"/>
        <v/>
      </c>
      <c r="AH1152" s="10" t="str">
        <f>IF(AND(Q1152&gt;0,Q1152&lt;30,K1152=216),'Udvaskning nøgletal'!$C$42,IF(AND(Q1152&gt;0,Q1152&lt;30,K1152&gt;7,K1152&lt;17),'Udvaskning nøgletal'!$C$61,IF(AND(Q1152&gt;0,Q1152&lt;30,K1152&lt;7),'Udvaskning nøgletal'!$C$62,"")))</f>
        <v/>
      </c>
      <c r="AI1152" s="10">
        <f t="shared" si="180"/>
        <v>152</v>
      </c>
      <c r="AJ1152" s="10">
        <f>IF($X1152=1,LOOKUP(AI1152,'Udvaskning nøgletal'!$C$12:$C$62,'Udvaskning nøgletal'!$E$12:$E$62)+Markniveau!$Y1152*Markniveau!$S1152/100,IF($X1152=2,LOOKUP(AI1152,'Udvaskning nøgletal'!$C$12:$C$62,'Udvaskning nøgletal'!$F$12:$F$62)+Markniveau!$Y1152*Markniveau!$S1152/100,IF($X1152=3,LOOKUP(AI1152,'Udvaskning nøgletal'!$C$12:$C$62,'Udvaskning nøgletal'!Q1162:Q1212)+Markniveau!$Y1152*Markniveau!$S1152/100,"")))</f>
        <v>69.200779741212841</v>
      </c>
      <c r="AK1152" s="10">
        <f t="shared" si="179"/>
        <v>397.21247571456172</v>
      </c>
      <c r="AL1152" s="10" t="str">
        <f t="shared" si="181"/>
        <v/>
      </c>
      <c r="AM1152" s="10" t="str">
        <f t="shared" si="182"/>
        <v/>
      </c>
    </row>
    <row r="1153" spans="1:39" x14ac:dyDescent="0.25">
      <c r="A1153" s="15">
        <v>35557628</v>
      </c>
      <c r="B1153" s="15">
        <v>9.15</v>
      </c>
      <c r="C1153" s="15">
        <v>277592</v>
      </c>
      <c r="D1153" s="15">
        <v>55926</v>
      </c>
      <c r="E1153" s="15" t="s">
        <v>972</v>
      </c>
      <c r="F1153" s="15">
        <v>2011</v>
      </c>
      <c r="G1153" s="15">
        <v>20110512</v>
      </c>
      <c r="H1153" s="15">
        <v>16377</v>
      </c>
      <c r="I1153" s="15">
        <v>1.64</v>
      </c>
      <c r="J1153" s="6" t="s">
        <v>973</v>
      </c>
      <c r="K1153" s="15">
        <v>11</v>
      </c>
      <c r="L1153" s="15" t="s">
        <v>102</v>
      </c>
      <c r="M1153" s="15" t="s">
        <v>5</v>
      </c>
      <c r="N1153" s="11" t="s">
        <v>1391</v>
      </c>
      <c r="O1153" s="11" t="s">
        <v>46</v>
      </c>
      <c r="P1153" s="11" t="s">
        <v>33</v>
      </c>
      <c r="Q1153" s="15">
        <v>0</v>
      </c>
      <c r="R1153" s="11" t="s">
        <v>1386</v>
      </c>
      <c r="S1153" s="10">
        <v>90.815594824257005</v>
      </c>
      <c r="T1153" s="15">
        <v>80</v>
      </c>
      <c r="U1153" s="15">
        <v>0</v>
      </c>
      <c r="V1153" s="15">
        <v>0</v>
      </c>
      <c r="W1153" s="15">
        <v>0</v>
      </c>
      <c r="X1153" s="15">
        <f>IF(O1153='Udvaskning nøgletal'!$D$65,1,IF(O1153='Udvaskning nøgletal'!$D$66,2,IF(O1153='Udvaskning nøgletal'!$D$67,3,IF(O1153='Udvaskning nøgletal'!$D$68,2,""))))</f>
        <v>2</v>
      </c>
      <c r="Y1153" s="15">
        <f>LOOKUP(K1153,'Udvaskning nøgletal'!$C$12:$C$60,'Udvaskning nøgletal'!$H$12:$H$60)</f>
        <v>5</v>
      </c>
      <c r="Z1153" s="10">
        <f>IF(X1153=1,LOOKUP(K1153,'Udvaskning nøgletal'!$C$12:$C$60,'Udvaskning nøgletal'!$E$12:$E$60)+Markniveau!Y1153*Markniveau!S1153/100,IF(X1153=2,LOOKUP(K1153,'Udvaskning nøgletal'!$C$12:$C$60,'Udvaskning nøgletal'!$F$12:$F$60)+Markniveau!Y1153*Markniveau!S1153/100,IF(X1153=3,LOOKUP(K1153,'Udvaskning nøgletal'!$C$12:$C$60,'Udvaskning nøgletal'!G1163:G1211)+Markniveau!Y1153*Markniveau!S1153/100,"")))</f>
        <v>55.420779741212854</v>
      </c>
      <c r="AA1153" s="10">
        <f t="shared" si="176"/>
        <v>90.890078775589075</v>
      </c>
      <c r="AB1153" s="10" t="str">
        <f t="shared" si="175"/>
        <v/>
      </c>
      <c r="AC1153" s="10" t="str">
        <f t="shared" si="177"/>
        <v/>
      </c>
      <c r="AD1153" s="10">
        <f>IF(AND(Q1153&gt;0,Q1153&lt;30,K1153&lt;8),Markniveau!Z1153*'Udvaskning nøgletal'!$I$12/100,IF(AND(Q1153&gt;0,Q1153&lt;30,K1153=216),Markniveau!Z1153*'Udvaskning nøgletal'!$I$34/100,Markniveau!Z1153))</f>
        <v>55.420779741212854</v>
      </c>
      <c r="AE1153" s="10">
        <f t="shared" si="183"/>
        <v>90.890078775589075</v>
      </c>
      <c r="AF1153" s="10" t="str">
        <f t="shared" si="178"/>
        <v/>
      </c>
      <c r="AG1153" s="10" t="str">
        <f t="shared" si="184"/>
        <v/>
      </c>
      <c r="AH1153" s="10" t="str">
        <f>IF(AND(Q1153&gt;0,Q1153&lt;30,K1153=216),'Udvaskning nøgletal'!$C$42,IF(AND(Q1153&gt;0,Q1153&lt;30,K1153&gt;7,K1153&lt;17),'Udvaskning nøgletal'!$C$61,IF(AND(Q1153&gt;0,Q1153&lt;30,K1153&lt;7),'Udvaskning nøgletal'!$C$62,"")))</f>
        <v/>
      </c>
      <c r="AI1153" s="10">
        <f t="shared" si="180"/>
        <v>11</v>
      </c>
      <c r="AJ1153" s="10">
        <f>IF($X1153=1,LOOKUP(AI1153,'Udvaskning nøgletal'!$C$12:$C$62,'Udvaskning nøgletal'!$E$12:$E$62)+Markniveau!$Y1153*Markniveau!$S1153/100,IF($X1153=2,LOOKUP(AI1153,'Udvaskning nøgletal'!$C$12:$C$62,'Udvaskning nøgletal'!$F$12:$F$62)+Markniveau!$Y1153*Markniveau!$S1153/100,IF($X1153=3,LOOKUP(AI1153,'Udvaskning nøgletal'!$C$12:$C$62,'Udvaskning nøgletal'!Q1163:Q1213)+Markniveau!$Y1153*Markniveau!$S1153/100,"")))</f>
        <v>55.420779741212854</v>
      </c>
      <c r="AK1153" s="10">
        <f t="shared" si="179"/>
        <v>90.890078775589075</v>
      </c>
      <c r="AL1153" s="10" t="str">
        <f t="shared" si="181"/>
        <v/>
      </c>
      <c r="AM1153" s="10" t="str">
        <f t="shared" si="182"/>
        <v/>
      </c>
    </row>
    <row r="1154" spans="1:39" x14ac:dyDescent="0.25">
      <c r="A1154" s="15">
        <v>35557628</v>
      </c>
      <c r="B1154" s="15">
        <v>9.15</v>
      </c>
      <c r="C1154" s="15">
        <v>277625</v>
      </c>
      <c r="D1154" s="15">
        <v>55926</v>
      </c>
      <c r="E1154" s="15" t="s">
        <v>891</v>
      </c>
      <c r="F1154" s="15">
        <v>2011</v>
      </c>
      <c r="G1154" s="15">
        <v>20110512</v>
      </c>
      <c r="H1154" s="15">
        <v>14330</v>
      </c>
      <c r="I1154" s="15">
        <v>1.43</v>
      </c>
      <c r="J1154" s="6" t="s">
        <v>36</v>
      </c>
      <c r="K1154" s="15">
        <v>310</v>
      </c>
      <c r="L1154" s="15" t="s">
        <v>484</v>
      </c>
      <c r="M1154" s="15" t="s">
        <v>81</v>
      </c>
      <c r="N1154" s="11" t="s">
        <v>1384</v>
      </c>
      <c r="O1154" s="11" t="s">
        <v>28</v>
      </c>
      <c r="P1154" s="11" t="s">
        <v>33</v>
      </c>
      <c r="Q1154" s="15">
        <v>0</v>
      </c>
      <c r="R1154" s="11" t="s">
        <v>1386</v>
      </c>
      <c r="S1154" s="10">
        <v>90.815594824257005</v>
      </c>
      <c r="T1154" s="15">
        <v>80</v>
      </c>
      <c r="U1154" s="15">
        <v>0</v>
      </c>
      <c r="V1154" s="15">
        <v>0</v>
      </c>
      <c r="W1154" s="15">
        <v>0</v>
      </c>
      <c r="X1154" s="15">
        <f>IF(O1154='Udvaskning nøgletal'!$D$65,1,IF(O1154='Udvaskning nøgletal'!$D$66,2,IF(O1154='Udvaskning nøgletal'!$D$67,3,IF(O1154='Udvaskning nøgletal'!$D$68,2,""))))</f>
        <v>1</v>
      </c>
      <c r="Y1154" s="15">
        <f>LOOKUP(K1154,'Udvaskning nøgletal'!$C$12:$C$60,'Udvaskning nøgletal'!$H$12:$H$60)</f>
        <v>0</v>
      </c>
      <c r="Z1154" s="10">
        <f>IF(X1154=1,LOOKUP(K1154,'Udvaskning nøgletal'!$C$12:$C$60,'Udvaskning nøgletal'!$E$12:$E$60)+Markniveau!Y1154*Markniveau!S1154/100,IF(X1154=2,LOOKUP(K1154,'Udvaskning nøgletal'!$C$12:$C$60,'Udvaskning nøgletal'!$F$12:$F$60)+Markniveau!Y1154*Markniveau!S1154/100,IF(X1154=3,LOOKUP(K1154,'Udvaskning nøgletal'!$C$12:$C$60,'Udvaskning nøgletal'!G1164:G1212)+Markniveau!Y1154*Markniveau!S1154/100,"")))</f>
        <v>10</v>
      </c>
      <c r="AA1154" s="10">
        <f t="shared" si="176"/>
        <v>14.299999999999999</v>
      </c>
      <c r="AB1154" s="10" t="str">
        <f t="shared" ref="AB1154:AB1217" si="185">IF(Q1154&gt;0,(100-Q1154)*Z1154/100,"")</f>
        <v/>
      </c>
      <c r="AC1154" s="10" t="str">
        <f t="shared" si="177"/>
        <v/>
      </c>
      <c r="AD1154" s="10">
        <f>IF(AND(Q1154&gt;0,Q1154&lt;30,K1154&lt;8),Markniveau!Z1154*'Udvaskning nøgletal'!$I$12/100,IF(AND(Q1154&gt;0,Q1154&lt;30,K1154=216),Markniveau!Z1154*'Udvaskning nøgletal'!$I$34/100,Markniveau!Z1154))</f>
        <v>10</v>
      </c>
      <c r="AE1154" s="10">
        <f t="shared" si="183"/>
        <v>14.299999999999999</v>
      </c>
      <c r="AF1154" s="10" t="str">
        <f t="shared" si="178"/>
        <v/>
      </c>
      <c r="AG1154" s="10" t="str">
        <f t="shared" si="184"/>
        <v/>
      </c>
      <c r="AH1154" s="10" t="str">
        <f>IF(AND(Q1154&gt;0,Q1154&lt;30,K1154=216),'Udvaskning nøgletal'!$C$42,IF(AND(Q1154&gt;0,Q1154&lt;30,K1154&gt;7,K1154&lt;17),'Udvaskning nøgletal'!$C$61,IF(AND(Q1154&gt;0,Q1154&lt;30,K1154&lt;7),'Udvaskning nøgletal'!$C$62,"")))</f>
        <v/>
      </c>
      <c r="AI1154" s="10">
        <f t="shared" si="180"/>
        <v>310</v>
      </c>
      <c r="AJ1154" s="10">
        <f>IF($X1154=1,LOOKUP(AI1154,'Udvaskning nøgletal'!$C$12:$C$62,'Udvaskning nøgletal'!$E$12:$E$62)+Markniveau!$Y1154*Markniveau!$S1154/100,IF($X1154=2,LOOKUP(AI1154,'Udvaskning nøgletal'!$C$12:$C$62,'Udvaskning nøgletal'!$F$12:$F$62)+Markniveau!$Y1154*Markniveau!$S1154/100,IF($X1154=3,LOOKUP(AI1154,'Udvaskning nøgletal'!$C$12:$C$62,'Udvaskning nøgletal'!Q1164:Q1214)+Markniveau!$Y1154*Markniveau!$S1154/100,"")))</f>
        <v>10</v>
      </c>
      <c r="AK1154" s="10">
        <f t="shared" si="179"/>
        <v>14.299999999999999</v>
      </c>
      <c r="AL1154" s="10" t="str">
        <f t="shared" si="181"/>
        <v/>
      </c>
      <c r="AM1154" s="10" t="str">
        <f t="shared" si="182"/>
        <v/>
      </c>
    </row>
    <row r="1155" spans="1:39" x14ac:dyDescent="0.25">
      <c r="A1155" s="15">
        <v>35557628</v>
      </c>
      <c r="B1155" s="15">
        <v>9.15</v>
      </c>
      <c r="C1155" s="15">
        <v>277626</v>
      </c>
      <c r="D1155" s="15">
        <v>55926</v>
      </c>
      <c r="E1155" s="15" t="s">
        <v>974</v>
      </c>
      <c r="F1155" s="15">
        <v>2011</v>
      </c>
      <c r="G1155" s="15">
        <v>20110512</v>
      </c>
      <c r="H1155" s="15">
        <v>6080</v>
      </c>
      <c r="I1155" s="15">
        <v>0.61</v>
      </c>
      <c r="J1155" s="6" t="s">
        <v>975</v>
      </c>
      <c r="K1155" s="15">
        <v>2</v>
      </c>
      <c r="L1155" s="15" t="s">
        <v>49</v>
      </c>
      <c r="M1155" s="15" t="s">
        <v>5</v>
      </c>
      <c r="N1155" s="11" t="s">
        <v>1391</v>
      </c>
      <c r="O1155" s="11" t="s">
        <v>46</v>
      </c>
      <c r="P1155" s="11" t="s">
        <v>33</v>
      </c>
      <c r="Q1155" s="15">
        <v>0</v>
      </c>
      <c r="R1155" s="11" t="s">
        <v>1386</v>
      </c>
      <c r="S1155" s="10">
        <v>90.815594824257005</v>
      </c>
      <c r="T1155" s="15">
        <v>80</v>
      </c>
      <c r="U1155" s="15">
        <v>0</v>
      </c>
      <c r="V1155" s="15">
        <v>0</v>
      </c>
      <c r="W1155" s="15">
        <v>0</v>
      </c>
      <c r="X1155" s="15">
        <f>IF(O1155='Udvaskning nøgletal'!$D$65,1,IF(O1155='Udvaskning nøgletal'!$D$66,2,IF(O1155='Udvaskning nøgletal'!$D$67,3,IF(O1155='Udvaskning nøgletal'!$D$68,2,""))))</f>
        <v>2</v>
      </c>
      <c r="Y1155" s="15">
        <f>LOOKUP(K1155,'Udvaskning nøgletal'!$C$12:$C$60,'Udvaskning nøgletal'!$H$12:$H$60)</f>
        <v>5</v>
      </c>
      <c r="Z1155" s="10">
        <f>IF(X1155=1,LOOKUP(K1155,'Udvaskning nøgletal'!$C$12:$C$60,'Udvaskning nøgletal'!$E$12:$E$60)+Markniveau!Y1155*Markniveau!S1155/100,IF(X1155=2,LOOKUP(K1155,'Udvaskning nøgletal'!$C$12:$C$60,'Udvaskning nøgletal'!$F$12:$F$60)+Markniveau!Y1155*Markniveau!S1155/100,IF(X1155=3,LOOKUP(K1155,'Udvaskning nøgletal'!$C$12:$C$60,'Udvaskning nøgletal'!G1165:G1213)+Markniveau!Y1155*Markniveau!S1155/100,"")))</f>
        <v>55.420779741212854</v>
      </c>
      <c r="AA1155" s="10">
        <f t="shared" ref="AA1155:AA1218" si="186">Z1155*I1155</f>
        <v>33.806675642139844</v>
      </c>
      <c r="AB1155" s="10" t="str">
        <f t="shared" si="185"/>
        <v/>
      </c>
      <c r="AC1155" s="10" t="str">
        <f t="shared" ref="AC1155:AC1218" si="187">IF(Q1155&gt;0,AB1155*I1155,"")</f>
        <v/>
      </c>
      <c r="AD1155" s="10">
        <f>IF(AND(Q1155&gt;0,Q1155&lt;30,K1155&lt;8),Markniveau!Z1155*'Udvaskning nøgletal'!$I$12/100,IF(AND(Q1155&gt;0,Q1155&lt;30,K1155=216),Markniveau!Z1155*'Udvaskning nøgletal'!$I$34/100,Markniveau!Z1155))</f>
        <v>55.420779741212854</v>
      </c>
      <c r="AE1155" s="10">
        <f t="shared" si="183"/>
        <v>33.806675642139844</v>
      </c>
      <c r="AF1155" s="10" t="str">
        <f t="shared" ref="AF1155:AF1218" si="188">IF($Q1155&gt;0,(100-$Q1155)*$AD1155/100,"")</f>
        <v/>
      </c>
      <c r="AG1155" s="10" t="str">
        <f t="shared" si="184"/>
        <v/>
      </c>
      <c r="AH1155" s="10" t="str">
        <f>IF(AND(Q1155&gt;0,Q1155&lt;30,K1155=216),'Udvaskning nøgletal'!$C$42,IF(AND(Q1155&gt;0,Q1155&lt;30,K1155&gt;7,K1155&lt;17),'Udvaskning nøgletal'!$C$61,IF(AND(Q1155&gt;0,Q1155&lt;30,K1155&lt;7),'Udvaskning nøgletal'!$C$62,"")))</f>
        <v/>
      </c>
      <c r="AI1155" s="10">
        <f t="shared" si="180"/>
        <v>2</v>
      </c>
      <c r="AJ1155" s="10">
        <f>IF($X1155=1,LOOKUP(AI1155,'Udvaskning nøgletal'!$C$12:$C$62,'Udvaskning nøgletal'!$E$12:$E$62)+Markniveau!$Y1155*Markniveau!$S1155/100,IF($X1155=2,LOOKUP(AI1155,'Udvaskning nøgletal'!$C$12:$C$62,'Udvaskning nøgletal'!$F$12:$F$62)+Markniveau!$Y1155*Markniveau!$S1155/100,IF($X1155=3,LOOKUP(AI1155,'Udvaskning nøgletal'!$C$12:$C$62,'Udvaskning nøgletal'!Q1165:Q1215)+Markniveau!$Y1155*Markniveau!$S1155/100,"")))</f>
        <v>55.420779741212854</v>
      </c>
      <c r="AK1155" s="10">
        <f t="shared" ref="AK1155:AK1218" si="189">AJ1155*$I1155</f>
        <v>33.806675642139844</v>
      </c>
      <c r="AL1155" s="10" t="str">
        <f t="shared" si="181"/>
        <v/>
      </c>
      <c r="AM1155" s="10" t="str">
        <f t="shared" si="182"/>
        <v/>
      </c>
    </row>
    <row r="1156" spans="1:39" x14ac:dyDescent="0.25">
      <c r="A1156" s="15">
        <v>35557628</v>
      </c>
      <c r="B1156" s="15">
        <v>9.15</v>
      </c>
      <c r="C1156" s="15">
        <v>277627</v>
      </c>
      <c r="D1156" s="15">
        <v>55926</v>
      </c>
      <c r="E1156" s="15" t="s">
        <v>976</v>
      </c>
      <c r="F1156" s="15">
        <v>2011</v>
      </c>
      <c r="G1156" s="15">
        <v>20110512</v>
      </c>
      <c r="H1156" s="15">
        <v>51409</v>
      </c>
      <c r="I1156" s="15">
        <v>5.14</v>
      </c>
      <c r="J1156" s="6" t="s">
        <v>977</v>
      </c>
      <c r="K1156" s="15">
        <v>2</v>
      </c>
      <c r="L1156" s="15" t="s">
        <v>49</v>
      </c>
      <c r="M1156" s="15" t="s">
        <v>5</v>
      </c>
      <c r="N1156" s="11" t="s">
        <v>1391</v>
      </c>
      <c r="O1156" s="11" t="s">
        <v>46</v>
      </c>
      <c r="P1156" s="11" t="s">
        <v>33</v>
      </c>
      <c r="Q1156" s="15">
        <v>0</v>
      </c>
      <c r="R1156" s="11" t="s">
        <v>1386</v>
      </c>
      <c r="S1156" s="10">
        <v>90.815594824257005</v>
      </c>
      <c r="T1156" s="15">
        <v>80</v>
      </c>
      <c r="U1156" s="15">
        <v>0</v>
      </c>
      <c r="V1156" s="15">
        <v>0</v>
      </c>
      <c r="W1156" s="15">
        <v>0</v>
      </c>
      <c r="X1156" s="15">
        <f>IF(O1156='Udvaskning nøgletal'!$D$65,1,IF(O1156='Udvaskning nøgletal'!$D$66,2,IF(O1156='Udvaskning nøgletal'!$D$67,3,IF(O1156='Udvaskning nøgletal'!$D$68,2,""))))</f>
        <v>2</v>
      </c>
      <c r="Y1156" s="15">
        <f>LOOKUP(K1156,'Udvaskning nøgletal'!$C$12:$C$60,'Udvaskning nøgletal'!$H$12:$H$60)</f>
        <v>5</v>
      </c>
      <c r="Z1156" s="10">
        <f>IF(X1156=1,LOOKUP(K1156,'Udvaskning nøgletal'!$C$12:$C$60,'Udvaskning nøgletal'!$E$12:$E$60)+Markniveau!Y1156*Markniveau!S1156/100,IF(X1156=2,LOOKUP(K1156,'Udvaskning nøgletal'!$C$12:$C$60,'Udvaskning nøgletal'!$F$12:$F$60)+Markniveau!Y1156*Markniveau!S1156/100,IF(X1156=3,LOOKUP(K1156,'Udvaskning nøgletal'!$C$12:$C$60,'Udvaskning nøgletal'!G1166:G1214)+Markniveau!Y1156*Markniveau!S1156/100,"")))</f>
        <v>55.420779741212854</v>
      </c>
      <c r="AA1156" s="10">
        <f t="shared" si="186"/>
        <v>284.86280786983406</v>
      </c>
      <c r="AB1156" s="10" t="str">
        <f t="shared" si="185"/>
        <v/>
      </c>
      <c r="AC1156" s="10" t="str">
        <f t="shared" si="187"/>
        <v/>
      </c>
      <c r="AD1156" s="10">
        <f>IF(AND(Q1156&gt;0,Q1156&lt;30,K1156&lt;8),Markniveau!Z1156*'Udvaskning nøgletal'!$I$12/100,IF(AND(Q1156&gt;0,Q1156&lt;30,K1156=216),Markniveau!Z1156*'Udvaskning nøgletal'!$I$34/100,Markniveau!Z1156))</f>
        <v>55.420779741212854</v>
      </c>
      <c r="AE1156" s="10">
        <f t="shared" si="183"/>
        <v>284.86280786983406</v>
      </c>
      <c r="AF1156" s="10" t="str">
        <f t="shared" si="188"/>
        <v/>
      </c>
      <c r="AG1156" s="10" t="str">
        <f t="shared" si="184"/>
        <v/>
      </c>
      <c r="AH1156" s="10" t="str">
        <f>IF(AND(Q1156&gt;0,Q1156&lt;30,K1156=216),'Udvaskning nøgletal'!$C$42,IF(AND(Q1156&gt;0,Q1156&lt;30,K1156&gt;7,K1156&lt;17),'Udvaskning nøgletal'!$C$61,IF(AND(Q1156&gt;0,Q1156&lt;30,K1156&lt;7),'Udvaskning nøgletal'!$C$62,"")))</f>
        <v/>
      </c>
      <c r="AI1156" s="10">
        <f t="shared" si="180"/>
        <v>2</v>
      </c>
      <c r="AJ1156" s="10">
        <f>IF($X1156=1,LOOKUP(AI1156,'Udvaskning nøgletal'!$C$12:$C$62,'Udvaskning nøgletal'!$E$12:$E$62)+Markniveau!$Y1156*Markniveau!$S1156/100,IF($X1156=2,LOOKUP(AI1156,'Udvaskning nøgletal'!$C$12:$C$62,'Udvaskning nøgletal'!$F$12:$F$62)+Markniveau!$Y1156*Markniveau!$S1156/100,IF($X1156=3,LOOKUP(AI1156,'Udvaskning nøgletal'!$C$12:$C$62,'Udvaskning nøgletal'!Q1166:Q1216)+Markniveau!$Y1156*Markniveau!$S1156/100,"")))</f>
        <v>55.420779741212854</v>
      </c>
      <c r="AK1156" s="10">
        <f t="shared" si="189"/>
        <v>284.86280786983406</v>
      </c>
      <c r="AL1156" s="10" t="str">
        <f t="shared" si="181"/>
        <v/>
      </c>
      <c r="AM1156" s="10" t="str">
        <f t="shared" si="182"/>
        <v/>
      </c>
    </row>
    <row r="1157" spans="1:39" x14ac:dyDescent="0.25">
      <c r="A1157" s="15">
        <v>35557628</v>
      </c>
      <c r="B1157" s="15">
        <v>9.15</v>
      </c>
      <c r="C1157" s="15">
        <v>277670</v>
      </c>
      <c r="D1157" s="15">
        <v>55926</v>
      </c>
      <c r="E1157" s="15" t="s">
        <v>978</v>
      </c>
      <c r="F1157" s="15">
        <v>2011</v>
      </c>
      <c r="G1157" s="15">
        <v>20110512</v>
      </c>
      <c r="H1157" s="15">
        <v>224412</v>
      </c>
      <c r="I1157" s="15">
        <v>22.44</v>
      </c>
      <c r="J1157" s="6" t="s">
        <v>979</v>
      </c>
      <c r="K1157" s="15">
        <v>152</v>
      </c>
      <c r="L1157" s="15" t="s">
        <v>333</v>
      </c>
      <c r="M1157" s="15" t="s">
        <v>5</v>
      </c>
      <c r="N1157" s="11" t="s">
        <v>1391</v>
      </c>
      <c r="O1157" s="11" t="s">
        <v>46</v>
      </c>
      <c r="P1157" s="11" t="s">
        <v>33</v>
      </c>
      <c r="Q1157" s="15">
        <v>0</v>
      </c>
      <c r="R1157" s="11" t="s">
        <v>1386</v>
      </c>
      <c r="S1157" s="10">
        <v>90.815594824257005</v>
      </c>
      <c r="T1157" s="15">
        <v>80</v>
      </c>
      <c r="U1157" s="15">
        <v>0</v>
      </c>
      <c r="V1157" s="15">
        <v>0</v>
      </c>
      <c r="W1157" s="15">
        <v>0</v>
      </c>
      <c r="X1157" s="15">
        <f>IF(O1157='Udvaskning nøgletal'!$D$65,1,IF(O1157='Udvaskning nøgletal'!$D$66,2,IF(O1157='Udvaskning nøgletal'!$D$67,3,IF(O1157='Udvaskning nøgletal'!$D$68,2,""))))</f>
        <v>2</v>
      </c>
      <c r="Y1157" s="15">
        <f>LOOKUP(K1157,'Udvaskning nøgletal'!$C$12:$C$60,'Udvaskning nøgletal'!$H$12:$H$60)</f>
        <v>5</v>
      </c>
      <c r="Z1157" s="10">
        <f>IF(X1157=1,LOOKUP(K1157,'Udvaskning nøgletal'!$C$12:$C$60,'Udvaskning nøgletal'!$E$12:$E$60)+Markniveau!Y1157*Markniveau!S1157/100,IF(X1157=2,LOOKUP(K1157,'Udvaskning nøgletal'!$C$12:$C$60,'Udvaskning nøgletal'!$F$12:$F$60)+Markniveau!Y1157*Markniveau!S1157/100,IF(X1157=3,LOOKUP(K1157,'Udvaskning nøgletal'!$C$12:$C$60,'Udvaskning nøgletal'!G1167:G1215)+Markniveau!Y1157*Markniveau!S1157/100,"")))</f>
        <v>55.420779741212854</v>
      </c>
      <c r="AA1157" s="10">
        <f t="shared" si="186"/>
        <v>1243.6422973928165</v>
      </c>
      <c r="AB1157" s="10" t="str">
        <f t="shared" si="185"/>
        <v/>
      </c>
      <c r="AC1157" s="10" t="str">
        <f t="shared" si="187"/>
        <v/>
      </c>
      <c r="AD1157" s="10">
        <f>IF(AND(Q1157&gt;0,Q1157&lt;30,K1157&lt;8),Markniveau!Z1157*'Udvaskning nøgletal'!$I$12/100,IF(AND(Q1157&gt;0,Q1157&lt;30,K1157=216),Markniveau!Z1157*'Udvaskning nøgletal'!$I$34/100,Markniveau!Z1157))</f>
        <v>55.420779741212854</v>
      </c>
      <c r="AE1157" s="10">
        <f t="shared" si="183"/>
        <v>1243.6422973928165</v>
      </c>
      <c r="AF1157" s="10" t="str">
        <f t="shared" si="188"/>
        <v/>
      </c>
      <c r="AG1157" s="10" t="str">
        <f t="shared" si="184"/>
        <v/>
      </c>
      <c r="AH1157" s="10" t="str">
        <f>IF(AND(Q1157&gt;0,Q1157&lt;30,K1157=216),'Udvaskning nøgletal'!$C$42,IF(AND(Q1157&gt;0,Q1157&lt;30,K1157&gt;7,K1157&lt;17),'Udvaskning nøgletal'!$C$61,IF(AND(Q1157&gt;0,Q1157&lt;30,K1157&lt;7),'Udvaskning nøgletal'!$C$62,"")))</f>
        <v/>
      </c>
      <c r="AI1157" s="10">
        <f t="shared" si="180"/>
        <v>152</v>
      </c>
      <c r="AJ1157" s="10">
        <f>IF($X1157=1,LOOKUP(AI1157,'Udvaskning nøgletal'!$C$12:$C$62,'Udvaskning nøgletal'!$E$12:$E$62)+Markniveau!$Y1157*Markniveau!$S1157/100,IF($X1157=2,LOOKUP(AI1157,'Udvaskning nøgletal'!$C$12:$C$62,'Udvaskning nøgletal'!$F$12:$F$62)+Markniveau!$Y1157*Markniveau!$S1157/100,IF($X1157=3,LOOKUP(AI1157,'Udvaskning nøgletal'!$C$12:$C$62,'Udvaskning nøgletal'!Q1167:Q1217)+Markniveau!$Y1157*Markniveau!$S1157/100,"")))</f>
        <v>55.420779741212854</v>
      </c>
      <c r="AK1157" s="10">
        <f t="shared" si="189"/>
        <v>1243.6422973928165</v>
      </c>
      <c r="AL1157" s="10" t="str">
        <f t="shared" si="181"/>
        <v/>
      </c>
      <c r="AM1157" s="10" t="str">
        <f t="shared" si="182"/>
        <v/>
      </c>
    </row>
    <row r="1158" spans="1:39" x14ac:dyDescent="0.25">
      <c r="A1158" s="15">
        <v>35557628</v>
      </c>
      <c r="B1158" s="15">
        <v>9.15</v>
      </c>
      <c r="C1158" s="15">
        <v>278018</v>
      </c>
      <c r="D1158" s="15">
        <v>55926</v>
      </c>
      <c r="E1158" s="15" t="s">
        <v>873</v>
      </c>
      <c r="F1158" s="15">
        <v>2011</v>
      </c>
      <c r="G1158" s="15">
        <v>20110512</v>
      </c>
      <c r="H1158" s="15">
        <v>6171</v>
      </c>
      <c r="I1158" s="15">
        <v>0.62</v>
      </c>
      <c r="J1158" s="6" t="s">
        <v>980</v>
      </c>
      <c r="K1158" s="15">
        <v>22</v>
      </c>
      <c r="L1158" s="15" t="s">
        <v>213</v>
      </c>
      <c r="M1158" s="15" t="s">
        <v>5</v>
      </c>
      <c r="N1158" s="11" t="s">
        <v>1384</v>
      </c>
      <c r="O1158" s="11" t="s">
        <v>28</v>
      </c>
      <c r="P1158" s="11" t="s">
        <v>33</v>
      </c>
      <c r="Q1158" s="15">
        <v>0</v>
      </c>
      <c r="R1158" s="11" t="s">
        <v>1386</v>
      </c>
      <c r="S1158" s="10">
        <v>90.815594824257005</v>
      </c>
      <c r="T1158" s="15">
        <v>80</v>
      </c>
      <c r="U1158" s="15">
        <v>0</v>
      </c>
      <c r="V1158" s="15">
        <v>0</v>
      </c>
      <c r="W1158" s="15">
        <v>0</v>
      </c>
      <c r="X1158" s="15">
        <f>IF(O1158='Udvaskning nøgletal'!$D$65,1,IF(O1158='Udvaskning nøgletal'!$D$66,2,IF(O1158='Udvaskning nøgletal'!$D$67,3,IF(O1158='Udvaskning nøgletal'!$D$68,2,""))))</f>
        <v>1</v>
      </c>
      <c r="Y1158" s="15">
        <f>LOOKUP(K1158,'Udvaskning nøgletal'!$C$12:$C$60,'Udvaskning nøgletal'!$H$12:$H$60)</f>
        <v>5</v>
      </c>
      <c r="Z1158" s="10">
        <f>IF(X1158=1,LOOKUP(K1158,'Udvaskning nøgletal'!$C$12:$C$60,'Udvaskning nøgletal'!$E$12:$E$60)+Markniveau!Y1158*Markniveau!S1158/100,IF(X1158=2,LOOKUP(K1158,'Udvaskning nøgletal'!$C$12:$C$60,'Udvaskning nøgletal'!$F$12:$F$60)+Markniveau!Y1158*Markniveau!S1158/100,IF(X1158=3,LOOKUP(K1158,'Udvaskning nøgletal'!$C$12:$C$60,'Udvaskning nøgletal'!G1168:G1216)+Markniveau!Y1158*Markniveau!S1158/100,"")))</f>
        <v>69.200779741212841</v>
      </c>
      <c r="AA1158" s="10">
        <f t="shared" si="186"/>
        <v>42.90448343955196</v>
      </c>
      <c r="AB1158" s="10" t="str">
        <f t="shared" si="185"/>
        <v/>
      </c>
      <c r="AC1158" s="10" t="str">
        <f t="shared" si="187"/>
        <v/>
      </c>
      <c r="AD1158" s="10">
        <f>IF(AND(Q1158&gt;0,Q1158&lt;30,K1158&lt;8),Markniveau!Z1158*'Udvaskning nøgletal'!$I$12/100,IF(AND(Q1158&gt;0,Q1158&lt;30,K1158=216),Markniveau!Z1158*'Udvaskning nøgletal'!$I$34/100,Markniveau!Z1158))</f>
        <v>69.200779741212841</v>
      </c>
      <c r="AE1158" s="10">
        <f t="shared" si="183"/>
        <v>42.90448343955196</v>
      </c>
      <c r="AF1158" s="10" t="str">
        <f t="shared" si="188"/>
        <v/>
      </c>
      <c r="AG1158" s="10" t="str">
        <f t="shared" si="184"/>
        <v/>
      </c>
      <c r="AH1158" s="10" t="str">
        <f>IF(AND(Q1158&gt;0,Q1158&lt;30,K1158=216),'Udvaskning nøgletal'!$C$42,IF(AND(Q1158&gt;0,Q1158&lt;30,K1158&gt;7,K1158&lt;17),'Udvaskning nøgletal'!$C$61,IF(AND(Q1158&gt;0,Q1158&lt;30,K1158&lt;7),'Udvaskning nøgletal'!$C$62,"")))</f>
        <v/>
      </c>
      <c r="AI1158" s="10">
        <f t="shared" si="180"/>
        <v>22</v>
      </c>
      <c r="AJ1158" s="10">
        <f>IF($X1158=1,LOOKUP(AI1158,'Udvaskning nøgletal'!$C$12:$C$62,'Udvaskning nøgletal'!$E$12:$E$62)+Markniveau!$Y1158*Markniveau!$S1158/100,IF($X1158=2,LOOKUP(AI1158,'Udvaskning nøgletal'!$C$12:$C$62,'Udvaskning nøgletal'!$F$12:$F$62)+Markniveau!$Y1158*Markniveau!$S1158/100,IF($X1158=3,LOOKUP(AI1158,'Udvaskning nøgletal'!$C$12:$C$62,'Udvaskning nøgletal'!Q1168:Q1218)+Markniveau!$Y1158*Markniveau!$S1158/100,"")))</f>
        <v>69.200779741212841</v>
      </c>
      <c r="AK1158" s="10">
        <f t="shared" si="189"/>
        <v>42.90448343955196</v>
      </c>
      <c r="AL1158" s="10" t="str">
        <f t="shared" si="181"/>
        <v/>
      </c>
      <c r="AM1158" s="10" t="str">
        <f t="shared" si="182"/>
        <v/>
      </c>
    </row>
    <row r="1159" spans="1:39" x14ac:dyDescent="0.25">
      <c r="A1159" s="15">
        <v>35557628</v>
      </c>
      <c r="B1159" s="15">
        <v>9.15</v>
      </c>
      <c r="C1159" s="15">
        <v>278021</v>
      </c>
      <c r="D1159" s="15">
        <v>55926</v>
      </c>
      <c r="E1159" s="15" t="s">
        <v>981</v>
      </c>
      <c r="F1159" s="15">
        <v>2011</v>
      </c>
      <c r="G1159" s="15">
        <v>20110512</v>
      </c>
      <c r="H1159" s="15">
        <v>9074</v>
      </c>
      <c r="I1159" s="15">
        <v>0.91</v>
      </c>
      <c r="J1159" s="6" t="s">
        <v>982</v>
      </c>
      <c r="K1159" s="15">
        <v>1</v>
      </c>
      <c r="L1159" s="15" t="s">
        <v>32</v>
      </c>
      <c r="M1159" s="15" t="s">
        <v>5</v>
      </c>
      <c r="N1159" s="11" t="s">
        <v>1384</v>
      </c>
      <c r="O1159" s="11" t="s">
        <v>28</v>
      </c>
      <c r="P1159" s="11" t="s">
        <v>33</v>
      </c>
      <c r="Q1159" s="15">
        <v>0</v>
      </c>
      <c r="R1159" s="11" t="s">
        <v>1386</v>
      </c>
      <c r="S1159" s="10">
        <v>90.815594824257005</v>
      </c>
      <c r="T1159" s="15">
        <v>80</v>
      </c>
      <c r="U1159" s="15">
        <v>0</v>
      </c>
      <c r="V1159" s="15">
        <v>0</v>
      </c>
      <c r="W1159" s="15">
        <v>0</v>
      </c>
      <c r="X1159" s="15">
        <f>IF(O1159='Udvaskning nøgletal'!$D$65,1,IF(O1159='Udvaskning nøgletal'!$D$66,2,IF(O1159='Udvaskning nøgletal'!$D$67,3,IF(O1159='Udvaskning nøgletal'!$D$68,2,""))))</f>
        <v>1</v>
      </c>
      <c r="Y1159" s="15">
        <f>LOOKUP(K1159,'Udvaskning nøgletal'!$C$12:$C$60,'Udvaskning nøgletal'!$H$12:$H$60)</f>
        <v>5</v>
      </c>
      <c r="Z1159" s="10">
        <f>IF(X1159=1,LOOKUP(K1159,'Udvaskning nøgletal'!$C$12:$C$60,'Udvaskning nøgletal'!$E$12:$E$60)+Markniveau!Y1159*Markniveau!S1159/100,IF(X1159=2,LOOKUP(K1159,'Udvaskning nøgletal'!$C$12:$C$60,'Udvaskning nøgletal'!$F$12:$F$60)+Markniveau!Y1159*Markniveau!S1159/100,IF(X1159=3,LOOKUP(K1159,'Udvaskning nøgletal'!$C$12:$C$60,'Udvaskning nøgletal'!G1169:G1217)+Markniveau!Y1159*Markniveau!S1159/100,"")))</f>
        <v>69.200779741212841</v>
      </c>
      <c r="AA1159" s="10">
        <f t="shared" si="186"/>
        <v>62.972709564503688</v>
      </c>
      <c r="AB1159" s="10" t="str">
        <f t="shared" si="185"/>
        <v/>
      </c>
      <c r="AC1159" s="10" t="str">
        <f t="shared" si="187"/>
        <v/>
      </c>
      <c r="AD1159" s="10">
        <f>IF(AND(Q1159&gt;0,Q1159&lt;30,K1159&lt;8),Markniveau!Z1159*'Udvaskning nøgletal'!$I$12/100,IF(AND(Q1159&gt;0,Q1159&lt;30,K1159=216),Markniveau!Z1159*'Udvaskning nøgletal'!$I$34/100,Markniveau!Z1159))</f>
        <v>69.200779741212841</v>
      </c>
      <c r="AE1159" s="10">
        <f t="shared" si="183"/>
        <v>62.972709564503688</v>
      </c>
      <c r="AF1159" s="10" t="str">
        <f t="shared" si="188"/>
        <v/>
      </c>
      <c r="AG1159" s="10" t="str">
        <f t="shared" si="184"/>
        <v/>
      </c>
      <c r="AH1159" s="10" t="str">
        <f>IF(AND(Q1159&gt;0,Q1159&lt;30,K1159=216),'Udvaskning nøgletal'!$C$42,IF(AND(Q1159&gt;0,Q1159&lt;30,K1159&gt;7,K1159&lt;17),'Udvaskning nøgletal'!$C$61,IF(AND(Q1159&gt;0,Q1159&lt;30,K1159&lt;7),'Udvaskning nøgletal'!$C$62,"")))</f>
        <v/>
      </c>
      <c r="AI1159" s="10">
        <f t="shared" si="180"/>
        <v>1</v>
      </c>
      <c r="AJ1159" s="10">
        <f>IF($X1159=1,LOOKUP(AI1159,'Udvaskning nøgletal'!$C$12:$C$62,'Udvaskning nøgletal'!$E$12:$E$62)+Markniveau!$Y1159*Markniveau!$S1159/100,IF($X1159=2,LOOKUP(AI1159,'Udvaskning nøgletal'!$C$12:$C$62,'Udvaskning nøgletal'!$F$12:$F$62)+Markniveau!$Y1159*Markniveau!$S1159/100,IF($X1159=3,LOOKUP(AI1159,'Udvaskning nøgletal'!$C$12:$C$62,'Udvaskning nøgletal'!Q1169:Q1219)+Markniveau!$Y1159*Markniveau!$S1159/100,"")))</f>
        <v>69.200779741212841</v>
      </c>
      <c r="AK1159" s="10">
        <f t="shared" si="189"/>
        <v>62.972709564503688</v>
      </c>
      <c r="AL1159" s="10" t="str">
        <f t="shared" si="181"/>
        <v/>
      </c>
      <c r="AM1159" s="10" t="str">
        <f t="shared" si="182"/>
        <v/>
      </c>
    </row>
    <row r="1160" spans="1:39" x14ac:dyDescent="0.25">
      <c r="A1160" s="15">
        <v>35557628</v>
      </c>
      <c r="B1160" s="15">
        <v>9.15</v>
      </c>
      <c r="C1160" s="15">
        <v>278488</v>
      </c>
      <c r="D1160" s="15">
        <v>55926</v>
      </c>
      <c r="E1160" s="15" t="s">
        <v>983</v>
      </c>
      <c r="F1160" s="15">
        <v>2011</v>
      </c>
      <c r="G1160" s="15">
        <v>20110512</v>
      </c>
      <c r="H1160" s="15">
        <v>157874</v>
      </c>
      <c r="I1160" s="15">
        <v>15.79</v>
      </c>
      <c r="J1160" s="6" t="s">
        <v>984</v>
      </c>
      <c r="K1160" s="15">
        <v>15</v>
      </c>
      <c r="L1160" s="15" t="s">
        <v>362</v>
      </c>
      <c r="M1160" s="15" t="s">
        <v>5</v>
      </c>
      <c r="N1160" s="11" t="s">
        <v>1384</v>
      </c>
      <c r="O1160" s="11" t="s">
        <v>28</v>
      </c>
      <c r="P1160" s="11" t="s">
        <v>33</v>
      </c>
      <c r="Q1160" s="15">
        <v>0</v>
      </c>
      <c r="R1160" s="11" t="s">
        <v>1386</v>
      </c>
      <c r="S1160" s="10">
        <v>90.815594824257005</v>
      </c>
      <c r="T1160" s="15">
        <v>80</v>
      </c>
      <c r="U1160" s="15">
        <v>0</v>
      </c>
      <c r="V1160" s="15">
        <v>0</v>
      </c>
      <c r="W1160" s="15">
        <v>0</v>
      </c>
      <c r="X1160" s="15">
        <f>IF(O1160='Udvaskning nøgletal'!$D$65,1,IF(O1160='Udvaskning nøgletal'!$D$66,2,IF(O1160='Udvaskning nøgletal'!$D$67,3,IF(O1160='Udvaskning nøgletal'!$D$68,2,""))))</f>
        <v>1</v>
      </c>
      <c r="Y1160" s="15">
        <f>LOOKUP(K1160,'Udvaskning nøgletal'!$C$12:$C$60,'Udvaskning nøgletal'!$H$12:$H$60)</f>
        <v>5</v>
      </c>
      <c r="Z1160" s="10">
        <f>IF(X1160=1,LOOKUP(K1160,'Udvaskning nøgletal'!$C$12:$C$60,'Udvaskning nøgletal'!$E$12:$E$60)+Markniveau!Y1160*Markniveau!S1160/100,IF(X1160=2,LOOKUP(K1160,'Udvaskning nøgletal'!$C$12:$C$60,'Udvaskning nøgletal'!$F$12:$F$60)+Markniveau!Y1160*Markniveau!S1160/100,IF(X1160=3,LOOKUP(K1160,'Udvaskning nøgletal'!$C$12:$C$60,'Udvaskning nøgletal'!G1170:G1218)+Markniveau!Y1160*Markniveau!S1160/100,"")))</f>
        <v>69.200779741212841</v>
      </c>
      <c r="AA1160" s="10">
        <f t="shared" si="186"/>
        <v>1092.6803121137507</v>
      </c>
      <c r="AB1160" s="10" t="str">
        <f t="shared" si="185"/>
        <v/>
      </c>
      <c r="AC1160" s="10" t="str">
        <f t="shared" si="187"/>
        <v/>
      </c>
      <c r="AD1160" s="10">
        <f>IF(AND(Q1160&gt;0,Q1160&lt;30,K1160&lt;8),Markniveau!Z1160*'Udvaskning nøgletal'!$I$12/100,IF(AND(Q1160&gt;0,Q1160&lt;30,K1160=216),Markniveau!Z1160*'Udvaskning nøgletal'!$I$34/100,Markniveau!Z1160))</f>
        <v>69.200779741212841</v>
      </c>
      <c r="AE1160" s="10">
        <f t="shared" si="183"/>
        <v>1092.6803121137507</v>
      </c>
      <c r="AF1160" s="10" t="str">
        <f t="shared" si="188"/>
        <v/>
      </c>
      <c r="AG1160" s="10" t="str">
        <f t="shared" si="184"/>
        <v/>
      </c>
      <c r="AH1160" s="10" t="str">
        <f>IF(AND(Q1160&gt;0,Q1160&lt;30,K1160=216),'Udvaskning nøgletal'!$C$42,IF(AND(Q1160&gt;0,Q1160&lt;30,K1160&gt;7,K1160&lt;17),'Udvaskning nøgletal'!$C$61,IF(AND(Q1160&gt;0,Q1160&lt;30,K1160&lt;7),'Udvaskning nøgletal'!$C$62,"")))</f>
        <v/>
      </c>
      <c r="AI1160" s="10">
        <f t="shared" ref="AI1160:AI1223" si="190">IF(SUM(AH1160)&gt;0,AH1160,K1160)</f>
        <v>15</v>
      </c>
      <c r="AJ1160" s="10">
        <f>IF($X1160=1,LOOKUP(AI1160,'Udvaskning nøgletal'!$C$12:$C$62,'Udvaskning nøgletal'!$E$12:$E$62)+Markniveau!$Y1160*Markniveau!$S1160/100,IF($X1160=2,LOOKUP(AI1160,'Udvaskning nøgletal'!$C$12:$C$62,'Udvaskning nøgletal'!$F$12:$F$62)+Markniveau!$Y1160*Markniveau!$S1160/100,IF($X1160=3,LOOKUP(AI1160,'Udvaskning nøgletal'!$C$12:$C$62,'Udvaskning nøgletal'!Q1170:Q1220)+Markniveau!$Y1160*Markniveau!$S1160/100,"")))</f>
        <v>69.200779741212841</v>
      </c>
      <c r="AK1160" s="10">
        <f t="shared" si="189"/>
        <v>1092.6803121137507</v>
      </c>
      <c r="AL1160" s="10" t="str">
        <f t="shared" si="181"/>
        <v/>
      </c>
      <c r="AM1160" s="10" t="str">
        <f t="shared" si="182"/>
        <v/>
      </c>
    </row>
    <row r="1161" spans="1:39" x14ac:dyDescent="0.25">
      <c r="A1161" s="15">
        <v>35557628</v>
      </c>
      <c r="B1161" s="15">
        <v>9.15</v>
      </c>
      <c r="C1161" s="15">
        <v>278750</v>
      </c>
      <c r="D1161" s="15">
        <v>55926</v>
      </c>
      <c r="E1161" s="15" t="s">
        <v>884</v>
      </c>
      <c r="F1161" s="15">
        <v>2011</v>
      </c>
      <c r="G1161" s="15">
        <v>20110512</v>
      </c>
      <c r="H1161" s="15">
        <v>25523</v>
      </c>
      <c r="I1161" s="15">
        <v>2.5499999999999998</v>
      </c>
      <c r="J1161" s="6" t="s">
        <v>985</v>
      </c>
      <c r="K1161" s="15">
        <v>22</v>
      </c>
      <c r="L1161" s="15" t="s">
        <v>213</v>
      </c>
      <c r="M1161" s="15" t="s">
        <v>5</v>
      </c>
      <c r="N1161" s="11" t="s">
        <v>1384</v>
      </c>
      <c r="O1161" s="11" t="s">
        <v>28</v>
      </c>
      <c r="P1161" s="11" t="s">
        <v>33</v>
      </c>
      <c r="Q1161" s="15">
        <v>0</v>
      </c>
      <c r="R1161" s="11" t="s">
        <v>1386</v>
      </c>
      <c r="S1161" s="10">
        <v>90.815594824257005</v>
      </c>
      <c r="T1161" s="15">
        <v>80</v>
      </c>
      <c r="U1161" s="15">
        <v>0</v>
      </c>
      <c r="V1161" s="15">
        <v>0</v>
      </c>
      <c r="W1161" s="15">
        <v>0</v>
      </c>
      <c r="X1161" s="15">
        <f>IF(O1161='Udvaskning nøgletal'!$D$65,1,IF(O1161='Udvaskning nøgletal'!$D$66,2,IF(O1161='Udvaskning nøgletal'!$D$67,3,IF(O1161='Udvaskning nøgletal'!$D$68,2,""))))</f>
        <v>1</v>
      </c>
      <c r="Y1161" s="15">
        <f>LOOKUP(K1161,'Udvaskning nøgletal'!$C$12:$C$60,'Udvaskning nøgletal'!$H$12:$H$60)</f>
        <v>5</v>
      </c>
      <c r="Z1161" s="10">
        <f>IF(X1161=1,LOOKUP(K1161,'Udvaskning nøgletal'!$C$12:$C$60,'Udvaskning nøgletal'!$E$12:$E$60)+Markniveau!Y1161*Markniveau!S1161/100,IF(X1161=2,LOOKUP(K1161,'Udvaskning nøgletal'!$C$12:$C$60,'Udvaskning nøgletal'!$F$12:$F$60)+Markniveau!Y1161*Markniveau!S1161/100,IF(X1161=3,LOOKUP(K1161,'Udvaskning nøgletal'!$C$12:$C$60,'Udvaskning nøgletal'!G1171:G1219)+Markniveau!Y1161*Markniveau!S1161/100,"")))</f>
        <v>69.200779741212841</v>
      </c>
      <c r="AA1161" s="10">
        <f t="shared" si="186"/>
        <v>176.46198834009274</v>
      </c>
      <c r="AB1161" s="10" t="str">
        <f t="shared" si="185"/>
        <v/>
      </c>
      <c r="AC1161" s="10" t="str">
        <f t="shared" si="187"/>
        <v/>
      </c>
      <c r="AD1161" s="10">
        <f>IF(AND(Q1161&gt;0,Q1161&lt;30,K1161&lt;8),Markniveau!Z1161*'Udvaskning nøgletal'!$I$12/100,IF(AND(Q1161&gt;0,Q1161&lt;30,K1161=216),Markniveau!Z1161*'Udvaskning nøgletal'!$I$34/100,Markniveau!Z1161))</f>
        <v>69.200779741212841</v>
      </c>
      <c r="AE1161" s="10">
        <f t="shared" si="183"/>
        <v>176.46198834009274</v>
      </c>
      <c r="AF1161" s="10" t="str">
        <f t="shared" si="188"/>
        <v/>
      </c>
      <c r="AG1161" s="10" t="str">
        <f t="shared" si="184"/>
        <v/>
      </c>
      <c r="AH1161" s="10" t="str">
        <f>IF(AND(Q1161&gt;0,Q1161&lt;30,K1161=216),'Udvaskning nøgletal'!$C$42,IF(AND(Q1161&gt;0,Q1161&lt;30,K1161&gt;7,K1161&lt;17),'Udvaskning nøgletal'!$C$61,IF(AND(Q1161&gt;0,Q1161&lt;30,K1161&lt;7),'Udvaskning nøgletal'!$C$62,"")))</f>
        <v/>
      </c>
      <c r="AI1161" s="10">
        <f t="shared" si="190"/>
        <v>22</v>
      </c>
      <c r="AJ1161" s="10">
        <f>IF($X1161=1,LOOKUP(AI1161,'Udvaskning nøgletal'!$C$12:$C$62,'Udvaskning nøgletal'!$E$12:$E$62)+Markniveau!$Y1161*Markniveau!$S1161/100,IF($X1161=2,LOOKUP(AI1161,'Udvaskning nøgletal'!$C$12:$C$62,'Udvaskning nøgletal'!$F$12:$F$62)+Markniveau!$Y1161*Markniveau!$S1161/100,IF($X1161=3,LOOKUP(AI1161,'Udvaskning nøgletal'!$C$12:$C$62,'Udvaskning nøgletal'!Q1171:Q1221)+Markniveau!$Y1161*Markniveau!$S1161/100,"")))</f>
        <v>69.200779741212841</v>
      </c>
      <c r="AK1161" s="10">
        <f t="shared" si="189"/>
        <v>176.46198834009274</v>
      </c>
      <c r="AL1161" s="10" t="str">
        <f t="shared" si="181"/>
        <v/>
      </c>
      <c r="AM1161" s="10" t="str">
        <f t="shared" si="182"/>
        <v/>
      </c>
    </row>
    <row r="1162" spans="1:39" x14ac:dyDescent="0.25">
      <c r="A1162" s="15">
        <v>35557628</v>
      </c>
      <c r="B1162" s="15">
        <v>9.15</v>
      </c>
      <c r="C1162" s="15">
        <v>278803</v>
      </c>
      <c r="D1162" s="15">
        <v>55926</v>
      </c>
      <c r="E1162" s="15" t="s">
        <v>986</v>
      </c>
      <c r="F1162" s="15">
        <v>2011</v>
      </c>
      <c r="G1162" s="15">
        <v>20110512</v>
      </c>
      <c r="H1162" s="15">
        <v>4522</v>
      </c>
      <c r="I1162" s="15">
        <v>0.45</v>
      </c>
      <c r="J1162" s="6" t="s">
        <v>987</v>
      </c>
      <c r="K1162" s="15">
        <v>276</v>
      </c>
      <c r="L1162" s="15" t="s">
        <v>146</v>
      </c>
      <c r="M1162" s="15" t="s">
        <v>4</v>
      </c>
      <c r="N1162" s="11" t="s">
        <v>1384</v>
      </c>
      <c r="O1162" s="11" t="s">
        <v>28</v>
      </c>
      <c r="P1162" s="11" t="s">
        <v>33</v>
      </c>
      <c r="Q1162" s="15">
        <v>0</v>
      </c>
      <c r="R1162" s="11" t="s">
        <v>1386</v>
      </c>
      <c r="S1162" s="10">
        <v>90.815594824257005</v>
      </c>
      <c r="T1162" s="15">
        <v>80</v>
      </c>
      <c r="U1162" s="15">
        <v>0</v>
      </c>
      <c r="V1162" s="15">
        <v>0</v>
      </c>
      <c r="W1162" s="15">
        <v>0</v>
      </c>
      <c r="X1162" s="15">
        <f>IF(O1162='Udvaskning nøgletal'!$D$65,1,IF(O1162='Udvaskning nøgletal'!$D$66,2,IF(O1162='Udvaskning nøgletal'!$D$67,3,IF(O1162='Udvaskning nøgletal'!$D$68,2,""))))</f>
        <v>1</v>
      </c>
      <c r="Y1162" s="15">
        <f>LOOKUP(K1162,'Udvaskning nøgletal'!$C$12:$C$60,'Udvaskning nøgletal'!$H$12:$H$60)</f>
        <v>0</v>
      </c>
      <c r="Z1162" s="10">
        <f>IF(X1162=1,LOOKUP(K1162,'Udvaskning nøgletal'!$C$12:$C$60,'Udvaskning nøgletal'!$E$12:$E$60)+Markniveau!Y1162*Markniveau!S1162/100,IF(X1162=2,LOOKUP(K1162,'Udvaskning nøgletal'!$C$12:$C$60,'Udvaskning nøgletal'!$F$12:$F$60)+Markniveau!Y1162*Markniveau!S1162/100,IF(X1162=3,LOOKUP(K1162,'Udvaskning nøgletal'!$C$12:$C$60,'Udvaskning nøgletal'!G1172:G1220)+Markniveau!Y1162*Markniveau!S1162/100,"")))</f>
        <v>10.6</v>
      </c>
      <c r="AA1162" s="10">
        <f t="shared" si="186"/>
        <v>4.7699999999999996</v>
      </c>
      <c r="AB1162" s="10" t="str">
        <f t="shared" si="185"/>
        <v/>
      </c>
      <c r="AC1162" s="10" t="str">
        <f t="shared" si="187"/>
        <v/>
      </c>
      <c r="AD1162" s="10">
        <f>IF(AND(Q1162&gt;0,Q1162&lt;30,K1162&lt;8),Markniveau!Z1162*'Udvaskning nøgletal'!$I$12/100,IF(AND(Q1162&gt;0,Q1162&lt;30,K1162=216),Markniveau!Z1162*'Udvaskning nøgletal'!$I$34/100,Markniveau!Z1162))</f>
        <v>10.6</v>
      </c>
      <c r="AE1162" s="10">
        <f t="shared" si="183"/>
        <v>4.7699999999999996</v>
      </c>
      <c r="AF1162" s="10" t="str">
        <f t="shared" si="188"/>
        <v/>
      </c>
      <c r="AG1162" s="10" t="str">
        <f t="shared" si="184"/>
        <v/>
      </c>
      <c r="AH1162" s="10" t="str">
        <f>IF(AND(Q1162&gt;0,Q1162&lt;30,K1162=216),'Udvaskning nøgletal'!$C$42,IF(AND(Q1162&gt;0,Q1162&lt;30,K1162&gt;7,K1162&lt;17),'Udvaskning nøgletal'!$C$61,IF(AND(Q1162&gt;0,Q1162&lt;30,K1162&lt;7),'Udvaskning nøgletal'!$C$62,"")))</f>
        <v/>
      </c>
      <c r="AI1162" s="10">
        <f t="shared" si="190"/>
        <v>276</v>
      </c>
      <c r="AJ1162" s="10">
        <f>IF($X1162=1,LOOKUP(AI1162,'Udvaskning nøgletal'!$C$12:$C$62,'Udvaskning nøgletal'!$E$12:$E$62)+Markniveau!$Y1162*Markniveau!$S1162/100,IF($X1162=2,LOOKUP(AI1162,'Udvaskning nøgletal'!$C$12:$C$62,'Udvaskning nøgletal'!$F$12:$F$62)+Markniveau!$Y1162*Markniveau!$S1162/100,IF($X1162=3,LOOKUP(AI1162,'Udvaskning nøgletal'!$C$12:$C$62,'Udvaskning nøgletal'!Q1172:Q1222)+Markniveau!$Y1162*Markniveau!$S1162/100,"")))</f>
        <v>10.6</v>
      </c>
      <c r="AK1162" s="10">
        <f t="shared" si="189"/>
        <v>4.7699999999999996</v>
      </c>
      <c r="AL1162" s="10" t="str">
        <f t="shared" si="181"/>
        <v/>
      </c>
      <c r="AM1162" s="10" t="str">
        <f t="shared" si="182"/>
        <v/>
      </c>
    </row>
    <row r="1163" spans="1:39" x14ac:dyDescent="0.25">
      <c r="A1163" s="15">
        <v>35557628</v>
      </c>
      <c r="B1163" s="15">
        <v>9.15</v>
      </c>
      <c r="C1163" s="15">
        <v>278807</v>
      </c>
      <c r="D1163" s="15">
        <v>55926</v>
      </c>
      <c r="E1163" s="15" t="s">
        <v>945</v>
      </c>
      <c r="F1163" s="15">
        <v>2011</v>
      </c>
      <c r="G1163" s="15">
        <v>20110512</v>
      </c>
      <c r="H1163" s="15">
        <v>42098</v>
      </c>
      <c r="I1163" s="15">
        <v>4.21</v>
      </c>
      <c r="J1163" s="6" t="s">
        <v>988</v>
      </c>
      <c r="K1163" s="15">
        <v>152</v>
      </c>
      <c r="L1163" s="15" t="s">
        <v>333</v>
      </c>
      <c r="M1163" s="15" t="s">
        <v>5</v>
      </c>
      <c r="N1163" s="11" t="s">
        <v>1391</v>
      </c>
      <c r="O1163" s="11" t="s">
        <v>46</v>
      </c>
      <c r="P1163" s="11" t="s">
        <v>33</v>
      </c>
      <c r="Q1163" s="15">
        <v>0</v>
      </c>
      <c r="R1163" s="11" t="s">
        <v>1386</v>
      </c>
      <c r="S1163" s="10">
        <v>90.815594824257005</v>
      </c>
      <c r="T1163" s="15">
        <v>80</v>
      </c>
      <c r="U1163" s="15">
        <v>0</v>
      </c>
      <c r="V1163" s="15">
        <v>0</v>
      </c>
      <c r="W1163" s="15">
        <v>0</v>
      </c>
      <c r="X1163" s="15">
        <f>IF(O1163='Udvaskning nøgletal'!$D$65,1,IF(O1163='Udvaskning nøgletal'!$D$66,2,IF(O1163='Udvaskning nøgletal'!$D$67,3,IF(O1163='Udvaskning nøgletal'!$D$68,2,""))))</f>
        <v>2</v>
      </c>
      <c r="Y1163" s="15">
        <f>LOOKUP(K1163,'Udvaskning nøgletal'!$C$12:$C$60,'Udvaskning nøgletal'!$H$12:$H$60)</f>
        <v>5</v>
      </c>
      <c r="Z1163" s="10">
        <f>IF(X1163=1,LOOKUP(K1163,'Udvaskning nøgletal'!$C$12:$C$60,'Udvaskning nøgletal'!$E$12:$E$60)+Markniveau!Y1163*Markniveau!S1163/100,IF(X1163=2,LOOKUP(K1163,'Udvaskning nøgletal'!$C$12:$C$60,'Udvaskning nøgletal'!$F$12:$F$60)+Markniveau!Y1163*Markniveau!S1163/100,IF(X1163=3,LOOKUP(K1163,'Udvaskning nøgletal'!$C$12:$C$60,'Udvaskning nøgletal'!G1173:G1221)+Markniveau!Y1163*Markniveau!S1163/100,"")))</f>
        <v>55.420779741212854</v>
      </c>
      <c r="AA1163" s="10">
        <f t="shared" si="186"/>
        <v>233.3214827105061</v>
      </c>
      <c r="AB1163" s="10" t="str">
        <f t="shared" si="185"/>
        <v/>
      </c>
      <c r="AC1163" s="10" t="str">
        <f t="shared" si="187"/>
        <v/>
      </c>
      <c r="AD1163" s="10">
        <f>IF(AND(Q1163&gt;0,Q1163&lt;30,K1163&lt;8),Markniveau!Z1163*'Udvaskning nøgletal'!$I$12/100,IF(AND(Q1163&gt;0,Q1163&lt;30,K1163=216),Markniveau!Z1163*'Udvaskning nøgletal'!$I$34/100,Markniveau!Z1163))</f>
        <v>55.420779741212854</v>
      </c>
      <c r="AE1163" s="10">
        <f t="shared" si="183"/>
        <v>233.3214827105061</v>
      </c>
      <c r="AF1163" s="10" t="str">
        <f t="shared" si="188"/>
        <v/>
      </c>
      <c r="AG1163" s="10" t="str">
        <f t="shared" si="184"/>
        <v/>
      </c>
      <c r="AH1163" s="10" t="str">
        <f>IF(AND(Q1163&gt;0,Q1163&lt;30,K1163=216),'Udvaskning nøgletal'!$C$42,IF(AND(Q1163&gt;0,Q1163&lt;30,K1163&gt;7,K1163&lt;17),'Udvaskning nøgletal'!$C$61,IF(AND(Q1163&gt;0,Q1163&lt;30,K1163&lt;7),'Udvaskning nøgletal'!$C$62,"")))</f>
        <v/>
      </c>
      <c r="AI1163" s="10">
        <f t="shared" si="190"/>
        <v>152</v>
      </c>
      <c r="AJ1163" s="10">
        <f>IF($X1163=1,LOOKUP(AI1163,'Udvaskning nøgletal'!$C$12:$C$62,'Udvaskning nøgletal'!$E$12:$E$62)+Markniveau!$Y1163*Markniveau!$S1163/100,IF($X1163=2,LOOKUP(AI1163,'Udvaskning nøgletal'!$C$12:$C$62,'Udvaskning nøgletal'!$F$12:$F$62)+Markniveau!$Y1163*Markniveau!$S1163/100,IF($X1163=3,LOOKUP(AI1163,'Udvaskning nøgletal'!$C$12:$C$62,'Udvaskning nøgletal'!Q1173:Q1223)+Markniveau!$Y1163*Markniveau!$S1163/100,"")))</f>
        <v>55.420779741212854</v>
      </c>
      <c r="AK1163" s="10">
        <f t="shared" si="189"/>
        <v>233.3214827105061</v>
      </c>
      <c r="AL1163" s="10" t="str">
        <f t="shared" ref="AL1163:AL1226" si="191">IF($Q1163&gt;0,(100-$Q1163)*AJ1163/100,"")</f>
        <v/>
      </c>
      <c r="AM1163" s="10" t="str">
        <f t="shared" ref="AM1163:AM1226" si="192">IF($Q1163&gt;0,(100-$Q1163)*AJ1163/100*I1163,"")</f>
        <v/>
      </c>
    </row>
    <row r="1164" spans="1:39" x14ac:dyDescent="0.25">
      <c r="A1164" s="15">
        <v>35557628</v>
      </c>
      <c r="B1164" s="15">
        <v>9.15</v>
      </c>
      <c r="C1164" s="15">
        <v>278808</v>
      </c>
      <c r="D1164" s="15">
        <v>55926</v>
      </c>
      <c r="E1164" s="15" t="s">
        <v>945</v>
      </c>
      <c r="F1164" s="15">
        <v>2011</v>
      </c>
      <c r="G1164" s="15">
        <v>20110512</v>
      </c>
      <c r="H1164" s="15">
        <v>15010</v>
      </c>
      <c r="I1164" s="15">
        <v>1.5</v>
      </c>
      <c r="J1164" s="6" t="s">
        <v>989</v>
      </c>
      <c r="K1164" s="15">
        <v>264</v>
      </c>
      <c r="L1164" s="15" t="s">
        <v>207</v>
      </c>
      <c r="M1164" s="15" t="s">
        <v>4</v>
      </c>
      <c r="N1164" s="11" t="s">
        <v>1391</v>
      </c>
      <c r="O1164" s="11" t="s">
        <v>46</v>
      </c>
      <c r="P1164" s="11" t="s">
        <v>33</v>
      </c>
      <c r="Q1164" s="15">
        <v>0</v>
      </c>
      <c r="R1164" s="11" t="s">
        <v>1386</v>
      </c>
      <c r="S1164" s="10">
        <v>90.815594824257005</v>
      </c>
      <c r="T1164" s="15">
        <v>80</v>
      </c>
      <c r="U1164" s="15">
        <v>0</v>
      </c>
      <c r="V1164" s="15">
        <v>0</v>
      </c>
      <c r="W1164" s="15">
        <v>0</v>
      </c>
      <c r="X1164" s="15">
        <f>IF(O1164='Udvaskning nøgletal'!$D$65,1,IF(O1164='Udvaskning nøgletal'!$D$66,2,IF(O1164='Udvaskning nøgletal'!$D$67,3,IF(O1164='Udvaskning nøgletal'!$D$68,2,""))))</f>
        <v>2</v>
      </c>
      <c r="Y1164" s="15">
        <f>LOOKUP(K1164,'Udvaskning nøgletal'!$C$12:$C$60,'Udvaskning nøgletal'!$H$12:$H$60)</f>
        <v>0</v>
      </c>
      <c r="Z1164" s="10">
        <f>IF(X1164=1,LOOKUP(K1164,'Udvaskning nøgletal'!$C$12:$C$60,'Udvaskning nøgletal'!$E$12:$E$60)+Markniveau!Y1164*Markniveau!S1164/100,IF(X1164=2,LOOKUP(K1164,'Udvaskning nøgletal'!$C$12:$C$60,'Udvaskning nøgletal'!$F$12:$F$60)+Markniveau!Y1164*Markniveau!S1164/100,IF(X1164=3,LOOKUP(K1164,'Udvaskning nøgletal'!$C$12:$C$60,'Udvaskning nøgletal'!G1174:G1222)+Markniveau!Y1164*Markniveau!S1164/100,"")))</f>
        <v>10.6</v>
      </c>
      <c r="AA1164" s="10">
        <f t="shared" si="186"/>
        <v>15.899999999999999</v>
      </c>
      <c r="AB1164" s="10" t="str">
        <f t="shared" si="185"/>
        <v/>
      </c>
      <c r="AC1164" s="10" t="str">
        <f t="shared" si="187"/>
        <v/>
      </c>
      <c r="AD1164" s="10">
        <f>IF(AND(Q1164&gt;0,Q1164&lt;30,K1164&lt;8),Markniveau!Z1164*'Udvaskning nøgletal'!$I$12/100,IF(AND(Q1164&gt;0,Q1164&lt;30,K1164=216),Markniveau!Z1164*'Udvaskning nøgletal'!$I$34/100,Markniveau!Z1164))</f>
        <v>10.6</v>
      </c>
      <c r="AE1164" s="10">
        <f t="shared" si="183"/>
        <v>15.899999999999999</v>
      </c>
      <c r="AF1164" s="10" t="str">
        <f t="shared" si="188"/>
        <v/>
      </c>
      <c r="AG1164" s="10" t="str">
        <f t="shared" si="184"/>
        <v/>
      </c>
      <c r="AH1164" s="10" t="str">
        <f>IF(AND(Q1164&gt;0,Q1164&lt;30,K1164=216),'Udvaskning nøgletal'!$C$42,IF(AND(Q1164&gt;0,Q1164&lt;30,K1164&gt;7,K1164&lt;17),'Udvaskning nøgletal'!$C$61,IF(AND(Q1164&gt;0,Q1164&lt;30,K1164&lt;7),'Udvaskning nøgletal'!$C$62,"")))</f>
        <v/>
      </c>
      <c r="AI1164" s="10">
        <f t="shared" si="190"/>
        <v>264</v>
      </c>
      <c r="AJ1164" s="10">
        <f>IF($X1164=1,LOOKUP(AI1164,'Udvaskning nøgletal'!$C$12:$C$62,'Udvaskning nøgletal'!$E$12:$E$62)+Markniveau!$Y1164*Markniveau!$S1164/100,IF($X1164=2,LOOKUP(AI1164,'Udvaskning nøgletal'!$C$12:$C$62,'Udvaskning nøgletal'!$F$12:$F$62)+Markniveau!$Y1164*Markniveau!$S1164/100,IF($X1164=3,LOOKUP(AI1164,'Udvaskning nøgletal'!$C$12:$C$62,'Udvaskning nøgletal'!Q1174:Q1224)+Markniveau!$Y1164*Markniveau!$S1164/100,"")))</f>
        <v>10.6</v>
      </c>
      <c r="AK1164" s="10">
        <f t="shared" si="189"/>
        <v>15.899999999999999</v>
      </c>
      <c r="AL1164" s="10" t="str">
        <f t="shared" si="191"/>
        <v/>
      </c>
      <c r="AM1164" s="10" t="str">
        <f t="shared" si="192"/>
        <v/>
      </c>
    </row>
    <row r="1165" spans="1:39" x14ac:dyDescent="0.25">
      <c r="A1165" s="15">
        <v>35557628</v>
      </c>
      <c r="B1165" s="15">
        <v>9.15</v>
      </c>
      <c r="C1165" s="15">
        <v>278809</v>
      </c>
      <c r="D1165" s="15">
        <v>55926</v>
      </c>
      <c r="E1165" s="15" t="s">
        <v>990</v>
      </c>
      <c r="F1165" s="15">
        <v>2011</v>
      </c>
      <c r="G1165" s="15">
        <v>20110512</v>
      </c>
      <c r="H1165" s="15">
        <v>86068</v>
      </c>
      <c r="I1165" s="15">
        <v>8.61</v>
      </c>
      <c r="J1165" s="6" t="s">
        <v>991</v>
      </c>
      <c r="K1165" s="15">
        <v>152</v>
      </c>
      <c r="L1165" s="15" t="s">
        <v>333</v>
      </c>
      <c r="M1165" s="15" t="s">
        <v>5</v>
      </c>
      <c r="N1165" s="11" t="s">
        <v>1391</v>
      </c>
      <c r="O1165" s="11" t="s">
        <v>46</v>
      </c>
      <c r="P1165" s="11" t="s">
        <v>33</v>
      </c>
      <c r="Q1165" s="15">
        <v>0</v>
      </c>
      <c r="R1165" s="11" t="s">
        <v>1386</v>
      </c>
      <c r="S1165" s="10">
        <v>90.815594824257005</v>
      </c>
      <c r="T1165" s="15">
        <v>80</v>
      </c>
      <c r="U1165" s="15">
        <v>0</v>
      </c>
      <c r="V1165" s="15">
        <v>0</v>
      </c>
      <c r="W1165" s="15">
        <v>0</v>
      </c>
      <c r="X1165" s="15">
        <f>IF(O1165='Udvaskning nøgletal'!$D$65,1,IF(O1165='Udvaskning nøgletal'!$D$66,2,IF(O1165='Udvaskning nøgletal'!$D$67,3,IF(O1165='Udvaskning nøgletal'!$D$68,2,""))))</f>
        <v>2</v>
      </c>
      <c r="Y1165" s="15">
        <f>LOOKUP(K1165,'Udvaskning nøgletal'!$C$12:$C$60,'Udvaskning nøgletal'!$H$12:$H$60)</f>
        <v>5</v>
      </c>
      <c r="Z1165" s="10">
        <f>IF(X1165=1,LOOKUP(K1165,'Udvaskning nøgletal'!$C$12:$C$60,'Udvaskning nøgletal'!$E$12:$E$60)+Markniveau!Y1165*Markniveau!S1165/100,IF(X1165=2,LOOKUP(K1165,'Udvaskning nøgletal'!$C$12:$C$60,'Udvaskning nøgletal'!$F$12:$F$60)+Markniveau!Y1165*Markniveau!S1165/100,IF(X1165=3,LOOKUP(K1165,'Udvaskning nøgletal'!$C$12:$C$60,'Udvaskning nøgletal'!G1175:G1223)+Markniveau!Y1165*Markniveau!S1165/100,"")))</f>
        <v>55.420779741212854</v>
      </c>
      <c r="AA1165" s="10">
        <f t="shared" si="186"/>
        <v>477.17291357184263</v>
      </c>
      <c r="AB1165" s="10" t="str">
        <f t="shared" si="185"/>
        <v/>
      </c>
      <c r="AC1165" s="10" t="str">
        <f t="shared" si="187"/>
        <v/>
      </c>
      <c r="AD1165" s="10">
        <f>IF(AND(Q1165&gt;0,Q1165&lt;30,K1165&lt;8),Markniveau!Z1165*'Udvaskning nøgletal'!$I$12/100,IF(AND(Q1165&gt;0,Q1165&lt;30,K1165=216),Markniveau!Z1165*'Udvaskning nøgletal'!$I$34/100,Markniveau!Z1165))</f>
        <v>55.420779741212854</v>
      </c>
      <c r="AE1165" s="10">
        <f t="shared" si="183"/>
        <v>477.17291357184263</v>
      </c>
      <c r="AF1165" s="10" t="str">
        <f t="shared" si="188"/>
        <v/>
      </c>
      <c r="AG1165" s="10" t="str">
        <f t="shared" si="184"/>
        <v/>
      </c>
      <c r="AH1165" s="10" t="str">
        <f>IF(AND(Q1165&gt;0,Q1165&lt;30,K1165=216),'Udvaskning nøgletal'!$C$42,IF(AND(Q1165&gt;0,Q1165&lt;30,K1165&gt;7,K1165&lt;17),'Udvaskning nøgletal'!$C$61,IF(AND(Q1165&gt;0,Q1165&lt;30,K1165&lt;7),'Udvaskning nøgletal'!$C$62,"")))</f>
        <v/>
      </c>
      <c r="AI1165" s="10">
        <f t="shared" si="190"/>
        <v>152</v>
      </c>
      <c r="AJ1165" s="10">
        <f>IF($X1165=1,LOOKUP(AI1165,'Udvaskning nøgletal'!$C$12:$C$62,'Udvaskning nøgletal'!$E$12:$E$62)+Markniveau!$Y1165*Markniveau!$S1165/100,IF($X1165=2,LOOKUP(AI1165,'Udvaskning nøgletal'!$C$12:$C$62,'Udvaskning nøgletal'!$F$12:$F$62)+Markniveau!$Y1165*Markniveau!$S1165/100,IF($X1165=3,LOOKUP(AI1165,'Udvaskning nøgletal'!$C$12:$C$62,'Udvaskning nøgletal'!Q1175:Q1225)+Markniveau!$Y1165*Markniveau!$S1165/100,"")))</f>
        <v>55.420779741212854</v>
      </c>
      <c r="AK1165" s="10">
        <f t="shared" si="189"/>
        <v>477.17291357184263</v>
      </c>
      <c r="AL1165" s="10" t="str">
        <f t="shared" si="191"/>
        <v/>
      </c>
      <c r="AM1165" s="10" t="str">
        <f t="shared" si="192"/>
        <v/>
      </c>
    </row>
    <row r="1166" spans="1:39" x14ac:dyDescent="0.25">
      <c r="A1166" s="15">
        <v>35557628</v>
      </c>
      <c r="B1166" s="15">
        <v>9.15</v>
      </c>
      <c r="C1166" s="15">
        <v>279028</v>
      </c>
      <c r="D1166" s="15">
        <v>55926</v>
      </c>
      <c r="E1166" s="15" t="s">
        <v>992</v>
      </c>
      <c r="F1166" s="15">
        <v>2011</v>
      </c>
      <c r="G1166" s="15">
        <v>20110512</v>
      </c>
      <c r="H1166" s="15">
        <v>29459</v>
      </c>
      <c r="I1166" s="15">
        <v>2.95</v>
      </c>
      <c r="J1166" s="6" t="s">
        <v>993</v>
      </c>
      <c r="K1166" s="15">
        <v>15</v>
      </c>
      <c r="L1166" s="15" t="s">
        <v>362</v>
      </c>
      <c r="M1166" s="15" t="s">
        <v>5</v>
      </c>
      <c r="N1166" s="11" t="s">
        <v>1384</v>
      </c>
      <c r="O1166" s="11" t="s">
        <v>28</v>
      </c>
      <c r="P1166" s="11" t="s">
        <v>33</v>
      </c>
      <c r="Q1166" s="15">
        <v>0</v>
      </c>
      <c r="R1166" s="11" t="s">
        <v>1386</v>
      </c>
      <c r="S1166" s="10">
        <v>90.815594824257005</v>
      </c>
      <c r="T1166" s="15">
        <v>80</v>
      </c>
      <c r="U1166" s="15">
        <v>0</v>
      </c>
      <c r="V1166" s="15">
        <v>0</v>
      </c>
      <c r="W1166" s="15">
        <v>0</v>
      </c>
      <c r="X1166" s="15">
        <f>IF(O1166='Udvaskning nøgletal'!$D$65,1,IF(O1166='Udvaskning nøgletal'!$D$66,2,IF(O1166='Udvaskning nøgletal'!$D$67,3,IF(O1166='Udvaskning nøgletal'!$D$68,2,""))))</f>
        <v>1</v>
      </c>
      <c r="Y1166" s="15">
        <f>LOOKUP(K1166,'Udvaskning nøgletal'!$C$12:$C$60,'Udvaskning nøgletal'!$H$12:$H$60)</f>
        <v>5</v>
      </c>
      <c r="Z1166" s="10">
        <f>IF(X1166=1,LOOKUP(K1166,'Udvaskning nøgletal'!$C$12:$C$60,'Udvaskning nøgletal'!$E$12:$E$60)+Markniveau!Y1166*Markniveau!S1166/100,IF(X1166=2,LOOKUP(K1166,'Udvaskning nøgletal'!$C$12:$C$60,'Udvaskning nøgletal'!$F$12:$F$60)+Markniveau!Y1166*Markniveau!S1166/100,IF(X1166=3,LOOKUP(K1166,'Udvaskning nøgletal'!$C$12:$C$60,'Udvaskning nøgletal'!G1176:G1224)+Markniveau!Y1166*Markniveau!S1166/100,"")))</f>
        <v>69.200779741212841</v>
      </c>
      <c r="AA1166" s="10">
        <f t="shared" si="186"/>
        <v>204.14230023657788</v>
      </c>
      <c r="AB1166" s="10" t="str">
        <f t="shared" si="185"/>
        <v/>
      </c>
      <c r="AC1166" s="10" t="str">
        <f t="shared" si="187"/>
        <v/>
      </c>
      <c r="AD1166" s="10">
        <f>IF(AND(Q1166&gt;0,Q1166&lt;30,K1166&lt;8),Markniveau!Z1166*'Udvaskning nøgletal'!$I$12/100,IF(AND(Q1166&gt;0,Q1166&lt;30,K1166=216),Markniveau!Z1166*'Udvaskning nøgletal'!$I$34/100,Markniveau!Z1166))</f>
        <v>69.200779741212841</v>
      </c>
      <c r="AE1166" s="10">
        <f t="shared" si="183"/>
        <v>204.14230023657788</v>
      </c>
      <c r="AF1166" s="10" t="str">
        <f t="shared" si="188"/>
        <v/>
      </c>
      <c r="AG1166" s="10" t="str">
        <f t="shared" si="184"/>
        <v/>
      </c>
      <c r="AH1166" s="10" t="str">
        <f>IF(AND(Q1166&gt;0,Q1166&lt;30,K1166=216),'Udvaskning nøgletal'!$C$42,IF(AND(Q1166&gt;0,Q1166&lt;30,K1166&gt;7,K1166&lt;17),'Udvaskning nøgletal'!$C$61,IF(AND(Q1166&gt;0,Q1166&lt;30,K1166&lt;7),'Udvaskning nøgletal'!$C$62,"")))</f>
        <v/>
      </c>
      <c r="AI1166" s="10">
        <f t="shared" si="190"/>
        <v>15</v>
      </c>
      <c r="AJ1166" s="10">
        <f>IF($X1166=1,LOOKUP(AI1166,'Udvaskning nøgletal'!$C$12:$C$62,'Udvaskning nøgletal'!$E$12:$E$62)+Markniveau!$Y1166*Markniveau!$S1166/100,IF($X1166=2,LOOKUP(AI1166,'Udvaskning nøgletal'!$C$12:$C$62,'Udvaskning nøgletal'!$F$12:$F$62)+Markniveau!$Y1166*Markniveau!$S1166/100,IF($X1166=3,LOOKUP(AI1166,'Udvaskning nøgletal'!$C$12:$C$62,'Udvaskning nøgletal'!Q1176:Q1226)+Markniveau!$Y1166*Markniveau!$S1166/100,"")))</f>
        <v>69.200779741212841</v>
      </c>
      <c r="AK1166" s="10">
        <f t="shared" si="189"/>
        <v>204.14230023657788</v>
      </c>
      <c r="AL1166" s="10" t="str">
        <f t="shared" si="191"/>
        <v/>
      </c>
      <c r="AM1166" s="10" t="str">
        <f t="shared" si="192"/>
        <v/>
      </c>
    </row>
    <row r="1167" spans="1:39" x14ac:dyDescent="0.25">
      <c r="A1167" s="15">
        <v>35557628</v>
      </c>
      <c r="B1167" s="15">
        <v>9.15</v>
      </c>
      <c r="C1167" s="15">
        <v>279140</v>
      </c>
      <c r="D1167" s="15">
        <v>55926</v>
      </c>
      <c r="E1167" s="15" t="s">
        <v>994</v>
      </c>
      <c r="F1167" s="15">
        <v>2011</v>
      </c>
      <c r="G1167" s="15">
        <v>20110512</v>
      </c>
      <c r="H1167" s="15">
        <v>521431</v>
      </c>
      <c r="I1167" s="15">
        <v>52.14</v>
      </c>
      <c r="J1167" s="6" t="s">
        <v>995</v>
      </c>
      <c r="K1167" s="15">
        <v>152</v>
      </c>
      <c r="L1167" s="15" t="s">
        <v>333</v>
      </c>
      <c r="M1167" s="15" t="s">
        <v>5</v>
      </c>
      <c r="N1167" s="11" t="s">
        <v>1391</v>
      </c>
      <c r="O1167" s="11" t="s">
        <v>46</v>
      </c>
      <c r="P1167" s="11" t="s">
        <v>33</v>
      </c>
      <c r="Q1167" s="15">
        <v>0</v>
      </c>
      <c r="R1167" s="11" t="s">
        <v>1386</v>
      </c>
      <c r="S1167" s="10">
        <v>90.815594824257005</v>
      </c>
      <c r="T1167" s="15">
        <v>80</v>
      </c>
      <c r="U1167" s="15">
        <v>0</v>
      </c>
      <c r="V1167" s="15">
        <v>0</v>
      </c>
      <c r="W1167" s="15">
        <v>0</v>
      </c>
      <c r="X1167" s="15">
        <f>IF(O1167='Udvaskning nøgletal'!$D$65,1,IF(O1167='Udvaskning nøgletal'!$D$66,2,IF(O1167='Udvaskning nøgletal'!$D$67,3,IF(O1167='Udvaskning nøgletal'!$D$68,2,""))))</f>
        <v>2</v>
      </c>
      <c r="Y1167" s="15">
        <f>LOOKUP(K1167,'Udvaskning nøgletal'!$C$12:$C$60,'Udvaskning nøgletal'!$H$12:$H$60)</f>
        <v>5</v>
      </c>
      <c r="Z1167" s="10">
        <f>IF(X1167=1,LOOKUP(K1167,'Udvaskning nøgletal'!$C$12:$C$60,'Udvaskning nøgletal'!$E$12:$E$60)+Markniveau!Y1167*Markniveau!S1167/100,IF(X1167=2,LOOKUP(K1167,'Udvaskning nøgletal'!$C$12:$C$60,'Udvaskning nøgletal'!$F$12:$F$60)+Markniveau!Y1167*Markniveau!S1167/100,IF(X1167=3,LOOKUP(K1167,'Udvaskning nøgletal'!$C$12:$C$60,'Udvaskning nøgletal'!G1177:G1225)+Markniveau!Y1167*Markniveau!S1167/100,"")))</f>
        <v>55.420779741212854</v>
      </c>
      <c r="AA1167" s="10">
        <f t="shared" si="186"/>
        <v>2889.6394557068384</v>
      </c>
      <c r="AB1167" s="10" t="str">
        <f t="shared" si="185"/>
        <v/>
      </c>
      <c r="AC1167" s="10" t="str">
        <f t="shared" si="187"/>
        <v/>
      </c>
      <c r="AD1167" s="10">
        <f>IF(AND(Q1167&gt;0,Q1167&lt;30,K1167&lt;8),Markniveau!Z1167*'Udvaskning nøgletal'!$I$12/100,IF(AND(Q1167&gt;0,Q1167&lt;30,K1167=216),Markniveau!Z1167*'Udvaskning nøgletal'!$I$34/100,Markniveau!Z1167))</f>
        <v>55.420779741212854</v>
      </c>
      <c r="AE1167" s="10">
        <f t="shared" si="183"/>
        <v>2889.6394557068384</v>
      </c>
      <c r="AF1167" s="10" t="str">
        <f t="shared" si="188"/>
        <v/>
      </c>
      <c r="AG1167" s="10" t="str">
        <f t="shared" si="184"/>
        <v/>
      </c>
      <c r="AH1167" s="10" t="str">
        <f>IF(AND(Q1167&gt;0,Q1167&lt;30,K1167=216),'Udvaskning nøgletal'!$C$42,IF(AND(Q1167&gt;0,Q1167&lt;30,K1167&gt;7,K1167&lt;17),'Udvaskning nøgletal'!$C$61,IF(AND(Q1167&gt;0,Q1167&lt;30,K1167&lt;7),'Udvaskning nøgletal'!$C$62,"")))</f>
        <v/>
      </c>
      <c r="AI1167" s="10">
        <f t="shared" si="190"/>
        <v>152</v>
      </c>
      <c r="AJ1167" s="10">
        <f>IF($X1167=1,LOOKUP(AI1167,'Udvaskning nøgletal'!$C$12:$C$62,'Udvaskning nøgletal'!$E$12:$E$62)+Markniveau!$Y1167*Markniveau!$S1167/100,IF($X1167=2,LOOKUP(AI1167,'Udvaskning nøgletal'!$C$12:$C$62,'Udvaskning nøgletal'!$F$12:$F$62)+Markniveau!$Y1167*Markniveau!$S1167/100,IF($X1167=3,LOOKUP(AI1167,'Udvaskning nøgletal'!$C$12:$C$62,'Udvaskning nøgletal'!Q1177:Q1227)+Markniveau!$Y1167*Markniveau!$S1167/100,"")))</f>
        <v>55.420779741212854</v>
      </c>
      <c r="AK1167" s="10">
        <f t="shared" si="189"/>
        <v>2889.6394557068384</v>
      </c>
      <c r="AL1167" s="10" t="str">
        <f t="shared" si="191"/>
        <v/>
      </c>
      <c r="AM1167" s="10" t="str">
        <f t="shared" si="192"/>
        <v/>
      </c>
    </row>
    <row r="1168" spans="1:39" x14ac:dyDescent="0.25">
      <c r="A1168" s="15">
        <v>35557628</v>
      </c>
      <c r="B1168" s="15">
        <v>9.15</v>
      </c>
      <c r="C1168" s="15">
        <v>279160</v>
      </c>
      <c r="D1168" s="15">
        <v>55926</v>
      </c>
      <c r="E1168" s="15" t="s">
        <v>996</v>
      </c>
      <c r="F1168" s="15">
        <v>2011</v>
      </c>
      <c r="G1168" s="15">
        <v>20110512</v>
      </c>
      <c r="H1168" s="15">
        <v>34712</v>
      </c>
      <c r="I1168" s="15">
        <v>3.47</v>
      </c>
      <c r="J1168" s="6" t="s">
        <v>997</v>
      </c>
      <c r="K1168" s="15">
        <v>22</v>
      </c>
      <c r="L1168" s="15" t="s">
        <v>213</v>
      </c>
      <c r="M1168" s="15" t="s">
        <v>5</v>
      </c>
      <c r="N1168" s="11" t="s">
        <v>1384</v>
      </c>
      <c r="O1168" s="11" t="s">
        <v>28</v>
      </c>
      <c r="P1168" s="11" t="s">
        <v>33</v>
      </c>
      <c r="Q1168" s="15">
        <v>0</v>
      </c>
      <c r="R1168" s="11" t="s">
        <v>1386</v>
      </c>
      <c r="S1168" s="10">
        <v>90.815594824257005</v>
      </c>
      <c r="T1168" s="15">
        <v>80</v>
      </c>
      <c r="U1168" s="15">
        <v>0</v>
      </c>
      <c r="V1168" s="15">
        <v>0</v>
      </c>
      <c r="W1168" s="15">
        <v>0</v>
      </c>
      <c r="X1168" s="15">
        <f>IF(O1168='Udvaskning nøgletal'!$D$65,1,IF(O1168='Udvaskning nøgletal'!$D$66,2,IF(O1168='Udvaskning nøgletal'!$D$67,3,IF(O1168='Udvaskning nøgletal'!$D$68,2,""))))</f>
        <v>1</v>
      </c>
      <c r="Y1168" s="15">
        <f>LOOKUP(K1168,'Udvaskning nøgletal'!$C$12:$C$60,'Udvaskning nøgletal'!$H$12:$H$60)</f>
        <v>5</v>
      </c>
      <c r="Z1168" s="10">
        <f>IF(X1168=1,LOOKUP(K1168,'Udvaskning nøgletal'!$C$12:$C$60,'Udvaskning nøgletal'!$E$12:$E$60)+Markniveau!Y1168*Markniveau!S1168/100,IF(X1168=2,LOOKUP(K1168,'Udvaskning nøgletal'!$C$12:$C$60,'Udvaskning nøgletal'!$F$12:$F$60)+Markniveau!Y1168*Markniveau!S1168/100,IF(X1168=3,LOOKUP(K1168,'Udvaskning nøgletal'!$C$12:$C$60,'Udvaskning nøgletal'!G1178:G1226)+Markniveau!Y1168*Markniveau!S1168/100,"")))</f>
        <v>69.200779741212841</v>
      </c>
      <c r="AA1168" s="10">
        <f t="shared" si="186"/>
        <v>240.12670570200856</v>
      </c>
      <c r="AB1168" s="10" t="str">
        <f t="shared" si="185"/>
        <v/>
      </c>
      <c r="AC1168" s="10" t="str">
        <f t="shared" si="187"/>
        <v/>
      </c>
      <c r="AD1168" s="10">
        <f>IF(AND(Q1168&gt;0,Q1168&lt;30,K1168&lt;8),Markniveau!Z1168*'Udvaskning nøgletal'!$I$12/100,IF(AND(Q1168&gt;0,Q1168&lt;30,K1168=216),Markniveau!Z1168*'Udvaskning nøgletal'!$I$34/100,Markniveau!Z1168))</f>
        <v>69.200779741212841</v>
      </c>
      <c r="AE1168" s="10">
        <f t="shared" si="183"/>
        <v>240.12670570200856</v>
      </c>
      <c r="AF1168" s="10" t="str">
        <f t="shared" si="188"/>
        <v/>
      </c>
      <c r="AG1168" s="10" t="str">
        <f t="shared" si="184"/>
        <v/>
      </c>
      <c r="AH1168" s="10" t="str">
        <f>IF(AND(Q1168&gt;0,Q1168&lt;30,K1168=216),'Udvaskning nøgletal'!$C$42,IF(AND(Q1168&gt;0,Q1168&lt;30,K1168&gt;7,K1168&lt;17),'Udvaskning nøgletal'!$C$61,IF(AND(Q1168&gt;0,Q1168&lt;30,K1168&lt;7),'Udvaskning nøgletal'!$C$62,"")))</f>
        <v/>
      </c>
      <c r="AI1168" s="10">
        <f t="shared" si="190"/>
        <v>22</v>
      </c>
      <c r="AJ1168" s="10">
        <f>IF($X1168=1,LOOKUP(AI1168,'Udvaskning nøgletal'!$C$12:$C$62,'Udvaskning nøgletal'!$E$12:$E$62)+Markniveau!$Y1168*Markniveau!$S1168/100,IF($X1168=2,LOOKUP(AI1168,'Udvaskning nøgletal'!$C$12:$C$62,'Udvaskning nøgletal'!$F$12:$F$62)+Markniveau!$Y1168*Markniveau!$S1168/100,IF($X1168=3,LOOKUP(AI1168,'Udvaskning nøgletal'!$C$12:$C$62,'Udvaskning nøgletal'!Q1178:Q1228)+Markniveau!$Y1168*Markniveau!$S1168/100,"")))</f>
        <v>69.200779741212841</v>
      </c>
      <c r="AK1168" s="10">
        <f t="shared" si="189"/>
        <v>240.12670570200856</v>
      </c>
      <c r="AL1168" s="10" t="str">
        <f t="shared" si="191"/>
        <v/>
      </c>
      <c r="AM1168" s="10" t="str">
        <f t="shared" si="192"/>
        <v/>
      </c>
    </row>
    <row r="1169" spans="1:39" x14ac:dyDescent="0.25">
      <c r="A1169" s="15">
        <v>35557628</v>
      </c>
      <c r="B1169" s="15">
        <v>9.15</v>
      </c>
      <c r="C1169" s="15">
        <v>279163</v>
      </c>
      <c r="D1169" s="15">
        <v>55926</v>
      </c>
      <c r="E1169" s="15" t="s">
        <v>998</v>
      </c>
      <c r="F1169" s="15">
        <v>2011</v>
      </c>
      <c r="G1169" s="15">
        <v>20110512</v>
      </c>
      <c r="H1169" s="15">
        <v>9646</v>
      </c>
      <c r="I1169" s="15">
        <v>0.96</v>
      </c>
      <c r="J1169" s="6" t="s">
        <v>999</v>
      </c>
      <c r="K1169" s="15">
        <v>22</v>
      </c>
      <c r="L1169" s="15" t="s">
        <v>213</v>
      </c>
      <c r="M1169" s="15" t="s">
        <v>5</v>
      </c>
      <c r="N1169" s="11" t="s">
        <v>1384</v>
      </c>
      <c r="O1169" s="11" t="s">
        <v>28</v>
      </c>
      <c r="P1169" s="11" t="s">
        <v>33</v>
      </c>
      <c r="Q1169" s="15">
        <v>0</v>
      </c>
      <c r="R1169" s="11" t="s">
        <v>1386</v>
      </c>
      <c r="S1169" s="10">
        <v>90.815594824257005</v>
      </c>
      <c r="T1169" s="15">
        <v>80</v>
      </c>
      <c r="U1169" s="15">
        <v>0</v>
      </c>
      <c r="V1169" s="15">
        <v>0</v>
      </c>
      <c r="W1169" s="15">
        <v>0</v>
      </c>
      <c r="X1169" s="15">
        <f>IF(O1169='Udvaskning nøgletal'!$D$65,1,IF(O1169='Udvaskning nøgletal'!$D$66,2,IF(O1169='Udvaskning nøgletal'!$D$67,3,IF(O1169='Udvaskning nøgletal'!$D$68,2,""))))</f>
        <v>1</v>
      </c>
      <c r="Y1169" s="15">
        <f>LOOKUP(K1169,'Udvaskning nøgletal'!$C$12:$C$60,'Udvaskning nøgletal'!$H$12:$H$60)</f>
        <v>5</v>
      </c>
      <c r="Z1169" s="10">
        <f>IF(X1169=1,LOOKUP(K1169,'Udvaskning nøgletal'!$C$12:$C$60,'Udvaskning nøgletal'!$E$12:$E$60)+Markniveau!Y1169*Markniveau!S1169/100,IF(X1169=2,LOOKUP(K1169,'Udvaskning nøgletal'!$C$12:$C$60,'Udvaskning nøgletal'!$F$12:$F$60)+Markniveau!Y1169*Markniveau!S1169/100,IF(X1169=3,LOOKUP(K1169,'Udvaskning nøgletal'!$C$12:$C$60,'Udvaskning nøgletal'!G1179:G1227)+Markniveau!Y1169*Markniveau!S1169/100,"")))</f>
        <v>69.200779741212841</v>
      </c>
      <c r="AA1169" s="10">
        <f t="shared" si="186"/>
        <v>66.43274855156433</v>
      </c>
      <c r="AB1169" s="10" t="str">
        <f t="shared" si="185"/>
        <v/>
      </c>
      <c r="AC1169" s="10" t="str">
        <f t="shared" si="187"/>
        <v/>
      </c>
      <c r="AD1169" s="10">
        <f>IF(AND(Q1169&gt;0,Q1169&lt;30,K1169&lt;8),Markniveau!Z1169*'Udvaskning nøgletal'!$I$12/100,IF(AND(Q1169&gt;0,Q1169&lt;30,K1169=216),Markniveau!Z1169*'Udvaskning nøgletal'!$I$34/100,Markniveau!Z1169))</f>
        <v>69.200779741212841</v>
      </c>
      <c r="AE1169" s="10">
        <f t="shared" ref="AE1169:AE1232" si="193">AD1169*I1169</f>
        <v>66.43274855156433</v>
      </c>
      <c r="AF1169" s="10" t="str">
        <f t="shared" si="188"/>
        <v/>
      </c>
      <c r="AG1169" s="10" t="str">
        <f t="shared" ref="AG1169:AG1232" si="194">IF($Q1169&gt;0,(100-$Q1169)*$AD1169/100*I1169,"")</f>
        <v/>
      </c>
      <c r="AH1169" s="10" t="str">
        <f>IF(AND(Q1169&gt;0,Q1169&lt;30,K1169=216),'Udvaskning nøgletal'!$C$42,IF(AND(Q1169&gt;0,Q1169&lt;30,K1169&gt;7,K1169&lt;17),'Udvaskning nøgletal'!$C$61,IF(AND(Q1169&gt;0,Q1169&lt;30,K1169&lt;7),'Udvaskning nøgletal'!$C$62,"")))</f>
        <v/>
      </c>
      <c r="AI1169" s="10">
        <f t="shared" si="190"/>
        <v>22</v>
      </c>
      <c r="AJ1169" s="10">
        <f>IF($X1169=1,LOOKUP(AI1169,'Udvaskning nøgletal'!$C$12:$C$62,'Udvaskning nøgletal'!$E$12:$E$62)+Markniveau!$Y1169*Markniveau!$S1169/100,IF($X1169=2,LOOKUP(AI1169,'Udvaskning nøgletal'!$C$12:$C$62,'Udvaskning nøgletal'!$F$12:$F$62)+Markniveau!$Y1169*Markniveau!$S1169/100,IF($X1169=3,LOOKUP(AI1169,'Udvaskning nøgletal'!$C$12:$C$62,'Udvaskning nøgletal'!Q1179:Q1229)+Markniveau!$Y1169*Markniveau!$S1169/100,"")))</f>
        <v>69.200779741212841</v>
      </c>
      <c r="AK1169" s="10">
        <f t="shared" si="189"/>
        <v>66.43274855156433</v>
      </c>
      <c r="AL1169" s="10" t="str">
        <f t="shared" si="191"/>
        <v/>
      </c>
      <c r="AM1169" s="10" t="str">
        <f t="shared" si="192"/>
        <v/>
      </c>
    </row>
    <row r="1170" spans="1:39" x14ac:dyDescent="0.25">
      <c r="A1170" s="15">
        <v>35557628</v>
      </c>
      <c r="B1170" s="15">
        <v>9.15</v>
      </c>
      <c r="C1170" s="15">
        <v>279486</v>
      </c>
      <c r="D1170" s="15">
        <v>55926</v>
      </c>
      <c r="E1170" s="15" t="s">
        <v>1000</v>
      </c>
      <c r="F1170" s="15">
        <v>2011</v>
      </c>
      <c r="G1170" s="15">
        <v>20110512</v>
      </c>
      <c r="H1170" s="15">
        <v>95312</v>
      </c>
      <c r="I1170" s="15">
        <v>9.5299999999999994</v>
      </c>
      <c r="J1170" s="6" t="s">
        <v>1001</v>
      </c>
      <c r="K1170" s="15">
        <v>2</v>
      </c>
      <c r="L1170" s="15" t="s">
        <v>49</v>
      </c>
      <c r="M1170" s="15" t="s">
        <v>5</v>
      </c>
      <c r="N1170" s="11" t="s">
        <v>1391</v>
      </c>
      <c r="O1170" s="11" t="s">
        <v>46</v>
      </c>
      <c r="P1170" s="11" t="s">
        <v>33</v>
      </c>
      <c r="Q1170" s="15">
        <v>0</v>
      </c>
      <c r="R1170" s="11" t="s">
        <v>1386</v>
      </c>
      <c r="S1170" s="10">
        <v>90.815594824257005</v>
      </c>
      <c r="T1170" s="15">
        <v>80</v>
      </c>
      <c r="U1170" s="15">
        <v>0</v>
      </c>
      <c r="V1170" s="15">
        <v>0</v>
      </c>
      <c r="W1170" s="15">
        <v>0</v>
      </c>
      <c r="X1170" s="15">
        <f>IF(O1170='Udvaskning nøgletal'!$D$65,1,IF(O1170='Udvaskning nøgletal'!$D$66,2,IF(O1170='Udvaskning nøgletal'!$D$67,3,IF(O1170='Udvaskning nøgletal'!$D$68,2,""))))</f>
        <v>2</v>
      </c>
      <c r="Y1170" s="15">
        <f>LOOKUP(K1170,'Udvaskning nøgletal'!$C$12:$C$60,'Udvaskning nøgletal'!$H$12:$H$60)</f>
        <v>5</v>
      </c>
      <c r="Z1170" s="10">
        <f>IF(X1170=1,LOOKUP(K1170,'Udvaskning nøgletal'!$C$12:$C$60,'Udvaskning nøgletal'!$E$12:$E$60)+Markniveau!Y1170*Markniveau!S1170/100,IF(X1170=2,LOOKUP(K1170,'Udvaskning nøgletal'!$C$12:$C$60,'Udvaskning nøgletal'!$F$12:$F$60)+Markniveau!Y1170*Markniveau!S1170/100,IF(X1170=3,LOOKUP(K1170,'Udvaskning nøgletal'!$C$12:$C$60,'Udvaskning nøgletal'!G1180:G1228)+Markniveau!Y1170*Markniveau!S1170/100,"")))</f>
        <v>55.420779741212854</v>
      </c>
      <c r="AA1170" s="10">
        <f t="shared" si="186"/>
        <v>528.16003093375843</v>
      </c>
      <c r="AB1170" s="10" t="str">
        <f t="shared" si="185"/>
        <v/>
      </c>
      <c r="AC1170" s="10" t="str">
        <f t="shared" si="187"/>
        <v/>
      </c>
      <c r="AD1170" s="10">
        <f>IF(AND(Q1170&gt;0,Q1170&lt;30,K1170&lt;8),Markniveau!Z1170*'Udvaskning nøgletal'!$I$12/100,IF(AND(Q1170&gt;0,Q1170&lt;30,K1170=216),Markniveau!Z1170*'Udvaskning nøgletal'!$I$34/100,Markniveau!Z1170))</f>
        <v>55.420779741212854</v>
      </c>
      <c r="AE1170" s="10">
        <f t="shared" si="193"/>
        <v>528.16003093375843</v>
      </c>
      <c r="AF1170" s="10" t="str">
        <f t="shared" si="188"/>
        <v/>
      </c>
      <c r="AG1170" s="10" t="str">
        <f t="shared" si="194"/>
        <v/>
      </c>
      <c r="AH1170" s="10" t="str">
        <f>IF(AND(Q1170&gt;0,Q1170&lt;30,K1170=216),'Udvaskning nøgletal'!$C$42,IF(AND(Q1170&gt;0,Q1170&lt;30,K1170&gt;7,K1170&lt;17),'Udvaskning nøgletal'!$C$61,IF(AND(Q1170&gt;0,Q1170&lt;30,K1170&lt;7),'Udvaskning nøgletal'!$C$62,"")))</f>
        <v/>
      </c>
      <c r="AI1170" s="10">
        <f t="shared" si="190"/>
        <v>2</v>
      </c>
      <c r="AJ1170" s="10">
        <f>IF($X1170=1,LOOKUP(AI1170,'Udvaskning nøgletal'!$C$12:$C$62,'Udvaskning nøgletal'!$E$12:$E$62)+Markniveau!$Y1170*Markniveau!$S1170/100,IF($X1170=2,LOOKUP(AI1170,'Udvaskning nøgletal'!$C$12:$C$62,'Udvaskning nøgletal'!$F$12:$F$62)+Markniveau!$Y1170*Markniveau!$S1170/100,IF($X1170=3,LOOKUP(AI1170,'Udvaskning nøgletal'!$C$12:$C$62,'Udvaskning nøgletal'!Q1180:Q1230)+Markniveau!$Y1170*Markniveau!$S1170/100,"")))</f>
        <v>55.420779741212854</v>
      </c>
      <c r="AK1170" s="10">
        <f t="shared" si="189"/>
        <v>528.16003093375843</v>
      </c>
      <c r="AL1170" s="10" t="str">
        <f t="shared" si="191"/>
        <v/>
      </c>
      <c r="AM1170" s="10" t="str">
        <f t="shared" si="192"/>
        <v/>
      </c>
    </row>
    <row r="1171" spans="1:39" x14ac:dyDescent="0.25">
      <c r="A1171" s="15">
        <v>35557628</v>
      </c>
      <c r="B1171" s="15">
        <v>9.15</v>
      </c>
      <c r="C1171" s="15">
        <v>279872</v>
      </c>
      <c r="D1171" s="15">
        <v>55926</v>
      </c>
      <c r="E1171" s="15" t="s">
        <v>1002</v>
      </c>
      <c r="F1171" s="15">
        <v>2011</v>
      </c>
      <c r="G1171" s="15">
        <v>20110512</v>
      </c>
      <c r="H1171" s="15">
        <v>11752</v>
      </c>
      <c r="I1171" s="15">
        <v>1.18</v>
      </c>
      <c r="J1171" s="6" t="s">
        <v>1003</v>
      </c>
      <c r="K1171" s="15">
        <v>11</v>
      </c>
      <c r="L1171" s="15" t="s">
        <v>102</v>
      </c>
      <c r="M1171" s="15" t="s">
        <v>5</v>
      </c>
      <c r="N1171" s="11" t="s">
        <v>1384</v>
      </c>
      <c r="O1171" s="11" t="s">
        <v>28</v>
      </c>
      <c r="P1171" s="11" t="s">
        <v>33</v>
      </c>
      <c r="Q1171" s="15">
        <v>0</v>
      </c>
      <c r="R1171" s="11" t="s">
        <v>1386</v>
      </c>
      <c r="S1171" s="10">
        <v>90.815594824257005</v>
      </c>
      <c r="T1171" s="15">
        <v>80</v>
      </c>
      <c r="U1171" s="15">
        <v>0</v>
      </c>
      <c r="V1171" s="15">
        <v>0</v>
      </c>
      <c r="W1171" s="15">
        <v>0</v>
      </c>
      <c r="X1171" s="15">
        <f>IF(O1171='Udvaskning nøgletal'!$D$65,1,IF(O1171='Udvaskning nøgletal'!$D$66,2,IF(O1171='Udvaskning nøgletal'!$D$67,3,IF(O1171='Udvaskning nøgletal'!$D$68,2,""))))</f>
        <v>1</v>
      </c>
      <c r="Y1171" s="15">
        <f>LOOKUP(K1171,'Udvaskning nøgletal'!$C$12:$C$60,'Udvaskning nøgletal'!$H$12:$H$60)</f>
        <v>5</v>
      </c>
      <c r="Z1171" s="10">
        <f>IF(X1171=1,LOOKUP(K1171,'Udvaskning nøgletal'!$C$12:$C$60,'Udvaskning nøgletal'!$E$12:$E$60)+Markniveau!Y1171*Markniveau!S1171/100,IF(X1171=2,LOOKUP(K1171,'Udvaskning nøgletal'!$C$12:$C$60,'Udvaskning nøgletal'!$F$12:$F$60)+Markniveau!Y1171*Markniveau!S1171/100,IF(X1171=3,LOOKUP(K1171,'Udvaskning nøgletal'!$C$12:$C$60,'Udvaskning nøgletal'!G1181:G1229)+Markniveau!Y1171*Markniveau!S1171/100,"")))</f>
        <v>69.200779741212841</v>
      </c>
      <c r="AA1171" s="10">
        <f t="shared" si="186"/>
        <v>81.656920094631147</v>
      </c>
      <c r="AB1171" s="10" t="str">
        <f t="shared" si="185"/>
        <v/>
      </c>
      <c r="AC1171" s="10" t="str">
        <f t="shared" si="187"/>
        <v/>
      </c>
      <c r="AD1171" s="10">
        <f>IF(AND(Q1171&gt;0,Q1171&lt;30,K1171&lt;8),Markniveau!Z1171*'Udvaskning nøgletal'!$I$12/100,IF(AND(Q1171&gt;0,Q1171&lt;30,K1171=216),Markniveau!Z1171*'Udvaskning nøgletal'!$I$34/100,Markniveau!Z1171))</f>
        <v>69.200779741212841</v>
      </c>
      <c r="AE1171" s="10">
        <f t="shared" si="193"/>
        <v>81.656920094631147</v>
      </c>
      <c r="AF1171" s="10" t="str">
        <f t="shared" si="188"/>
        <v/>
      </c>
      <c r="AG1171" s="10" t="str">
        <f t="shared" si="194"/>
        <v/>
      </c>
      <c r="AH1171" s="10" t="str">
        <f>IF(AND(Q1171&gt;0,Q1171&lt;30,K1171=216),'Udvaskning nøgletal'!$C$42,IF(AND(Q1171&gt;0,Q1171&lt;30,K1171&gt;7,K1171&lt;17),'Udvaskning nøgletal'!$C$61,IF(AND(Q1171&gt;0,Q1171&lt;30,K1171&lt;7),'Udvaskning nøgletal'!$C$62,"")))</f>
        <v/>
      </c>
      <c r="AI1171" s="10">
        <f t="shared" si="190"/>
        <v>11</v>
      </c>
      <c r="AJ1171" s="10">
        <f>IF($X1171=1,LOOKUP(AI1171,'Udvaskning nøgletal'!$C$12:$C$62,'Udvaskning nøgletal'!$E$12:$E$62)+Markniveau!$Y1171*Markniveau!$S1171/100,IF($X1171=2,LOOKUP(AI1171,'Udvaskning nøgletal'!$C$12:$C$62,'Udvaskning nøgletal'!$F$12:$F$62)+Markniveau!$Y1171*Markniveau!$S1171/100,IF($X1171=3,LOOKUP(AI1171,'Udvaskning nøgletal'!$C$12:$C$62,'Udvaskning nøgletal'!Q1181:Q1231)+Markniveau!$Y1171*Markniveau!$S1171/100,"")))</f>
        <v>69.200779741212841</v>
      </c>
      <c r="AK1171" s="10">
        <f t="shared" si="189"/>
        <v>81.656920094631147</v>
      </c>
      <c r="AL1171" s="10" t="str">
        <f t="shared" si="191"/>
        <v/>
      </c>
      <c r="AM1171" s="10" t="str">
        <f t="shared" si="192"/>
        <v/>
      </c>
    </row>
    <row r="1172" spans="1:39" x14ac:dyDescent="0.25">
      <c r="A1172" s="15">
        <v>35557628</v>
      </c>
      <c r="B1172" s="15">
        <v>9.15</v>
      </c>
      <c r="C1172" s="15">
        <v>279875</v>
      </c>
      <c r="D1172" s="15">
        <v>55926</v>
      </c>
      <c r="E1172" s="15" t="s">
        <v>1004</v>
      </c>
      <c r="F1172" s="15">
        <v>2011</v>
      </c>
      <c r="G1172" s="15">
        <v>20110512</v>
      </c>
      <c r="H1172" s="15">
        <v>106503</v>
      </c>
      <c r="I1172" s="15">
        <v>10.65</v>
      </c>
      <c r="J1172" s="6" t="s">
        <v>1005</v>
      </c>
      <c r="K1172" s="15">
        <v>152</v>
      </c>
      <c r="L1172" s="15" t="s">
        <v>333</v>
      </c>
      <c r="M1172" s="15" t="s">
        <v>5</v>
      </c>
      <c r="N1172" s="11" t="s">
        <v>1384</v>
      </c>
      <c r="O1172" s="11" t="s">
        <v>28</v>
      </c>
      <c r="P1172" s="11" t="s">
        <v>33</v>
      </c>
      <c r="Q1172" s="15">
        <v>0</v>
      </c>
      <c r="R1172" s="11" t="s">
        <v>1386</v>
      </c>
      <c r="S1172" s="10">
        <v>90.815594824257005</v>
      </c>
      <c r="T1172" s="15">
        <v>80</v>
      </c>
      <c r="U1172" s="15">
        <v>0</v>
      </c>
      <c r="V1172" s="15">
        <v>0</v>
      </c>
      <c r="W1172" s="15">
        <v>0</v>
      </c>
      <c r="X1172" s="15">
        <f>IF(O1172='Udvaskning nøgletal'!$D$65,1,IF(O1172='Udvaskning nøgletal'!$D$66,2,IF(O1172='Udvaskning nøgletal'!$D$67,3,IF(O1172='Udvaskning nøgletal'!$D$68,2,""))))</f>
        <v>1</v>
      </c>
      <c r="Y1172" s="15">
        <f>LOOKUP(K1172,'Udvaskning nøgletal'!$C$12:$C$60,'Udvaskning nøgletal'!$H$12:$H$60)</f>
        <v>5</v>
      </c>
      <c r="Z1172" s="10">
        <f>IF(X1172=1,LOOKUP(K1172,'Udvaskning nøgletal'!$C$12:$C$60,'Udvaskning nøgletal'!$E$12:$E$60)+Markniveau!Y1172*Markniveau!S1172/100,IF(X1172=2,LOOKUP(K1172,'Udvaskning nøgletal'!$C$12:$C$60,'Udvaskning nøgletal'!$F$12:$F$60)+Markniveau!Y1172*Markniveau!S1172/100,IF(X1172=3,LOOKUP(K1172,'Udvaskning nøgletal'!$C$12:$C$60,'Udvaskning nøgletal'!G1182:G1230)+Markniveau!Y1172*Markniveau!S1172/100,"")))</f>
        <v>69.200779741212841</v>
      </c>
      <c r="AA1172" s="10">
        <f t="shared" si="186"/>
        <v>736.98830424391679</v>
      </c>
      <c r="AB1172" s="10" t="str">
        <f t="shared" si="185"/>
        <v/>
      </c>
      <c r="AC1172" s="10" t="str">
        <f t="shared" si="187"/>
        <v/>
      </c>
      <c r="AD1172" s="10">
        <f>IF(AND(Q1172&gt;0,Q1172&lt;30,K1172&lt;8),Markniveau!Z1172*'Udvaskning nøgletal'!$I$12/100,IF(AND(Q1172&gt;0,Q1172&lt;30,K1172=216),Markniveau!Z1172*'Udvaskning nøgletal'!$I$34/100,Markniveau!Z1172))</f>
        <v>69.200779741212841</v>
      </c>
      <c r="AE1172" s="10">
        <f t="shared" si="193"/>
        <v>736.98830424391679</v>
      </c>
      <c r="AF1172" s="10" t="str">
        <f t="shared" si="188"/>
        <v/>
      </c>
      <c r="AG1172" s="10" t="str">
        <f t="shared" si="194"/>
        <v/>
      </c>
      <c r="AH1172" s="10" t="str">
        <f>IF(AND(Q1172&gt;0,Q1172&lt;30,K1172=216),'Udvaskning nøgletal'!$C$42,IF(AND(Q1172&gt;0,Q1172&lt;30,K1172&gt;7,K1172&lt;17),'Udvaskning nøgletal'!$C$61,IF(AND(Q1172&gt;0,Q1172&lt;30,K1172&lt;7),'Udvaskning nøgletal'!$C$62,"")))</f>
        <v/>
      </c>
      <c r="AI1172" s="10">
        <f t="shared" si="190"/>
        <v>152</v>
      </c>
      <c r="AJ1172" s="10">
        <f>IF($X1172=1,LOOKUP(AI1172,'Udvaskning nøgletal'!$C$12:$C$62,'Udvaskning nøgletal'!$E$12:$E$62)+Markniveau!$Y1172*Markniveau!$S1172/100,IF($X1172=2,LOOKUP(AI1172,'Udvaskning nøgletal'!$C$12:$C$62,'Udvaskning nøgletal'!$F$12:$F$62)+Markniveau!$Y1172*Markniveau!$S1172/100,IF($X1172=3,LOOKUP(AI1172,'Udvaskning nøgletal'!$C$12:$C$62,'Udvaskning nøgletal'!Q1182:Q1232)+Markniveau!$Y1172*Markniveau!$S1172/100,"")))</f>
        <v>69.200779741212841</v>
      </c>
      <c r="AK1172" s="10">
        <f t="shared" si="189"/>
        <v>736.98830424391679</v>
      </c>
      <c r="AL1172" s="10" t="str">
        <f t="shared" si="191"/>
        <v/>
      </c>
      <c r="AM1172" s="10" t="str">
        <f t="shared" si="192"/>
        <v/>
      </c>
    </row>
    <row r="1173" spans="1:39" x14ac:dyDescent="0.25">
      <c r="A1173" s="15">
        <v>35557628</v>
      </c>
      <c r="B1173" s="15">
        <v>9.15</v>
      </c>
      <c r="C1173" s="15">
        <v>280491</v>
      </c>
      <c r="D1173" s="15">
        <v>55926</v>
      </c>
      <c r="E1173" s="15" t="s">
        <v>1006</v>
      </c>
      <c r="F1173" s="15">
        <v>2011</v>
      </c>
      <c r="G1173" s="15">
        <v>20110512</v>
      </c>
      <c r="H1173" s="15">
        <v>15232</v>
      </c>
      <c r="I1173" s="15">
        <v>1.52</v>
      </c>
      <c r="J1173" s="6" t="s">
        <v>1007</v>
      </c>
      <c r="K1173" s="15">
        <v>22</v>
      </c>
      <c r="L1173" s="15" t="s">
        <v>213</v>
      </c>
      <c r="M1173" s="15" t="s">
        <v>5</v>
      </c>
      <c r="N1173" s="11" t="s">
        <v>1384</v>
      </c>
      <c r="O1173" s="11" t="s">
        <v>28</v>
      </c>
      <c r="P1173" s="11" t="s">
        <v>33</v>
      </c>
      <c r="Q1173" s="15">
        <v>0</v>
      </c>
      <c r="R1173" s="11" t="s">
        <v>1386</v>
      </c>
      <c r="S1173" s="10">
        <v>90.815594824257005</v>
      </c>
      <c r="T1173" s="15">
        <v>80</v>
      </c>
      <c r="U1173" s="15">
        <v>0</v>
      </c>
      <c r="V1173" s="15">
        <v>0</v>
      </c>
      <c r="W1173" s="15">
        <v>0</v>
      </c>
      <c r="X1173" s="15">
        <f>IF(O1173='Udvaskning nøgletal'!$D$65,1,IF(O1173='Udvaskning nøgletal'!$D$66,2,IF(O1173='Udvaskning nøgletal'!$D$67,3,IF(O1173='Udvaskning nøgletal'!$D$68,2,""))))</f>
        <v>1</v>
      </c>
      <c r="Y1173" s="15">
        <f>LOOKUP(K1173,'Udvaskning nøgletal'!$C$12:$C$60,'Udvaskning nøgletal'!$H$12:$H$60)</f>
        <v>5</v>
      </c>
      <c r="Z1173" s="10">
        <f>IF(X1173=1,LOOKUP(K1173,'Udvaskning nøgletal'!$C$12:$C$60,'Udvaskning nøgletal'!$E$12:$E$60)+Markniveau!Y1173*Markniveau!S1173/100,IF(X1173=2,LOOKUP(K1173,'Udvaskning nøgletal'!$C$12:$C$60,'Udvaskning nøgletal'!$F$12:$F$60)+Markniveau!Y1173*Markniveau!S1173/100,IF(X1173=3,LOOKUP(K1173,'Udvaskning nøgletal'!$C$12:$C$60,'Udvaskning nøgletal'!G1183:G1231)+Markniveau!Y1173*Markniveau!S1173/100,"")))</f>
        <v>69.200779741212841</v>
      </c>
      <c r="AA1173" s="10">
        <f t="shared" si="186"/>
        <v>105.18518520664352</v>
      </c>
      <c r="AB1173" s="10" t="str">
        <f t="shared" si="185"/>
        <v/>
      </c>
      <c r="AC1173" s="10" t="str">
        <f t="shared" si="187"/>
        <v/>
      </c>
      <c r="AD1173" s="10">
        <f>IF(AND(Q1173&gt;0,Q1173&lt;30,K1173&lt;8),Markniveau!Z1173*'Udvaskning nøgletal'!$I$12/100,IF(AND(Q1173&gt;0,Q1173&lt;30,K1173=216),Markniveau!Z1173*'Udvaskning nøgletal'!$I$34/100,Markniveau!Z1173))</f>
        <v>69.200779741212841</v>
      </c>
      <c r="AE1173" s="10">
        <f t="shared" si="193"/>
        <v>105.18518520664352</v>
      </c>
      <c r="AF1173" s="10" t="str">
        <f t="shared" si="188"/>
        <v/>
      </c>
      <c r="AG1173" s="10" t="str">
        <f t="shared" si="194"/>
        <v/>
      </c>
      <c r="AH1173" s="10" t="str">
        <f>IF(AND(Q1173&gt;0,Q1173&lt;30,K1173=216),'Udvaskning nøgletal'!$C$42,IF(AND(Q1173&gt;0,Q1173&lt;30,K1173&gt;7,K1173&lt;17),'Udvaskning nøgletal'!$C$61,IF(AND(Q1173&gt;0,Q1173&lt;30,K1173&lt;7),'Udvaskning nøgletal'!$C$62,"")))</f>
        <v/>
      </c>
      <c r="AI1173" s="10">
        <f t="shared" si="190"/>
        <v>22</v>
      </c>
      <c r="AJ1173" s="10">
        <f>IF($X1173=1,LOOKUP(AI1173,'Udvaskning nøgletal'!$C$12:$C$62,'Udvaskning nøgletal'!$E$12:$E$62)+Markniveau!$Y1173*Markniveau!$S1173/100,IF($X1173=2,LOOKUP(AI1173,'Udvaskning nøgletal'!$C$12:$C$62,'Udvaskning nøgletal'!$F$12:$F$62)+Markniveau!$Y1173*Markniveau!$S1173/100,IF($X1173=3,LOOKUP(AI1173,'Udvaskning nøgletal'!$C$12:$C$62,'Udvaskning nøgletal'!Q1183:Q1233)+Markniveau!$Y1173*Markniveau!$S1173/100,"")))</f>
        <v>69.200779741212841</v>
      </c>
      <c r="AK1173" s="10">
        <f t="shared" si="189"/>
        <v>105.18518520664352</v>
      </c>
      <c r="AL1173" s="10" t="str">
        <f t="shared" si="191"/>
        <v/>
      </c>
      <c r="AM1173" s="10" t="str">
        <f t="shared" si="192"/>
        <v/>
      </c>
    </row>
    <row r="1174" spans="1:39" x14ac:dyDescent="0.25">
      <c r="A1174" s="15">
        <v>35557628</v>
      </c>
      <c r="B1174" s="15">
        <v>9.15</v>
      </c>
      <c r="C1174" s="15">
        <v>280596</v>
      </c>
      <c r="D1174" s="15">
        <v>55926</v>
      </c>
      <c r="E1174" s="15" t="s">
        <v>1008</v>
      </c>
      <c r="F1174" s="15">
        <v>2011</v>
      </c>
      <c r="G1174" s="15">
        <v>20110512</v>
      </c>
      <c r="H1174" s="15">
        <v>123946</v>
      </c>
      <c r="I1174" s="15">
        <v>12.39</v>
      </c>
      <c r="J1174" s="6" t="s">
        <v>63</v>
      </c>
      <c r="K1174" s="15">
        <v>22</v>
      </c>
      <c r="L1174" s="15" t="s">
        <v>213</v>
      </c>
      <c r="M1174" s="15" t="s">
        <v>5</v>
      </c>
      <c r="N1174" s="11" t="s">
        <v>1384</v>
      </c>
      <c r="O1174" s="11" t="s">
        <v>28</v>
      </c>
      <c r="P1174" s="11" t="s">
        <v>33</v>
      </c>
      <c r="Q1174" s="15">
        <v>0</v>
      </c>
      <c r="R1174" s="11" t="s">
        <v>1386</v>
      </c>
      <c r="S1174" s="10">
        <v>90.815594824257005</v>
      </c>
      <c r="T1174" s="15">
        <v>80</v>
      </c>
      <c r="U1174" s="15">
        <v>0</v>
      </c>
      <c r="V1174" s="15">
        <v>0</v>
      </c>
      <c r="W1174" s="15">
        <v>0</v>
      </c>
      <c r="X1174" s="15">
        <f>IF(O1174='Udvaskning nøgletal'!$D$65,1,IF(O1174='Udvaskning nøgletal'!$D$66,2,IF(O1174='Udvaskning nøgletal'!$D$67,3,IF(O1174='Udvaskning nøgletal'!$D$68,2,""))))</f>
        <v>1</v>
      </c>
      <c r="Y1174" s="15">
        <f>LOOKUP(K1174,'Udvaskning nøgletal'!$C$12:$C$60,'Udvaskning nøgletal'!$H$12:$H$60)</f>
        <v>5</v>
      </c>
      <c r="Z1174" s="10">
        <f>IF(X1174=1,LOOKUP(K1174,'Udvaskning nøgletal'!$C$12:$C$60,'Udvaskning nøgletal'!$E$12:$E$60)+Markniveau!Y1174*Markniveau!S1174/100,IF(X1174=2,LOOKUP(K1174,'Udvaskning nøgletal'!$C$12:$C$60,'Udvaskning nøgletal'!$F$12:$F$60)+Markniveau!Y1174*Markniveau!S1174/100,IF(X1174=3,LOOKUP(K1174,'Udvaskning nøgletal'!$C$12:$C$60,'Udvaskning nøgletal'!G1184:G1232)+Markniveau!Y1174*Markniveau!S1174/100,"")))</f>
        <v>69.200779741212841</v>
      </c>
      <c r="AA1174" s="10">
        <f t="shared" si="186"/>
        <v>857.39766099362714</v>
      </c>
      <c r="AB1174" s="10" t="str">
        <f t="shared" si="185"/>
        <v/>
      </c>
      <c r="AC1174" s="10" t="str">
        <f t="shared" si="187"/>
        <v/>
      </c>
      <c r="AD1174" s="10">
        <f>IF(AND(Q1174&gt;0,Q1174&lt;30,K1174&lt;8),Markniveau!Z1174*'Udvaskning nøgletal'!$I$12/100,IF(AND(Q1174&gt;0,Q1174&lt;30,K1174=216),Markniveau!Z1174*'Udvaskning nøgletal'!$I$34/100,Markniveau!Z1174))</f>
        <v>69.200779741212841</v>
      </c>
      <c r="AE1174" s="10">
        <f t="shared" si="193"/>
        <v>857.39766099362714</v>
      </c>
      <c r="AF1174" s="10" t="str">
        <f t="shared" si="188"/>
        <v/>
      </c>
      <c r="AG1174" s="10" t="str">
        <f t="shared" si="194"/>
        <v/>
      </c>
      <c r="AH1174" s="10" t="str">
        <f>IF(AND(Q1174&gt;0,Q1174&lt;30,K1174=216),'Udvaskning nøgletal'!$C$42,IF(AND(Q1174&gt;0,Q1174&lt;30,K1174&gt;7,K1174&lt;17),'Udvaskning nøgletal'!$C$61,IF(AND(Q1174&gt;0,Q1174&lt;30,K1174&lt;7),'Udvaskning nøgletal'!$C$62,"")))</f>
        <v/>
      </c>
      <c r="AI1174" s="10">
        <f t="shared" si="190"/>
        <v>22</v>
      </c>
      <c r="AJ1174" s="10">
        <f>IF($X1174=1,LOOKUP(AI1174,'Udvaskning nøgletal'!$C$12:$C$62,'Udvaskning nøgletal'!$E$12:$E$62)+Markniveau!$Y1174*Markniveau!$S1174/100,IF($X1174=2,LOOKUP(AI1174,'Udvaskning nøgletal'!$C$12:$C$62,'Udvaskning nøgletal'!$F$12:$F$62)+Markniveau!$Y1174*Markniveau!$S1174/100,IF($X1174=3,LOOKUP(AI1174,'Udvaskning nøgletal'!$C$12:$C$62,'Udvaskning nøgletal'!Q1184:Q1234)+Markniveau!$Y1174*Markniveau!$S1174/100,"")))</f>
        <v>69.200779741212841</v>
      </c>
      <c r="AK1174" s="10">
        <f t="shared" si="189"/>
        <v>857.39766099362714</v>
      </c>
      <c r="AL1174" s="10" t="str">
        <f t="shared" si="191"/>
        <v/>
      </c>
      <c r="AM1174" s="10" t="str">
        <f t="shared" si="192"/>
        <v/>
      </c>
    </row>
    <row r="1175" spans="1:39" x14ac:dyDescent="0.25">
      <c r="A1175" s="15">
        <v>35557628</v>
      </c>
      <c r="B1175" s="15">
        <v>9.15</v>
      </c>
      <c r="C1175" s="15">
        <v>280640</v>
      </c>
      <c r="D1175" s="15">
        <v>55926</v>
      </c>
      <c r="E1175" s="15" t="s">
        <v>1009</v>
      </c>
      <c r="F1175" s="15">
        <v>2011</v>
      </c>
      <c r="G1175" s="15">
        <v>20110512</v>
      </c>
      <c r="H1175" s="15">
        <v>18386</v>
      </c>
      <c r="I1175" s="15">
        <v>1.84</v>
      </c>
      <c r="J1175" s="6" t="s">
        <v>1010</v>
      </c>
      <c r="K1175" s="15">
        <v>276</v>
      </c>
      <c r="L1175" s="15" t="s">
        <v>146</v>
      </c>
      <c r="M1175" s="15" t="s">
        <v>4</v>
      </c>
      <c r="N1175" s="11" t="s">
        <v>1468</v>
      </c>
      <c r="O1175" s="11" t="s">
        <v>1011</v>
      </c>
      <c r="P1175" s="11" t="s">
        <v>33</v>
      </c>
      <c r="Q1175" s="15">
        <v>0</v>
      </c>
      <c r="R1175" s="11" t="s">
        <v>1386</v>
      </c>
      <c r="S1175" s="10">
        <v>90.815594824257005</v>
      </c>
      <c r="T1175" s="15">
        <v>80</v>
      </c>
      <c r="U1175" s="15">
        <v>0</v>
      </c>
      <c r="V1175" s="15">
        <v>0</v>
      </c>
      <c r="W1175" s="15">
        <v>0</v>
      </c>
      <c r="X1175" s="15">
        <f>IF(O1175='Udvaskning nøgletal'!$D$65,1,IF(O1175='Udvaskning nøgletal'!$D$66,2,IF(O1175='Udvaskning nøgletal'!$D$67,3,IF(O1175='Udvaskning nøgletal'!$D$68,2,""))))</f>
        <v>3</v>
      </c>
      <c r="Y1175" s="15">
        <f>LOOKUP(K1175,'Udvaskning nøgletal'!$C$12:$C$60,'Udvaskning nøgletal'!$H$12:$H$60)</f>
        <v>0</v>
      </c>
      <c r="Z1175" s="10">
        <f>IF(X1175=1,LOOKUP(K1175,'Udvaskning nøgletal'!$C$12:$C$60,'Udvaskning nøgletal'!$E$12:$E$60)+Markniveau!Y1175*Markniveau!S1175/100,IF(X1175=2,LOOKUP(K1175,'Udvaskning nøgletal'!$C$12:$C$60,'Udvaskning nøgletal'!$F$12:$F$60)+Markniveau!Y1175*Markniveau!S1175/100,IF(X1175=3,LOOKUP(K1175,'Udvaskning nøgletal'!$C$12:$C$60,'Udvaskning nøgletal'!G1185:G1233)+Markniveau!Y1175*Markniveau!S1175/100,"")))</f>
        <v>0</v>
      </c>
      <c r="AA1175" s="10">
        <f t="shared" si="186"/>
        <v>0</v>
      </c>
      <c r="AB1175" s="10" t="str">
        <f t="shared" si="185"/>
        <v/>
      </c>
      <c r="AC1175" s="10" t="str">
        <f t="shared" si="187"/>
        <v/>
      </c>
      <c r="AD1175" s="10">
        <f>IF(AND(Q1175&gt;0,Q1175&lt;30,K1175&lt;8),Markniveau!Z1175*'Udvaskning nøgletal'!$I$12/100,IF(AND(Q1175&gt;0,Q1175&lt;30,K1175=216),Markniveau!Z1175*'Udvaskning nøgletal'!$I$34/100,Markniveau!Z1175))</f>
        <v>0</v>
      </c>
      <c r="AE1175" s="10">
        <f t="shared" si="193"/>
        <v>0</v>
      </c>
      <c r="AF1175" s="10" t="str">
        <f t="shared" si="188"/>
        <v/>
      </c>
      <c r="AG1175" s="10" t="str">
        <f t="shared" si="194"/>
        <v/>
      </c>
      <c r="AH1175" s="10" t="str">
        <f>IF(AND(Q1175&gt;0,Q1175&lt;30,K1175=216),'Udvaskning nøgletal'!$C$42,IF(AND(Q1175&gt;0,Q1175&lt;30,K1175&gt;7,K1175&lt;17),'Udvaskning nøgletal'!$C$61,IF(AND(Q1175&gt;0,Q1175&lt;30,K1175&lt;7),'Udvaskning nøgletal'!$C$62,"")))</f>
        <v/>
      </c>
      <c r="AI1175" s="10">
        <f t="shared" si="190"/>
        <v>276</v>
      </c>
      <c r="AJ1175" s="10">
        <f>IF($X1175=1,LOOKUP(AI1175,'Udvaskning nøgletal'!$C$12:$C$62,'Udvaskning nøgletal'!$E$12:$E$62)+Markniveau!$Y1175*Markniveau!$S1175/100,IF($X1175=2,LOOKUP(AI1175,'Udvaskning nøgletal'!$C$12:$C$62,'Udvaskning nøgletal'!$F$12:$F$62)+Markniveau!$Y1175*Markniveau!$S1175/100,IF($X1175=3,LOOKUP(AI1175,'Udvaskning nøgletal'!$C$12:$C$62,'Udvaskning nøgletal'!Q1185:Q1235)+Markniveau!$Y1175*Markniveau!$S1175/100,"")))</f>
        <v>0</v>
      </c>
      <c r="AK1175" s="10">
        <f t="shared" si="189"/>
        <v>0</v>
      </c>
      <c r="AL1175" s="10" t="str">
        <f t="shared" si="191"/>
        <v/>
      </c>
      <c r="AM1175" s="10" t="str">
        <f t="shared" si="192"/>
        <v/>
      </c>
    </row>
    <row r="1176" spans="1:39" x14ac:dyDescent="0.25">
      <c r="A1176" s="15">
        <v>35557628</v>
      </c>
      <c r="B1176" s="15">
        <v>9.15</v>
      </c>
      <c r="C1176" s="15">
        <v>280641</v>
      </c>
      <c r="D1176" s="15">
        <v>55926</v>
      </c>
      <c r="E1176" s="15" t="s">
        <v>1012</v>
      </c>
      <c r="F1176" s="15">
        <v>2011</v>
      </c>
      <c r="G1176" s="15">
        <v>20110512</v>
      </c>
      <c r="H1176" s="15">
        <v>7050</v>
      </c>
      <c r="I1176" s="15">
        <v>0.71</v>
      </c>
      <c r="J1176" s="6" t="s">
        <v>1013</v>
      </c>
      <c r="K1176" s="15">
        <v>276</v>
      </c>
      <c r="L1176" s="15" t="s">
        <v>146</v>
      </c>
      <c r="M1176" s="15" t="s">
        <v>4</v>
      </c>
      <c r="N1176" s="11" t="s">
        <v>1468</v>
      </c>
      <c r="O1176" s="11" t="s">
        <v>1011</v>
      </c>
      <c r="P1176" s="11" t="s">
        <v>33</v>
      </c>
      <c r="Q1176" s="15">
        <v>0</v>
      </c>
      <c r="R1176" s="11" t="s">
        <v>1386</v>
      </c>
      <c r="S1176" s="10">
        <v>90.815594824257005</v>
      </c>
      <c r="T1176" s="15">
        <v>80</v>
      </c>
      <c r="U1176" s="15">
        <v>0</v>
      </c>
      <c r="V1176" s="15">
        <v>0</v>
      </c>
      <c r="W1176" s="15">
        <v>0</v>
      </c>
      <c r="X1176" s="15">
        <f>IF(O1176='Udvaskning nøgletal'!$D$65,1,IF(O1176='Udvaskning nøgletal'!$D$66,2,IF(O1176='Udvaskning nøgletal'!$D$67,3,IF(O1176='Udvaskning nøgletal'!$D$68,2,""))))</f>
        <v>3</v>
      </c>
      <c r="Y1176" s="15">
        <f>LOOKUP(K1176,'Udvaskning nøgletal'!$C$12:$C$60,'Udvaskning nøgletal'!$H$12:$H$60)</f>
        <v>0</v>
      </c>
      <c r="Z1176" s="10">
        <f>IF(X1176=1,LOOKUP(K1176,'Udvaskning nøgletal'!$C$12:$C$60,'Udvaskning nøgletal'!$E$12:$E$60)+Markniveau!Y1176*Markniveau!S1176/100,IF(X1176=2,LOOKUP(K1176,'Udvaskning nøgletal'!$C$12:$C$60,'Udvaskning nøgletal'!$F$12:$F$60)+Markniveau!Y1176*Markniveau!S1176/100,IF(X1176=3,LOOKUP(K1176,'Udvaskning nøgletal'!$C$12:$C$60,'Udvaskning nøgletal'!G1186:G1234)+Markniveau!Y1176*Markniveau!S1176/100,"")))</f>
        <v>0</v>
      </c>
      <c r="AA1176" s="10">
        <f t="shared" si="186"/>
        <v>0</v>
      </c>
      <c r="AB1176" s="10" t="str">
        <f t="shared" si="185"/>
        <v/>
      </c>
      <c r="AC1176" s="10" t="str">
        <f t="shared" si="187"/>
        <v/>
      </c>
      <c r="AD1176" s="10">
        <f>IF(AND(Q1176&gt;0,Q1176&lt;30,K1176&lt;8),Markniveau!Z1176*'Udvaskning nøgletal'!$I$12/100,IF(AND(Q1176&gt;0,Q1176&lt;30,K1176=216),Markniveau!Z1176*'Udvaskning nøgletal'!$I$34/100,Markniveau!Z1176))</f>
        <v>0</v>
      </c>
      <c r="AE1176" s="10">
        <f t="shared" si="193"/>
        <v>0</v>
      </c>
      <c r="AF1176" s="10" t="str">
        <f t="shared" si="188"/>
        <v/>
      </c>
      <c r="AG1176" s="10" t="str">
        <f t="shared" si="194"/>
        <v/>
      </c>
      <c r="AH1176" s="10" t="str">
        <f>IF(AND(Q1176&gt;0,Q1176&lt;30,K1176=216),'Udvaskning nøgletal'!$C$42,IF(AND(Q1176&gt;0,Q1176&lt;30,K1176&gt;7,K1176&lt;17),'Udvaskning nøgletal'!$C$61,IF(AND(Q1176&gt;0,Q1176&lt;30,K1176&lt;7),'Udvaskning nøgletal'!$C$62,"")))</f>
        <v/>
      </c>
      <c r="AI1176" s="10">
        <f t="shared" si="190"/>
        <v>276</v>
      </c>
      <c r="AJ1176" s="10">
        <f>IF($X1176=1,LOOKUP(AI1176,'Udvaskning nøgletal'!$C$12:$C$62,'Udvaskning nøgletal'!$E$12:$E$62)+Markniveau!$Y1176*Markniveau!$S1176/100,IF($X1176=2,LOOKUP(AI1176,'Udvaskning nøgletal'!$C$12:$C$62,'Udvaskning nøgletal'!$F$12:$F$62)+Markniveau!$Y1176*Markniveau!$S1176/100,IF($X1176=3,LOOKUP(AI1176,'Udvaskning nøgletal'!$C$12:$C$62,'Udvaskning nøgletal'!Q1186:Q1236)+Markniveau!$Y1176*Markniveau!$S1176/100,"")))</f>
        <v>0</v>
      </c>
      <c r="AK1176" s="10">
        <f t="shared" si="189"/>
        <v>0</v>
      </c>
      <c r="AL1176" s="10" t="str">
        <f t="shared" si="191"/>
        <v/>
      </c>
      <c r="AM1176" s="10" t="str">
        <f t="shared" si="192"/>
        <v/>
      </c>
    </row>
    <row r="1177" spans="1:39" x14ac:dyDescent="0.25">
      <c r="A1177" s="15">
        <v>35557628</v>
      </c>
      <c r="B1177" s="15">
        <v>9.15</v>
      </c>
      <c r="C1177" s="15">
        <v>280884</v>
      </c>
      <c r="D1177" s="15">
        <v>55926</v>
      </c>
      <c r="E1177" s="15" t="s">
        <v>1002</v>
      </c>
      <c r="F1177" s="15">
        <v>2011</v>
      </c>
      <c r="G1177" s="15">
        <v>20110512</v>
      </c>
      <c r="H1177" s="15">
        <v>25846</v>
      </c>
      <c r="I1177" s="15">
        <v>2.58</v>
      </c>
      <c r="J1177" s="6" t="s">
        <v>1014</v>
      </c>
      <c r="K1177" s="15">
        <v>11</v>
      </c>
      <c r="L1177" s="15" t="s">
        <v>102</v>
      </c>
      <c r="M1177" s="15" t="s">
        <v>5</v>
      </c>
      <c r="N1177" s="11" t="s">
        <v>1384</v>
      </c>
      <c r="O1177" s="11" t="s">
        <v>28</v>
      </c>
      <c r="P1177" s="11" t="s">
        <v>33</v>
      </c>
      <c r="Q1177" s="15">
        <v>0</v>
      </c>
      <c r="R1177" s="11" t="s">
        <v>1386</v>
      </c>
      <c r="S1177" s="10">
        <v>90.815594824257005</v>
      </c>
      <c r="T1177" s="15">
        <v>80</v>
      </c>
      <c r="U1177" s="15">
        <v>0</v>
      </c>
      <c r="V1177" s="15">
        <v>0</v>
      </c>
      <c r="W1177" s="15">
        <v>0</v>
      </c>
      <c r="X1177" s="15">
        <f>IF(O1177='Udvaskning nøgletal'!$D$65,1,IF(O1177='Udvaskning nøgletal'!$D$66,2,IF(O1177='Udvaskning nøgletal'!$D$67,3,IF(O1177='Udvaskning nøgletal'!$D$68,2,""))))</f>
        <v>1</v>
      </c>
      <c r="Y1177" s="15">
        <f>LOOKUP(K1177,'Udvaskning nøgletal'!$C$12:$C$60,'Udvaskning nøgletal'!$H$12:$H$60)</f>
        <v>5</v>
      </c>
      <c r="Z1177" s="10">
        <f>IF(X1177=1,LOOKUP(K1177,'Udvaskning nøgletal'!$C$12:$C$60,'Udvaskning nøgletal'!$E$12:$E$60)+Markniveau!Y1177*Markniveau!S1177/100,IF(X1177=2,LOOKUP(K1177,'Udvaskning nøgletal'!$C$12:$C$60,'Udvaskning nøgletal'!$F$12:$F$60)+Markniveau!Y1177*Markniveau!S1177/100,IF(X1177=3,LOOKUP(K1177,'Udvaskning nøgletal'!$C$12:$C$60,'Udvaskning nøgletal'!G1187:G1235)+Markniveau!Y1177*Markniveau!S1177/100,"")))</f>
        <v>69.200779741212841</v>
      </c>
      <c r="AA1177" s="10">
        <f t="shared" si="186"/>
        <v>178.53801173232912</v>
      </c>
      <c r="AB1177" s="10" t="str">
        <f t="shared" si="185"/>
        <v/>
      </c>
      <c r="AC1177" s="10" t="str">
        <f t="shared" si="187"/>
        <v/>
      </c>
      <c r="AD1177" s="10">
        <f>IF(AND(Q1177&gt;0,Q1177&lt;30,K1177&lt;8),Markniveau!Z1177*'Udvaskning nøgletal'!$I$12/100,IF(AND(Q1177&gt;0,Q1177&lt;30,K1177=216),Markniveau!Z1177*'Udvaskning nøgletal'!$I$34/100,Markniveau!Z1177))</f>
        <v>69.200779741212841</v>
      </c>
      <c r="AE1177" s="10">
        <f t="shared" si="193"/>
        <v>178.53801173232912</v>
      </c>
      <c r="AF1177" s="10" t="str">
        <f t="shared" si="188"/>
        <v/>
      </c>
      <c r="AG1177" s="10" t="str">
        <f t="shared" si="194"/>
        <v/>
      </c>
      <c r="AH1177" s="10" t="str">
        <f>IF(AND(Q1177&gt;0,Q1177&lt;30,K1177=216),'Udvaskning nøgletal'!$C$42,IF(AND(Q1177&gt;0,Q1177&lt;30,K1177&gt;7,K1177&lt;17),'Udvaskning nøgletal'!$C$61,IF(AND(Q1177&gt;0,Q1177&lt;30,K1177&lt;7),'Udvaskning nøgletal'!$C$62,"")))</f>
        <v/>
      </c>
      <c r="AI1177" s="10">
        <f t="shared" si="190"/>
        <v>11</v>
      </c>
      <c r="AJ1177" s="10">
        <f>IF($X1177=1,LOOKUP(AI1177,'Udvaskning nøgletal'!$C$12:$C$62,'Udvaskning nøgletal'!$E$12:$E$62)+Markniveau!$Y1177*Markniveau!$S1177/100,IF($X1177=2,LOOKUP(AI1177,'Udvaskning nøgletal'!$C$12:$C$62,'Udvaskning nøgletal'!$F$12:$F$62)+Markniveau!$Y1177*Markniveau!$S1177/100,IF($X1177=3,LOOKUP(AI1177,'Udvaskning nøgletal'!$C$12:$C$62,'Udvaskning nøgletal'!Q1187:Q1237)+Markniveau!$Y1177*Markniveau!$S1177/100,"")))</f>
        <v>69.200779741212841</v>
      </c>
      <c r="AK1177" s="10">
        <f t="shared" si="189"/>
        <v>178.53801173232912</v>
      </c>
      <c r="AL1177" s="10" t="str">
        <f t="shared" si="191"/>
        <v/>
      </c>
      <c r="AM1177" s="10" t="str">
        <f t="shared" si="192"/>
        <v/>
      </c>
    </row>
    <row r="1178" spans="1:39" x14ac:dyDescent="0.25">
      <c r="A1178" s="15">
        <v>35557628</v>
      </c>
      <c r="B1178" s="15">
        <v>9.15</v>
      </c>
      <c r="C1178" s="15">
        <v>280956</v>
      </c>
      <c r="D1178" s="15">
        <v>55926</v>
      </c>
      <c r="E1178" s="15" t="s">
        <v>986</v>
      </c>
      <c r="F1178" s="15">
        <v>2011</v>
      </c>
      <c r="G1178" s="15">
        <v>20110512</v>
      </c>
      <c r="H1178" s="15">
        <v>118004</v>
      </c>
      <c r="I1178" s="15">
        <v>11.8</v>
      </c>
      <c r="J1178" s="6" t="s">
        <v>1015</v>
      </c>
      <c r="K1178" s="15">
        <v>15</v>
      </c>
      <c r="L1178" s="15" t="s">
        <v>362</v>
      </c>
      <c r="M1178" s="15" t="s">
        <v>5</v>
      </c>
      <c r="N1178" s="11" t="s">
        <v>1391</v>
      </c>
      <c r="O1178" s="11" t="s">
        <v>46</v>
      </c>
      <c r="P1178" s="11" t="s">
        <v>33</v>
      </c>
      <c r="Q1178" s="15">
        <v>0</v>
      </c>
      <c r="R1178" s="11" t="s">
        <v>1386</v>
      </c>
      <c r="S1178" s="10">
        <v>90.815594824257005</v>
      </c>
      <c r="T1178" s="15">
        <v>80</v>
      </c>
      <c r="U1178" s="15">
        <v>0</v>
      </c>
      <c r="V1178" s="15">
        <v>0</v>
      </c>
      <c r="W1178" s="15">
        <v>0</v>
      </c>
      <c r="X1178" s="15">
        <f>IF(O1178='Udvaskning nøgletal'!$D$65,1,IF(O1178='Udvaskning nøgletal'!$D$66,2,IF(O1178='Udvaskning nøgletal'!$D$67,3,IF(O1178='Udvaskning nøgletal'!$D$68,2,""))))</f>
        <v>2</v>
      </c>
      <c r="Y1178" s="15">
        <f>LOOKUP(K1178,'Udvaskning nøgletal'!$C$12:$C$60,'Udvaskning nøgletal'!$H$12:$H$60)</f>
        <v>5</v>
      </c>
      <c r="Z1178" s="10">
        <f>IF(X1178=1,LOOKUP(K1178,'Udvaskning nøgletal'!$C$12:$C$60,'Udvaskning nøgletal'!$E$12:$E$60)+Markniveau!Y1178*Markniveau!S1178/100,IF(X1178=2,LOOKUP(K1178,'Udvaskning nøgletal'!$C$12:$C$60,'Udvaskning nøgletal'!$F$12:$F$60)+Markniveau!Y1178*Markniveau!S1178/100,IF(X1178=3,LOOKUP(K1178,'Udvaskning nøgletal'!$C$12:$C$60,'Udvaskning nøgletal'!G1188:G1236)+Markniveau!Y1178*Markniveau!S1178/100,"")))</f>
        <v>55.420779741212854</v>
      </c>
      <c r="AA1178" s="10">
        <f t="shared" si="186"/>
        <v>653.96520094631171</v>
      </c>
      <c r="AB1178" s="10" t="str">
        <f t="shared" si="185"/>
        <v/>
      </c>
      <c r="AC1178" s="10" t="str">
        <f t="shared" si="187"/>
        <v/>
      </c>
      <c r="AD1178" s="10">
        <f>IF(AND(Q1178&gt;0,Q1178&lt;30,K1178&lt;8),Markniveau!Z1178*'Udvaskning nøgletal'!$I$12/100,IF(AND(Q1178&gt;0,Q1178&lt;30,K1178=216),Markniveau!Z1178*'Udvaskning nøgletal'!$I$34/100,Markniveau!Z1178))</f>
        <v>55.420779741212854</v>
      </c>
      <c r="AE1178" s="10">
        <f t="shared" si="193"/>
        <v>653.96520094631171</v>
      </c>
      <c r="AF1178" s="10" t="str">
        <f t="shared" si="188"/>
        <v/>
      </c>
      <c r="AG1178" s="10" t="str">
        <f t="shared" si="194"/>
        <v/>
      </c>
      <c r="AH1178" s="10" t="str">
        <f>IF(AND(Q1178&gt;0,Q1178&lt;30,K1178=216),'Udvaskning nøgletal'!$C$42,IF(AND(Q1178&gt;0,Q1178&lt;30,K1178&gt;7,K1178&lt;17),'Udvaskning nøgletal'!$C$61,IF(AND(Q1178&gt;0,Q1178&lt;30,K1178&lt;7),'Udvaskning nøgletal'!$C$62,"")))</f>
        <v/>
      </c>
      <c r="AI1178" s="10">
        <f t="shared" si="190"/>
        <v>15</v>
      </c>
      <c r="AJ1178" s="10">
        <f>IF($X1178=1,LOOKUP(AI1178,'Udvaskning nøgletal'!$C$12:$C$62,'Udvaskning nøgletal'!$E$12:$E$62)+Markniveau!$Y1178*Markniveau!$S1178/100,IF($X1178=2,LOOKUP(AI1178,'Udvaskning nøgletal'!$C$12:$C$62,'Udvaskning nøgletal'!$F$12:$F$62)+Markniveau!$Y1178*Markniveau!$S1178/100,IF($X1178=3,LOOKUP(AI1178,'Udvaskning nøgletal'!$C$12:$C$62,'Udvaskning nøgletal'!Q1188:Q1238)+Markniveau!$Y1178*Markniveau!$S1178/100,"")))</f>
        <v>55.420779741212854</v>
      </c>
      <c r="AK1178" s="10">
        <f t="shared" si="189"/>
        <v>653.96520094631171</v>
      </c>
      <c r="AL1178" s="10" t="str">
        <f t="shared" si="191"/>
        <v/>
      </c>
      <c r="AM1178" s="10" t="str">
        <f t="shared" si="192"/>
        <v/>
      </c>
    </row>
    <row r="1179" spans="1:39" x14ac:dyDescent="0.25">
      <c r="A1179" s="15">
        <v>35557628</v>
      </c>
      <c r="B1179" s="15">
        <v>9.15</v>
      </c>
      <c r="C1179" s="15">
        <v>281049</v>
      </c>
      <c r="D1179" s="15">
        <v>55926</v>
      </c>
      <c r="E1179" s="15" t="s">
        <v>1016</v>
      </c>
      <c r="F1179" s="15">
        <v>2011</v>
      </c>
      <c r="G1179" s="15">
        <v>20110512</v>
      </c>
      <c r="H1179" s="15">
        <v>41617</v>
      </c>
      <c r="I1179" s="15">
        <v>4.16</v>
      </c>
      <c r="J1179" s="6" t="s">
        <v>1017</v>
      </c>
      <c r="K1179" s="15">
        <v>15</v>
      </c>
      <c r="L1179" s="15" t="s">
        <v>362</v>
      </c>
      <c r="M1179" s="15" t="s">
        <v>5</v>
      </c>
      <c r="N1179" s="11" t="s">
        <v>1384</v>
      </c>
      <c r="O1179" s="11" t="s">
        <v>28</v>
      </c>
      <c r="P1179" s="11" t="s">
        <v>33</v>
      </c>
      <c r="Q1179" s="15">
        <v>0</v>
      </c>
      <c r="R1179" s="11" t="s">
        <v>1386</v>
      </c>
      <c r="S1179" s="10">
        <v>90.815594824257005</v>
      </c>
      <c r="T1179" s="15">
        <v>80</v>
      </c>
      <c r="U1179" s="15">
        <v>0</v>
      </c>
      <c r="V1179" s="15">
        <v>0</v>
      </c>
      <c r="W1179" s="15">
        <v>0</v>
      </c>
      <c r="X1179" s="15">
        <f>IF(O1179='Udvaskning nøgletal'!$D$65,1,IF(O1179='Udvaskning nøgletal'!$D$66,2,IF(O1179='Udvaskning nøgletal'!$D$67,3,IF(O1179='Udvaskning nøgletal'!$D$68,2,""))))</f>
        <v>1</v>
      </c>
      <c r="Y1179" s="15">
        <f>LOOKUP(K1179,'Udvaskning nøgletal'!$C$12:$C$60,'Udvaskning nøgletal'!$H$12:$H$60)</f>
        <v>5</v>
      </c>
      <c r="Z1179" s="10">
        <f>IF(X1179=1,LOOKUP(K1179,'Udvaskning nøgletal'!$C$12:$C$60,'Udvaskning nøgletal'!$E$12:$E$60)+Markniveau!Y1179*Markniveau!S1179/100,IF(X1179=2,LOOKUP(K1179,'Udvaskning nøgletal'!$C$12:$C$60,'Udvaskning nøgletal'!$F$12:$F$60)+Markniveau!Y1179*Markniveau!S1179/100,IF(X1179=3,LOOKUP(K1179,'Udvaskning nøgletal'!$C$12:$C$60,'Udvaskning nøgletal'!G1189:G1237)+Markniveau!Y1179*Markniveau!S1179/100,"")))</f>
        <v>69.200779741212841</v>
      </c>
      <c r="AA1179" s="10">
        <f t="shared" si="186"/>
        <v>287.87524372344541</v>
      </c>
      <c r="AB1179" s="10" t="str">
        <f t="shared" si="185"/>
        <v/>
      </c>
      <c r="AC1179" s="10" t="str">
        <f t="shared" si="187"/>
        <v/>
      </c>
      <c r="AD1179" s="10">
        <f>IF(AND(Q1179&gt;0,Q1179&lt;30,K1179&lt;8),Markniveau!Z1179*'Udvaskning nøgletal'!$I$12/100,IF(AND(Q1179&gt;0,Q1179&lt;30,K1179=216),Markniveau!Z1179*'Udvaskning nøgletal'!$I$34/100,Markniveau!Z1179))</f>
        <v>69.200779741212841</v>
      </c>
      <c r="AE1179" s="10">
        <f t="shared" si="193"/>
        <v>287.87524372344541</v>
      </c>
      <c r="AF1179" s="10" t="str">
        <f t="shared" si="188"/>
        <v/>
      </c>
      <c r="AG1179" s="10" t="str">
        <f t="shared" si="194"/>
        <v/>
      </c>
      <c r="AH1179" s="10" t="str">
        <f>IF(AND(Q1179&gt;0,Q1179&lt;30,K1179=216),'Udvaskning nøgletal'!$C$42,IF(AND(Q1179&gt;0,Q1179&lt;30,K1179&gt;7,K1179&lt;17),'Udvaskning nøgletal'!$C$61,IF(AND(Q1179&gt;0,Q1179&lt;30,K1179&lt;7),'Udvaskning nøgletal'!$C$62,"")))</f>
        <v/>
      </c>
      <c r="AI1179" s="10">
        <f t="shared" si="190"/>
        <v>15</v>
      </c>
      <c r="AJ1179" s="10">
        <f>IF($X1179=1,LOOKUP(AI1179,'Udvaskning nøgletal'!$C$12:$C$62,'Udvaskning nøgletal'!$E$12:$E$62)+Markniveau!$Y1179*Markniveau!$S1179/100,IF($X1179=2,LOOKUP(AI1179,'Udvaskning nøgletal'!$C$12:$C$62,'Udvaskning nøgletal'!$F$12:$F$62)+Markniveau!$Y1179*Markniveau!$S1179/100,IF($X1179=3,LOOKUP(AI1179,'Udvaskning nøgletal'!$C$12:$C$62,'Udvaskning nøgletal'!Q1189:Q1239)+Markniveau!$Y1179*Markniveau!$S1179/100,"")))</f>
        <v>69.200779741212841</v>
      </c>
      <c r="AK1179" s="10">
        <f t="shared" si="189"/>
        <v>287.87524372344541</v>
      </c>
      <c r="AL1179" s="10" t="str">
        <f t="shared" si="191"/>
        <v/>
      </c>
      <c r="AM1179" s="10" t="str">
        <f t="shared" si="192"/>
        <v/>
      </c>
    </row>
    <row r="1180" spans="1:39" x14ac:dyDescent="0.25">
      <c r="A1180" s="15">
        <v>35557628</v>
      </c>
      <c r="B1180" s="15">
        <v>9.15</v>
      </c>
      <c r="C1180" s="15">
        <v>281082</v>
      </c>
      <c r="D1180" s="15">
        <v>55926</v>
      </c>
      <c r="E1180" s="15" t="s">
        <v>1018</v>
      </c>
      <c r="F1180" s="15">
        <v>2011</v>
      </c>
      <c r="G1180" s="15">
        <v>20110512</v>
      </c>
      <c r="H1180" s="15">
        <v>76790</v>
      </c>
      <c r="I1180" s="15">
        <v>7.68</v>
      </c>
      <c r="J1180" s="6" t="s">
        <v>1019</v>
      </c>
      <c r="K1180" s="15">
        <v>152</v>
      </c>
      <c r="L1180" s="15" t="s">
        <v>333</v>
      </c>
      <c r="M1180" s="15" t="s">
        <v>5</v>
      </c>
      <c r="N1180" s="11" t="s">
        <v>1384</v>
      </c>
      <c r="O1180" s="11" t="s">
        <v>28</v>
      </c>
      <c r="P1180" s="11" t="s">
        <v>33</v>
      </c>
      <c r="Q1180" s="15">
        <v>0</v>
      </c>
      <c r="R1180" s="11" t="s">
        <v>1386</v>
      </c>
      <c r="S1180" s="10">
        <v>90.815594824257005</v>
      </c>
      <c r="T1180" s="15">
        <v>80</v>
      </c>
      <c r="U1180" s="15">
        <v>0</v>
      </c>
      <c r="V1180" s="15">
        <v>0</v>
      </c>
      <c r="W1180" s="15">
        <v>0</v>
      </c>
      <c r="X1180" s="15">
        <f>IF(O1180='Udvaskning nøgletal'!$D$65,1,IF(O1180='Udvaskning nøgletal'!$D$66,2,IF(O1180='Udvaskning nøgletal'!$D$67,3,IF(O1180='Udvaskning nøgletal'!$D$68,2,""))))</f>
        <v>1</v>
      </c>
      <c r="Y1180" s="15">
        <f>LOOKUP(K1180,'Udvaskning nøgletal'!$C$12:$C$60,'Udvaskning nøgletal'!$H$12:$H$60)</f>
        <v>5</v>
      </c>
      <c r="Z1180" s="10">
        <f>IF(X1180=1,LOOKUP(K1180,'Udvaskning nøgletal'!$C$12:$C$60,'Udvaskning nøgletal'!$E$12:$E$60)+Markniveau!Y1180*Markniveau!S1180/100,IF(X1180=2,LOOKUP(K1180,'Udvaskning nøgletal'!$C$12:$C$60,'Udvaskning nøgletal'!$F$12:$F$60)+Markniveau!Y1180*Markniveau!S1180/100,IF(X1180=3,LOOKUP(K1180,'Udvaskning nøgletal'!$C$12:$C$60,'Udvaskning nøgletal'!G1190:G1238)+Markniveau!Y1180*Markniveau!S1180/100,"")))</f>
        <v>69.200779741212841</v>
      </c>
      <c r="AA1180" s="10">
        <f t="shared" si="186"/>
        <v>531.46198841251464</v>
      </c>
      <c r="AB1180" s="10" t="str">
        <f t="shared" si="185"/>
        <v/>
      </c>
      <c r="AC1180" s="10" t="str">
        <f t="shared" si="187"/>
        <v/>
      </c>
      <c r="AD1180" s="10">
        <f>IF(AND(Q1180&gt;0,Q1180&lt;30,K1180&lt;8),Markniveau!Z1180*'Udvaskning nøgletal'!$I$12/100,IF(AND(Q1180&gt;0,Q1180&lt;30,K1180=216),Markniveau!Z1180*'Udvaskning nøgletal'!$I$34/100,Markniveau!Z1180))</f>
        <v>69.200779741212841</v>
      </c>
      <c r="AE1180" s="10">
        <f t="shared" si="193"/>
        <v>531.46198841251464</v>
      </c>
      <c r="AF1180" s="10" t="str">
        <f t="shared" si="188"/>
        <v/>
      </c>
      <c r="AG1180" s="10" t="str">
        <f t="shared" si="194"/>
        <v/>
      </c>
      <c r="AH1180" s="10" t="str">
        <f>IF(AND(Q1180&gt;0,Q1180&lt;30,K1180=216),'Udvaskning nøgletal'!$C$42,IF(AND(Q1180&gt;0,Q1180&lt;30,K1180&gt;7,K1180&lt;17),'Udvaskning nøgletal'!$C$61,IF(AND(Q1180&gt;0,Q1180&lt;30,K1180&lt;7),'Udvaskning nøgletal'!$C$62,"")))</f>
        <v/>
      </c>
      <c r="AI1180" s="10">
        <f t="shared" si="190"/>
        <v>152</v>
      </c>
      <c r="AJ1180" s="10">
        <f>IF($X1180=1,LOOKUP(AI1180,'Udvaskning nøgletal'!$C$12:$C$62,'Udvaskning nøgletal'!$E$12:$E$62)+Markniveau!$Y1180*Markniveau!$S1180/100,IF($X1180=2,LOOKUP(AI1180,'Udvaskning nøgletal'!$C$12:$C$62,'Udvaskning nøgletal'!$F$12:$F$62)+Markniveau!$Y1180*Markniveau!$S1180/100,IF($X1180=3,LOOKUP(AI1180,'Udvaskning nøgletal'!$C$12:$C$62,'Udvaskning nøgletal'!Q1190:Q1240)+Markniveau!$Y1180*Markniveau!$S1180/100,"")))</f>
        <v>69.200779741212841</v>
      </c>
      <c r="AK1180" s="10">
        <f t="shared" si="189"/>
        <v>531.46198841251464</v>
      </c>
      <c r="AL1180" s="10" t="str">
        <f t="shared" si="191"/>
        <v/>
      </c>
      <c r="AM1180" s="10" t="str">
        <f t="shared" si="192"/>
        <v/>
      </c>
    </row>
    <row r="1181" spans="1:39" x14ac:dyDescent="0.25">
      <c r="A1181" s="15">
        <v>35557628</v>
      </c>
      <c r="B1181" s="15">
        <v>9.15</v>
      </c>
      <c r="C1181" s="15">
        <v>281540</v>
      </c>
      <c r="D1181" s="15">
        <v>55926</v>
      </c>
      <c r="E1181" s="15" t="s">
        <v>1020</v>
      </c>
      <c r="F1181" s="15">
        <v>2011</v>
      </c>
      <c r="G1181" s="15">
        <v>20110512</v>
      </c>
      <c r="H1181" s="15">
        <v>56258</v>
      </c>
      <c r="I1181" s="15">
        <v>5.63</v>
      </c>
      <c r="J1181" s="6" t="s">
        <v>1021</v>
      </c>
      <c r="K1181" s="15">
        <v>22</v>
      </c>
      <c r="L1181" s="15" t="s">
        <v>213</v>
      </c>
      <c r="M1181" s="15" t="s">
        <v>5</v>
      </c>
      <c r="N1181" s="11" t="s">
        <v>1384</v>
      </c>
      <c r="O1181" s="11" t="s">
        <v>28</v>
      </c>
      <c r="P1181" s="11" t="s">
        <v>33</v>
      </c>
      <c r="Q1181" s="15">
        <v>0</v>
      </c>
      <c r="R1181" s="11" t="s">
        <v>1386</v>
      </c>
      <c r="S1181" s="10">
        <v>90.815594824257005</v>
      </c>
      <c r="T1181" s="15">
        <v>80</v>
      </c>
      <c r="U1181" s="15">
        <v>0</v>
      </c>
      <c r="V1181" s="15">
        <v>0</v>
      </c>
      <c r="W1181" s="15">
        <v>0</v>
      </c>
      <c r="X1181" s="15">
        <f>IF(O1181='Udvaskning nøgletal'!$D$65,1,IF(O1181='Udvaskning nøgletal'!$D$66,2,IF(O1181='Udvaskning nøgletal'!$D$67,3,IF(O1181='Udvaskning nøgletal'!$D$68,2,""))))</f>
        <v>1</v>
      </c>
      <c r="Y1181" s="15">
        <f>LOOKUP(K1181,'Udvaskning nøgletal'!$C$12:$C$60,'Udvaskning nøgletal'!$H$12:$H$60)</f>
        <v>5</v>
      </c>
      <c r="Z1181" s="10">
        <f>IF(X1181=1,LOOKUP(K1181,'Udvaskning nøgletal'!$C$12:$C$60,'Udvaskning nøgletal'!$E$12:$E$60)+Markniveau!Y1181*Markniveau!S1181/100,IF(X1181=2,LOOKUP(K1181,'Udvaskning nøgletal'!$C$12:$C$60,'Udvaskning nøgletal'!$F$12:$F$60)+Markniveau!Y1181*Markniveau!S1181/100,IF(X1181=3,LOOKUP(K1181,'Udvaskning nøgletal'!$C$12:$C$60,'Udvaskning nøgletal'!G1191:G1239)+Markniveau!Y1181*Markniveau!S1181/100,"")))</f>
        <v>69.200779741212841</v>
      </c>
      <c r="AA1181" s="10">
        <f t="shared" si="186"/>
        <v>389.60038994302829</v>
      </c>
      <c r="AB1181" s="10" t="str">
        <f t="shared" si="185"/>
        <v/>
      </c>
      <c r="AC1181" s="10" t="str">
        <f t="shared" si="187"/>
        <v/>
      </c>
      <c r="AD1181" s="10">
        <f>IF(AND(Q1181&gt;0,Q1181&lt;30,K1181&lt;8),Markniveau!Z1181*'Udvaskning nøgletal'!$I$12/100,IF(AND(Q1181&gt;0,Q1181&lt;30,K1181=216),Markniveau!Z1181*'Udvaskning nøgletal'!$I$34/100,Markniveau!Z1181))</f>
        <v>69.200779741212841</v>
      </c>
      <c r="AE1181" s="10">
        <f t="shared" si="193"/>
        <v>389.60038994302829</v>
      </c>
      <c r="AF1181" s="10" t="str">
        <f t="shared" si="188"/>
        <v/>
      </c>
      <c r="AG1181" s="10" t="str">
        <f t="shared" si="194"/>
        <v/>
      </c>
      <c r="AH1181" s="10" t="str">
        <f>IF(AND(Q1181&gt;0,Q1181&lt;30,K1181=216),'Udvaskning nøgletal'!$C$42,IF(AND(Q1181&gt;0,Q1181&lt;30,K1181&gt;7,K1181&lt;17),'Udvaskning nøgletal'!$C$61,IF(AND(Q1181&gt;0,Q1181&lt;30,K1181&lt;7),'Udvaskning nøgletal'!$C$62,"")))</f>
        <v/>
      </c>
      <c r="AI1181" s="10">
        <f t="shared" si="190"/>
        <v>22</v>
      </c>
      <c r="AJ1181" s="10">
        <f>IF($X1181=1,LOOKUP(AI1181,'Udvaskning nøgletal'!$C$12:$C$62,'Udvaskning nøgletal'!$E$12:$E$62)+Markniveau!$Y1181*Markniveau!$S1181/100,IF($X1181=2,LOOKUP(AI1181,'Udvaskning nøgletal'!$C$12:$C$62,'Udvaskning nøgletal'!$F$12:$F$62)+Markniveau!$Y1181*Markniveau!$S1181/100,IF($X1181=3,LOOKUP(AI1181,'Udvaskning nøgletal'!$C$12:$C$62,'Udvaskning nøgletal'!Q1191:Q1241)+Markniveau!$Y1181*Markniveau!$S1181/100,"")))</f>
        <v>69.200779741212841</v>
      </c>
      <c r="AK1181" s="10">
        <f t="shared" si="189"/>
        <v>389.60038994302829</v>
      </c>
      <c r="AL1181" s="10" t="str">
        <f t="shared" si="191"/>
        <v/>
      </c>
      <c r="AM1181" s="10" t="str">
        <f t="shared" si="192"/>
        <v/>
      </c>
    </row>
    <row r="1182" spans="1:39" x14ac:dyDescent="0.25">
      <c r="A1182" s="15">
        <v>35557628</v>
      </c>
      <c r="B1182" s="15">
        <v>9.15</v>
      </c>
      <c r="C1182" s="15">
        <v>281631</v>
      </c>
      <c r="D1182" s="15">
        <v>55926</v>
      </c>
      <c r="E1182" s="15" t="s">
        <v>211</v>
      </c>
      <c r="F1182" s="15">
        <v>2011</v>
      </c>
      <c r="G1182" s="15">
        <v>20110512</v>
      </c>
      <c r="H1182" s="15">
        <v>83763</v>
      </c>
      <c r="I1182" s="15">
        <v>8.3800000000000008</v>
      </c>
      <c r="J1182" s="6" t="s">
        <v>1022</v>
      </c>
      <c r="K1182" s="15">
        <v>152</v>
      </c>
      <c r="L1182" s="15" t="s">
        <v>333</v>
      </c>
      <c r="M1182" s="15" t="s">
        <v>5</v>
      </c>
      <c r="N1182" s="11" t="s">
        <v>1384</v>
      </c>
      <c r="O1182" s="11" t="s">
        <v>28</v>
      </c>
      <c r="P1182" s="11" t="s">
        <v>33</v>
      </c>
      <c r="Q1182" s="15">
        <v>0</v>
      </c>
      <c r="R1182" s="11" t="s">
        <v>1386</v>
      </c>
      <c r="S1182" s="10">
        <v>90.815594824257005</v>
      </c>
      <c r="T1182" s="15">
        <v>80</v>
      </c>
      <c r="U1182" s="15">
        <v>0</v>
      </c>
      <c r="V1182" s="15">
        <v>0</v>
      </c>
      <c r="W1182" s="15">
        <v>0</v>
      </c>
      <c r="X1182" s="15">
        <f>IF(O1182='Udvaskning nøgletal'!$D$65,1,IF(O1182='Udvaskning nøgletal'!$D$66,2,IF(O1182='Udvaskning nøgletal'!$D$67,3,IF(O1182='Udvaskning nøgletal'!$D$68,2,""))))</f>
        <v>1</v>
      </c>
      <c r="Y1182" s="15">
        <f>LOOKUP(K1182,'Udvaskning nøgletal'!$C$12:$C$60,'Udvaskning nøgletal'!$H$12:$H$60)</f>
        <v>5</v>
      </c>
      <c r="Z1182" s="10">
        <f>IF(X1182=1,LOOKUP(K1182,'Udvaskning nøgletal'!$C$12:$C$60,'Udvaskning nøgletal'!$E$12:$E$60)+Markniveau!Y1182*Markniveau!S1182/100,IF(X1182=2,LOOKUP(K1182,'Udvaskning nøgletal'!$C$12:$C$60,'Udvaskning nøgletal'!$F$12:$F$60)+Markniveau!Y1182*Markniveau!S1182/100,IF(X1182=3,LOOKUP(K1182,'Udvaskning nøgletal'!$C$12:$C$60,'Udvaskning nøgletal'!G1192:G1240)+Markniveau!Y1182*Markniveau!S1182/100,"")))</f>
        <v>69.200779741212841</v>
      </c>
      <c r="AA1182" s="10">
        <f t="shared" si="186"/>
        <v>579.90253423136369</v>
      </c>
      <c r="AB1182" s="10" t="str">
        <f t="shared" si="185"/>
        <v/>
      </c>
      <c r="AC1182" s="10" t="str">
        <f t="shared" si="187"/>
        <v/>
      </c>
      <c r="AD1182" s="10">
        <f>IF(AND(Q1182&gt;0,Q1182&lt;30,K1182&lt;8),Markniveau!Z1182*'Udvaskning nøgletal'!$I$12/100,IF(AND(Q1182&gt;0,Q1182&lt;30,K1182=216),Markniveau!Z1182*'Udvaskning nøgletal'!$I$34/100,Markniveau!Z1182))</f>
        <v>69.200779741212841</v>
      </c>
      <c r="AE1182" s="10">
        <f t="shared" si="193"/>
        <v>579.90253423136369</v>
      </c>
      <c r="AF1182" s="10" t="str">
        <f t="shared" si="188"/>
        <v/>
      </c>
      <c r="AG1182" s="10" t="str">
        <f t="shared" si="194"/>
        <v/>
      </c>
      <c r="AH1182" s="10" t="str">
        <f>IF(AND(Q1182&gt;0,Q1182&lt;30,K1182=216),'Udvaskning nøgletal'!$C$42,IF(AND(Q1182&gt;0,Q1182&lt;30,K1182&gt;7,K1182&lt;17),'Udvaskning nøgletal'!$C$61,IF(AND(Q1182&gt;0,Q1182&lt;30,K1182&lt;7),'Udvaskning nøgletal'!$C$62,"")))</f>
        <v/>
      </c>
      <c r="AI1182" s="10">
        <f t="shared" si="190"/>
        <v>152</v>
      </c>
      <c r="AJ1182" s="10">
        <f>IF($X1182=1,LOOKUP(AI1182,'Udvaskning nøgletal'!$C$12:$C$62,'Udvaskning nøgletal'!$E$12:$E$62)+Markniveau!$Y1182*Markniveau!$S1182/100,IF($X1182=2,LOOKUP(AI1182,'Udvaskning nøgletal'!$C$12:$C$62,'Udvaskning nøgletal'!$F$12:$F$62)+Markniveau!$Y1182*Markniveau!$S1182/100,IF($X1182=3,LOOKUP(AI1182,'Udvaskning nøgletal'!$C$12:$C$62,'Udvaskning nøgletal'!Q1192:Q1242)+Markniveau!$Y1182*Markniveau!$S1182/100,"")))</f>
        <v>69.200779741212841</v>
      </c>
      <c r="AK1182" s="10">
        <f t="shared" si="189"/>
        <v>579.90253423136369</v>
      </c>
      <c r="AL1182" s="10" t="str">
        <f t="shared" si="191"/>
        <v/>
      </c>
      <c r="AM1182" s="10" t="str">
        <f t="shared" si="192"/>
        <v/>
      </c>
    </row>
    <row r="1183" spans="1:39" x14ac:dyDescent="0.25">
      <c r="A1183" s="15">
        <v>35557628</v>
      </c>
      <c r="B1183" s="15">
        <v>9.15</v>
      </c>
      <c r="C1183" s="15">
        <v>281921</v>
      </c>
      <c r="D1183" s="15">
        <v>55926</v>
      </c>
      <c r="E1183" s="15" t="s">
        <v>996</v>
      </c>
      <c r="F1183" s="15">
        <v>2011</v>
      </c>
      <c r="G1183" s="15">
        <v>20110512</v>
      </c>
      <c r="H1183" s="15">
        <v>31382</v>
      </c>
      <c r="I1183" s="15">
        <v>3.14</v>
      </c>
      <c r="J1183" s="6" t="s">
        <v>1023</v>
      </c>
      <c r="K1183" s="15">
        <v>22</v>
      </c>
      <c r="L1183" s="15" t="s">
        <v>213</v>
      </c>
      <c r="M1183" s="15" t="s">
        <v>5</v>
      </c>
      <c r="N1183" s="11" t="s">
        <v>1384</v>
      </c>
      <c r="O1183" s="11" t="s">
        <v>28</v>
      </c>
      <c r="P1183" s="11" t="s">
        <v>33</v>
      </c>
      <c r="Q1183" s="15">
        <v>0</v>
      </c>
      <c r="R1183" s="11" t="s">
        <v>1386</v>
      </c>
      <c r="S1183" s="10">
        <v>90.815594824257005</v>
      </c>
      <c r="T1183" s="15">
        <v>80</v>
      </c>
      <c r="U1183" s="15">
        <v>0</v>
      </c>
      <c r="V1183" s="15">
        <v>0</v>
      </c>
      <c r="W1183" s="15">
        <v>0</v>
      </c>
      <c r="X1183" s="15">
        <f>IF(O1183='Udvaskning nøgletal'!$D$65,1,IF(O1183='Udvaskning nøgletal'!$D$66,2,IF(O1183='Udvaskning nøgletal'!$D$67,3,IF(O1183='Udvaskning nøgletal'!$D$68,2,""))))</f>
        <v>1</v>
      </c>
      <c r="Y1183" s="15">
        <f>LOOKUP(K1183,'Udvaskning nøgletal'!$C$12:$C$60,'Udvaskning nøgletal'!$H$12:$H$60)</f>
        <v>5</v>
      </c>
      <c r="Z1183" s="10">
        <f>IF(X1183=1,LOOKUP(K1183,'Udvaskning nøgletal'!$C$12:$C$60,'Udvaskning nøgletal'!$E$12:$E$60)+Markniveau!Y1183*Markniveau!S1183/100,IF(X1183=2,LOOKUP(K1183,'Udvaskning nøgletal'!$C$12:$C$60,'Udvaskning nøgletal'!$F$12:$F$60)+Markniveau!Y1183*Markniveau!S1183/100,IF(X1183=3,LOOKUP(K1183,'Udvaskning nøgletal'!$C$12:$C$60,'Udvaskning nøgletal'!G1193:G1241)+Markniveau!Y1183*Markniveau!S1183/100,"")))</f>
        <v>69.200779741212841</v>
      </c>
      <c r="AA1183" s="10">
        <f t="shared" si="186"/>
        <v>217.29044838740833</v>
      </c>
      <c r="AB1183" s="10" t="str">
        <f t="shared" si="185"/>
        <v/>
      </c>
      <c r="AC1183" s="10" t="str">
        <f t="shared" si="187"/>
        <v/>
      </c>
      <c r="AD1183" s="10">
        <f>IF(AND(Q1183&gt;0,Q1183&lt;30,K1183&lt;8),Markniveau!Z1183*'Udvaskning nøgletal'!$I$12/100,IF(AND(Q1183&gt;0,Q1183&lt;30,K1183=216),Markniveau!Z1183*'Udvaskning nøgletal'!$I$34/100,Markniveau!Z1183))</f>
        <v>69.200779741212841</v>
      </c>
      <c r="AE1183" s="10">
        <f t="shared" si="193"/>
        <v>217.29044838740833</v>
      </c>
      <c r="AF1183" s="10" t="str">
        <f t="shared" si="188"/>
        <v/>
      </c>
      <c r="AG1183" s="10" t="str">
        <f t="shared" si="194"/>
        <v/>
      </c>
      <c r="AH1183" s="10" t="str">
        <f>IF(AND(Q1183&gt;0,Q1183&lt;30,K1183=216),'Udvaskning nøgletal'!$C$42,IF(AND(Q1183&gt;0,Q1183&lt;30,K1183&gt;7,K1183&lt;17),'Udvaskning nøgletal'!$C$61,IF(AND(Q1183&gt;0,Q1183&lt;30,K1183&lt;7),'Udvaskning nøgletal'!$C$62,"")))</f>
        <v/>
      </c>
      <c r="AI1183" s="10">
        <f t="shared" si="190"/>
        <v>22</v>
      </c>
      <c r="AJ1183" s="10">
        <f>IF($X1183=1,LOOKUP(AI1183,'Udvaskning nøgletal'!$C$12:$C$62,'Udvaskning nøgletal'!$E$12:$E$62)+Markniveau!$Y1183*Markniveau!$S1183/100,IF($X1183=2,LOOKUP(AI1183,'Udvaskning nøgletal'!$C$12:$C$62,'Udvaskning nøgletal'!$F$12:$F$62)+Markniveau!$Y1183*Markniveau!$S1183/100,IF($X1183=3,LOOKUP(AI1183,'Udvaskning nøgletal'!$C$12:$C$62,'Udvaskning nøgletal'!Q1193:Q1243)+Markniveau!$Y1183*Markniveau!$S1183/100,"")))</f>
        <v>69.200779741212841</v>
      </c>
      <c r="AK1183" s="10">
        <f t="shared" si="189"/>
        <v>217.29044838740833</v>
      </c>
      <c r="AL1183" s="10" t="str">
        <f t="shared" si="191"/>
        <v/>
      </c>
      <c r="AM1183" s="10" t="str">
        <f t="shared" si="192"/>
        <v/>
      </c>
    </row>
    <row r="1184" spans="1:39" x14ac:dyDescent="0.25">
      <c r="A1184" s="15">
        <v>35557628</v>
      </c>
      <c r="B1184" s="15">
        <v>9.15</v>
      </c>
      <c r="C1184" s="15">
        <v>282175</v>
      </c>
      <c r="D1184" s="15">
        <v>55926</v>
      </c>
      <c r="E1184" s="15" t="s">
        <v>1024</v>
      </c>
      <c r="F1184" s="15">
        <v>2011</v>
      </c>
      <c r="G1184" s="15">
        <v>20110512</v>
      </c>
      <c r="H1184" s="15">
        <v>6958</v>
      </c>
      <c r="I1184" s="15">
        <v>0.7</v>
      </c>
      <c r="J1184" s="6" t="s">
        <v>1025</v>
      </c>
      <c r="K1184" s="15">
        <v>276</v>
      </c>
      <c r="L1184" s="15" t="s">
        <v>146</v>
      </c>
      <c r="M1184" s="15" t="s">
        <v>4</v>
      </c>
      <c r="N1184" s="11" t="s">
        <v>1468</v>
      </c>
      <c r="O1184" s="11" t="s">
        <v>1011</v>
      </c>
      <c r="P1184" s="11" t="s">
        <v>33</v>
      </c>
      <c r="Q1184" s="15">
        <v>0</v>
      </c>
      <c r="R1184" s="11" t="s">
        <v>1386</v>
      </c>
      <c r="S1184" s="10">
        <v>90.815594824257005</v>
      </c>
      <c r="T1184" s="15">
        <v>80</v>
      </c>
      <c r="U1184" s="15">
        <v>0</v>
      </c>
      <c r="V1184" s="15">
        <v>0</v>
      </c>
      <c r="W1184" s="15">
        <v>0</v>
      </c>
      <c r="X1184" s="15">
        <f>IF(O1184='Udvaskning nøgletal'!$D$65,1,IF(O1184='Udvaskning nøgletal'!$D$66,2,IF(O1184='Udvaskning nøgletal'!$D$67,3,IF(O1184='Udvaskning nøgletal'!$D$68,2,""))))</f>
        <v>3</v>
      </c>
      <c r="Y1184" s="15">
        <f>LOOKUP(K1184,'Udvaskning nøgletal'!$C$12:$C$60,'Udvaskning nøgletal'!$H$12:$H$60)</f>
        <v>0</v>
      </c>
      <c r="Z1184" s="10">
        <f>IF(X1184=1,LOOKUP(K1184,'Udvaskning nøgletal'!$C$12:$C$60,'Udvaskning nøgletal'!$E$12:$E$60)+Markniveau!Y1184*Markniveau!S1184/100,IF(X1184=2,LOOKUP(K1184,'Udvaskning nøgletal'!$C$12:$C$60,'Udvaskning nøgletal'!$F$12:$F$60)+Markniveau!Y1184*Markniveau!S1184/100,IF(X1184=3,LOOKUP(K1184,'Udvaskning nøgletal'!$C$12:$C$60,'Udvaskning nøgletal'!G1194:G1242)+Markniveau!Y1184*Markniveau!S1184/100,"")))</f>
        <v>0</v>
      </c>
      <c r="AA1184" s="10">
        <f t="shared" si="186"/>
        <v>0</v>
      </c>
      <c r="AB1184" s="10" t="str">
        <f t="shared" si="185"/>
        <v/>
      </c>
      <c r="AC1184" s="10" t="str">
        <f t="shared" si="187"/>
        <v/>
      </c>
      <c r="AD1184" s="10">
        <f>IF(AND(Q1184&gt;0,Q1184&lt;30,K1184&lt;8),Markniveau!Z1184*'Udvaskning nøgletal'!$I$12/100,IF(AND(Q1184&gt;0,Q1184&lt;30,K1184=216),Markniveau!Z1184*'Udvaskning nøgletal'!$I$34/100,Markniveau!Z1184))</f>
        <v>0</v>
      </c>
      <c r="AE1184" s="10">
        <f t="shared" si="193"/>
        <v>0</v>
      </c>
      <c r="AF1184" s="10" t="str">
        <f t="shared" si="188"/>
        <v/>
      </c>
      <c r="AG1184" s="10" t="str">
        <f t="shared" si="194"/>
        <v/>
      </c>
      <c r="AH1184" s="10" t="str">
        <f>IF(AND(Q1184&gt;0,Q1184&lt;30,K1184=216),'Udvaskning nøgletal'!$C$42,IF(AND(Q1184&gt;0,Q1184&lt;30,K1184&gt;7,K1184&lt;17),'Udvaskning nøgletal'!$C$61,IF(AND(Q1184&gt;0,Q1184&lt;30,K1184&lt;7),'Udvaskning nøgletal'!$C$62,"")))</f>
        <v/>
      </c>
      <c r="AI1184" s="10">
        <f t="shared" si="190"/>
        <v>276</v>
      </c>
      <c r="AJ1184" s="10">
        <f>IF($X1184=1,LOOKUP(AI1184,'Udvaskning nøgletal'!$C$12:$C$62,'Udvaskning nøgletal'!$E$12:$E$62)+Markniveau!$Y1184*Markniveau!$S1184/100,IF($X1184=2,LOOKUP(AI1184,'Udvaskning nøgletal'!$C$12:$C$62,'Udvaskning nøgletal'!$F$12:$F$62)+Markniveau!$Y1184*Markniveau!$S1184/100,IF($X1184=3,LOOKUP(AI1184,'Udvaskning nøgletal'!$C$12:$C$62,'Udvaskning nøgletal'!Q1194:Q1244)+Markniveau!$Y1184*Markniveau!$S1184/100,"")))</f>
        <v>0</v>
      </c>
      <c r="AK1184" s="10">
        <f t="shared" si="189"/>
        <v>0</v>
      </c>
      <c r="AL1184" s="10" t="str">
        <f t="shared" si="191"/>
        <v/>
      </c>
      <c r="AM1184" s="10" t="str">
        <f t="shared" si="192"/>
        <v/>
      </c>
    </row>
    <row r="1185" spans="1:39" x14ac:dyDescent="0.25">
      <c r="A1185" s="15">
        <v>35557628</v>
      </c>
      <c r="B1185" s="15">
        <v>9.15</v>
      </c>
      <c r="C1185" s="15">
        <v>282176</v>
      </c>
      <c r="D1185" s="15">
        <v>55926</v>
      </c>
      <c r="E1185" s="15" t="s">
        <v>1026</v>
      </c>
      <c r="F1185" s="15">
        <v>2011</v>
      </c>
      <c r="G1185" s="15">
        <v>20110512</v>
      </c>
      <c r="H1185" s="15">
        <v>16757</v>
      </c>
      <c r="I1185" s="15">
        <v>1.68</v>
      </c>
      <c r="J1185" s="6" t="s">
        <v>1027</v>
      </c>
      <c r="K1185" s="15">
        <v>276</v>
      </c>
      <c r="L1185" s="15" t="s">
        <v>146</v>
      </c>
      <c r="M1185" s="15" t="s">
        <v>4</v>
      </c>
      <c r="N1185" s="11" t="s">
        <v>1390</v>
      </c>
      <c r="O1185" s="11" t="s">
        <v>42</v>
      </c>
      <c r="P1185" s="11" t="s">
        <v>33</v>
      </c>
      <c r="Q1185" s="15">
        <v>0</v>
      </c>
      <c r="R1185" s="11" t="s">
        <v>1386</v>
      </c>
      <c r="S1185" s="10">
        <v>90.815594824257005</v>
      </c>
      <c r="T1185" s="15">
        <v>80</v>
      </c>
      <c r="U1185" s="15">
        <v>0</v>
      </c>
      <c r="V1185" s="15">
        <v>0</v>
      </c>
      <c r="W1185" s="15">
        <v>0</v>
      </c>
      <c r="X1185" s="15">
        <f>IF(O1185='Udvaskning nøgletal'!$D$65,1,IF(O1185='Udvaskning nøgletal'!$D$66,2,IF(O1185='Udvaskning nøgletal'!$D$67,3,IF(O1185='Udvaskning nøgletal'!$D$68,2,""))))</f>
        <v>2</v>
      </c>
      <c r="Y1185" s="15">
        <f>LOOKUP(K1185,'Udvaskning nøgletal'!$C$12:$C$60,'Udvaskning nøgletal'!$H$12:$H$60)</f>
        <v>0</v>
      </c>
      <c r="Z1185" s="10">
        <f>IF(X1185=1,LOOKUP(K1185,'Udvaskning nøgletal'!$C$12:$C$60,'Udvaskning nøgletal'!$E$12:$E$60)+Markniveau!Y1185*Markniveau!S1185/100,IF(X1185=2,LOOKUP(K1185,'Udvaskning nøgletal'!$C$12:$C$60,'Udvaskning nøgletal'!$F$12:$F$60)+Markniveau!Y1185*Markniveau!S1185/100,IF(X1185=3,LOOKUP(K1185,'Udvaskning nøgletal'!$C$12:$C$60,'Udvaskning nøgletal'!G1195:G1243)+Markniveau!Y1185*Markniveau!S1185/100,"")))</f>
        <v>10.6</v>
      </c>
      <c r="AA1185" s="10">
        <f t="shared" si="186"/>
        <v>17.808</v>
      </c>
      <c r="AB1185" s="10" t="str">
        <f t="shared" si="185"/>
        <v/>
      </c>
      <c r="AC1185" s="10" t="str">
        <f t="shared" si="187"/>
        <v/>
      </c>
      <c r="AD1185" s="10">
        <f>IF(AND(Q1185&gt;0,Q1185&lt;30,K1185&lt;8),Markniveau!Z1185*'Udvaskning nøgletal'!$I$12/100,IF(AND(Q1185&gt;0,Q1185&lt;30,K1185=216),Markniveau!Z1185*'Udvaskning nøgletal'!$I$34/100,Markniveau!Z1185))</f>
        <v>10.6</v>
      </c>
      <c r="AE1185" s="10">
        <f t="shared" si="193"/>
        <v>17.808</v>
      </c>
      <c r="AF1185" s="10" t="str">
        <f t="shared" si="188"/>
        <v/>
      </c>
      <c r="AG1185" s="10" t="str">
        <f t="shared" si="194"/>
        <v/>
      </c>
      <c r="AH1185" s="10" t="str">
        <f>IF(AND(Q1185&gt;0,Q1185&lt;30,K1185=216),'Udvaskning nøgletal'!$C$42,IF(AND(Q1185&gt;0,Q1185&lt;30,K1185&gt;7,K1185&lt;17),'Udvaskning nøgletal'!$C$61,IF(AND(Q1185&gt;0,Q1185&lt;30,K1185&lt;7),'Udvaskning nøgletal'!$C$62,"")))</f>
        <v/>
      </c>
      <c r="AI1185" s="10">
        <f t="shared" si="190"/>
        <v>276</v>
      </c>
      <c r="AJ1185" s="10">
        <f>IF($X1185=1,LOOKUP(AI1185,'Udvaskning nøgletal'!$C$12:$C$62,'Udvaskning nøgletal'!$E$12:$E$62)+Markniveau!$Y1185*Markniveau!$S1185/100,IF($X1185=2,LOOKUP(AI1185,'Udvaskning nøgletal'!$C$12:$C$62,'Udvaskning nøgletal'!$F$12:$F$62)+Markniveau!$Y1185*Markniveau!$S1185/100,IF($X1185=3,LOOKUP(AI1185,'Udvaskning nøgletal'!$C$12:$C$62,'Udvaskning nøgletal'!Q1195:Q1245)+Markniveau!$Y1185*Markniveau!$S1185/100,"")))</f>
        <v>10.6</v>
      </c>
      <c r="AK1185" s="10">
        <f t="shared" si="189"/>
        <v>17.808</v>
      </c>
      <c r="AL1185" s="10" t="str">
        <f t="shared" si="191"/>
        <v/>
      </c>
      <c r="AM1185" s="10" t="str">
        <f t="shared" si="192"/>
        <v/>
      </c>
    </row>
    <row r="1186" spans="1:39" x14ac:dyDescent="0.25">
      <c r="A1186" s="15">
        <v>35557628</v>
      </c>
      <c r="B1186" s="15">
        <v>9.15</v>
      </c>
      <c r="C1186" s="15">
        <v>282184</v>
      </c>
      <c r="D1186" s="15">
        <v>55926</v>
      </c>
      <c r="E1186" s="15" t="s">
        <v>983</v>
      </c>
      <c r="F1186" s="15">
        <v>2011</v>
      </c>
      <c r="G1186" s="15">
        <v>20110512</v>
      </c>
      <c r="H1186" s="15">
        <v>18315</v>
      </c>
      <c r="I1186" s="15">
        <v>1.83</v>
      </c>
      <c r="J1186" s="6" t="s">
        <v>1028</v>
      </c>
      <c r="K1186" s="15">
        <v>15</v>
      </c>
      <c r="L1186" s="15" t="s">
        <v>362</v>
      </c>
      <c r="M1186" s="15" t="s">
        <v>5</v>
      </c>
      <c r="N1186" s="11" t="s">
        <v>1384</v>
      </c>
      <c r="O1186" s="11" t="s">
        <v>28</v>
      </c>
      <c r="P1186" s="11" t="s">
        <v>33</v>
      </c>
      <c r="Q1186" s="15">
        <v>0</v>
      </c>
      <c r="R1186" s="11" t="s">
        <v>1386</v>
      </c>
      <c r="S1186" s="10">
        <v>90.815594824257005</v>
      </c>
      <c r="T1186" s="15">
        <v>80</v>
      </c>
      <c r="U1186" s="15">
        <v>0</v>
      </c>
      <c r="V1186" s="15">
        <v>0</v>
      </c>
      <c r="W1186" s="15">
        <v>0</v>
      </c>
      <c r="X1186" s="15">
        <f>IF(O1186='Udvaskning nøgletal'!$D$65,1,IF(O1186='Udvaskning nøgletal'!$D$66,2,IF(O1186='Udvaskning nøgletal'!$D$67,3,IF(O1186='Udvaskning nøgletal'!$D$68,2,""))))</f>
        <v>1</v>
      </c>
      <c r="Y1186" s="15">
        <f>LOOKUP(K1186,'Udvaskning nøgletal'!$C$12:$C$60,'Udvaskning nøgletal'!$H$12:$H$60)</f>
        <v>5</v>
      </c>
      <c r="Z1186" s="10">
        <f>IF(X1186=1,LOOKUP(K1186,'Udvaskning nøgletal'!$C$12:$C$60,'Udvaskning nøgletal'!$E$12:$E$60)+Markniveau!Y1186*Markniveau!S1186/100,IF(X1186=2,LOOKUP(K1186,'Udvaskning nøgletal'!$C$12:$C$60,'Udvaskning nøgletal'!$F$12:$F$60)+Markniveau!Y1186*Markniveau!S1186/100,IF(X1186=3,LOOKUP(K1186,'Udvaskning nøgletal'!$C$12:$C$60,'Udvaskning nøgletal'!G1196:G1244)+Markniveau!Y1186*Markniveau!S1186/100,"")))</f>
        <v>69.200779741212841</v>
      </c>
      <c r="AA1186" s="10">
        <f t="shared" si="186"/>
        <v>126.63742692641951</v>
      </c>
      <c r="AB1186" s="10" t="str">
        <f t="shared" si="185"/>
        <v/>
      </c>
      <c r="AC1186" s="10" t="str">
        <f t="shared" si="187"/>
        <v/>
      </c>
      <c r="AD1186" s="10">
        <f>IF(AND(Q1186&gt;0,Q1186&lt;30,K1186&lt;8),Markniveau!Z1186*'Udvaskning nøgletal'!$I$12/100,IF(AND(Q1186&gt;0,Q1186&lt;30,K1186=216),Markniveau!Z1186*'Udvaskning nøgletal'!$I$34/100,Markniveau!Z1186))</f>
        <v>69.200779741212841</v>
      </c>
      <c r="AE1186" s="10">
        <f t="shared" si="193"/>
        <v>126.63742692641951</v>
      </c>
      <c r="AF1186" s="10" t="str">
        <f t="shared" si="188"/>
        <v/>
      </c>
      <c r="AG1186" s="10" t="str">
        <f t="shared" si="194"/>
        <v/>
      </c>
      <c r="AH1186" s="10" t="str">
        <f>IF(AND(Q1186&gt;0,Q1186&lt;30,K1186=216),'Udvaskning nøgletal'!$C$42,IF(AND(Q1186&gt;0,Q1186&lt;30,K1186&gt;7,K1186&lt;17),'Udvaskning nøgletal'!$C$61,IF(AND(Q1186&gt;0,Q1186&lt;30,K1186&lt;7),'Udvaskning nøgletal'!$C$62,"")))</f>
        <v/>
      </c>
      <c r="AI1186" s="10">
        <f t="shared" si="190"/>
        <v>15</v>
      </c>
      <c r="AJ1186" s="10">
        <f>IF($X1186=1,LOOKUP(AI1186,'Udvaskning nøgletal'!$C$12:$C$62,'Udvaskning nøgletal'!$E$12:$E$62)+Markniveau!$Y1186*Markniveau!$S1186/100,IF($X1186=2,LOOKUP(AI1186,'Udvaskning nøgletal'!$C$12:$C$62,'Udvaskning nøgletal'!$F$12:$F$62)+Markniveau!$Y1186*Markniveau!$S1186/100,IF($X1186=3,LOOKUP(AI1186,'Udvaskning nøgletal'!$C$12:$C$62,'Udvaskning nøgletal'!Q1196:Q1246)+Markniveau!$Y1186*Markniveau!$S1186/100,"")))</f>
        <v>69.200779741212841</v>
      </c>
      <c r="AK1186" s="10">
        <f t="shared" si="189"/>
        <v>126.63742692641951</v>
      </c>
      <c r="AL1186" s="10" t="str">
        <f t="shared" si="191"/>
        <v/>
      </c>
      <c r="AM1186" s="10" t="str">
        <f t="shared" si="192"/>
        <v/>
      </c>
    </row>
    <row r="1187" spans="1:39" x14ac:dyDescent="0.25">
      <c r="A1187" s="15">
        <v>35557628</v>
      </c>
      <c r="B1187" s="15">
        <v>9.15</v>
      </c>
      <c r="C1187" s="15">
        <v>282286</v>
      </c>
      <c r="D1187" s="15">
        <v>55926</v>
      </c>
      <c r="E1187" s="15" t="s">
        <v>965</v>
      </c>
      <c r="F1187" s="15">
        <v>2011</v>
      </c>
      <c r="G1187" s="15">
        <v>20110512</v>
      </c>
      <c r="H1187" s="15">
        <v>76750</v>
      </c>
      <c r="I1187" s="15">
        <v>7.68</v>
      </c>
      <c r="J1187" s="6" t="s">
        <v>1029</v>
      </c>
      <c r="K1187" s="15">
        <v>14</v>
      </c>
      <c r="L1187" s="15" t="s">
        <v>83</v>
      </c>
      <c r="M1187" s="15" t="s">
        <v>5</v>
      </c>
      <c r="N1187" s="11" t="s">
        <v>1384</v>
      </c>
      <c r="O1187" s="11" t="s">
        <v>28</v>
      </c>
      <c r="P1187" s="11" t="s">
        <v>33</v>
      </c>
      <c r="Q1187" s="15">
        <v>0</v>
      </c>
      <c r="R1187" s="11" t="s">
        <v>1386</v>
      </c>
      <c r="S1187" s="10">
        <v>90.815594824257005</v>
      </c>
      <c r="T1187" s="15">
        <v>80</v>
      </c>
      <c r="U1187" s="15">
        <v>0</v>
      </c>
      <c r="V1187" s="15">
        <v>0</v>
      </c>
      <c r="W1187" s="15">
        <v>0</v>
      </c>
      <c r="X1187" s="15">
        <f>IF(O1187='Udvaskning nøgletal'!$D$65,1,IF(O1187='Udvaskning nøgletal'!$D$66,2,IF(O1187='Udvaskning nøgletal'!$D$67,3,IF(O1187='Udvaskning nøgletal'!$D$68,2,""))))</f>
        <v>1</v>
      </c>
      <c r="Y1187" s="15">
        <f>LOOKUP(K1187,'Udvaskning nøgletal'!$C$12:$C$60,'Udvaskning nøgletal'!$H$12:$H$60)</f>
        <v>5</v>
      </c>
      <c r="Z1187" s="10">
        <f>IF(X1187=1,LOOKUP(K1187,'Udvaskning nøgletal'!$C$12:$C$60,'Udvaskning nøgletal'!$E$12:$E$60)+Markniveau!Y1187*Markniveau!S1187/100,IF(X1187=2,LOOKUP(K1187,'Udvaskning nøgletal'!$C$12:$C$60,'Udvaskning nøgletal'!$F$12:$F$60)+Markniveau!Y1187*Markniveau!S1187/100,IF(X1187=3,LOOKUP(K1187,'Udvaskning nøgletal'!$C$12:$C$60,'Udvaskning nøgletal'!G1197:G1245)+Markniveau!Y1187*Markniveau!S1187/100,"")))</f>
        <v>69.200779741212841</v>
      </c>
      <c r="AA1187" s="10">
        <f t="shared" si="186"/>
        <v>531.46198841251464</v>
      </c>
      <c r="AB1187" s="10" t="str">
        <f t="shared" si="185"/>
        <v/>
      </c>
      <c r="AC1187" s="10" t="str">
        <f t="shared" si="187"/>
        <v/>
      </c>
      <c r="AD1187" s="10">
        <f>IF(AND(Q1187&gt;0,Q1187&lt;30,K1187&lt;8),Markniveau!Z1187*'Udvaskning nøgletal'!$I$12/100,IF(AND(Q1187&gt;0,Q1187&lt;30,K1187=216),Markniveau!Z1187*'Udvaskning nøgletal'!$I$34/100,Markniveau!Z1187))</f>
        <v>69.200779741212841</v>
      </c>
      <c r="AE1187" s="10">
        <f t="shared" si="193"/>
        <v>531.46198841251464</v>
      </c>
      <c r="AF1187" s="10" t="str">
        <f t="shared" si="188"/>
        <v/>
      </c>
      <c r="AG1187" s="10" t="str">
        <f t="shared" si="194"/>
        <v/>
      </c>
      <c r="AH1187" s="10" t="str">
        <f>IF(AND(Q1187&gt;0,Q1187&lt;30,K1187=216),'Udvaskning nøgletal'!$C$42,IF(AND(Q1187&gt;0,Q1187&lt;30,K1187&gt;7,K1187&lt;17),'Udvaskning nøgletal'!$C$61,IF(AND(Q1187&gt;0,Q1187&lt;30,K1187&lt;7),'Udvaskning nøgletal'!$C$62,"")))</f>
        <v/>
      </c>
      <c r="AI1187" s="10">
        <f t="shared" si="190"/>
        <v>14</v>
      </c>
      <c r="AJ1187" s="10">
        <f>IF($X1187=1,LOOKUP(AI1187,'Udvaskning nøgletal'!$C$12:$C$62,'Udvaskning nøgletal'!$E$12:$E$62)+Markniveau!$Y1187*Markniveau!$S1187/100,IF($X1187=2,LOOKUP(AI1187,'Udvaskning nøgletal'!$C$12:$C$62,'Udvaskning nøgletal'!$F$12:$F$62)+Markniveau!$Y1187*Markniveau!$S1187/100,IF($X1187=3,LOOKUP(AI1187,'Udvaskning nøgletal'!$C$12:$C$62,'Udvaskning nøgletal'!Q1197:Q1247)+Markniveau!$Y1187*Markniveau!$S1187/100,"")))</f>
        <v>69.200779741212841</v>
      </c>
      <c r="AK1187" s="10">
        <f t="shared" si="189"/>
        <v>531.46198841251464</v>
      </c>
      <c r="AL1187" s="10" t="str">
        <f t="shared" si="191"/>
        <v/>
      </c>
      <c r="AM1187" s="10" t="str">
        <f t="shared" si="192"/>
        <v/>
      </c>
    </row>
    <row r="1188" spans="1:39" x14ac:dyDescent="0.25">
      <c r="A1188" s="15">
        <v>35557628</v>
      </c>
      <c r="B1188" s="15">
        <v>9.15</v>
      </c>
      <c r="C1188" s="15">
        <v>282468</v>
      </c>
      <c r="D1188" s="15">
        <v>55926</v>
      </c>
      <c r="E1188" s="15" t="s">
        <v>1030</v>
      </c>
      <c r="F1188" s="15">
        <v>2011</v>
      </c>
      <c r="G1188" s="15">
        <v>20110512</v>
      </c>
      <c r="H1188" s="15">
        <v>173109</v>
      </c>
      <c r="I1188" s="15">
        <v>17.309999999999999</v>
      </c>
      <c r="J1188" s="6" t="s">
        <v>1031</v>
      </c>
      <c r="K1188" s="15">
        <v>150</v>
      </c>
      <c r="L1188" s="15" t="s">
        <v>896</v>
      </c>
      <c r="M1188" s="15" t="s">
        <v>5</v>
      </c>
      <c r="N1188" s="11" t="s">
        <v>1391</v>
      </c>
      <c r="O1188" s="11" t="s">
        <v>46</v>
      </c>
      <c r="P1188" s="11" t="s">
        <v>33</v>
      </c>
      <c r="Q1188" s="15">
        <v>0</v>
      </c>
      <c r="R1188" s="11" t="s">
        <v>1386</v>
      </c>
      <c r="S1188" s="10">
        <v>90.815594824257005</v>
      </c>
      <c r="T1188" s="15">
        <v>80</v>
      </c>
      <c r="U1188" s="15">
        <v>0</v>
      </c>
      <c r="V1188" s="15">
        <v>0</v>
      </c>
      <c r="W1188" s="15">
        <v>0</v>
      </c>
      <c r="X1188" s="15">
        <f>IF(O1188='Udvaskning nøgletal'!$D$65,1,IF(O1188='Udvaskning nøgletal'!$D$66,2,IF(O1188='Udvaskning nøgletal'!$D$67,3,IF(O1188='Udvaskning nøgletal'!$D$68,2,""))))</f>
        <v>2</v>
      </c>
      <c r="Y1188" s="15">
        <f>LOOKUP(K1188,'Udvaskning nøgletal'!$C$12:$C$60,'Udvaskning nøgletal'!$H$12:$H$60)</f>
        <v>5</v>
      </c>
      <c r="Z1188" s="10">
        <f>IF(X1188=1,LOOKUP(K1188,'Udvaskning nøgletal'!$C$12:$C$60,'Udvaskning nøgletal'!$E$12:$E$60)+Markniveau!Y1188*Markniveau!S1188/100,IF(X1188=2,LOOKUP(K1188,'Udvaskning nøgletal'!$C$12:$C$60,'Udvaskning nøgletal'!$F$12:$F$60)+Markniveau!Y1188*Markniveau!S1188/100,IF(X1188=3,LOOKUP(K1188,'Udvaskning nøgletal'!$C$12:$C$60,'Udvaskning nøgletal'!G1198:G1246)+Markniveau!Y1188*Markniveau!S1188/100,"")))</f>
        <v>55.420779741212854</v>
      </c>
      <c r="AA1188" s="10">
        <f t="shared" si="186"/>
        <v>959.33369732039444</v>
      </c>
      <c r="AB1188" s="10" t="str">
        <f t="shared" si="185"/>
        <v/>
      </c>
      <c r="AC1188" s="10" t="str">
        <f t="shared" si="187"/>
        <v/>
      </c>
      <c r="AD1188" s="10">
        <f>IF(AND(Q1188&gt;0,Q1188&lt;30,K1188&lt;8),Markniveau!Z1188*'Udvaskning nøgletal'!$I$12/100,IF(AND(Q1188&gt;0,Q1188&lt;30,K1188=216),Markniveau!Z1188*'Udvaskning nøgletal'!$I$34/100,Markniveau!Z1188))</f>
        <v>55.420779741212854</v>
      </c>
      <c r="AE1188" s="10">
        <f t="shared" si="193"/>
        <v>959.33369732039444</v>
      </c>
      <c r="AF1188" s="10" t="str">
        <f t="shared" si="188"/>
        <v/>
      </c>
      <c r="AG1188" s="10" t="str">
        <f t="shared" si="194"/>
        <v/>
      </c>
      <c r="AH1188" s="10" t="str">
        <f>IF(AND(Q1188&gt;0,Q1188&lt;30,K1188=216),'Udvaskning nøgletal'!$C$42,IF(AND(Q1188&gt;0,Q1188&lt;30,K1188&gt;7,K1188&lt;17),'Udvaskning nøgletal'!$C$61,IF(AND(Q1188&gt;0,Q1188&lt;30,K1188&lt;7),'Udvaskning nøgletal'!$C$62,"")))</f>
        <v/>
      </c>
      <c r="AI1188" s="10">
        <f t="shared" si="190"/>
        <v>150</v>
      </c>
      <c r="AJ1188" s="10">
        <f>IF($X1188=1,LOOKUP(AI1188,'Udvaskning nøgletal'!$C$12:$C$62,'Udvaskning nøgletal'!$E$12:$E$62)+Markniveau!$Y1188*Markniveau!$S1188/100,IF($X1188=2,LOOKUP(AI1188,'Udvaskning nøgletal'!$C$12:$C$62,'Udvaskning nøgletal'!$F$12:$F$62)+Markniveau!$Y1188*Markniveau!$S1188/100,IF($X1188=3,LOOKUP(AI1188,'Udvaskning nøgletal'!$C$12:$C$62,'Udvaskning nøgletal'!Q1198:Q1248)+Markniveau!$Y1188*Markniveau!$S1188/100,"")))</f>
        <v>55.420779741212854</v>
      </c>
      <c r="AK1188" s="10">
        <f t="shared" si="189"/>
        <v>959.33369732039444</v>
      </c>
      <c r="AL1188" s="10" t="str">
        <f t="shared" si="191"/>
        <v/>
      </c>
      <c r="AM1188" s="10" t="str">
        <f t="shared" si="192"/>
        <v/>
      </c>
    </row>
    <row r="1189" spans="1:39" x14ac:dyDescent="0.25">
      <c r="A1189" s="15">
        <v>35557628</v>
      </c>
      <c r="B1189" s="15">
        <v>9.15</v>
      </c>
      <c r="C1189" s="15">
        <v>282471</v>
      </c>
      <c r="D1189" s="15">
        <v>55926</v>
      </c>
      <c r="E1189" s="15" t="s">
        <v>1032</v>
      </c>
      <c r="F1189" s="15">
        <v>2011</v>
      </c>
      <c r="G1189" s="15">
        <v>20110512</v>
      </c>
      <c r="H1189" s="15">
        <v>88719</v>
      </c>
      <c r="I1189" s="15">
        <v>8.8699999999999992</v>
      </c>
      <c r="J1189" s="6" t="s">
        <v>1033</v>
      </c>
      <c r="K1189" s="15">
        <v>150</v>
      </c>
      <c r="L1189" s="15" t="s">
        <v>896</v>
      </c>
      <c r="M1189" s="15" t="s">
        <v>5</v>
      </c>
      <c r="N1189" s="11" t="s">
        <v>1391</v>
      </c>
      <c r="O1189" s="11" t="s">
        <v>46</v>
      </c>
      <c r="P1189" s="11" t="s">
        <v>33</v>
      </c>
      <c r="Q1189" s="15">
        <v>0</v>
      </c>
      <c r="R1189" s="11" t="s">
        <v>1386</v>
      </c>
      <c r="S1189" s="10">
        <v>90.815594824257005</v>
      </c>
      <c r="T1189" s="15">
        <v>80</v>
      </c>
      <c r="U1189" s="15">
        <v>0</v>
      </c>
      <c r="V1189" s="15">
        <v>0</v>
      </c>
      <c r="W1189" s="15">
        <v>0</v>
      </c>
      <c r="X1189" s="15">
        <f>IF(O1189='Udvaskning nøgletal'!$D$65,1,IF(O1189='Udvaskning nøgletal'!$D$66,2,IF(O1189='Udvaskning nøgletal'!$D$67,3,IF(O1189='Udvaskning nøgletal'!$D$68,2,""))))</f>
        <v>2</v>
      </c>
      <c r="Y1189" s="15">
        <f>LOOKUP(K1189,'Udvaskning nøgletal'!$C$12:$C$60,'Udvaskning nøgletal'!$H$12:$H$60)</f>
        <v>5</v>
      </c>
      <c r="Z1189" s="10">
        <f>IF(X1189=1,LOOKUP(K1189,'Udvaskning nøgletal'!$C$12:$C$60,'Udvaskning nøgletal'!$E$12:$E$60)+Markniveau!Y1189*Markniveau!S1189/100,IF(X1189=2,LOOKUP(K1189,'Udvaskning nøgletal'!$C$12:$C$60,'Udvaskning nøgletal'!$F$12:$F$60)+Markniveau!Y1189*Markniveau!S1189/100,IF(X1189=3,LOOKUP(K1189,'Udvaskning nøgletal'!$C$12:$C$60,'Udvaskning nøgletal'!G1199:G1247)+Markniveau!Y1189*Markniveau!S1189/100,"")))</f>
        <v>55.420779741212854</v>
      </c>
      <c r="AA1189" s="10">
        <f t="shared" si="186"/>
        <v>491.58231630455799</v>
      </c>
      <c r="AB1189" s="10" t="str">
        <f t="shared" si="185"/>
        <v/>
      </c>
      <c r="AC1189" s="10" t="str">
        <f t="shared" si="187"/>
        <v/>
      </c>
      <c r="AD1189" s="10">
        <f>IF(AND(Q1189&gt;0,Q1189&lt;30,K1189&lt;8),Markniveau!Z1189*'Udvaskning nøgletal'!$I$12/100,IF(AND(Q1189&gt;0,Q1189&lt;30,K1189=216),Markniveau!Z1189*'Udvaskning nøgletal'!$I$34/100,Markniveau!Z1189))</f>
        <v>55.420779741212854</v>
      </c>
      <c r="AE1189" s="10">
        <f t="shared" si="193"/>
        <v>491.58231630455799</v>
      </c>
      <c r="AF1189" s="10" t="str">
        <f t="shared" si="188"/>
        <v/>
      </c>
      <c r="AG1189" s="10" t="str">
        <f t="shared" si="194"/>
        <v/>
      </c>
      <c r="AH1189" s="10" t="str">
        <f>IF(AND(Q1189&gt;0,Q1189&lt;30,K1189=216),'Udvaskning nøgletal'!$C$42,IF(AND(Q1189&gt;0,Q1189&lt;30,K1189&gt;7,K1189&lt;17),'Udvaskning nøgletal'!$C$61,IF(AND(Q1189&gt;0,Q1189&lt;30,K1189&lt;7),'Udvaskning nøgletal'!$C$62,"")))</f>
        <v/>
      </c>
      <c r="AI1189" s="10">
        <f t="shared" si="190"/>
        <v>150</v>
      </c>
      <c r="AJ1189" s="10">
        <f>IF($X1189=1,LOOKUP(AI1189,'Udvaskning nøgletal'!$C$12:$C$62,'Udvaskning nøgletal'!$E$12:$E$62)+Markniveau!$Y1189*Markniveau!$S1189/100,IF($X1189=2,LOOKUP(AI1189,'Udvaskning nøgletal'!$C$12:$C$62,'Udvaskning nøgletal'!$F$12:$F$62)+Markniveau!$Y1189*Markniveau!$S1189/100,IF($X1189=3,LOOKUP(AI1189,'Udvaskning nøgletal'!$C$12:$C$62,'Udvaskning nøgletal'!Q1199:Q1249)+Markniveau!$Y1189*Markniveau!$S1189/100,"")))</f>
        <v>55.420779741212854</v>
      </c>
      <c r="AK1189" s="10">
        <f t="shared" si="189"/>
        <v>491.58231630455799</v>
      </c>
      <c r="AL1189" s="10" t="str">
        <f t="shared" si="191"/>
        <v/>
      </c>
      <c r="AM1189" s="10" t="str">
        <f t="shared" si="192"/>
        <v/>
      </c>
    </row>
    <row r="1190" spans="1:39" x14ac:dyDescent="0.25">
      <c r="A1190" s="15">
        <v>35557628</v>
      </c>
      <c r="B1190" s="15">
        <v>9.15</v>
      </c>
      <c r="C1190" s="15">
        <v>282516</v>
      </c>
      <c r="D1190" s="15">
        <v>55926</v>
      </c>
      <c r="E1190" s="15" t="s">
        <v>1034</v>
      </c>
      <c r="F1190" s="15">
        <v>2011</v>
      </c>
      <c r="G1190" s="15">
        <v>20110512</v>
      </c>
      <c r="H1190" s="15">
        <v>9162</v>
      </c>
      <c r="I1190" s="15">
        <v>0.92</v>
      </c>
      <c r="J1190" s="6" t="s">
        <v>1035</v>
      </c>
      <c r="K1190" s="15">
        <v>2</v>
      </c>
      <c r="L1190" s="15" t="s">
        <v>49</v>
      </c>
      <c r="M1190" s="15" t="s">
        <v>5</v>
      </c>
      <c r="N1190" s="11" t="s">
        <v>1391</v>
      </c>
      <c r="O1190" s="11" t="s">
        <v>46</v>
      </c>
      <c r="P1190" s="11" t="s">
        <v>33</v>
      </c>
      <c r="Q1190" s="15">
        <v>0</v>
      </c>
      <c r="R1190" s="11" t="s">
        <v>1386</v>
      </c>
      <c r="S1190" s="10">
        <v>90.815594824257005</v>
      </c>
      <c r="T1190" s="15">
        <v>80</v>
      </c>
      <c r="U1190" s="15">
        <v>0</v>
      </c>
      <c r="V1190" s="15">
        <v>0</v>
      </c>
      <c r="W1190" s="15">
        <v>0</v>
      </c>
      <c r="X1190" s="15">
        <f>IF(O1190='Udvaskning nøgletal'!$D$65,1,IF(O1190='Udvaskning nøgletal'!$D$66,2,IF(O1190='Udvaskning nøgletal'!$D$67,3,IF(O1190='Udvaskning nøgletal'!$D$68,2,""))))</f>
        <v>2</v>
      </c>
      <c r="Y1190" s="15">
        <f>LOOKUP(K1190,'Udvaskning nøgletal'!$C$12:$C$60,'Udvaskning nøgletal'!$H$12:$H$60)</f>
        <v>5</v>
      </c>
      <c r="Z1190" s="10">
        <f>IF(X1190=1,LOOKUP(K1190,'Udvaskning nøgletal'!$C$12:$C$60,'Udvaskning nøgletal'!$E$12:$E$60)+Markniveau!Y1190*Markniveau!S1190/100,IF(X1190=2,LOOKUP(K1190,'Udvaskning nøgletal'!$C$12:$C$60,'Udvaskning nøgletal'!$F$12:$F$60)+Markniveau!Y1190*Markniveau!S1190/100,IF(X1190=3,LOOKUP(K1190,'Udvaskning nøgletal'!$C$12:$C$60,'Udvaskning nøgletal'!G1200:G1248)+Markniveau!Y1190*Markniveau!S1190/100,"")))</f>
        <v>55.420779741212854</v>
      </c>
      <c r="AA1190" s="10">
        <f t="shared" si="186"/>
        <v>50.987117361915828</v>
      </c>
      <c r="AB1190" s="10" t="str">
        <f t="shared" si="185"/>
        <v/>
      </c>
      <c r="AC1190" s="10" t="str">
        <f t="shared" si="187"/>
        <v/>
      </c>
      <c r="AD1190" s="10">
        <f>IF(AND(Q1190&gt;0,Q1190&lt;30,K1190&lt;8),Markniveau!Z1190*'Udvaskning nøgletal'!$I$12/100,IF(AND(Q1190&gt;0,Q1190&lt;30,K1190=216),Markniveau!Z1190*'Udvaskning nøgletal'!$I$34/100,Markniveau!Z1190))</f>
        <v>55.420779741212854</v>
      </c>
      <c r="AE1190" s="10">
        <f t="shared" si="193"/>
        <v>50.987117361915828</v>
      </c>
      <c r="AF1190" s="10" t="str">
        <f t="shared" si="188"/>
        <v/>
      </c>
      <c r="AG1190" s="10" t="str">
        <f t="shared" si="194"/>
        <v/>
      </c>
      <c r="AH1190" s="10" t="str">
        <f>IF(AND(Q1190&gt;0,Q1190&lt;30,K1190=216),'Udvaskning nøgletal'!$C$42,IF(AND(Q1190&gt;0,Q1190&lt;30,K1190&gt;7,K1190&lt;17),'Udvaskning nøgletal'!$C$61,IF(AND(Q1190&gt;0,Q1190&lt;30,K1190&lt;7),'Udvaskning nøgletal'!$C$62,"")))</f>
        <v/>
      </c>
      <c r="AI1190" s="10">
        <f t="shared" si="190"/>
        <v>2</v>
      </c>
      <c r="AJ1190" s="10">
        <f>IF($X1190=1,LOOKUP(AI1190,'Udvaskning nøgletal'!$C$12:$C$62,'Udvaskning nøgletal'!$E$12:$E$62)+Markniveau!$Y1190*Markniveau!$S1190/100,IF($X1190=2,LOOKUP(AI1190,'Udvaskning nøgletal'!$C$12:$C$62,'Udvaskning nøgletal'!$F$12:$F$62)+Markniveau!$Y1190*Markniveau!$S1190/100,IF($X1190=3,LOOKUP(AI1190,'Udvaskning nøgletal'!$C$12:$C$62,'Udvaskning nøgletal'!Q1200:Q1250)+Markniveau!$Y1190*Markniveau!$S1190/100,"")))</f>
        <v>55.420779741212854</v>
      </c>
      <c r="AK1190" s="10">
        <f t="shared" si="189"/>
        <v>50.987117361915828</v>
      </c>
      <c r="AL1190" s="10" t="str">
        <f t="shared" si="191"/>
        <v/>
      </c>
      <c r="AM1190" s="10" t="str">
        <f t="shared" si="192"/>
        <v/>
      </c>
    </row>
    <row r="1191" spans="1:39" x14ac:dyDescent="0.25">
      <c r="A1191" s="15">
        <v>35557628</v>
      </c>
      <c r="B1191" s="15">
        <v>9.15</v>
      </c>
      <c r="C1191" s="15">
        <v>282517</v>
      </c>
      <c r="D1191" s="15">
        <v>55926</v>
      </c>
      <c r="E1191" s="15" t="s">
        <v>1036</v>
      </c>
      <c r="F1191" s="15">
        <v>2011</v>
      </c>
      <c r="G1191" s="15">
        <v>20110512</v>
      </c>
      <c r="H1191" s="15">
        <v>30365</v>
      </c>
      <c r="I1191" s="15">
        <v>3.04</v>
      </c>
      <c r="J1191" s="6" t="s">
        <v>1037</v>
      </c>
      <c r="K1191" s="15">
        <v>2</v>
      </c>
      <c r="L1191" s="15" t="s">
        <v>49</v>
      </c>
      <c r="M1191" s="15" t="s">
        <v>5</v>
      </c>
      <c r="N1191" s="11" t="s">
        <v>1391</v>
      </c>
      <c r="O1191" s="11" t="s">
        <v>46</v>
      </c>
      <c r="P1191" s="11" t="s">
        <v>33</v>
      </c>
      <c r="Q1191" s="15">
        <v>0</v>
      </c>
      <c r="R1191" s="11" t="s">
        <v>1386</v>
      </c>
      <c r="S1191" s="10">
        <v>90.815594824257005</v>
      </c>
      <c r="T1191" s="15">
        <v>80</v>
      </c>
      <c r="U1191" s="15">
        <v>0</v>
      </c>
      <c r="V1191" s="15">
        <v>0</v>
      </c>
      <c r="W1191" s="15">
        <v>0</v>
      </c>
      <c r="X1191" s="15">
        <f>IF(O1191='Udvaskning nøgletal'!$D$65,1,IF(O1191='Udvaskning nøgletal'!$D$66,2,IF(O1191='Udvaskning nøgletal'!$D$67,3,IF(O1191='Udvaskning nøgletal'!$D$68,2,""))))</f>
        <v>2</v>
      </c>
      <c r="Y1191" s="15">
        <f>LOOKUP(K1191,'Udvaskning nøgletal'!$C$12:$C$60,'Udvaskning nøgletal'!$H$12:$H$60)</f>
        <v>5</v>
      </c>
      <c r="Z1191" s="10">
        <f>IF(X1191=1,LOOKUP(K1191,'Udvaskning nøgletal'!$C$12:$C$60,'Udvaskning nøgletal'!$E$12:$E$60)+Markniveau!Y1191*Markniveau!S1191/100,IF(X1191=2,LOOKUP(K1191,'Udvaskning nøgletal'!$C$12:$C$60,'Udvaskning nøgletal'!$F$12:$F$60)+Markniveau!Y1191*Markniveau!S1191/100,IF(X1191=3,LOOKUP(K1191,'Udvaskning nøgletal'!$C$12:$C$60,'Udvaskning nøgletal'!G1201:G1249)+Markniveau!Y1191*Markniveau!S1191/100,"")))</f>
        <v>55.420779741212854</v>
      </c>
      <c r="AA1191" s="10">
        <f t="shared" si="186"/>
        <v>168.47917041328708</v>
      </c>
      <c r="AB1191" s="10" t="str">
        <f t="shared" si="185"/>
        <v/>
      </c>
      <c r="AC1191" s="10" t="str">
        <f t="shared" si="187"/>
        <v/>
      </c>
      <c r="AD1191" s="10">
        <f>IF(AND(Q1191&gt;0,Q1191&lt;30,K1191&lt;8),Markniveau!Z1191*'Udvaskning nøgletal'!$I$12/100,IF(AND(Q1191&gt;0,Q1191&lt;30,K1191=216),Markniveau!Z1191*'Udvaskning nøgletal'!$I$34/100,Markniveau!Z1191))</f>
        <v>55.420779741212854</v>
      </c>
      <c r="AE1191" s="10">
        <f t="shared" si="193"/>
        <v>168.47917041328708</v>
      </c>
      <c r="AF1191" s="10" t="str">
        <f t="shared" si="188"/>
        <v/>
      </c>
      <c r="AG1191" s="10" t="str">
        <f t="shared" si="194"/>
        <v/>
      </c>
      <c r="AH1191" s="10" t="str">
        <f>IF(AND(Q1191&gt;0,Q1191&lt;30,K1191=216),'Udvaskning nøgletal'!$C$42,IF(AND(Q1191&gt;0,Q1191&lt;30,K1191&gt;7,K1191&lt;17),'Udvaskning nøgletal'!$C$61,IF(AND(Q1191&gt;0,Q1191&lt;30,K1191&lt;7),'Udvaskning nøgletal'!$C$62,"")))</f>
        <v/>
      </c>
      <c r="AI1191" s="10">
        <f t="shared" si="190"/>
        <v>2</v>
      </c>
      <c r="AJ1191" s="10">
        <f>IF($X1191=1,LOOKUP(AI1191,'Udvaskning nøgletal'!$C$12:$C$62,'Udvaskning nøgletal'!$E$12:$E$62)+Markniveau!$Y1191*Markniveau!$S1191/100,IF($X1191=2,LOOKUP(AI1191,'Udvaskning nøgletal'!$C$12:$C$62,'Udvaskning nøgletal'!$F$12:$F$62)+Markniveau!$Y1191*Markniveau!$S1191/100,IF($X1191=3,LOOKUP(AI1191,'Udvaskning nøgletal'!$C$12:$C$62,'Udvaskning nøgletal'!Q1201:Q1251)+Markniveau!$Y1191*Markniveau!$S1191/100,"")))</f>
        <v>55.420779741212854</v>
      </c>
      <c r="AK1191" s="10">
        <f t="shared" si="189"/>
        <v>168.47917041328708</v>
      </c>
      <c r="AL1191" s="10" t="str">
        <f t="shared" si="191"/>
        <v/>
      </c>
      <c r="AM1191" s="10" t="str">
        <f t="shared" si="192"/>
        <v/>
      </c>
    </row>
    <row r="1192" spans="1:39" x14ac:dyDescent="0.25">
      <c r="A1192" s="15">
        <v>35557628</v>
      </c>
      <c r="B1192" s="15">
        <v>9.15</v>
      </c>
      <c r="C1192" s="15">
        <v>282518</v>
      </c>
      <c r="D1192" s="15">
        <v>55926</v>
      </c>
      <c r="E1192" s="15" t="s">
        <v>990</v>
      </c>
      <c r="F1192" s="15">
        <v>2011</v>
      </c>
      <c r="G1192" s="15">
        <v>20110512</v>
      </c>
      <c r="H1192" s="15">
        <v>145334</v>
      </c>
      <c r="I1192" s="15">
        <v>14.53</v>
      </c>
      <c r="J1192" s="6" t="s">
        <v>1038</v>
      </c>
      <c r="K1192" s="15">
        <v>152</v>
      </c>
      <c r="L1192" s="15" t="s">
        <v>333</v>
      </c>
      <c r="M1192" s="15" t="s">
        <v>5</v>
      </c>
      <c r="N1192" s="11" t="s">
        <v>1391</v>
      </c>
      <c r="O1192" s="11" t="s">
        <v>46</v>
      </c>
      <c r="P1192" s="11" t="s">
        <v>33</v>
      </c>
      <c r="Q1192" s="15">
        <v>0</v>
      </c>
      <c r="R1192" s="11" t="s">
        <v>1386</v>
      </c>
      <c r="S1192" s="10">
        <v>90.815594824257005</v>
      </c>
      <c r="T1192" s="15">
        <v>80</v>
      </c>
      <c r="U1192" s="15">
        <v>0</v>
      </c>
      <c r="V1192" s="15">
        <v>0</v>
      </c>
      <c r="W1192" s="15">
        <v>0</v>
      </c>
      <c r="X1192" s="15">
        <f>IF(O1192='Udvaskning nøgletal'!$D$65,1,IF(O1192='Udvaskning nøgletal'!$D$66,2,IF(O1192='Udvaskning nøgletal'!$D$67,3,IF(O1192='Udvaskning nøgletal'!$D$68,2,""))))</f>
        <v>2</v>
      </c>
      <c r="Y1192" s="15">
        <f>LOOKUP(K1192,'Udvaskning nøgletal'!$C$12:$C$60,'Udvaskning nøgletal'!$H$12:$H$60)</f>
        <v>5</v>
      </c>
      <c r="Z1192" s="10">
        <f>IF(X1192=1,LOOKUP(K1192,'Udvaskning nøgletal'!$C$12:$C$60,'Udvaskning nøgletal'!$E$12:$E$60)+Markniveau!Y1192*Markniveau!S1192/100,IF(X1192=2,LOOKUP(K1192,'Udvaskning nøgletal'!$C$12:$C$60,'Udvaskning nøgletal'!$F$12:$F$60)+Markniveau!Y1192*Markniveau!S1192/100,IF(X1192=3,LOOKUP(K1192,'Udvaskning nøgletal'!$C$12:$C$60,'Udvaskning nøgletal'!G1202:G1250)+Markniveau!Y1192*Markniveau!S1192/100,"")))</f>
        <v>55.420779741212854</v>
      </c>
      <c r="AA1192" s="10">
        <f t="shared" si="186"/>
        <v>805.26392963982278</v>
      </c>
      <c r="AB1192" s="10" t="str">
        <f t="shared" si="185"/>
        <v/>
      </c>
      <c r="AC1192" s="10" t="str">
        <f t="shared" si="187"/>
        <v/>
      </c>
      <c r="AD1192" s="10">
        <f>IF(AND(Q1192&gt;0,Q1192&lt;30,K1192&lt;8),Markniveau!Z1192*'Udvaskning nøgletal'!$I$12/100,IF(AND(Q1192&gt;0,Q1192&lt;30,K1192=216),Markniveau!Z1192*'Udvaskning nøgletal'!$I$34/100,Markniveau!Z1192))</f>
        <v>55.420779741212854</v>
      </c>
      <c r="AE1192" s="10">
        <f t="shared" si="193"/>
        <v>805.26392963982278</v>
      </c>
      <c r="AF1192" s="10" t="str">
        <f t="shared" si="188"/>
        <v/>
      </c>
      <c r="AG1192" s="10" t="str">
        <f t="shared" si="194"/>
        <v/>
      </c>
      <c r="AH1192" s="10" t="str">
        <f>IF(AND(Q1192&gt;0,Q1192&lt;30,K1192=216),'Udvaskning nøgletal'!$C$42,IF(AND(Q1192&gt;0,Q1192&lt;30,K1192&gt;7,K1192&lt;17),'Udvaskning nøgletal'!$C$61,IF(AND(Q1192&gt;0,Q1192&lt;30,K1192&lt;7),'Udvaskning nøgletal'!$C$62,"")))</f>
        <v/>
      </c>
      <c r="AI1192" s="10">
        <f t="shared" si="190"/>
        <v>152</v>
      </c>
      <c r="AJ1192" s="10">
        <f>IF($X1192=1,LOOKUP(AI1192,'Udvaskning nøgletal'!$C$12:$C$62,'Udvaskning nøgletal'!$E$12:$E$62)+Markniveau!$Y1192*Markniveau!$S1192/100,IF($X1192=2,LOOKUP(AI1192,'Udvaskning nøgletal'!$C$12:$C$62,'Udvaskning nøgletal'!$F$12:$F$62)+Markniveau!$Y1192*Markniveau!$S1192/100,IF($X1192=3,LOOKUP(AI1192,'Udvaskning nøgletal'!$C$12:$C$62,'Udvaskning nøgletal'!Q1202:Q1252)+Markniveau!$Y1192*Markniveau!$S1192/100,"")))</f>
        <v>55.420779741212854</v>
      </c>
      <c r="AK1192" s="10">
        <f t="shared" si="189"/>
        <v>805.26392963982278</v>
      </c>
      <c r="AL1192" s="10" t="str">
        <f t="shared" si="191"/>
        <v/>
      </c>
      <c r="AM1192" s="10" t="str">
        <f t="shared" si="192"/>
        <v/>
      </c>
    </row>
    <row r="1193" spans="1:39" x14ac:dyDescent="0.25">
      <c r="A1193" s="15">
        <v>35557628</v>
      </c>
      <c r="B1193" s="15">
        <v>9.15</v>
      </c>
      <c r="C1193" s="15">
        <v>283077</v>
      </c>
      <c r="D1193" s="15">
        <v>55926</v>
      </c>
      <c r="E1193" s="15" t="s">
        <v>1039</v>
      </c>
      <c r="F1193" s="15">
        <v>2011</v>
      </c>
      <c r="G1193" s="15">
        <v>20110512</v>
      </c>
      <c r="H1193" s="15">
        <v>46367</v>
      </c>
      <c r="I1193" s="15">
        <v>4.6399999999999997</v>
      </c>
      <c r="J1193" s="6" t="s">
        <v>1040</v>
      </c>
      <c r="K1193" s="15">
        <v>22</v>
      </c>
      <c r="L1193" s="15" t="s">
        <v>213</v>
      </c>
      <c r="M1193" s="15" t="s">
        <v>5</v>
      </c>
      <c r="N1193" s="11" t="s">
        <v>1384</v>
      </c>
      <c r="O1193" s="11" t="s">
        <v>28</v>
      </c>
      <c r="P1193" s="11" t="s">
        <v>33</v>
      </c>
      <c r="Q1193" s="15">
        <v>0</v>
      </c>
      <c r="R1193" s="11" t="s">
        <v>1386</v>
      </c>
      <c r="S1193" s="10">
        <v>90.815594824257005</v>
      </c>
      <c r="T1193" s="15">
        <v>80</v>
      </c>
      <c r="U1193" s="15">
        <v>0</v>
      </c>
      <c r="V1193" s="15">
        <v>0</v>
      </c>
      <c r="W1193" s="15">
        <v>0</v>
      </c>
      <c r="X1193" s="15">
        <f>IF(O1193='Udvaskning nøgletal'!$D$65,1,IF(O1193='Udvaskning nøgletal'!$D$66,2,IF(O1193='Udvaskning nøgletal'!$D$67,3,IF(O1193='Udvaskning nøgletal'!$D$68,2,""))))</f>
        <v>1</v>
      </c>
      <c r="Y1193" s="15">
        <f>LOOKUP(K1193,'Udvaskning nøgletal'!$C$12:$C$60,'Udvaskning nøgletal'!$H$12:$H$60)</f>
        <v>5</v>
      </c>
      <c r="Z1193" s="10">
        <f>IF(X1193=1,LOOKUP(K1193,'Udvaskning nøgletal'!$C$12:$C$60,'Udvaskning nøgletal'!$E$12:$E$60)+Markniveau!Y1193*Markniveau!S1193/100,IF(X1193=2,LOOKUP(K1193,'Udvaskning nøgletal'!$C$12:$C$60,'Udvaskning nøgletal'!$F$12:$F$60)+Markniveau!Y1193*Markniveau!S1193/100,IF(X1193=3,LOOKUP(K1193,'Udvaskning nøgletal'!$C$12:$C$60,'Udvaskning nøgletal'!G1203:G1251)+Markniveau!Y1193*Markniveau!S1193/100,"")))</f>
        <v>69.200779741212841</v>
      </c>
      <c r="AA1193" s="10">
        <f t="shared" si="186"/>
        <v>321.09161799922754</v>
      </c>
      <c r="AB1193" s="10" t="str">
        <f t="shared" si="185"/>
        <v/>
      </c>
      <c r="AC1193" s="10" t="str">
        <f t="shared" si="187"/>
        <v/>
      </c>
      <c r="AD1193" s="10">
        <f>IF(AND(Q1193&gt;0,Q1193&lt;30,K1193&lt;8),Markniveau!Z1193*'Udvaskning nøgletal'!$I$12/100,IF(AND(Q1193&gt;0,Q1193&lt;30,K1193=216),Markniveau!Z1193*'Udvaskning nøgletal'!$I$34/100,Markniveau!Z1193))</f>
        <v>69.200779741212841</v>
      </c>
      <c r="AE1193" s="10">
        <f t="shared" si="193"/>
        <v>321.09161799922754</v>
      </c>
      <c r="AF1193" s="10" t="str">
        <f t="shared" si="188"/>
        <v/>
      </c>
      <c r="AG1193" s="10" t="str">
        <f t="shared" si="194"/>
        <v/>
      </c>
      <c r="AH1193" s="10" t="str">
        <f>IF(AND(Q1193&gt;0,Q1193&lt;30,K1193=216),'Udvaskning nøgletal'!$C$42,IF(AND(Q1193&gt;0,Q1193&lt;30,K1193&gt;7,K1193&lt;17),'Udvaskning nøgletal'!$C$61,IF(AND(Q1193&gt;0,Q1193&lt;30,K1193&lt;7),'Udvaskning nøgletal'!$C$62,"")))</f>
        <v/>
      </c>
      <c r="AI1193" s="10">
        <f t="shared" si="190"/>
        <v>22</v>
      </c>
      <c r="AJ1193" s="10">
        <f>IF($X1193=1,LOOKUP(AI1193,'Udvaskning nøgletal'!$C$12:$C$62,'Udvaskning nøgletal'!$E$12:$E$62)+Markniveau!$Y1193*Markniveau!$S1193/100,IF($X1193=2,LOOKUP(AI1193,'Udvaskning nøgletal'!$C$12:$C$62,'Udvaskning nøgletal'!$F$12:$F$62)+Markniveau!$Y1193*Markniveau!$S1193/100,IF($X1193=3,LOOKUP(AI1193,'Udvaskning nøgletal'!$C$12:$C$62,'Udvaskning nøgletal'!Q1203:Q1253)+Markniveau!$Y1193*Markniveau!$S1193/100,"")))</f>
        <v>69.200779741212841</v>
      </c>
      <c r="AK1193" s="10">
        <f t="shared" si="189"/>
        <v>321.09161799922754</v>
      </c>
      <c r="AL1193" s="10" t="str">
        <f t="shared" si="191"/>
        <v/>
      </c>
      <c r="AM1193" s="10" t="str">
        <f t="shared" si="192"/>
        <v/>
      </c>
    </row>
    <row r="1194" spans="1:39" x14ac:dyDescent="0.25">
      <c r="A1194" s="15">
        <v>35557628</v>
      </c>
      <c r="B1194" s="15">
        <v>9.15</v>
      </c>
      <c r="C1194" s="15">
        <v>283079</v>
      </c>
      <c r="D1194" s="15">
        <v>55926</v>
      </c>
      <c r="E1194" s="15" t="s">
        <v>1041</v>
      </c>
      <c r="F1194" s="15">
        <v>2011</v>
      </c>
      <c r="G1194" s="15">
        <v>20110512</v>
      </c>
      <c r="H1194" s="15">
        <v>41442</v>
      </c>
      <c r="I1194" s="15">
        <v>4.1399999999999997</v>
      </c>
      <c r="J1194" s="6" t="s">
        <v>1042</v>
      </c>
      <c r="K1194" s="15">
        <v>15</v>
      </c>
      <c r="L1194" s="15" t="s">
        <v>362</v>
      </c>
      <c r="M1194" s="15" t="s">
        <v>5</v>
      </c>
      <c r="N1194" s="11" t="s">
        <v>1384</v>
      </c>
      <c r="O1194" s="11" t="s">
        <v>28</v>
      </c>
      <c r="P1194" s="11" t="s">
        <v>33</v>
      </c>
      <c r="Q1194" s="15">
        <v>0</v>
      </c>
      <c r="R1194" s="11" t="s">
        <v>1386</v>
      </c>
      <c r="S1194" s="10">
        <v>90.815594824257005</v>
      </c>
      <c r="T1194" s="15">
        <v>80</v>
      </c>
      <c r="U1194" s="15">
        <v>0</v>
      </c>
      <c r="V1194" s="15">
        <v>0</v>
      </c>
      <c r="W1194" s="15">
        <v>0</v>
      </c>
      <c r="X1194" s="15">
        <f>IF(O1194='Udvaskning nøgletal'!$D$65,1,IF(O1194='Udvaskning nøgletal'!$D$66,2,IF(O1194='Udvaskning nøgletal'!$D$67,3,IF(O1194='Udvaskning nøgletal'!$D$68,2,""))))</f>
        <v>1</v>
      </c>
      <c r="Y1194" s="15">
        <f>LOOKUP(K1194,'Udvaskning nøgletal'!$C$12:$C$60,'Udvaskning nøgletal'!$H$12:$H$60)</f>
        <v>5</v>
      </c>
      <c r="Z1194" s="10">
        <f>IF(X1194=1,LOOKUP(K1194,'Udvaskning nøgletal'!$C$12:$C$60,'Udvaskning nøgletal'!$E$12:$E$60)+Markniveau!Y1194*Markniveau!S1194/100,IF(X1194=2,LOOKUP(K1194,'Udvaskning nøgletal'!$C$12:$C$60,'Udvaskning nøgletal'!$F$12:$F$60)+Markniveau!Y1194*Markniveau!S1194/100,IF(X1194=3,LOOKUP(K1194,'Udvaskning nøgletal'!$C$12:$C$60,'Udvaskning nøgletal'!G1204:G1252)+Markniveau!Y1194*Markniveau!S1194/100,"")))</f>
        <v>69.200779741212841</v>
      </c>
      <c r="AA1194" s="10">
        <f t="shared" si="186"/>
        <v>286.49122812862112</v>
      </c>
      <c r="AB1194" s="10" t="str">
        <f t="shared" si="185"/>
        <v/>
      </c>
      <c r="AC1194" s="10" t="str">
        <f t="shared" si="187"/>
        <v/>
      </c>
      <c r="AD1194" s="10">
        <f>IF(AND(Q1194&gt;0,Q1194&lt;30,K1194&lt;8),Markniveau!Z1194*'Udvaskning nøgletal'!$I$12/100,IF(AND(Q1194&gt;0,Q1194&lt;30,K1194=216),Markniveau!Z1194*'Udvaskning nøgletal'!$I$34/100,Markniveau!Z1194))</f>
        <v>69.200779741212841</v>
      </c>
      <c r="AE1194" s="10">
        <f t="shared" si="193"/>
        <v>286.49122812862112</v>
      </c>
      <c r="AF1194" s="10" t="str">
        <f t="shared" si="188"/>
        <v/>
      </c>
      <c r="AG1194" s="10" t="str">
        <f t="shared" si="194"/>
        <v/>
      </c>
      <c r="AH1194" s="10" t="str">
        <f>IF(AND(Q1194&gt;0,Q1194&lt;30,K1194=216),'Udvaskning nøgletal'!$C$42,IF(AND(Q1194&gt;0,Q1194&lt;30,K1194&gt;7,K1194&lt;17),'Udvaskning nøgletal'!$C$61,IF(AND(Q1194&gt;0,Q1194&lt;30,K1194&lt;7),'Udvaskning nøgletal'!$C$62,"")))</f>
        <v/>
      </c>
      <c r="AI1194" s="10">
        <f t="shared" si="190"/>
        <v>15</v>
      </c>
      <c r="AJ1194" s="10">
        <f>IF($X1194=1,LOOKUP(AI1194,'Udvaskning nøgletal'!$C$12:$C$62,'Udvaskning nøgletal'!$E$12:$E$62)+Markniveau!$Y1194*Markniveau!$S1194/100,IF($X1194=2,LOOKUP(AI1194,'Udvaskning nøgletal'!$C$12:$C$62,'Udvaskning nøgletal'!$F$12:$F$62)+Markniveau!$Y1194*Markniveau!$S1194/100,IF($X1194=3,LOOKUP(AI1194,'Udvaskning nøgletal'!$C$12:$C$62,'Udvaskning nøgletal'!Q1204:Q1254)+Markniveau!$Y1194*Markniveau!$S1194/100,"")))</f>
        <v>69.200779741212841</v>
      </c>
      <c r="AK1194" s="10">
        <f t="shared" si="189"/>
        <v>286.49122812862112</v>
      </c>
      <c r="AL1194" s="10" t="str">
        <f t="shared" si="191"/>
        <v/>
      </c>
      <c r="AM1194" s="10" t="str">
        <f t="shared" si="192"/>
        <v/>
      </c>
    </row>
    <row r="1195" spans="1:39" x14ac:dyDescent="0.25">
      <c r="A1195" s="15">
        <v>35557628</v>
      </c>
      <c r="B1195" s="15">
        <v>9.15</v>
      </c>
      <c r="C1195" s="15">
        <v>283080</v>
      </c>
      <c r="D1195" s="15">
        <v>55926</v>
      </c>
      <c r="E1195" s="15" t="s">
        <v>1043</v>
      </c>
      <c r="F1195" s="15">
        <v>2011</v>
      </c>
      <c r="G1195" s="15">
        <v>20110512</v>
      </c>
      <c r="H1195" s="15">
        <v>33149</v>
      </c>
      <c r="I1195" s="15">
        <v>3.31</v>
      </c>
      <c r="J1195" s="6" t="s">
        <v>1044</v>
      </c>
      <c r="K1195" s="15">
        <v>22</v>
      </c>
      <c r="L1195" s="15" t="s">
        <v>213</v>
      </c>
      <c r="M1195" s="15" t="s">
        <v>5</v>
      </c>
      <c r="N1195" s="11" t="s">
        <v>1384</v>
      </c>
      <c r="O1195" s="11" t="s">
        <v>28</v>
      </c>
      <c r="P1195" s="11" t="s">
        <v>33</v>
      </c>
      <c r="Q1195" s="15">
        <v>0</v>
      </c>
      <c r="R1195" s="11" t="s">
        <v>1386</v>
      </c>
      <c r="S1195" s="10">
        <v>90.815594824257005</v>
      </c>
      <c r="T1195" s="15">
        <v>80</v>
      </c>
      <c r="U1195" s="15">
        <v>0</v>
      </c>
      <c r="V1195" s="15">
        <v>0</v>
      </c>
      <c r="W1195" s="15">
        <v>0</v>
      </c>
      <c r="X1195" s="15">
        <f>IF(O1195='Udvaskning nøgletal'!$D$65,1,IF(O1195='Udvaskning nøgletal'!$D$66,2,IF(O1195='Udvaskning nøgletal'!$D$67,3,IF(O1195='Udvaskning nøgletal'!$D$68,2,""))))</f>
        <v>1</v>
      </c>
      <c r="Y1195" s="15">
        <f>LOOKUP(K1195,'Udvaskning nøgletal'!$C$12:$C$60,'Udvaskning nøgletal'!$H$12:$H$60)</f>
        <v>5</v>
      </c>
      <c r="Z1195" s="10">
        <f>IF(X1195=1,LOOKUP(K1195,'Udvaskning nøgletal'!$C$12:$C$60,'Udvaskning nøgletal'!$E$12:$E$60)+Markniveau!Y1195*Markniveau!S1195/100,IF(X1195=2,LOOKUP(K1195,'Udvaskning nøgletal'!$C$12:$C$60,'Udvaskning nøgletal'!$F$12:$F$60)+Markniveau!Y1195*Markniveau!S1195/100,IF(X1195=3,LOOKUP(K1195,'Udvaskning nøgletal'!$C$12:$C$60,'Udvaskning nøgletal'!G1205:G1253)+Markniveau!Y1195*Markniveau!S1195/100,"")))</f>
        <v>69.200779741212841</v>
      </c>
      <c r="AA1195" s="10">
        <f t="shared" si="186"/>
        <v>229.05458094341452</v>
      </c>
      <c r="AB1195" s="10" t="str">
        <f t="shared" si="185"/>
        <v/>
      </c>
      <c r="AC1195" s="10" t="str">
        <f t="shared" si="187"/>
        <v/>
      </c>
      <c r="AD1195" s="10">
        <f>IF(AND(Q1195&gt;0,Q1195&lt;30,K1195&lt;8),Markniveau!Z1195*'Udvaskning nøgletal'!$I$12/100,IF(AND(Q1195&gt;0,Q1195&lt;30,K1195=216),Markniveau!Z1195*'Udvaskning nøgletal'!$I$34/100,Markniveau!Z1195))</f>
        <v>69.200779741212841</v>
      </c>
      <c r="AE1195" s="10">
        <f t="shared" si="193"/>
        <v>229.05458094341452</v>
      </c>
      <c r="AF1195" s="10" t="str">
        <f t="shared" si="188"/>
        <v/>
      </c>
      <c r="AG1195" s="10" t="str">
        <f t="shared" si="194"/>
        <v/>
      </c>
      <c r="AH1195" s="10" t="str">
        <f>IF(AND(Q1195&gt;0,Q1195&lt;30,K1195=216),'Udvaskning nøgletal'!$C$42,IF(AND(Q1195&gt;0,Q1195&lt;30,K1195&gt;7,K1195&lt;17),'Udvaskning nøgletal'!$C$61,IF(AND(Q1195&gt;0,Q1195&lt;30,K1195&lt;7),'Udvaskning nøgletal'!$C$62,"")))</f>
        <v/>
      </c>
      <c r="AI1195" s="10">
        <f t="shared" si="190"/>
        <v>22</v>
      </c>
      <c r="AJ1195" s="10">
        <f>IF($X1195=1,LOOKUP(AI1195,'Udvaskning nøgletal'!$C$12:$C$62,'Udvaskning nøgletal'!$E$12:$E$62)+Markniveau!$Y1195*Markniveau!$S1195/100,IF($X1195=2,LOOKUP(AI1195,'Udvaskning nøgletal'!$C$12:$C$62,'Udvaskning nøgletal'!$F$12:$F$62)+Markniveau!$Y1195*Markniveau!$S1195/100,IF($X1195=3,LOOKUP(AI1195,'Udvaskning nøgletal'!$C$12:$C$62,'Udvaskning nøgletal'!Q1205:Q1255)+Markniveau!$Y1195*Markniveau!$S1195/100,"")))</f>
        <v>69.200779741212841</v>
      </c>
      <c r="AK1195" s="10">
        <f t="shared" si="189"/>
        <v>229.05458094341452</v>
      </c>
      <c r="AL1195" s="10" t="str">
        <f t="shared" si="191"/>
        <v/>
      </c>
      <c r="AM1195" s="10" t="str">
        <f t="shared" si="192"/>
        <v/>
      </c>
    </row>
    <row r="1196" spans="1:39" x14ac:dyDescent="0.25">
      <c r="A1196" s="15">
        <v>35557628</v>
      </c>
      <c r="B1196" s="15">
        <v>9.15</v>
      </c>
      <c r="C1196" s="15">
        <v>283169</v>
      </c>
      <c r="D1196" s="15">
        <v>55926</v>
      </c>
      <c r="E1196" s="15" t="s">
        <v>1045</v>
      </c>
      <c r="F1196" s="15">
        <v>2011</v>
      </c>
      <c r="G1196" s="15">
        <v>20110512</v>
      </c>
      <c r="H1196" s="15">
        <v>7324</v>
      </c>
      <c r="I1196" s="15">
        <v>0.73</v>
      </c>
      <c r="J1196" s="6" t="s">
        <v>122</v>
      </c>
      <c r="K1196" s="15">
        <v>310</v>
      </c>
      <c r="L1196" s="15" t="s">
        <v>484</v>
      </c>
      <c r="M1196" s="15" t="s">
        <v>81</v>
      </c>
      <c r="N1196" s="11" t="s">
        <v>1384</v>
      </c>
      <c r="O1196" s="11" t="s">
        <v>28</v>
      </c>
      <c r="P1196" s="11" t="s">
        <v>33</v>
      </c>
      <c r="Q1196" s="15">
        <v>0</v>
      </c>
      <c r="R1196" s="11" t="s">
        <v>1386</v>
      </c>
      <c r="S1196" s="10">
        <v>90.815594824257005</v>
      </c>
      <c r="T1196" s="15">
        <v>80</v>
      </c>
      <c r="U1196" s="15">
        <v>0</v>
      </c>
      <c r="V1196" s="15">
        <v>0</v>
      </c>
      <c r="W1196" s="15">
        <v>0</v>
      </c>
      <c r="X1196" s="15">
        <f>IF(O1196='Udvaskning nøgletal'!$D$65,1,IF(O1196='Udvaskning nøgletal'!$D$66,2,IF(O1196='Udvaskning nøgletal'!$D$67,3,IF(O1196='Udvaskning nøgletal'!$D$68,2,""))))</f>
        <v>1</v>
      </c>
      <c r="Y1196" s="15">
        <f>LOOKUP(K1196,'Udvaskning nøgletal'!$C$12:$C$60,'Udvaskning nøgletal'!$H$12:$H$60)</f>
        <v>0</v>
      </c>
      <c r="Z1196" s="10">
        <f>IF(X1196=1,LOOKUP(K1196,'Udvaskning nøgletal'!$C$12:$C$60,'Udvaskning nøgletal'!$E$12:$E$60)+Markniveau!Y1196*Markniveau!S1196/100,IF(X1196=2,LOOKUP(K1196,'Udvaskning nøgletal'!$C$12:$C$60,'Udvaskning nøgletal'!$F$12:$F$60)+Markniveau!Y1196*Markniveau!S1196/100,IF(X1196=3,LOOKUP(K1196,'Udvaskning nøgletal'!$C$12:$C$60,'Udvaskning nøgletal'!G1206:G1254)+Markniveau!Y1196*Markniveau!S1196/100,"")))</f>
        <v>10</v>
      </c>
      <c r="AA1196" s="10">
        <f t="shared" si="186"/>
        <v>7.3</v>
      </c>
      <c r="AB1196" s="10" t="str">
        <f t="shared" si="185"/>
        <v/>
      </c>
      <c r="AC1196" s="10" t="str">
        <f t="shared" si="187"/>
        <v/>
      </c>
      <c r="AD1196" s="10">
        <f>IF(AND(Q1196&gt;0,Q1196&lt;30,K1196&lt;8),Markniveau!Z1196*'Udvaskning nøgletal'!$I$12/100,IF(AND(Q1196&gt;0,Q1196&lt;30,K1196=216),Markniveau!Z1196*'Udvaskning nøgletal'!$I$34/100,Markniveau!Z1196))</f>
        <v>10</v>
      </c>
      <c r="AE1196" s="10">
        <f t="shared" si="193"/>
        <v>7.3</v>
      </c>
      <c r="AF1196" s="10" t="str">
        <f t="shared" si="188"/>
        <v/>
      </c>
      <c r="AG1196" s="10" t="str">
        <f t="shared" si="194"/>
        <v/>
      </c>
      <c r="AH1196" s="10" t="str">
        <f>IF(AND(Q1196&gt;0,Q1196&lt;30,K1196=216),'Udvaskning nøgletal'!$C$42,IF(AND(Q1196&gt;0,Q1196&lt;30,K1196&gt;7,K1196&lt;17),'Udvaskning nøgletal'!$C$61,IF(AND(Q1196&gt;0,Q1196&lt;30,K1196&lt;7),'Udvaskning nøgletal'!$C$62,"")))</f>
        <v/>
      </c>
      <c r="AI1196" s="10">
        <f t="shared" si="190"/>
        <v>310</v>
      </c>
      <c r="AJ1196" s="10">
        <f>IF($X1196=1,LOOKUP(AI1196,'Udvaskning nøgletal'!$C$12:$C$62,'Udvaskning nøgletal'!$E$12:$E$62)+Markniveau!$Y1196*Markniveau!$S1196/100,IF($X1196=2,LOOKUP(AI1196,'Udvaskning nøgletal'!$C$12:$C$62,'Udvaskning nøgletal'!$F$12:$F$62)+Markniveau!$Y1196*Markniveau!$S1196/100,IF($X1196=3,LOOKUP(AI1196,'Udvaskning nøgletal'!$C$12:$C$62,'Udvaskning nøgletal'!Q1206:Q1256)+Markniveau!$Y1196*Markniveau!$S1196/100,"")))</f>
        <v>10</v>
      </c>
      <c r="AK1196" s="10">
        <f t="shared" si="189"/>
        <v>7.3</v>
      </c>
      <c r="AL1196" s="10" t="str">
        <f t="shared" si="191"/>
        <v/>
      </c>
      <c r="AM1196" s="10" t="str">
        <f t="shared" si="192"/>
        <v/>
      </c>
    </row>
    <row r="1197" spans="1:39" x14ac:dyDescent="0.25">
      <c r="A1197" s="15">
        <v>35557628</v>
      </c>
      <c r="B1197" s="15">
        <v>9.15</v>
      </c>
      <c r="C1197" s="15">
        <v>283265</v>
      </c>
      <c r="D1197" s="15">
        <v>55926</v>
      </c>
      <c r="E1197" s="15" t="s">
        <v>1046</v>
      </c>
      <c r="F1197" s="15">
        <v>2011</v>
      </c>
      <c r="G1197" s="15">
        <v>20110512</v>
      </c>
      <c r="H1197" s="15">
        <v>63779</v>
      </c>
      <c r="I1197" s="15">
        <v>6.38</v>
      </c>
      <c r="J1197" s="6" t="s">
        <v>1047</v>
      </c>
      <c r="K1197" s="15">
        <v>15</v>
      </c>
      <c r="L1197" s="15" t="s">
        <v>362</v>
      </c>
      <c r="M1197" s="15" t="s">
        <v>5</v>
      </c>
      <c r="N1197" s="11" t="s">
        <v>1384</v>
      </c>
      <c r="O1197" s="11" t="s">
        <v>28</v>
      </c>
      <c r="P1197" s="11" t="s">
        <v>33</v>
      </c>
      <c r="Q1197" s="15">
        <v>0</v>
      </c>
      <c r="R1197" s="11" t="s">
        <v>1386</v>
      </c>
      <c r="S1197" s="10">
        <v>90.815594824257005</v>
      </c>
      <c r="T1197" s="15">
        <v>80</v>
      </c>
      <c r="U1197" s="15">
        <v>0</v>
      </c>
      <c r="V1197" s="15">
        <v>0</v>
      </c>
      <c r="W1197" s="15">
        <v>0</v>
      </c>
      <c r="X1197" s="15">
        <f>IF(O1197='Udvaskning nøgletal'!$D$65,1,IF(O1197='Udvaskning nøgletal'!$D$66,2,IF(O1197='Udvaskning nøgletal'!$D$67,3,IF(O1197='Udvaskning nøgletal'!$D$68,2,""))))</f>
        <v>1</v>
      </c>
      <c r="Y1197" s="15">
        <f>LOOKUP(K1197,'Udvaskning nøgletal'!$C$12:$C$60,'Udvaskning nøgletal'!$H$12:$H$60)</f>
        <v>5</v>
      </c>
      <c r="Z1197" s="10">
        <f>IF(X1197=1,LOOKUP(K1197,'Udvaskning nøgletal'!$C$12:$C$60,'Udvaskning nøgletal'!$E$12:$E$60)+Markniveau!Y1197*Markniveau!S1197/100,IF(X1197=2,LOOKUP(K1197,'Udvaskning nøgletal'!$C$12:$C$60,'Udvaskning nøgletal'!$F$12:$F$60)+Markniveau!Y1197*Markniveau!S1197/100,IF(X1197=3,LOOKUP(K1197,'Udvaskning nøgletal'!$C$12:$C$60,'Udvaskning nøgletal'!G1207:G1255)+Markniveau!Y1197*Markniveau!S1197/100,"")))</f>
        <v>69.200779741212841</v>
      </c>
      <c r="AA1197" s="10">
        <f t="shared" si="186"/>
        <v>441.50097474893789</v>
      </c>
      <c r="AB1197" s="10" t="str">
        <f t="shared" si="185"/>
        <v/>
      </c>
      <c r="AC1197" s="10" t="str">
        <f t="shared" si="187"/>
        <v/>
      </c>
      <c r="AD1197" s="10">
        <f>IF(AND(Q1197&gt;0,Q1197&lt;30,K1197&lt;8),Markniveau!Z1197*'Udvaskning nøgletal'!$I$12/100,IF(AND(Q1197&gt;0,Q1197&lt;30,K1197=216),Markniveau!Z1197*'Udvaskning nøgletal'!$I$34/100,Markniveau!Z1197))</f>
        <v>69.200779741212841</v>
      </c>
      <c r="AE1197" s="10">
        <f t="shared" si="193"/>
        <v>441.50097474893789</v>
      </c>
      <c r="AF1197" s="10" t="str">
        <f t="shared" si="188"/>
        <v/>
      </c>
      <c r="AG1197" s="10" t="str">
        <f t="shared" si="194"/>
        <v/>
      </c>
      <c r="AH1197" s="10" t="str">
        <f>IF(AND(Q1197&gt;0,Q1197&lt;30,K1197=216),'Udvaskning nøgletal'!$C$42,IF(AND(Q1197&gt;0,Q1197&lt;30,K1197&gt;7,K1197&lt;17),'Udvaskning nøgletal'!$C$61,IF(AND(Q1197&gt;0,Q1197&lt;30,K1197&lt;7),'Udvaskning nøgletal'!$C$62,"")))</f>
        <v/>
      </c>
      <c r="AI1197" s="10">
        <f t="shared" si="190"/>
        <v>15</v>
      </c>
      <c r="AJ1197" s="10">
        <f>IF($X1197=1,LOOKUP(AI1197,'Udvaskning nøgletal'!$C$12:$C$62,'Udvaskning nøgletal'!$E$12:$E$62)+Markniveau!$Y1197*Markniveau!$S1197/100,IF($X1197=2,LOOKUP(AI1197,'Udvaskning nøgletal'!$C$12:$C$62,'Udvaskning nøgletal'!$F$12:$F$62)+Markniveau!$Y1197*Markniveau!$S1197/100,IF($X1197=3,LOOKUP(AI1197,'Udvaskning nøgletal'!$C$12:$C$62,'Udvaskning nøgletal'!Q1207:Q1257)+Markniveau!$Y1197*Markniveau!$S1197/100,"")))</f>
        <v>69.200779741212841</v>
      </c>
      <c r="AK1197" s="10">
        <f t="shared" si="189"/>
        <v>441.50097474893789</v>
      </c>
      <c r="AL1197" s="10" t="str">
        <f t="shared" si="191"/>
        <v/>
      </c>
      <c r="AM1197" s="10" t="str">
        <f t="shared" si="192"/>
        <v/>
      </c>
    </row>
    <row r="1198" spans="1:39" x14ac:dyDescent="0.25">
      <c r="A1198" s="15">
        <v>35557628</v>
      </c>
      <c r="B1198" s="15">
        <v>9.15</v>
      </c>
      <c r="C1198" s="15">
        <v>283366</v>
      </c>
      <c r="D1198" s="15">
        <v>55926</v>
      </c>
      <c r="E1198" s="15" t="s">
        <v>1048</v>
      </c>
      <c r="F1198" s="15">
        <v>2011</v>
      </c>
      <c r="G1198" s="15">
        <v>20110512</v>
      </c>
      <c r="H1198" s="15">
        <v>19192</v>
      </c>
      <c r="I1198" s="15">
        <v>1.92</v>
      </c>
      <c r="J1198" s="6" t="s">
        <v>1049</v>
      </c>
      <c r="K1198" s="15">
        <v>15</v>
      </c>
      <c r="L1198" s="15" t="s">
        <v>362</v>
      </c>
      <c r="M1198" s="15" t="s">
        <v>5</v>
      </c>
      <c r="N1198" s="11" t="s">
        <v>1406</v>
      </c>
      <c r="O1198" s="11" t="s">
        <v>46</v>
      </c>
      <c r="P1198" s="11" t="s">
        <v>33</v>
      </c>
      <c r="Q1198" s="15">
        <v>0</v>
      </c>
      <c r="R1198" s="11" t="s">
        <v>1386</v>
      </c>
      <c r="S1198" s="10">
        <v>90.815594824257005</v>
      </c>
      <c r="T1198" s="15">
        <v>80</v>
      </c>
      <c r="U1198" s="15">
        <v>0</v>
      </c>
      <c r="V1198" s="15">
        <v>0</v>
      </c>
      <c r="W1198" s="15">
        <v>0</v>
      </c>
      <c r="X1198" s="15">
        <f>IF(O1198='Udvaskning nøgletal'!$D$65,1,IF(O1198='Udvaskning nøgletal'!$D$66,2,IF(O1198='Udvaskning nøgletal'!$D$67,3,IF(O1198='Udvaskning nøgletal'!$D$68,2,""))))</f>
        <v>2</v>
      </c>
      <c r="Y1198" s="15">
        <f>LOOKUP(K1198,'Udvaskning nøgletal'!$C$12:$C$60,'Udvaskning nøgletal'!$H$12:$H$60)</f>
        <v>5</v>
      </c>
      <c r="Z1198" s="10">
        <f>IF(X1198=1,LOOKUP(K1198,'Udvaskning nøgletal'!$C$12:$C$60,'Udvaskning nøgletal'!$E$12:$E$60)+Markniveau!Y1198*Markniveau!S1198/100,IF(X1198=2,LOOKUP(K1198,'Udvaskning nøgletal'!$C$12:$C$60,'Udvaskning nøgletal'!$F$12:$F$60)+Markniveau!Y1198*Markniveau!S1198/100,IF(X1198=3,LOOKUP(K1198,'Udvaskning nøgletal'!$C$12:$C$60,'Udvaskning nøgletal'!G1208:G1256)+Markniveau!Y1198*Markniveau!S1198/100,"")))</f>
        <v>55.420779741212854</v>
      </c>
      <c r="AA1198" s="10">
        <f t="shared" si="186"/>
        <v>106.40789710312868</v>
      </c>
      <c r="AB1198" s="10" t="str">
        <f t="shared" si="185"/>
        <v/>
      </c>
      <c r="AC1198" s="10" t="str">
        <f t="shared" si="187"/>
        <v/>
      </c>
      <c r="AD1198" s="10">
        <f>IF(AND(Q1198&gt;0,Q1198&lt;30,K1198&lt;8),Markniveau!Z1198*'Udvaskning nøgletal'!$I$12/100,IF(AND(Q1198&gt;0,Q1198&lt;30,K1198=216),Markniveau!Z1198*'Udvaskning nøgletal'!$I$34/100,Markniveau!Z1198))</f>
        <v>55.420779741212854</v>
      </c>
      <c r="AE1198" s="10">
        <f t="shared" si="193"/>
        <v>106.40789710312868</v>
      </c>
      <c r="AF1198" s="10" t="str">
        <f t="shared" si="188"/>
        <v/>
      </c>
      <c r="AG1198" s="10" t="str">
        <f t="shared" si="194"/>
        <v/>
      </c>
      <c r="AH1198" s="10" t="str">
        <f>IF(AND(Q1198&gt;0,Q1198&lt;30,K1198=216),'Udvaskning nøgletal'!$C$42,IF(AND(Q1198&gt;0,Q1198&lt;30,K1198&gt;7,K1198&lt;17),'Udvaskning nøgletal'!$C$61,IF(AND(Q1198&gt;0,Q1198&lt;30,K1198&lt;7),'Udvaskning nøgletal'!$C$62,"")))</f>
        <v/>
      </c>
      <c r="AI1198" s="10">
        <f t="shared" si="190"/>
        <v>15</v>
      </c>
      <c r="AJ1198" s="10">
        <f>IF($X1198=1,LOOKUP(AI1198,'Udvaskning nøgletal'!$C$12:$C$62,'Udvaskning nøgletal'!$E$12:$E$62)+Markniveau!$Y1198*Markniveau!$S1198/100,IF($X1198=2,LOOKUP(AI1198,'Udvaskning nøgletal'!$C$12:$C$62,'Udvaskning nøgletal'!$F$12:$F$62)+Markniveau!$Y1198*Markniveau!$S1198/100,IF($X1198=3,LOOKUP(AI1198,'Udvaskning nøgletal'!$C$12:$C$62,'Udvaskning nøgletal'!Q1208:Q1258)+Markniveau!$Y1198*Markniveau!$S1198/100,"")))</f>
        <v>55.420779741212854</v>
      </c>
      <c r="AK1198" s="10">
        <f t="shared" si="189"/>
        <v>106.40789710312868</v>
      </c>
      <c r="AL1198" s="10" t="str">
        <f t="shared" si="191"/>
        <v/>
      </c>
      <c r="AM1198" s="10" t="str">
        <f t="shared" si="192"/>
        <v/>
      </c>
    </row>
    <row r="1199" spans="1:39" x14ac:dyDescent="0.25">
      <c r="A1199" s="15">
        <v>35557628</v>
      </c>
      <c r="B1199" s="15">
        <v>9.15</v>
      </c>
      <c r="C1199" s="15">
        <v>283367</v>
      </c>
      <c r="D1199" s="15">
        <v>55926</v>
      </c>
      <c r="E1199" s="15" t="s">
        <v>1050</v>
      </c>
      <c r="F1199" s="15">
        <v>2011</v>
      </c>
      <c r="G1199" s="15">
        <v>20110512</v>
      </c>
      <c r="H1199" s="15">
        <v>95143</v>
      </c>
      <c r="I1199" s="15">
        <v>9.51</v>
      </c>
      <c r="J1199" s="6" t="s">
        <v>1051</v>
      </c>
      <c r="K1199" s="15">
        <v>152</v>
      </c>
      <c r="L1199" s="15" t="s">
        <v>333</v>
      </c>
      <c r="M1199" s="15" t="s">
        <v>5</v>
      </c>
      <c r="N1199" s="11" t="s">
        <v>1384</v>
      </c>
      <c r="O1199" s="11" t="s">
        <v>28</v>
      </c>
      <c r="P1199" s="11" t="s">
        <v>33</v>
      </c>
      <c r="Q1199" s="15">
        <v>0</v>
      </c>
      <c r="R1199" s="11" t="s">
        <v>1386</v>
      </c>
      <c r="S1199" s="10">
        <v>90.815594824257005</v>
      </c>
      <c r="T1199" s="15">
        <v>80</v>
      </c>
      <c r="U1199" s="15">
        <v>0</v>
      </c>
      <c r="V1199" s="15">
        <v>0</v>
      </c>
      <c r="W1199" s="15">
        <v>0</v>
      </c>
      <c r="X1199" s="15">
        <f>IF(O1199='Udvaskning nøgletal'!$D$65,1,IF(O1199='Udvaskning nøgletal'!$D$66,2,IF(O1199='Udvaskning nøgletal'!$D$67,3,IF(O1199='Udvaskning nøgletal'!$D$68,2,""))))</f>
        <v>1</v>
      </c>
      <c r="Y1199" s="15">
        <f>LOOKUP(K1199,'Udvaskning nøgletal'!$C$12:$C$60,'Udvaskning nøgletal'!$H$12:$H$60)</f>
        <v>5</v>
      </c>
      <c r="Z1199" s="10">
        <f>IF(X1199=1,LOOKUP(K1199,'Udvaskning nøgletal'!$C$12:$C$60,'Udvaskning nøgletal'!$E$12:$E$60)+Markniveau!Y1199*Markniveau!S1199/100,IF(X1199=2,LOOKUP(K1199,'Udvaskning nøgletal'!$C$12:$C$60,'Udvaskning nøgletal'!$F$12:$F$60)+Markniveau!Y1199*Markniveau!S1199/100,IF(X1199=3,LOOKUP(K1199,'Udvaskning nøgletal'!$C$12:$C$60,'Udvaskning nøgletal'!G1209:G1257)+Markniveau!Y1199*Markniveau!S1199/100,"")))</f>
        <v>69.200779741212841</v>
      </c>
      <c r="AA1199" s="10">
        <f t="shared" si="186"/>
        <v>658.09941533893414</v>
      </c>
      <c r="AB1199" s="10" t="str">
        <f t="shared" si="185"/>
        <v/>
      </c>
      <c r="AC1199" s="10" t="str">
        <f t="shared" si="187"/>
        <v/>
      </c>
      <c r="AD1199" s="10">
        <f>IF(AND(Q1199&gt;0,Q1199&lt;30,K1199&lt;8),Markniveau!Z1199*'Udvaskning nøgletal'!$I$12/100,IF(AND(Q1199&gt;0,Q1199&lt;30,K1199=216),Markniveau!Z1199*'Udvaskning nøgletal'!$I$34/100,Markniveau!Z1199))</f>
        <v>69.200779741212841</v>
      </c>
      <c r="AE1199" s="10">
        <f t="shared" si="193"/>
        <v>658.09941533893414</v>
      </c>
      <c r="AF1199" s="10" t="str">
        <f t="shared" si="188"/>
        <v/>
      </c>
      <c r="AG1199" s="10" t="str">
        <f t="shared" si="194"/>
        <v/>
      </c>
      <c r="AH1199" s="10" t="str">
        <f>IF(AND(Q1199&gt;0,Q1199&lt;30,K1199=216),'Udvaskning nøgletal'!$C$42,IF(AND(Q1199&gt;0,Q1199&lt;30,K1199&gt;7,K1199&lt;17),'Udvaskning nøgletal'!$C$61,IF(AND(Q1199&gt;0,Q1199&lt;30,K1199&lt;7),'Udvaskning nøgletal'!$C$62,"")))</f>
        <v/>
      </c>
      <c r="AI1199" s="10">
        <f t="shared" si="190"/>
        <v>152</v>
      </c>
      <c r="AJ1199" s="10">
        <f>IF($X1199=1,LOOKUP(AI1199,'Udvaskning nøgletal'!$C$12:$C$62,'Udvaskning nøgletal'!$E$12:$E$62)+Markniveau!$Y1199*Markniveau!$S1199/100,IF($X1199=2,LOOKUP(AI1199,'Udvaskning nøgletal'!$C$12:$C$62,'Udvaskning nøgletal'!$F$12:$F$62)+Markniveau!$Y1199*Markniveau!$S1199/100,IF($X1199=3,LOOKUP(AI1199,'Udvaskning nøgletal'!$C$12:$C$62,'Udvaskning nøgletal'!Q1209:Q1259)+Markniveau!$Y1199*Markniveau!$S1199/100,"")))</f>
        <v>69.200779741212841</v>
      </c>
      <c r="AK1199" s="10">
        <f t="shared" si="189"/>
        <v>658.09941533893414</v>
      </c>
      <c r="AL1199" s="10" t="str">
        <f t="shared" si="191"/>
        <v/>
      </c>
      <c r="AM1199" s="10" t="str">
        <f t="shared" si="192"/>
        <v/>
      </c>
    </row>
    <row r="1200" spans="1:39" x14ac:dyDescent="0.25">
      <c r="A1200" s="15">
        <v>35557628</v>
      </c>
      <c r="B1200" s="15">
        <v>9.15</v>
      </c>
      <c r="C1200" s="15">
        <v>283452</v>
      </c>
      <c r="D1200" s="15">
        <v>55926</v>
      </c>
      <c r="E1200" s="15" t="s">
        <v>1052</v>
      </c>
      <c r="F1200" s="15">
        <v>2011</v>
      </c>
      <c r="G1200" s="15">
        <v>20110512</v>
      </c>
      <c r="H1200" s="15">
        <v>13215</v>
      </c>
      <c r="I1200" s="15">
        <v>1.32</v>
      </c>
      <c r="J1200" s="6" t="s">
        <v>1053</v>
      </c>
      <c r="K1200" s="15">
        <v>152</v>
      </c>
      <c r="L1200" s="15" t="s">
        <v>333</v>
      </c>
      <c r="M1200" s="15" t="s">
        <v>5</v>
      </c>
      <c r="N1200" s="11" t="s">
        <v>1391</v>
      </c>
      <c r="O1200" s="11" t="s">
        <v>46</v>
      </c>
      <c r="P1200" s="11" t="s">
        <v>33</v>
      </c>
      <c r="Q1200" s="15">
        <v>0</v>
      </c>
      <c r="R1200" s="11" t="s">
        <v>1386</v>
      </c>
      <c r="S1200" s="10">
        <v>90.815594824257005</v>
      </c>
      <c r="T1200" s="15">
        <v>80</v>
      </c>
      <c r="U1200" s="15">
        <v>0</v>
      </c>
      <c r="V1200" s="15">
        <v>0</v>
      </c>
      <c r="W1200" s="15">
        <v>0</v>
      </c>
      <c r="X1200" s="15">
        <f>IF(O1200='Udvaskning nøgletal'!$D$65,1,IF(O1200='Udvaskning nøgletal'!$D$66,2,IF(O1200='Udvaskning nøgletal'!$D$67,3,IF(O1200='Udvaskning nøgletal'!$D$68,2,""))))</f>
        <v>2</v>
      </c>
      <c r="Y1200" s="15">
        <f>LOOKUP(K1200,'Udvaskning nøgletal'!$C$12:$C$60,'Udvaskning nøgletal'!$H$12:$H$60)</f>
        <v>5</v>
      </c>
      <c r="Z1200" s="10">
        <f>IF(X1200=1,LOOKUP(K1200,'Udvaskning nøgletal'!$C$12:$C$60,'Udvaskning nøgletal'!$E$12:$E$60)+Markniveau!Y1200*Markniveau!S1200/100,IF(X1200=2,LOOKUP(K1200,'Udvaskning nøgletal'!$C$12:$C$60,'Udvaskning nøgletal'!$F$12:$F$60)+Markniveau!Y1200*Markniveau!S1200/100,IF(X1200=3,LOOKUP(K1200,'Udvaskning nøgletal'!$C$12:$C$60,'Udvaskning nøgletal'!G1210:G1258)+Markniveau!Y1200*Markniveau!S1200/100,"")))</f>
        <v>55.420779741212854</v>
      </c>
      <c r="AA1200" s="10">
        <f t="shared" si="186"/>
        <v>73.155429258400972</v>
      </c>
      <c r="AB1200" s="10" t="str">
        <f t="shared" si="185"/>
        <v/>
      </c>
      <c r="AC1200" s="10" t="str">
        <f t="shared" si="187"/>
        <v/>
      </c>
      <c r="AD1200" s="10">
        <f>IF(AND(Q1200&gt;0,Q1200&lt;30,K1200&lt;8),Markniveau!Z1200*'Udvaskning nøgletal'!$I$12/100,IF(AND(Q1200&gt;0,Q1200&lt;30,K1200=216),Markniveau!Z1200*'Udvaskning nøgletal'!$I$34/100,Markniveau!Z1200))</f>
        <v>55.420779741212854</v>
      </c>
      <c r="AE1200" s="10">
        <f t="shared" si="193"/>
        <v>73.155429258400972</v>
      </c>
      <c r="AF1200" s="10" t="str">
        <f t="shared" si="188"/>
        <v/>
      </c>
      <c r="AG1200" s="10" t="str">
        <f t="shared" si="194"/>
        <v/>
      </c>
      <c r="AH1200" s="10" t="str">
        <f>IF(AND(Q1200&gt;0,Q1200&lt;30,K1200=216),'Udvaskning nøgletal'!$C$42,IF(AND(Q1200&gt;0,Q1200&lt;30,K1200&gt;7,K1200&lt;17),'Udvaskning nøgletal'!$C$61,IF(AND(Q1200&gt;0,Q1200&lt;30,K1200&lt;7),'Udvaskning nøgletal'!$C$62,"")))</f>
        <v/>
      </c>
      <c r="AI1200" s="10">
        <f t="shared" si="190"/>
        <v>152</v>
      </c>
      <c r="AJ1200" s="10">
        <f>IF($X1200=1,LOOKUP(AI1200,'Udvaskning nøgletal'!$C$12:$C$62,'Udvaskning nøgletal'!$E$12:$E$62)+Markniveau!$Y1200*Markniveau!$S1200/100,IF($X1200=2,LOOKUP(AI1200,'Udvaskning nøgletal'!$C$12:$C$62,'Udvaskning nøgletal'!$F$12:$F$62)+Markniveau!$Y1200*Markniveau!$S1200/100,IF($X1200=3,LOOKUP(AI1200,'Udvaskning nøgletal'!$C$12:$C$62,'Udvaskning nøgletal'!Q1210:Q1260)+Markniveau!$Y1200*Markniveau!$S1200/100,"")))</f>
        <v>55.420779741212854</v>
      </c>
      <c r="AK1200" s="10">
        <f t="shared" si="189"/>
        <v>73.155429258400972</v>
      </c>
      <c r="AL1200" s="10" t="str">
        <f t="shared" si="191"/>
        <v/>
      </c>
      <c r="AM1200" s="10" t="str">
        <f t="shared" si="192"/>
        <v/>
      </c>
    </row>
    <row r="1201" spans="1:39" x14ac:dyDescent="0.25">
      <c r="A1201" s="15">
        <v>35557628</v>
      </c>
      <c r="B1201" s="15">
        <v>9.15</v>
      </c>
      <c r="C1201" s="15">
        <v>283495</v>
      </c>
      <c r="D1201" s="15">
        <v>55926</v>
      </c>
      <c r="E1201" s="15" t="s">
        <v>986</v>
      </c>
      <c r="F1201" s="15">
        <v>2011</v>
      </c>
      <c r="G1201" s="15">
        <v>20110512</v>
      </c>
      <c r="H1201" s="15">
        <v>180416</v>
      </c>
      <c r="I1201" s="15">
        <v>18.04</v>
      </c>
      <c r="J1201" s="6" t="s">
        <v>1054</v>
      </c>
      <c r="K1201" s="15">
        <v>11</v>
      </c>
      <c r="L1201" s="15" t="s">
        <v>102</v>
      </c>
      <c r="M1201" s="15" t="s">
        <v>5</v>
      </c>
      <c r="N1201" s="11" t="s">
        <v>1391</v>
      </c>
      <c r="O1201" s="11" t="s">
        <v>46</v>
      </c>
      <c r="P1201" s="11" t="s">
        <v>33</v>
      </c>
      <c r="Q1201" s="15">
        <v>0</v>
      </c>
      <c r="R1201" s="11" t="s">
        <v>1386</v>
      </c>
      <c r="S1201" s="10">
        <v>90.815594824257005</v>
      </c>
      <c r="T1201" s="15">
        <v>80</v>
      </c>
      <c r="U1201" s="15">
        <v>0</v>
      </c>
      <c r="V1201" s="15">
        <v>0</v>
      </c>
      <c r="W1201" s="15">
        <v>0</v>
      </c>
      <c r="X1201" s="15">
        <f>IF(O1201='Udvaskning nøgletal'!$D$65,1,IF(O1201='Udvaskning nøgletal'!$D$66,2,IF(O1201='Udvaskning nøgletal'!$D$67,3,IF(O1201='Udvaskning nøgletal'!$D$68,2,""))))</f>
        <v>2</v>
      </c>
      <c r="Y1201" s="15">
        <f>LOOKUP(K1201,'Udvaskning nøgletal'!$C$12:$C$60,'Udvaskning nøgletal'!$H$12:$H$60)</f>
        <v>5</v>
      </c>
      <c r="Z1201" s="10">
        <f>IF(X1201=1,LOOKUP(K1201,'Udvaskning nøgletal'!$C$12:$C$60,'Udvaskning nøgletal'!$E$12:$E$60)+Markniveau!Y1201*Markniveau!S1201/100,IF(X1201=2,LOOKUP(K1201,'Udvaskning nøgletal'!$C$12:$C$60,'Udvaskning nøgletal'!$F$12:$F$60)+Markniveau!Y1201*Markniveau!S1201/100,IF(X1201=3,LOOKUP(K1201,'Udvaskning nøgletal'!$C$12:$C$60,'Udvaskning nøgletal'!G1211:G1259)+Markniveau!Y1201*Markniveau!S1201/100,"")))</f>
        <v>55.420779741212854</v>
      </c>
      <c r="AA1201" s="10">
        <f t="shared" si="186"/>
        <v>999.79086653147988</v>
      </c>
      <c r="AB1201" s="10" t="str">
        <f t="shared" si="185"/>
        <v/>
      </c>
      <c r="AC1201" s="10" t="str">
        <f t="shared" si="187"/>
        <v/>
      </c>
      <c r="AD1201" s="10">
        <f>IF(AND(Q1201&gt;0,Q1201&lt;30,K1201&lt;8),Markniveau!Z1201*'Udvaskning nøgletal'!$I$12/100,IF(AND(Q1201&gt;0,Q1201&lt;30,K1201=216),Markniveau!Z1201*'Udvaskning nøgletal'!$I$34/100,Markniveau!Z1201))</f>
        <v>55.420779741212854</v>
      </c>
      <c r="AE1201" s="10">
        <f t="shared" si="193"/>
        <v>999.79086653147988</v>
      </c>
      <c r="AF1201" s="10" t="str">
        <f t="shared" si="188"/>
        <v/>
      </c>
      <c r="AG1201" s="10" t="str">
        <f t="shared" si="194"/>
        <v/>
      </c>
      <c r="AH1201" s="10" t="str">
        <f>IF(AND(Q1201&gt;0,Q1201&lt;30,K1201=216),'Udvaskning nøgletal'!$C$42,IF(AND(Q1201&gt;0,Q1201&lt;30,K1201&gt;7,K1201&lt;17),'Udvaskning nøgletal'!$C$61,IF(AND(Q1201&gt;0,Q1201&lt;30,K1201&lt;7),'Udvaskning nøgletal'!$C$62,"")))</f>
        <v/>
      </c>
      <c r="AI1201" s="10">
        <f t="shared" si="190"/>
        <v>11</v>
      </c>
      <c r="AJ1201" s="10">
        <f>IF($X1201=1,LOOKUP(AI1201,'Udvaskning nøgletal'!$C$12:$C$62,'Udvaskning nøgletal'!$E$12:$E$62)+Markniveau!$Y1201*Markniveau!$S1201/100,IF($X1201=2,LOOKUP(AI1201,'Udvaskning nøgletal'!$C$12:$C$62,'Udvaskning nøgletal'!$F$12:$F$62)+Markniveau!$Y1201*Markniveau!$S1201/100,IF($X1201=3,LOOKUP(AI1201,'Udvaskning nøgletal'!$C$12:$C$62,'Udvaskning nøgletal'!Q1211:Q1261)+Markniveau!$Y1201*Markniveau!$S1201/100,"")))</f>
        <v>55.420779741212854</v>
      </c>
      <c r="AK1201" s="10">
        <f t="shared" si="189"/>
        <v>999.79086653147988</v>
      </c>
      <c r="AL1201" s="10" t="str">
        <f t="shared" si="191"/>
        <v/>
      </c>
      <c r="AM1201" s="10" t="str">
        <f t="shared" si="192"/>
        <v/>
      </c>
    </row>
    <row r="1202" spans="1:39" x14ac:dyDescent="0.25">
      <c r="A1202" s="15">
        <v>35557628</v>
      </c>
      <c r="B1202" s="15">
        <v>9.15</v>
      </c>
      <c r="C1202" s="15">
        <v>283555</v>
      </c>
      <c r="D1202" s="15">
        <v>55926</v>
      </c>
      <c r="E1202" s="15" t="s">
        <v>865</v>
      </c>
      <c r="F1202" s="15">
        <v>2011</v>
      </c>
      <c r="G1202" s="15">
        <v>20110512</v>
      </c>
      <c r="H1202" s="15">
        <v>42324</v>
      </c>
      <c r="I1202" s="15">
        <v>4.2300000000000004</v>
      </c>
      <c r="J1202" s="6" t="s">
        <v>580</v>
      </c>
      <c r="K1202" s="15">
        <v>22</v>
      </c>
      <c r="L1202" s="15" t="s">
        <v>213</v>
      </c>
      <c r="M1202" s="15" t="s">
        <v>5</v>
      </c>
      <c r="N1202" s="11" t="s">
        <v>1384</v>
      </c>
      <c r="O1202" s="11" t="s">
        <v>28</v>
      </c>
      <c r="P1202" s="11" t="s">
        <v>33</v>
      </c>
      <c r="Q1202" s="15">
        <v>0</v>
      </c>
      <c r="R1202" s="11" t="s">
        <v>1386</v>
      </c>
      <c r="S1202" s="10">
        <v>90.815594824257005</v>
      </c>
      <c r="T1202" s="15">
        <v>80</v>
      </c>
      <c r="U1202" s="15">
        <v>0</v>
      </c>
      <c r="V1202" s="15">
        <v>0</v>
      </c>
      <c r="W1202" s="15">
        <v>0</v>
      </c>
      <c r="X1202" s="15">
        <f>IF(O1202='Udvaskning nøgletal'!$D$65,1,IF(O1202='Udvaskning nøgletal'!$D$66,2,IF(O1202='Udvaskning nøgletal'!$D$67,3,IF(O1202='Udvaskning nøgletal'!$D$68,2,""))))</f>
        <v>1</v>
      </c>
      <c r="Y1202" s="15">
        <f>LOOKUP(K1202,'Udvaskning nøgletal'!$C$12:$C$60,'Udvaskning nøgletal'!$H$12:$H$60)</f>
        <v>5</v>
      </c>
      <c r="Z1202" s="10">
        <f>IF(X1202=1,LOOKUP(K1202,'Udvaskning nøgletal'!$C$12:$C$60,'Udvaskning nøgletal'!$E$12:$E$60)+Markniveau!Y1202*Markniveau!S1202/100,IF(X1202=2,LOOKUP(K1202,'Udvaskning nøgletal'!$C$12:$C$60,'Udvaskning nøgletal'!$F$12:$F$60)+Markniveau!Y1202*Markniveau!S1202/100,IF(X1202=3,LOOKUP(K1202,'Udvaskning nøgletal'!$C$12:$C$60,'Udvaskning nøgletal'!G1212:G1260)+Markniveau!Y1202*Markniveau!S1202/100,"")))</f>
        <v>69.200779741212841</v>
      </c>
      <c r="AA1202" s="10">
        <f t="shared" si="186"/>
        <v>292.71929830533037</v>
      </c>
      <c r="AB1202" s="10" t="str">
        <f t="shared" si="185"/>
        <v/>
      </c>
      <c r="AC1202" s="10" t="str">
        <f t="shared" si="187"/>
        <v/>
      </c>
      <c r="AD1202" s="10">
        <f>IF(AND(Q1202&gt;0,Q1202&lt;30,K1202&lt;8),Markniveau!Z1202*'Udvaskning nøgletal'!$I$12/100,IF(AND(Q1202&gt;0,Q1202&lt;30,K1202=216),Markniveau!Z1202*'Udvaskning nøgletal'!$I$34/100,Markniveau!Z1202))</f>
        <v>69.200779741212841</v>
      </c>
      <c r="AE1202" s="10">
        <f t="shared" si="193"/>
        <v>292.71929830533037</v>
      </c>
      <c r="AF1202" s="10" t="str">
        <f t="shared" si="188"/>
        <v/>
      </c>
      <c r="AG1202" s="10" t="str">
        <f t="shared" si="194"/>
        <v/>
      </c>
      <c r="AH1202" s="10" t="str">
        <f>IF(AND(Q1202&gt;0,Q1202&lt;30,K1202=216),'Udvaskning nøgletal'!$C$42,IF(AND(Q1202&gt;0,Q1202&lt;30,K1202&gt;7,K1202&lt;17),'Udvaskning nøgletal'!$C$61,IF(AND(Q1202&gt;0,Q1202&lt;30,K1202&lt;7),'Udvaskning nøgletal'!$C$62,"")))</f>
        <v/>
      </c>
      <c r="AI1202" s="10">
        <f t="shared" si="190"/>
        <v>22</v>
      </c>
      <c r="AJ1202" s="10">
        <f>IF($X1202=1,LOOKUP(AI1202,'Udvaskning nøgletal'!$C$12:$C$62,'Udvaskning nøgletal'!$E$12:$E$62)+Markniveau!$Y1202*Markniveau!$S1202/100,IF($X1202=2,LOOKUP(AI1202,'Udvaskning nøgletal'!$C$12:$C$62,'Udvaskning nøgletal'!$F$12:$F$62)+Markniveau!$Y1202*Markniveau!$S1202/100,IF($X1202=3,LOOKUP(AI1202,'Udvaskning nøgletal'!$C$12:$C$62,'Udvaskning nøgletal'!Q1212:Q1262)+Markniveau!$Y1202*Markniveau!$S1202/100,"")))</f>
        <v>69.200779741212841</v>
      </c>
      <c r="AK1202" s="10">
        <f t="shared" si="189"/>
        <v>292.71929830533037</v>
      </c>
      <c r="AL1202" s="10" t="str">
        <f t="shared" si="191"/>
        <v/>
      </c>
      <c r="AM1202" s="10" t="str">
        <f t="shared" si="192"/>
        <v/>
      </c>
    </row>
    <row r="1203" spans="1:39" x14ac:dyDescent="0.25">
      <c r="A1203" s="15">
        <v>35557628</v>
      </c>
      <c r="B1203" s="15">
        <v>9.15</v>
      </c>
      <c r="C1203" s="15">
        <v>283558</v>
      </c>
      <c r="D1203" s="15">
        <v>55926</v>
      </c>
      <c r="E1203" s="15" t="s">
        <v>1055</v>
      </c>
      <c r="F1203" s="15">
        <v>2011</v>
      </c>
      <c r="G1203" s="15">
        <v>20110512</v>
      </c>
      <c r="H1203" s="15">
        <v>19172</v>
      </c>
      <c r="I1203" s="15">
        <v>1.92</v>
      </c>
      <c r="J1203" s="6" t="s">
        <v>1056</v>
      </c>
      <c r="K1203" s="15">
        <v>150</v>
      </c>
      <c r="L1203" s="15" t="s">
        <v>896</v>
      </c>
      <c r="M1203" s="15" t="s">
        <v>5</v>
      </c>
      <c r="N1203" s="11" t="s">
        <v>1384</v>
      </c>
      <c r="O1203" s="11" t="s">
        <v>28</v>
      </c>
      <c r="P1203" s="11" t="s">
        <v>33</v>
      </c>
      <c r="Q1203" s="15">
        <v>0</v>
      </c>
      <c r="R1203" s="11" t="s">
        <v>1386</v>
      </c>
      <c r="S1203" s="10">
        <v>90.815594824257005</v>
      </c>
      <c r="T1203" s="15">
        <v>80</v>
      </c>
      <c r="U1203" s="15">
        <v>0</v>
      </c>
      <c r="V1203" s="15">
        <v>0</v>
      </c>
      <c r="W1203" s="15">
        <v>0</v>
      </c>
      <c r="X1203" s="15">
        <f>IF(O1203='Udvaskning nøgletal'!$D$65,1,IF(O1203='Udvaskning nøgletal'!$D$66,2,IF(O1203='Udvaskning nøgletal'!$D$67,3,IF(O1203='Udvaskning nøgletal'!$D$68,2,""))))</f>
        <v>1</v>
      </c>
      <c r="Y1203" s="15">
        <f>LOOKUP(K1203,'Udvaskning nøgletal'!$C$12:$C$60,'Udvaskning nøgletal'!$H$12:$H$60)</f>
        <v>5</v>
      </c>
      <c r="Z1203" s="10">
        <f>IF(X1203=1,LOOKUP(K1203,'Udvaskning nøgletal'!$C$12:$C$60,'Udvaskning nøgletal'!$E$12:$E$60)+Markniveau!Y1203*Markniveau!S1203/100,IF(X1203=2,LOOKUP(K1203,'Udvaskning nøgletal'!$C$12:$C$60,'Udvaskning nøgletal'!$F$12:$F$60)+Markniveau!Y1203*Markniveau!S1203/100,IF(X1203=3,LOOKUP(K1203,'Udvaskning nøgletal'!$C$12:$C$60,'Udvaskning nøgletal'!G1213:G1261)+Markniveau!Y1203*Markniveau!S1203/100,"")))</f>
        <v>69.200779741212841</v>
      </c>
      <c r="AA1203" s="10">
        <f t="shared" si="186"/>
        <v>132.86549710312866</v>
      </c>
      <c r="AB1203" s="10" t="str">
        <f t="shared" si="185"/>
        <v/>
      </c>
      <c r="AC1203" s="10" t="str">
        <f t="shared" si="187"/>
        <v/>
      </c>
      <c r="AD1203" s="10">
        <f>IF(AND(Q1203&gt;0,Q1203&lt;30,K1203&lt;8),Markniveau!Z1203*'Udvaskning nøgletal'!$I$12/100,IF(AND(Q1203&gt;0,Q1203&lt;30,K1203=216),Markniveau!Z1203*'Udvaskning nøgletal'!$I$34/100,Markniveau!Z1203))</f>
        <v>69.200779741212841</v>
      </c>
      <c r="AE1203" s="10">
        <f t="shared" si="193"/>
        <v>132.86549710312866</v>
      </c>
      <c r="AF1203" s="10" t="str">
        <f t="shared" si="188"/>
        <v/>
      </c>
      <c r="AG1203" s="10" t="str">
        <f t="shared" si="194"/>
        <v/>
      </c>
      <c r="AH1203" s="10" t="str">
        <f>IF(AND(Q1203&gt;0,Q1203&lt;30,K1203=216),'Udvaskning nøgletal'!$C$42,IF(AND(Q1203&gt;0,Q1203&lt;30,K1203&gt;7,K1203&lt;17),'Udvaskning nøgletal'!$C$61,IF(AND(Q1203&gt;0,Q1203&lt;30,K1203&lt;7),'Udvaskning nøgletal'!$C$62,"")))</f>
        <v/>
      </c>
      <c r="AI1203" s="10">
        <f t="shared" si="190"/>
        <v>150</v>
      </c>
      <c r="AJ1203" s="10">
        <f>IF($X1203=1,LOOKUP(AI1203,'Udvaskning nøgletal'!$C$12:$C$62,'Udvaskning nøgletal'!$E$12:$E$62)+Markniveau!$Y1203*Markniveau!$S1203/100,IF($X1203=2,LOOKUP(AI1203,'Udvaskning nøgletal'!$C$12:$C$62,'Udvaskning nøgletal'!$F$12:$F$62)+Markniveau!$Y1203*Markniveau!$S1203/100,IF($X1203=3,LOOKUP(AI1203,'Udvaskning nøgletal'!$C$12:$C$62,'Udvaskning nøgletal'!Q1213:Q1263)+Markniveau!$Y1203*Markniveau!$S1203/100,"")))</f>
        <v>69.200779741212841</v>
      </c>
      <c r="AK1203" s="10">
        <f t="shared" si="189"/>
        <v>132.86549710312866</v>
      </c>
      <c r="AL1203" s="10" t="str">
        <f t="shared" si="191"/>
        <v/>
      </c>
      <c r="AM1203" s="10" t="str">
        <f t="shared" si="192"/>
        <v/>
      </c>
    </row>
    <row r="1204" spans="1:39" x14ac:dyDescent="0.25">
      <c r="A1204" s="15">
        <v>35557628</v>
      </c>
      <c r="B1204" s="15">
        <v>9.15</v>
      </c>
      <c r="C1204" s="15">
        <v>283560</v>
      </c>
      <c r="D1204" s="15">
        <v>55926</v>
      </c>
      <c r="E1204" s="15" t="s">
        <v>959</v>
      </c>
      <c r="F1204" s="15">
        <v>2011</v>
      </c>
      <c r="G1204" s="15">
        <v>20110512</v>
      </c>
      <c r="H1204" s="15">
        <v>3950</v>
      </c>
      <c r="I1204" s="15">
        <v>0.4</v>
      </c>
      <c r="J1204" s="6" t="s">
        <v>1057</v>
      </c>
      <c r="K1204" s="15">
        <v>1</v>
      </c>
      <c r="L1204" s="15" t="s">
        <v>32</v>
      </c>
      <c r="M1204" s="15" t="s">
        <v>5</v>
      </c>
      <c r="N1204" s="11" t="s">
        <v>1384</v>
      </c>
      <c r="O1204" s="11" t="s">
        <v>28</v>
      </c>
      <c r="P1204" s="11" t="s">
        <v>33</v>
      </c>
      <c r="Q1204" s="15">
        <v>0</v>
      </c>
      <c r="R1204" s="11" t="s">
        <v>1386</v>
      </c>
      <c r="S1204" s="10">
        <v>90.815594824257005</v>
      </c>
      <c r="T1204" s="15">
        <v>80</v>
      </c>
      <c r="U1204" s="15">
        <v>0</v>
      </c>
      <c r="V1204" s="15">
        <v>0</v>
      </c>
      <c r="W1204" s="15">
        <v>0</v>
      </c>
      <c r="X1204" s="15">
        <f>IF(O1204='Udvaskning nøgletal'!$D$65,1,IF(O1204='Udvaskning nøgletal'!$D$66,2,IF(O1204='Udvaskning nøgletal'!$D$67,3,IF(O1204='Udvaskning nøgletal'!$D$68,2,""))))</f>
        <v>1</v>
      </c>
      <c r="Y1204" s="15">
        <f>LOOKUP(K1204,'Udvaskning nøgletal'!$C$12:$C$60,'Udvaskning nøgletal'!$H$12:$H$60)</f>
        <v>5</v>
      </c>
      <c r="Z1204" s="10">
        <f>IF(X1204=1,LOOKUP(K1204,'Udvaskning nøgletal'!$C$12:$C$60,'Udvaskning nøgletal'!$E$12:$E$60)+Markniveau!Y1204*Markniveau!S1204/100,IF(X1204=2,LOOKUP(K1204,'Udvaskning nøgletal'!$C$12:$C$60,'Udvaskning nøgletal'!$F$12:$F$60)+Markniveau!Y1204*Markniveau!S1204/100,IF(X1204=3,LOOKUP(K1204,'Udvaskning nøgletal'!$C$12:$C$60,'Udvaskning nøgletal'!G1214:G1262)+Markniveau!Y1204*Markniveau!S1204/100,"")))</f>
        <v>69.200779741212841</v>
      </c>
      <c r="AA1204" s="10">
        <f t="shared" si="186"/>
        <v>27.680311896485136</v>
      </c>
      <c r="AB1204" s="10" t="str">
        <f t="shared" si="185"/>
        <v/>
      </c>
      <c r="AC1204" s="10" t="str">
        <f t="shared" si="187"/>
        <v/>
      </c>
      <c r="AD1204" s="10">
        <f>IF(AND(Q1204&gt;0,Q1204&lt;30,K1204&lt;8),Markniveau!Z1204*'Udvaskning nøgletal'!$I$12/100,IF(AND(Q1204&gt;0,Q1204&lt;30,K1204=216),Markniveau!Z1204*'Udvaskning nøgletal'!$I$34/100,Markniveau!Z1204))</f>
        <v>69.200779741212841</v>
      </c>
      <c r="AE1204" s="10">
        <f t="shared" si="193"/>
        <v>27.680311896485136</v>
      </c>
      <c r="AF1204" s="10" t="str">
        <f t="shared" si="188"/>
        <v/>
      </c>
      <c r="AG1204" s="10" t="str">
        <f t="shared" si="194"/>
        <v/>
      </c>
      <c r="AH1204" s="10" t="str">
        <f>IF(AND(Q1204&gt;0,Q1204&lt;30,K1204=216),'Udvaskning nøgletal'!$C$42,IF(AND(Q1204&gt;0,Q1204&lt;30,K1204&gt;7,K1204&lt;17),'Udvaskning nøgletal'!$C$61,IF(AND(Q1204&gt;0,Q1204&lt;30,K1204&lt;7),'Udvaskning nøgletal'!$C$62,"")))</f>
        <v/>
      </c>
      <c r="AI1204" s="10">
        <f t="shared" si="190"/>
        <v>1</v>
      </c>
      <c r="AJ1204" s="10">
        <f>IF($X1204=1,LOOKUP(AI1204,'Udvaskning nøgletal'!$C$12:$C$62,'Udvaskning nøgletal'!$E$12:$E$62)+Markniveau!$Y1204*Markniveau!$S1204/100,IF($X1204=2,LOOKUP(AI1204,'Udvaskning nøgletal'!$C$12:$C$62,'Udvaskning nøgletal'!$F$12:$F$62)+Markniveau!$Y1204*Markniveau!$S1204/100,IF($X1204=3,LOOKUP(AI1204,'Udvaskning nøgletal'!$C$12:$C$62,'Udvaskning nøgletal'!Q1214:Q1264)+Markniveau!$Y1204*Markniveau!$S1204/100,"")))</f>
        <v>69.200779741212841</v>
      </c>
      <c r="AK1204" s="10">
        <f t="shared" si="189"/>
        <v>27.680311896485136</v>
      </c>
      <c r="AL1204" s="10" t="str">
        <f t="shared" si="191"/>
        <v/>
      </c>
      <c r="AM1204" s="10" t="str">
        <f t="shared" si="192"/>
        <v/>
      </c>
    </row>
    <row r="1205" spans="1:39" x14ac:dyDescent="0.25">
      <c r="A1205" s="15">
        <v>35557628</v>
      </c>
      <c r="B1205" s="15">
        <v>9.15</v>
      </c>
      <c r="C1205" s="15">
        <v>283561</v>
      </c>
      <c r="D1205" s="15">
        <v>55926</v>
      </c>
      <c r="E1205" s="15" t="s">
        <v>1058</v>
      </c>
      <c r="F1205" s="15">
        <v>2011</v>
      </c>
      <c r="G1205" s="15">
        <v>20110512</v>
      </c>
      <c r="H1205" s="15">
        <v>30697</v>
      </c>
      <c r="I1205" s="15">
        <v>3.07</v>
      </c>
      <c r="J1205" s="6" t="s">
        <v>1059</v>
      </c>
      <c r="K1205" s="15">
        <v>22</v>
      </c>
      <c r="L1205" s="15" t="s">
        <v>213</v>
      </c>
      <c r="M1205" s="15" t="s">
        <v>5</v>
      </c>
      <c r="N1205" s="11" t="s">
        <v>1384</v>
      </c>
      <c r="O1205" s="11" t="s">
        <v>28</v>
      </c>
      <c r="P1205" s="11" t="s">
        <v>33</v>
      </c>
      <c r="Q1205" s="15">
        <v>0</v>
      </c>
      <c r="R1205" s="11" t="s">
        <v>1386</v>
      </c>
      <c r="S1205" s="10">
        <v>90.815594824257005</v>
      </c>
      <c r="T1205" s="15">
        <v>80</v>
      </c>
      <c r="U1205" s="15">
        <v>0</v>
      </c>
      <c r="V1205" s="15">
        <v>0</v>
      </c>
      <c r="W1205" s="15">
        <v>0</v>
      </c>
      <c r="X1205" s="15">
        <f>IF(O1205='Udvaskning nøgletal'!$D$65,1,IF(O1205='Udvaskning nøgletal'!$D$66,2,IF(O1205='Udvaskning nøgletal'!$D$67,3,IF(O1205='Udvaskning nøgletal'!$D$68,2,""))))</f>
        <v>1</v>
      </c>
      <c r="Y1205" s="15">
        <f>LOOKUP(K1205,'Udvaskning nøgletal'!$C$12:$C$60,'Udvaskning nøgletal'!$H$12:$H$60)</f>
        <v>5</v>
      </c>
      <c r="Z1205" s="10">
        <f>IF(X1205=1,LOOKUP(K1205,'Udvaskning nøgletal'!$C$12:$C$60,'Udvaskning nøgletal'!$E$12:$E$60)+Markniveau!Y1205*Markniveau!S1205/100,IF(X1205=2,LOOKUP(K1205,'Udvaskning nøgletal'!$C$12:$C$60,'Udvaskning nøgletal'!$F$12:$F$60)+Markniveau!Y1205*Markniveau!S1205/100,IF(X1205=3,LOOKUP(K1205,'Udvaskning nøgletal'!$C$12:$C$60,'Udvaskning nøgletal'!G1215:G1263)+Markniveau!Y1205*Markniveau!S1205/100,"")))</f>
        <v>69.200779741212841</v>
      </c>
      <c r="AA1205" s="10">
        <f t="shared" si="186"/>
        <v>212.4463938055234</v>
      </c>
      <c r="AB1205" s="10" t="str">
        <f t="shared" si="185"/>
        <v/>
      </c>
      <c r="AC1205" s="10" t="str">
        <f t="shared" si="187"/>
        <v/>
      </c>
      <c r="AD1205" s="10">
        <f>IF(AND(Q1205&gt;0,Q1205&lt;30,K1205&lt;8),Markniveau!Z1205*'Udvaskning nøgletal'!$I$12/100,IF(AND(Q1205&gt;0,Q1205&lt;30,K1205=216),Markniveau!Z1205*'Udvaskning nøgletal'!$I$34/100,Markniveau!Z1205))</f>
        <v>69.200779741212841</v>
      </c>
      <c r="AE1205" s="10">
        <f t="shared" si="193"/>
        <v>212.4463938055234</v>
      </c>
      <c r="AF1205" s="10" t="str">
        <f t="shared" si="188"/>
        <v/>
      </c>
      <c r="AG1205" s="10" t="str">
        <f t="shared" si="194"/>
        <v/>
      </c>
      <c r="AH1205" s="10" t="str">
        <f>IF(AND(Q1205&gt;0,Q1205&lt;30,K1205=216),'Udvaskning nøgletal'!$C$42,IF(AND(Q1205&gt;0,Q1205&lt;30,K1205&gt;7,K1205&lt;17),'Udvaskning nøgletal'!$C$61,IF(AND(Q1205&gt;0,Q1205&lt;30,K1205&lt;7),'Udvaskning nøgletal'!$C$62,"")))</f>
        <v/>
      </c>
      <c r="AI1205" s="10">
        <f t="shared" si="190"/>
        <v>22</v>
      </c>
      <c r="AJ1205" s="10">
        <f>IF($X1205=1,LOOKUP(AI1205,'Udvaskning nøgletal'!$C$12:$C$62,'Udvaskning nøgletal'!$E$12:$E$62)+Markniveau!$Y1205*Markniveau!$S1205/100,IF($X1205=2,LOOKUP(AI1205,'Udvaskning nøgletal'!$C$12:$C$62,'Udvaskning nøgletal'!$F$12:$F$62)+Markniveau!$Y1205*Markniveau!$S1205/100,IF($X1205=3,LOOKUP(AI1205,'Udvaskning nøgletal'!$C$12:$C$62,'Udvaskning nøgletal'!Q1215:Q1265)+Markniveau!$Y1205*Markniveau!$S1205/100,"")))</f>
        <v>69.200779741212841</v>
      </c>
      <c r="AK1205" s="10">
        <f t="shared" si="189"/>
        <v>212.4463938055234</v>
      </c>
      <c r="AL1205" s="10" t="str">
        <f t="shared" si="191"/>
        <v/>
      </c>
      <c r="AM1205" s="10" t="str">
        <f t="shared" si="192"/>
        <v/>
      </c>
    </row>
    <row r="1206" spans="1:39" x14ac:dyDescent="0.25">
      <c r="A1206" s="15">
        <v>35557628</v>
      </c>
      <c r="B1206" s="15">
        <v>9.15</v>
      </c>
      <c r="C1206" s="15">
        <v>283624</v>
      </c>
      <c r="D1206" s="15">
        <v>55926</v>
      </c>
      <c r="E1206" s="15" t="s">
        <v>1060</v>
      </c>
      <c r="F1206" s="15">
        <v>2011</v>
      </c>
      <c r="G1206" s="15">
        <v>20110512</v>
      </c>
      <c r="H1206" s="15">
        <v>31674</v>
      </c>
      <c r="I1206" s="15">
        <v>3.17</v>
      </c>
      <c r="J1206" s="6" t="s">
        <v>1061</v>
      </c>
      <c r="K1206" s="15">
        <v>152</v>
      </c>
      <c r="L1206" s="15" t="s">
        <v>333</v>
      </c>
      <c r="M1206" s="15" t="s">
        <v>5</v>
      </c>
      <c r="N1206" s="11" t="s">
        <v>1384</v>
      </c>
      <c r="O1206" s="11" t="s">
        <v>28</v>
      </c>
      <c r="P1206" s="11" t="s">
        <v>33</v>
      </c>
      <c r="Q1206" s="15">
        <v>0</v>
      </c>
      <c r="R1206" s="11" t="s">
        <v>1386</v>
      </c>
      <c r="S1206" s="10">
        <v>90.815594824257005</v>
      </c>
      <c r="T1206" s="15">
        <v>80</v>
      </c>
      <c r="U1206" s="15">
        <v>0</v>
      </c>
      <c r="V1206" s="15">
        <v>0</v>
      </c>
      <c r="W1206" s="15">
        <v>0</v>
      </c>
      <c r="X1206" s="15">
        <f>IF(O1206='Udvaskning nøgletal'!$D$65,1,IF(O1206='Udvaskning nøgletal'!$D$66,2,IF(O1206='Udvaskning nøgletal'!$D$67,3,IF(O1206='Udvaskning nøgletal'!$D$68,2,""))))</f>
        <v>1</v>
      </c>
      <c r="Y1206" s="15">
        <f>LOOKUP(K1206,'Udvaskning nøgletal'!$C$12:$C$60,'Udvaskning nøgletal'!$H$12:$H$60)</f>
        <v>5</v>
      </c>
      <c r="Z1206" s="10">
        <f>IF(X1206=1,LOOKUP(K1206,'Udvaskning nøgletal'!$C$12:$C$60,'Udvaskning nøgletal'!$E$12:$E$60)+Markniveau!Y1206*Markniveau!S1206/100,IF(X1206=2,LOOKUP(K1206,'Udvaskning nøgletal'!$C$12:$C$60,'Udvaskning nøgletal'!$F$12:$F$60)+Markniveau!Y1206*Markniveau!S1206/100,IF(X1206=3,LOOKUP(K1206,'Udvaskning nøgletal'!$C$12:$C$60,'Udvaskning nøgletal'!G1216:G1264)+Markniveau!Y1206*Markniveau!S1206/100,"")))</f>
        <v>69.200779741212841</v>
      </c>
      <c r="AA1206" s="10">
        <f t="shared" si="186"/>
        <v>219.36647177964471</v>
      </c>
      <c r="AB1206" s="10" t="str">
        <f t="shared" si="185"/>
        <v/>
      </c>
      <c r="AC1206" s="10" t="str">
        <f t="shared" si="187"/>
        <v/>
      </c>
      <c r="AD1206" s="10">
        <f>IF(AND(Q1206&gt;0,Q1206&lt;30,K1206&lt;8),Markniveau!Z1206*'Udvaskning nøgletal'!$I$12/100,IF(AND(Q1206&gt;0,Q1206&lt;30,K1206=216),Markniveau!Z1206*'Udvaskning nøgletal'!$I$34/100,Markniveau!Z1206))</f>
        <v>69.200779741212841</v>
      </c>
      <c r="AE1206" s="10">
        <f t="shared" si="193"/>
        <v>219.36647177964471</v>
      </c>
      <c r="AF1206" s="10" t="str">
        <f t="shared" si="188"/>
        <v/>
      </c>
      <c r="AG1206" s="10" t="str">
        <f t="shared" si="194"/>
        <v/>
      </c>
      <c r="AH1206" s="10" t="str">
        <f>IF(AND(Q1206&gt;0,Q1206&lt;30,K1206=216),'Udvaskning nøgletal'!$C$42,IF(AND(Q1206&gt;0,Q1206&lt;30,K1206&gt;7,K1206&lt;17),'Udvaskning nøgletal'!$C$61,IF(AND(Q1206&gt;0,Q1206&lt;30,K1206&lt;7),'Udvaskning nøgletal'!$C$62,"")))</f>
        <v/>
      </c>
      <c r="AI1206" s="10">
        <f t="shared" si="190"/>
        <v>152</v>
      </c>
      <c r="AJ1206" s="10">
        <f>IF($X1206=1,LOOKUP(AI1206,'Udvaskning nøgletal'!$C$12:$C$62,'Udvaskning nøgletal'!$E$12:$E$62)+Markniveau!$Y1206*Markniveau!$S1206/100,IF($X1206=2,LOOKUP(AI1206,'Udvaskning nøgletal'!$C$12:$C$62,'Udvaskning nøgletal'!$F$12:$F$62)+Markniveau!$Y1206*Markniveau!$S1206/100,IF($X1206=3,LOOKUP(AI1206,'Udvaskning nøgletal'!$C$12:$C$62,'Udvaskning nøgletal'!Q1216:Q1266)+Markniveau!$Y1206*Markniveau!$S1206/100,"")))</f>
        <v>69.200779741212841</v>
      </c>
      <c r="AK1206" s="10">
        <f t="shared" si="189"/>
        <v>219.36647177964471</v>
      </c>
      <c r="AL1206" s="10" t="str">
        <f t="shared" si="191"/>
        <v/>
      </c>
      <c r="AM1206" s="10" t="str">
        <f t="shared" si="192"/>
        <v/>
      </c>
    </row>
    <row r="1207" spans="1:39" x14ac:dyDescent="0.25">
      <c r="A1207" s="15">
        <v>35557628</v>
      </c>
      <c r="B1207" s="15">
        <v>9.15</v>
      </c>
      <c r="C1207" s="15">
        <v>283638</v>
      </c>
      <c r="D1207" s="15">
        <v>55926</v>
      </c>
      <c r="E1207" s="15" t="s">
        <v>1062</v>
      </c>
      <c r="F1207" s="15">
        <v>2011</v>
      </c>
      <c r="G1207" s="15">
        <v>20110512</v>
      </c>
      <c r="H1207" s="15">
        <v>27774</v>
      </c>
      <c r="I1207" s="15">
        <v>2.78</v>
      </c>
      <c r="J1207" s="6" t="s">
        <v>1063</v>
      </c>
      <c r="K1207" s="15">
        <v>11</v>
      </c>
      <c r="L1207" s="15" t="s">
        <v>102</v>
      </c>
      <c r="M1207" s="15" t="s">
        <v>5</v>
      </c>
      <c r="N1207" s="11" t="s">
        <v>1391</v>
      </c>
      <c r="O1207" s="11" t="s">
        <v>46</v>
      </c>
      <c r="P1207" s="11" t="s">
        <v>33</v>
      </c>
      <c r="Q1207" s="15">
        <v>0</v>
      </c>
      <c r="R1207" s="11" t="s">
        <v>1386</v>
      </c>
      <c r="S1207" s="10">
        <v>90.815594824257005</v>
      </c>
      <c r="T1207" s="15">
        <v>80</v>
      </c>
      <c r="U1207" s="15">
        <v>0</v>
      </c>
      <c r="V1207" s="15">
        <v>0</v>
      </c>
      <c r="W1207" s="15">
        <v>0</v>
      </c>
      <c r="X1207" s="15">
        <f>IF(O1207='Udvaskning nøgletal'!$D$65,1,IF(O1207='Udvaskning nøgletal'!$D$66,2,IF(O1207='Udvaskning nøgletal'!$D$67,3,IF(O1207='Udvaskning nøgletal'!$D$68,2,""))))</f>
        <v>2</v>
      </c>
      <c r="Y1207" s="15">
        <f>LOOKUP(K1207,'Udvaskning nøgletal'!$C$12:$C$60,'Udvaskning nøgletal'!$H$12:$H$60)</f>
        <v>5</v>
      </c>
      <c r="Z1207" s="10">
        <f>IF(X1207=1,LOOKUP(K1207,'Udvaskning nøgletal'!$C$12:$C$60,'Udvaskning nøgletal'!$E$12:$E$60)+Markniveau!Y1207*Markniveau!S1207/100,IF(X1207=2,LOOKUP(K1207,'Udvaskning nøgletal'!$C$12:$C$60,'Udvaskning nøgletal'!$F$12:$F$60)+Markniveau!Y1207*Markniveau!S1207/100,IF(X1207=3,LOOKUP(K1207,'Udvaskning nøgletal'!$C$12:$C$60,'Udvaskning nøgletal'!G1217:G1265)+Markniveau!Y1207*Markniveau!S1207/100,"")))</f>
        <v>55.420779741212854</v>
      </c>
      <c r="AA1207" s="10">
        <f t="shared" si="186"/>
        <v>154.06976768057172</v>
      </c>
      <c r="AB1207" s="10" t="str">
        <f t="shared" si="185"/>
        <v/>
      </c>
      <c r="AC1207" s="10" t="str">
        <f t="shared" si="187"/>
        <v/>
      </c>
      <c r="AD1207" s="10">
        <f>IF(AND(Q1207&gt;0,Q1207&lt;30,K1207&lt;8),Markniveau!Z1207*'Udvaskning nøgletal'!$I$12/100,IF(AND(Q1207&gt;0,Q1207&lt;30,K1207=216),Markniveau!Z1207*'Udvaskning nøgletal'!$I$34/100,Markniveau!Z1207))</f>
        <v>55.420779741212854</v>
      </c>
      <c r="AE1207" s="10">
        <f t="shared" si="193"/>
        <v>154.06976768057172</v>
      </c>
      <c r="AF1207" s="10" t="str">
        <f t="shared" si="188"/>
        <v/>
      </c>
      <c r="AG1207" s="10" t="str">
        <f t="shared" si="194"/>
        <v/>
      </c>
      <c r="AH1207" s="10" t="str">
        <f>IF(AND(Q1207&gt;0,Q1207&lt;30,K1207=216),'Udvaskning nøgletal'!$C$42,IF(AND(Q1207&gt;0,Q1207&lt;30,K1207&gt;7,K1207&lt;17),'Udvaskning nøgletal'!$C$61,IF(AND(Q1207&gt;0,Q1207&lt;30,K1207&lt;7),'Udvaskning nøgletal'!$C$62,"")))</f>
        <v/>
      </c>
      <c r="AI1207" s="10">
        <f t="shared" si="190"/>
        <v>11</v>
      </c>
      <c r="AJ1207" s="10">
        <f>IF($X1207=1,LOOKUP(AI1207,'Udvaskning nøgletal'!$C$12:$C$62,'Udvaskning nøgletal'!$E$12:$E$62)+Markniveau!$Y1207*Markniveau!$S1207/100,IF($X1207=2,LOOKUP(AI1207,'Udvaskning nøgletal'!$C$12:$C$62,'Udvaskning nøgletal'!$F$12:$F$62)+Markniveau!$Y1207*Markniveau!$S1207/100,IF($X1207=3,LOOKUP(AI1207,'Udvaskning nøgletal'!$C$12:$C$62,'Udvaskning nøgletal'!Q1217:Q1267)+Markniveau!$Y1207*Markniveau!$S1207/100,"")))</f>
        <v>55.420779741212854</v>
      </c>
      <c r="AK1207" s="10">
        <f t="shared" si="189"/>
        <v>154.06976768057172</v>
      </c>
      <c r="AL1207" s="10" t="str">
        <f t="shared" si="191"/>
        <v/>
      </c>
      <c r="AM1207" s="10" t="str">
        <f t="shared" si="192"/>
        <v/>
      </c>
    </row>
    <row r="1208" spans="1:39" x14ac:dyDescent="0.25">
      <c r="A1208" s="15">
        <v>35557628</v>
      </c>
      <c r="B1208" s="15">
        <v>9.15</v>
      </c>
      <c r="C1208" s="15">
        <v>284117</v>
      </c>
      <c r="D1208" s="15">
        <v>55926</v>
      </c>
      <c r="E1208" s="15" t="s">
        <v>1064</v>
      </c>
      <c r="F1208" s="15">
        <v>2011</v>
      </c>
      <c r="G1208" s="15">
        <v>20110512</v>
      </c>
      <c r="H1208" s="15">
        <v>145474</v>
      </c>
      <c r="I1208" s="15">
        <v>14.55</v>
      </c>
      <c r="J1208" s="6" t="s">
        <v>1065</v>
      </c>
      <c r="K1208" s="15">
        <v>11</v>
      </c>
      <c r="L1208" s="15" t="s">
        <v>102</v>
      </c>
      <c r="M1208" s="15" t="s">
        <v>5</v>
      </c>
      <c r="N1208" s="11" t="s">
        <v>1384</v>
      </c>
      <c r="O1208" s="11" t="s">
        <v>28</v>
      </c>
      <c r="P1208" s="11" t="s">
        <v>33</v>
      </c>
      <c r="Q1208" s="15">
        <v>0</v>
      </c>
      <c r="R1208" s="11" t="s">
        <v>1386</v>
      </c>
      <c r="S1208" s="10">
        <v>90.815594824257005</v>
      </c>
      <c r="T1208" s="15">
        <v>80</v>
      </c>
      <c r="U1208" s="15">
        <v>0</v>
      </c>
      <c r="V1208" s="15">
        <v>0</v>
      </c>
      <c r="W1208" s="15">
        <v>0</v>
      </c>
      <c r="X1208" s="15">
        <f>IF(O1208='Udvaskning nøgletal'!$D$65,1,IF(O1208='Udvaskning nøgletal'!$D$66,2,IF(O1208='Udvaskning nøgletal'!$D$67,3,IF(O1208='Udvaskning nøgletal'!$D$68,2,""))))</f>
        <v>1</v>
      </c>
      <c r="Y1208" s="15">
        <f>LOOKUP(K1208,'Udvaskning nøgletal'!$C$12:$C$60,'Udvaskning nøgletal'!$H$12:$H$60)</f>
        <v>5</v>
      </c>
      <c r="Z1208" s="10">
        <f>IF(X1208=1,LOOKUP(K1208,'Udvaskning nøgletal'!$C$12:$C$60,'Udvaskning nøgletal'!$E$12:$E$60)+Markniveau!Y1208*Markniveau!S1208/100,IF(X1208=2,LOOKUP(K1208,'Udvaskning nøgletal'!$C$12:$C$60,'Udvaskning nøgletal'!$F$12:$F$60)+Markniveau!Y1208*Markniveau!S1208/100,IF(X1208=3,LOOKUP(K1208,'Udvaskning nøgletal'!$C$12:$C$60,'Udvaskning nøgletal'!G1218:G1266)+Markniveau!Y1208*Markniveau!S1208/100,"")))</f>
        <v>69.200779741212841</v>
      </c>
      <c r="AA1208" s="10">
        <f t="shared" si="186"/>
        <v>1006.8713452346469</v>
      </c>
      <c r="AB1208" s="10" t="str">
        <f t="shared" si="185"/>
        <v/>
      </c>
      <c r="AC1208" s="10" t="str">
        <f t="shared" si="187"/>
        <v/>
      </c>
      <c r="AD1208" s="10">
        <f>IF(AND(Q1208&gt;0,Q1208&lt;30,K1208&lt;8),Markniveau!Z1208*'Udvaskning nøgletal'!$I$12/100,IF(AND(Q1208&gt;0,Q1208&lt;30,K1208=216),Markniveau!Z1208*'Udvaskning nøgletal'!$I$34/100,Markniveau!Z1208))</f>
        <v>69.200779741212841</v>
      </c>
      <c r="AE1208" s="10">
        <f t="shared" si="193"/>
        <v>1006.8713452346469</v>
      </c>
      <c r="AF1208" s="10" t="str">
        <f t="shared" si="188"/>
        <v/>
      </c>
      <c r="AG1208" s="10" t="str">
        <f t="shared" si="194"/>
        <v/>
      </c>
      <c r="AH1208" s="10" t="str">
        <f>IF(AND(Q1208&gt;0,Q1208&lt;30,K1208=216),'Udvaskning nøgletal'!$C$42,IF(AND(Q1208&gt;0,Q1208&lt;30,K1208&gt;7,K1208&lt;17),'Udvaskning nøgletal'!$C$61,IF(AND(Q1208&gt;0,Q1208&lt;30,K1208&lt;7),'Udvaskning nøgletal'!$C$62,"")))</f>
        <v/>
      </c>
      <c r="AI1208" s="10">
        <f t="shared" si="190"/>
        <v>11</v>
      </c>
      <c r="AJ1208" s="10">
        <f>IF($X1208=1,LOOKUP(AI1208,'Udvaskning nøgletal'!$C$12:$C$62,'Udvaskning nøgletal'!$E$12:$E$62)+Markniveau!$Y1208*Markniveau!$S1208/100,IF($X1208=2,LOOKUP(AI1208,'Udvaskning nøgletal'!$C$12:$C$62,'Udvaskning nøgletal'!$F$12:$F$62)+Markniveau!$Y1208*Markniveau!$S1208/100,IF($X1208=3,LOOKUP(AI1208,'Udvaskning nøgletal'!$C$12:$C$62,'Udvaskning nøgletal'!Q1218:Q1268)+Markniveau!$Y1208*Markniveau!$S1208/100,"")))</f>
        <v>69.200779741212841</v>
      </c>
      <c r="AK1208" s="10">
        <f t="shared" si="189"/>
        <v>1006.8713452346469</v>
      </c>
      <c r="AL1208" s="10" t="str">
        <f t="shared" si="191"/>
        <v/>
      </c>
      <c r="AM1208" s="10" t="str">
        <f t="shared" si="192"/>
        <v/>
      </c>
    </row>
    <row r="1209" spans="1:39" x14ac:dyDescent="0.25">
      <c r="A1209" s="15">
        <v>35557628</v>
      </c>
      <c r="B1209" s="15">
        <v>9.15</v>
      </c>
      <c r="C1209" s="15">
        <v>284118</v>
      </c>
      <c r="D1209" s="15">
        <v>55926</v>
      </c>
      <c r="E1209" s="15" t="s">
        <v>1066</v>
      </c>
      <c r="F1209" s="15">
        <v>2011</v>
      </c>
      <c r="G1209" s="15">
        <v>20110512</v>
      </c>
      <c r="H1209" s="15">
        <v>13200</v>
      </c>
      <c r="I1209" s="15">
        <v>1.32</v>
      </c>
      <c r="J1209" s="6" t="s">
        <v>1067</v>
      </c>
      <c r="K1209" s="15">
        <v>11</v>
      </c>
      <c r="L1209" s="15" t="s">
        <v>102</v>
      </c>
      <c r="M1209" s="15" t="s">
        <v>5</v>
      </c>
      <c r="N1209" s="11" t="s">
        <v>1406</v>
      </c>
      <c r="O1209" s="11" t="s">
        <v>46</v>
      </c>
      <c r="P1209" s="11" t="s">
        <v>33</v>
      </c>
      <c r="Q1209" s="15">
        <v>0</v>
      </c>
      <c r="R1209" s="11" t="s">
        <v>1386</v>
      </c>
      <c r="S1209" s="10">
        <v>90.815594824257005</v>
      </c>
      <c r="T1209" s="15">
        <v>80</v>
      </c>
      <c r="U1209" s="15">
        <v>0</v>
      </c>
      <c r="V1209" s="15">
        <v>0</v>
      </c>
      <c r="W1209" s="15">
        <v>0</v>
      </c>
      <c r="X1209" s="15">
        <f>IF(O1209='Udvaskning nøgletal'!$D$65,1,IF(O1209='Udvaskning nøgletal'!$D$66,2,IF(O1209='Udvaskning nøgletal'!$D$67,3,IF(O1209='Udvaskning nøgletal'!$D$68,2,""))))</f>
        <v>2</v>
      </c>
      <c r="Y1209" s="15">
        <f>LOOKUP(K1209,'Udvaskning nøgletal'!$C$12:$C$60,'Udvaskning nøgletal'!$H$12:$H$60)</f>
        <v>5</v>
      </c>
      <c r="Z1209" s="10">
        <f>IF(X1209=1,LOOKUP(K1209,'Udvaskning nøgletal'!$C$12:$C$60,'Udvaskning nøgletal'!$E$12:$E$60)+Markniveau!Y1209*Markniveau!S1209/100,IF(X1209=2,LOOKUP(K1209,'Udvaskning nøgletal'!$C$12:$C$60,'Udvaskning nøgletal'!$F$12:$F$60)+Markniveau!Y1209*Markniveau!S1209/100,IF(X1209=3,LOOKUP(K1209,'Udvaskning nøgletal'!$C$12:$C$60,'Udvaskning nøgletal'!G1219:G1267)+Markniveau!Y1209*Markniveau!S1209/100,"")))</f>
        <v>55.420779741212854</v>
      </c>
      <c r="AA1209" s="10">
        <f t="shared" si="186"/>
        <v>73.155429258400972</v>
      </c>
      <c r="AB1209" s="10" t="str">
        <f t="shared" si="185"/>
        <v/>
      </c>
      <c r="AC1209" s="10" t="str">
        <f t="shared" si="187"/>
        <v/>
      </c>
      <c r="AD1209" s="10">
        <f>IF(AND(Q1209&gt;0,Q1209&lt;30,K1209&lt;8),Markniveau!Z1209*'Udvaskning nøgletal'!$I$12/100,IF(AND(Q1209&gt;0,Q1209&lt;30,K1209=216),Markniveau!Z1209*'Udvaskning nøgletal'!$I$34/100,Markniveau!Z1209))</f>
        <v>55.420779741212854</v>
      </c>
      <c r="AE1209" s="10">
        <f t="shared" si="193"/>
        <v>73.155429258400972</v>
      </c>
      <c r="AF1209" s="10" t="str">
        <f t="shared" si="188"/>
        <v/>
      </c>
      <c r="AG1209" s="10" t="str">
        <f t="shared" si="194"/>
        <v/>
      </c>
      <c r="AH1209" s="10" t="str">
        <f>IF(AND(Q1209&gt;0,Q1209&lt;30,K1209=216),'Udvaskning nøgletal'!$C$42,IF(AND(Q1209&gt;0,Q1209&lt;30,K1209&gt;7,K1209&lt;17),'Udvaskning nøgletal'!$C$61,IF(AND(Q1209&gt;0,Q1209&lt;30,K1209&lt;7),'Udvaskning nøgletal'!$C$62,"")))</f>
        <v/>
      </c>
      <c r="AI1209" s="10">
        <f t="shared" si="190"/>
        <v>11</v>
      </c>
      <c r="AJ1209" s="10">
        <f>IF($X1209=1,LOOKUP(AI1209,'Udvaskning nøgletal'!$C$12:$C$62,'Udvaskning nøgletal'!$E$12:$E$62)+Markniveau!$Y1209*Markniveau!$S1209/100,IF($X1209=2,LOOKUP(AI1209,'Udvaskning nøgletal'!$C$12:$C$62,'Udvaskning nøgletal'!$F$12:$F$62)+Markniveau!$Y1209*Markniveau!$S1209/100,IF($X1209=3,LOOKUP(AI1209,'Udvaskning nøgletal'!$C$12:$C$62,'Udvaskning nøgletal'!Q1219:Q1269)+Markniveau!$Y1209*Markniveau!$S1209/100,"")))</f>
        <v>55.420779741212854</v>
      </c>
      <c r="AK1209" s="10">
        <f t="shared" si="189"/>
        <v>73.155429258400972</v>
      </c>
      <c r="AL1209" s="10" t="str">
        <f t="shared" si="191"/>
        <v/>
      </c>
      <c r="AM1209" s="10" t="str">
        <f t="shared" si="192"/>
        <v/>
      </c>
    </row>
    <row r="1210" spans="1:39" x14ac:dyDescent="0.25">
      <c r="A1210" s="15">
        <v>35557628</v>
      </c>
      <c r="B1210" s="15">
        <v>9.15</v>
      </c>
      <c r="C1210" s="15">
        <v>284119</v>
      </c>
      <c r="D1210" s="15">
        <v>55926</v>
      </c>
      <c r="E1210" s="15" t="s">
        <v>1068</v>
      </c>
      <c r="F1210" s="15">
        <v>2011</v>
      </c>
      <c r="G1210" s="15">
        <v>20110512</v>
      </c>
      <c r="H1210" s="15">
        <v>50796</v>
      </c>
      <c r="I1210" s="15">
        <v>5.08</v>
      </c>
      <c r="J1210" s="6" t="s">
        <v>1069</v>
      </c>
      <c r="K1210" s="15">
        <v>11</v>
      </c>
      <c r="L1210" s="15" t="s">
        <v>102</v>
      </c>
      <c r="M1210" s="15" t="s">
        <v>5</v>
      </c>
      <c r="N1210" s="11" t="s">
        <v>1391</v>
      </c>
      <c r="O1210" s="11" t="s">
        <v>46</v>
      </c>
      <c r="P1210" s="11" t="s">
        <v>33</v>
      </c>
      <c r="Q1210" s="15">
        <v>0</v>
      </c>
      <c r="R1210" s="11" t="s">
        <v>1386</v>
      </c>
      <c r="S1210" s="10">
        <v>90.815594824257005</v>
      </c>
      <c r="T1210" s="15">
        <v>80</v>
      </c>
      <c r="U1210" s="15">
        <v>0</v>
      </c>
      <c r="V1210" s="15">
        <v>0</v>
      </c>
      <c r="W1210" s="15">
        <v>0</v>
      </c>
      <c r="X1210" s="15">
        <f>IF(O1210='Udvaskning nøgletal'!$D$65,1,IF(O1210='Udvaskning nøgletal'!$D$66,2,IF(O1210='Udvaskning nøgletal'!$D$67,3,IF(O1210='Udvaskning nøgletal'!$D$68,2,""))))</f>
        <v>2</v>
      </c>
      <c r="Y1210" s="15">
        <f>LOOKUP(K1210,'Udvaskning nøgletal'!$C$12:$C$60,'Udvaskning nøgletal'!$H$12:$H$60)</f>
        <v>5</v>
      </c>
      <c r="Z1210" s="10">
        <f>IF(X1210=1,LOOKUP(K1210,'Udvaskning nøgletal'!$C$12:$C$60,'Udvaskning nøgletal'!$E$12:$E$60)+Markniveau!Y1210*Markniveau!S1210/100,IF(X1210=2,LOOKUP(K1210,'Udvaskning nøgletal'!$C$12:$C$60,'Udvaskning nøgletal'!$F$12:$F$60)+Markniveau!Y1210*Markniveau!S1210/100,IF(X1210=3,LOOKUP(K1210,'Udvaskning nøgletal'!$C$12:$C$60,'Udvaskning nøgletal'!G1220:G1268)+Markniveau!Y1210*Markniveau!S1210/100,"")))</f>
        <v>55.420779741212854</v>
      </c>
      <c r="AA1210" s="10">
        <f t="shared" si="186"/>
        <v>281.53756108536129</v>
      </c>
      <c r="AB1210" s="10" t="str">
        <f t="shared" si="185"/>
        <v/>
      </c>
      <c r="AC1210" s="10" t="str">
        <f t="shared" si="187"/>
        <v/>
      </c>
      <c r="AD1210" s="10">
        <f>IF(AND(Q1210&gt;0,Q1210&lt;30,K1210&lt;8),Markniveau!Z1210*'Udvaskning nøgletal'!$I$12/100,IF(AND(Q1210&gt;0,Q1210&lt;30,K1210=216),Markniveau!Z1210*'Udvaskning nøgletal'!$I$34/100,Markniveau!Z1210))</f>
        <v>55.420779741212854</v>
      </c>
      <c r="AE1210" s="10">
        <f t="shared" si="193"/>
        <v>281.53756108536129</v>
      </c>
      <c r="AF1210" s="10" t="str">
        <f t="shared" si="188"/>
        <v/>
      </c>
      <c r="AG1210" s="10" t="str">
        <f t="shared" si="194"/>
        <v/>
      </c>
      <c r="AH1210" s="10" t="str">
        <f>IF(AND(Q1210&gt;0,Q1210&lt;30,K1210=216),'Udvaskning nøgletal'!$C$42,IF(AND(Q1210&gt;0,Q1210&lt;30,K1210&gt;7,K1210&lt;17),'Udvaskning nøgletal'!$C$61,IF(AND(Q1210&gt;0,Q1210&lt;30,K1210&lt;7),'Udvaskning nøgletal'!$C$62,"")))</f>
        <v/>
      </c>
      <c r="AI1210" s="10">
        <f t="shared" si="190"/>
        <v>11</v>
      </c>
      <c r="AJ1210" s="10">
        <f>IF($X1210=1,LOOKUP(AI1210,'Udvaskning nøgletal'!$C$12:$C$62,'Udvaskning nøgletal'!$E$12:$E$62)+Markniveau!$Y1210*Markniveau!$S1210/100,IF($X1210=2,LOOKUP(AI1210,'Udvaskning nøgletal'!$C$12:$C$62,'Udvaskning nøgletal'!$F$12:$F$62)+Markniveau!$Y1210*Markniveau!$S1210/100,IF($X1210=3,LOOKUP(AI1210,'Udvaskning nøgletal'!$C$12:$C$62,'Udvaskning nøgletal'!Q1220:Q1270)+Markniveau!$Y1210*Markniveau!$S1210/100,"")))</f>
        <v>55.420779741212854</v>
      </c>
      <c r="AK1210" s="10">
        <f t="shared" si="189"/>
        <v>281.53756108536129</v>
      </c>
      <c r="AL1210" s="10" t="str">
        <f t="shared" si="191"/>
        <v/>
      </c>
      <c r="AM1210" s="10" t="str">
        <f t="shared" si="192"/>
        <v/>
      </c>
    </row>
    <row r="1211" spans="1:39" x14ac:dyDescent="0.25">
      <c r="A1211" s="15">
        <v>35557628</v>
      </c>
      <c r="B1211" s="15">
        <v>9.15</v>
      </c>
      <c r="C1211" s="15">
        <v>284120</v>
      </c>
      <c r="D1211" s="15">
        <v>55926</v>
      </c>
      <c r="E1211" s="15" t="s">
        <v>1030</v>
      </c>
      <c r="F1211" s="15">
        <v>2011</v>
      </c>
      <c r="G1211" s="15">
        <v>20110512</v>
      </c>
      <c r="H1211" s="15">
        <v>97370</v>
      </c>
      <c r="I1211" s="15">
        <v>9.74</v>
      </c>
      <c r="J1211" s="6" t="s">
        <v>1070</v>
      </c>
      <c r="K1211" s="15">
        <v>150</v>
      </c>
      <c r="L1211" s="15" t="s">
        <v>896</v>
      </c>
      <c r="M1211" s="15" t="s">
        <v>5</v>
      </c>
      <c r="N1211" s="11" t="s">
        <v>1391</v>
      </c>
      <c r="O1211" s="11" t="s">
        <v>46</v>
      </c>
      <c r="P1211" s="11" t="s">
        <v>33</v>
      </c>
      <c r="Q1211" s="15">
        <v>0</v>
      </c>
      <c r="R1211" s="11" t="s">
        <v>1386</v>
      </c>
      <c r="S1211" s="10">
        <v>90.815594824257005</v>
      </c>
      <c r="T1211" s="15">
        <v>80</v>
      </c>
      <c r="U1211" s="15">
        <v>0</v>
      </c>
      <c r="V1211" s="15">
        <v>0</v>
      </c>
      <c r="W1211" s="15">
        <v>0</v>
      </c>
      <c r="X1211" s="15">
        <f>IF(O1211='Udvaskning nøgletal'!$D$65,1,IF(O1211='Udvaskning nøgletal'!$D$66,2,IF(O1211='Udvaskning nøgletal'!$D$67,3,IF(O1211='Udvaskning nøgletal'!$D$68,2,""))))</f>
        <v>2</v>
      </c>
      <c r="Y1211" s="15">
        <f>LOOKUP(K1211,'Udvaskning nøgletal'!$C$12:$C$60,'Udvaskning nøgletal'!$H$12:$H$60)</f>
        <v>5</v>
      </c>
      <c r="Z1211" s="10">
        <f>IF(X1211=1,LOOKUP(K1211,'Udvaskning nøgletal'!$C$12:$C$60,'Udvaskning nøgletal'!$E$12:$E$60)+Markniveau!Y1211*Markniveau!S1211/100,IF(X1211=2,LOOKUP(K1211,'Udvaskning nøgletal'!$C$12:$C$60,'Udvaskning nøgletal'!$F$12:$F$60)+Markniveau!Y1211*Markniveau!S1211/100,IF(X1211=3,LOOKUP(K1211,'Udvaskning nøgletal'!$C$12:$C$60,'Udvaskning nøgletal'!G1221:G1269)+Markniveau!Y1211*Markniveau!S1211/100,"")))</f>
        <v>55.420779741212854</v>
      </c>
      <c r="AA1211" s="10">
        <f t="shared" si="186"/>
        <v>539.79839467941326</v>
      </c>
      <c r="AB1211" s="10" t="str">
        <f t="shared" si="185"/>
        <v/>
      </c>
      <c r="AC1211" s="10" t="str">
        <f t="shared" si="187"/>
        <v/>
      </c>
      <c r="AD1211" s="10">
        <f>IF(AND(Q1211&gt;0,Q1211&lt;30,K1211&lt;8),Markniveau!Z1211*'Udvaskning nøgletal'!$I$12/100,IF(AND(Q1211&gt;0,Q1211&lt;30,K1211=216),Markniveau!Z1211*'Udvaskning nøgletal'!$I$34/100,Markniveau!Z1211))</f>
        <v>55.420779741212854</v>
      </c>
      <c r="AE1211" s="10">
        <f t="shared" si="193"/>
        <v>539.79839467941326</v>
      </c>
      <c r="AF1211" s="10" t="str">
        <f t="shared" si="188"/>
        <v/>
      </c>
      <c r="AG1211" s="10" t="str">
        <f t="shared" si="194"/>
        <v/>
      </c>
      <c r="AH1211" s="10" t="str">
        <f>IF(AND(Q1211&gt;0,Q1211&lt;30,K1211=216),'Udvaskning nøgletal'!$C$42,IF(AND(Q1211&gt;0,Q1211&lt;30,K1211&gt;7,K1211&lt;17),'Udvaskning nøgletal'!$C$61,IF(AND(Q1211&gt;0,Q1211&lt;30,K1211&lt;7),'Udvaskning nøgletal'!$C$62,"")))</f>
        <v/>
      </c>
      <c r="AI1211" s="10">
        <f t="shared" si="190"/>
        <v>150</v>
      </c>
      <c r="AJ1211" s="10">
        <f>IF($X1211=1,LOOKUP(AI1211,'Udvaskning nøgletal'!$C$12:$C$62,'Udvaskning nøgletal'!$E$12:$E$62)+Markniveau!$Y1211*Markniveau!$S1211/100,IF($X1211=2,LOOKUP(AI1211,'Udvaskning nøgletal'!$C$12:$C$62,'Udvaskning nøgletal'!$F$12:$F$62)+Markniveau!$Y1211*Markniveau!$S1211/100,IF($X1211=3,LOOKUP(AI1211,'Udvaskning nøgletal'!$C$12:$C$62,'Udvaskning nøgletal'!Q1221:Q1271)+Markniveau!$Y1211*Markniveau!$S1211/100,"")))</f>
        <v>55.420779741212854</v>
      </c>
      <c r="AK1211" s="10">
        <f t="shared" si="189"/>
        <v>539.79839467941326</v>
      </c>
      <c r="AL1211" s="10" t="str">
        <f t="shared" si="191"/>
        <v/>
      </c>
      <c r="AM1211" s="10" t="str">
        <f t="shared" si="192"/>
        <v/>
      </c>
    </row>
    <row r="1212" spans="1:39" x14ac:dyDescent="0.25">
      <c r="A1212" s="15">
        <v>35557628</v>
      </c>
      <c r="B1212" s="15">
        <v>9.15</v>
      </c>
      <c r="C1212" s="15">
        <v>284121</v>
      </c>
      <c r="D1212" s="15">
        <v>55926</v>
      </c>
      <c r="E1212" s="15" t="s">
        <v>1071</v>
      </c>
      <c r="F1212" s="15">
        <v>2011</v>
      </c>
      <c r="G1212" s="15">
        <v>20110512</v>
      </c>
      <c r="H1212" s="15">
        <v>27110</v>
      </c>
      <c r="I1212" s="15">
        <v>2.71</v>
      </c>
      <c r="J1212" s="6" t="s">
        <v>1072</v>
      </c>
      <c r="K1212" s="15">
        <v>152</v>
      </c>
      <c r="L1212" s="15" t="s">
        <v>333</v>
      </c>
      <c r="M1212" s="15" t="s">
        <v>5</v>
      </c>
      <c r="N1212" s="11" t="s">
        <v>1384</v>
      </c>
      <c r="O1212" s="11" t="s">
        <v>28</v>
      </c>
      <c r="P1212" s="11" t="s">
        <v>33</v>
      </c>
      <c r="Q1212" s="15">
        <v>0</v>
      </c>
      <c r="R1212" s="11" t="s">
        <v>1386</v>
      </c>
      <c r="S1212" s="10">
        <v>90.815594824257005</v>
      </c>
      <c r="T1212" s="15">
        <v>80</v>
      </c>
      <c r="U1212" s="15">
        <v>0</v>
      </c>
      <c r="V1212" s="15">
        <v>0</v>
      </c>
      <c r="W1212" s="15">
        <v>0</v>
      </c>
      <c r="X1212" s="15">
        <f>IF(O1212='Udvaskning nøgletal'!$D$65,1,IF(O1212='Udvaskning nøgletal'!$D$66,2,IF(O1212='Udvaskning nøgletal'!$D$67,3,IF(O1212='Udvaskning nøgletal'!$D$68,2,""))))</f>
        <v>1</v>
      </c>
      <c r="Y1212" s="15">
        <f>LOOKUP(K1212,'Udvaskning nøgletal'!$C$12:$C$60,'Udvaskning nøgletal'!$H$12:$H$60)</f>
        <v>5</v>
      </c>
      <c r="Z1212" s="10">
        <f>IF(X1212=1,LOOKUP(K1212,'Udvaskning nøgletal'!$C$12:$C$60,'Udvaskning nøgletal'!$E$12:$E$60)+Markniveau!Y1212*Markniveau!S1212/100,IF(X1212=2,LOOKUP(K1212,'Udvaskning nøgletal'!$C$12:$C$60,'Udvaskning nøgletal'!$F$12:$F$60)+Markniveau!Y1212*Markniveau!S1212/100,IF(X1212=3,LOOKUP(K1212,'Udvaskning nøgletal'!$C$12:$C$60,'Udvaskning nøgletal'!G1222:G1270)+Markniveau!Y1212*Markniveau!S1212/100,"")))</f>
        <v>69.200779741212841</v>
      </c>
      <c r="AA1212" s="10">
        <f t="shared" si="186"/>
        <v>187.53411309868679</v>
      </c>
      <c r="AB1212" s="10" t="str">
        <f t="shared" si="185"/>
        <v/>
      </c>
      <c r="AC1212" s="10" t="str">
        <f t="shared" si="187"/>
        <v/>
      </c>
      <c r="AD1212" s="10">
        <f>IF(AND(Q1212&gt;0,Q1212&lt;30,K1212&lt;8),Markniveau!Z1212*'Udvaskning nøgletal'!$I$12/100,IF(AND(Q1212&gt;0,Q1212&lt;30,K1212=216),Markniveau!Z1212*'Udvaskning nøgletal'!$I$34/100,Markniveau!Z1212))</f>
        <v>69.200779741212841</v>
      </c>
      <c r="AE1212" s="10">
        <f t="shared" si="193"/>
        <v>187.53411309868679</v>
      </c>
      <c r="AF1212" s="10" t="str">
        <f t="shared" si="188"/>
        <v/>
      </c>
      <c r="AG1212" s="10" t="str">
        <f t="shared" si="194"/>
        <v/>
      </c>
      <c r="AH1212" s="10" t="str">
        <f>IF(AND(Q1212&gt;0,Q1212&lt;30,K1212=216),'Udvaskning nøgletal'!$C$42,IF(AND(Q1212&gt;0,Q1212&lt;30,K1212&gt;7,K1212&lt;17),'Udvaskning nøgletal'!$C$61,IF(AND(Q1212&gt;0,Q1212&lt;30,K1212&lt;7),'Udvaskning nøgletal'!$C$62,"")))</f>
        <v/>
      </c>
      <c r="AI1212" s="10">
        <f t="shared" si="190"/>
        <v>152</v>
      </c>
      <c r="AJ1212" s="10">
        <f>IF($X1212=1,LOOKUP(AI1212,'Udvaskning nøgletal'!$C$12:$C$62,'Udvaskning nøgletal'!$E$12:$E$62)+Markniveau!$Y1212*Markniveau!$S1212/100,IF($X1212=2,LOOKUP(AI1212,'Udvaskning nøgletal'!$C$12:$C$62,'Udvaskning nøgletal'!$F$12:$F$62)+Markniveau!$Y1212*Markniveau!$S1212/100,IF($X1212=3,LOOKUP(AI1212,'Udvaskning nøgletal'!$C$12:$C$62,'Udvaskning nøgletal'!Q1222:Q1272)+Markniveau!$Y1212*Markniveau!$S1212/100,"")))</f>
        <v>69.200779741212841</v>
      </c>
      <c r="AK1212" s="10">
        <f t="shared" si="189"/>
        <v>187.53411309868679</v>
      </c>
      <c r="AL1212" s="10" t="str">
        <f t="shared" si="191"/>
        <v/>
      </c>
      <c r="AM1212" s="10" t="str">
        <f t="shared" si="192"/>
        <v/>
      </c>
    </row>
    <row r="1213" spans="1:39" x14ac:dyDescent="0.25">
      <c r="A1213" s="15">
        <v>35557628</v>
      </c>
      <c r="B1213" s="15">
        <v>9.15</v>
      </c>
      <c r="C1213" s="15">
        <v>284247</v>
      </c>
      <c r="D1213" s="15">
        <v>55926</v>
      </c>
      <c r="E1213" s="15" t="s">
        <v>1073</v>
      </c>
      <c r="F1213" s="15">
        <v>2011</v>
      </c>
      <c r="G1213" s="15">
        <v>20110512</v>
      </c>
      <c r="H1213" s="15">
        <v>1492</v>
      </c>
      <c r="I1213" s="15">
        <v>0.15</v>
      </c>
      <c r="J1213" s="6" t="s">
        <v>1074</v>
      </c>
      <c r="K1213" s="15">
        <v>583</v>
      </c>
      <c r="L1213" s="15" t="s">
        <v>154</v>
      </c>
      <c r="M1213" s="15" t="s">
        <v>155</v>
      </c>
      <c r="N1213" s="11" t="s">
        <v>1391</v>
      </c>
      <c r="O1213" s="11" t="s">
        <v>46</v>
      </c>
      <c r="P1213" s="11" t="s">
        <v>33</v>
      </c>
      <c r="Q1213" s="15">
        <v>0</v>
      </c>
      <c r="R1213" s="11" t="s">
        <v>1386</v>
      </c>
      <c r="S1213" s="10">
        <v>90.815594824257005</v>
      </c>
      <c r="T1213" s="15">
        <v>80</v>
      </c>
      <c r="U1213" s="15">
        <v>0</v>
      </c>
      <c r="V1213" s="15">
        <v>0</v>
      </c>
      <c r="W1213" s="15">
        <v>0</v>
      </c>
      <c r="X1213" s="15">
        <f>IF(O1213='Udvaskning nøgletal'!$D$65,1,IF(O1213='Udvaskning nøgletal'!$D$66,2,IF(O1213='Udvaskning nøgletal'!$D$67,3,IF(O1213='Udvaskning nøgletal'!$D$68,2,""))))</f>
        <v>2</v>
      </c>
      <c r="Y1213" s="15">
        <f>LOOKUP(K1213,'Udvaskning nøgletal'!$C$12:$C$60,'Udvaskning nøgletal'!$H$12:$H$60)</f>
        <v>0</v>
      </c>
      <c r="Z1213" s="10">
        <f>IF(X1213=1,LOOKUP(K1213,'Udvaskning nøgletal'!$C$12:$C$60,'Udvaskning nøgletal'!$E$12:$E$60)+Markniveau!Y1213*Markniveau!S1213/100,IF(X1213=2,LOOKUP(K1213,'Udvaskning nøgletal'!$C$12:$C$60,'Udvaskning nøgletal'!$F$12:$F$60)+Markniveau!Y1213*Markniveau!S1213/100,IF(X1213=3,LOOKUP(K1213,'Udvaskning nøgletal'!$C$12:$C$60,'Udvaskning nøgletal'!G1223:G1271)+Markniveau!Y1213*Markniveau!S1213/100,"")))</f>
        <v>10</v>
      </c>
      <c r="AA1213" s="10">
        <f t="shared" si="186"/>
        <v>1.5</v>
      </c>
      <c r="AB1213" s="10" t="str">
        <f t="shared" si="185"/>
        <v/>
      </c>
      <c r="AC1213" s="10" t="str">
        <f t="shared" si="187"/>
        <v/>
      </c>
      <c r="AD1213" s="10">
        <f>IF(AND(Q1213&gt;0,Q1213&lt;30,K1213&lt;8),Markniveau!Z1213*'Udvaskning nøgletal'!$I$12/100,IF(AND(Q1213&gt;0,Q1213&lt;30,K1213=216),Markniveau!Z1213*'Udvaskning nøgletal'!$I$34/100,Markniveau!Z1213))</f>
        <v>10</v>
      </c>
      <c r="AE1213" s="10">
        <f t="shared" si="193"/>
        <v>1.5</v>
      </c>
      <c r="AF1213" s="10" t="str">
        <f t="shared" si="188"/>
        <v/>
      </c>
      <c r="AG1213" s="10" t="str">
        <f t="shared" si="194"/>
        <v/>
      </c>
      <c r="AH1213" s="10" t="str">
        <f>IF(AND(Q1213&gt;0,Q1213&lt;30,K1213=216),'Udvaskning nøgletal'!$C$42,IF(AND(Q1213&gt;0,Q1213&lt;30,K1213&gt;7,K1213&lt;17),'Udvaskning nøgletal'!$C$61,IF(AND(Q1213&gt;0,Q1213&lt;30,K1213&lt;7),'Udvaskning nøgletal'!$C$62,"")))</f>
        <v/>
      </c>
      <c r="AI1213" s="10">
        <f t="shared" si="190"/>
        <v>583</v>
      </c>
      <c r="AJ1213" s="10">
        <f>IF($X1213=1,LOOKUP(AI1213,'Udvaskning nøgletal'!$C$12:$C$62,'Udvaskning nøgletal'!$E$12:$E$62)+Markniveau!$Y1213*Markniveau!$S1213/100,IF($X1213=2,LOOKUP(AI1213,'Udvaskning nøgletal'!$C$12:$C$62,'Udvaskning nøgletal'!$F$12:$F$62)+Markniveau!$Y1213*Markniveau!$S1213/100,IF($X1213=3,LOOKUP(AI1213,'Udvaskning nøgletal'!$C$12:$C$62,'Udvaskning nøgletal'!Q1223:Q1273)+Markniveau!$Y1213*Markniveau!$S1213/100,"")))</f>
        <v>10</v>
      </c>
      <c r="AK1213" s="10">
        <f t="shared" si="189"/>
        <v>1.5</v>
      </c>
      <c r="AL1213" s="10" t="str">
        <f t="shared" si="191"/>
        <v/>
      </c>
      <c r="AM1213" s="10" t="str">
        <f t="shared" si="192"/>
        <v/>
      </c>
    </row>
    <row r="1214" spans="1:39" x14ac:dyDescent="0.25">
      <c r="A1214" s="15">
        <v>35557628</v>
      </c>
      <c r="B1214" s="15">
        <v>9.15</v>
      </c>
      <c r="C1214" s="15">
        <v>284248</v>
      </c>
      <c r="D1214" s="15">
        <v>55926</v>
      </c>
      <c r="E1214" s="15" t="s">
        <v>1075</v>
      </c>
      <c r="F1214" s="15">
        <v>2011</v>
      </c>
      <c r="G1214" s="15">
        <v>20110512</v>
      </c>
      <c r="H1214" s="15">
        <v>50468</v>
      </c>
      <c r="I1214" s="15">
        <v>5.05</v>
      </c>
      <c r="J1214" s="6" t="s">
        <v>1076</v>
      </c>
      <c r="K1214" s="15">
        <v>15</v>
      </c>
      <c r="L1214" s="15" t="s">
        <v>362</v>
      </c>
      <c r="M1214" s="15" t="s">
        <v>5</v>
      </c>
      <c r="N1214" s="11" t="s">
        <v>1391</v>
      </c>
      <c r="O1214" s="11" t="s">
        <v>46</v>
      </c>
      <c r="P1214" s="11" t="s">
        <v>33</v>
      </c>
      <c r="Q1214" s="15">
        <v>0</v>
      </c>
      <c r="R1214" s="11" t="s">
        <v>1386</v>
      </c>
      <c r="S1214" s="10">
        <v>90.815594824257005</v>
      </c>
      <c r="T1214" s="15">
        <v>80</v>
      </c>
      <c r="U1214" s="15">
        <v>0</v>
      </c>
      <c r="V1214" s="15">
        <v>0</v>
      </c>
      <c r="W1214" s="15">
        <v>0</v>
      </c>
      <c r="X1214" s="15">
        <f>IF(O1214='Udvaskning nøgletal'!$D$65,1,IF(O1214='Udvaskning nøgletal'!$D$66,2,IF(O1214='Udvaskning nøgletal'!$D$67,3,IF(O1214='Udvaskning nøgletal'!$D$68,2,""))))</f>
        <v>2</v>
      </c>
      <c r="Y1214" s="15">
        <f>LOOKUP(K1214,'Udvaskning nøgletal'!$C$12:$C$60,'Udvaskning nøgletal'!$H$12:$H$60)</f>
        <v>5</v>
      </c>
      <c r="Z1214" s="10">
        <f>IF(X1214=1,LOOKUP(K1214,'Udvaskning nøgletal'!$C$12:$C$60,'Udvaskning nøgletal'!$E$12:$E$60)+Markniveau!Y1214*Markniveau!S1214/100,IF(X1214=2,LOOKUP(K1214,'Udvaskning nøgletal'!$C$12:$C$60,'Udvaskning nøgletal'!$F$12:$F$60)+Markniveau!Y1214*Markniveau!S1214/100,IF(X1214=3,LOOKUP(K1214,'Udvaskning nøgletal'!$C$12:$C$60,'Udvaskning nøgletal'!G1224:G1272)+Markniveau!Y1214*Markniveau!S1214/100,"")))</f>
        <v>55.420779741212854</v>
      </c>
      <c r="AA1214" s="10">
        <f t="shared" si="186"/>
        <v>279.87493769312488</v>
      </c>
      <c r="AB1214" s="10" t="str">
        <f t="shared" si="185"/>
        <v/>
      </c>
      <c r="AC1214" s="10" t="str">
        <f t="shared" si="187"/>
        <v/>
      </c>
      <c r="AD1214" s="10">
        <f>IF(AND(Q1214&gt;0,Q1214&lt;30,K1214&lt;8),Markniveau!Z1214*'Udvaskning nøgletal'!$I$12/100,IF(AND(Q1214&gt;0,Q1214&lt;30,K1214=216),Markniveau!Z1214*'Udvaskning nøgletal'!$I$34/100,Markniveau!Z1214))</f>
        <v>55.420779741212854</v>
      </c>
      <c r="AE1214" s="10">
        <f t="shared" si="193"/>
        <v>279.87493769312488</v>
      </c>
      <c r="AF1214" s="10" t="str">
        <f t="shared" si="188"/>
        <v/>
      </c>
      <c r="AG1214" s="10" t="str">
        <f t="shared" si="194"/>
        <v/>
      </c>
      <c r="AH1214" s="10" t="str">
        <f>IF(AND(Q1214&gt;0,Q1214&lt;30,K1214=216),'Udvaskning nøgletal'!$C$42,IF(AND(Q1214&gt;0,Q1214&lt;30,K1214&gt;7,K1214&lt;17),'Udvaskning nøgletal'!$C$61,IF(AND(Q1214&gt;0,Q1214&lt;30,K1214&lt;7),'Udvaskning nøgletal'!$C$62,"")))</f>
        <v/>
      </c>
      <c r="AI1214" s="10">
        <f t="shared" si="190"/>
        <v>15</v>
      </c>
      <c r="AJ1214" s="10">
        <f>IF($X1214=1,LOOKUP(AI1214,'Udvaskning nøgletal'!$C$12:$C$62,'Udvaskning nøgletal'!$E$12:$E$62)+Markniveau!$Y1214*Markniveau!$S1214/100,IF($X1214=2,LOOKUP(AI1214,'Udvaskning nøgletal'!$C$12:$C$62,'Udvaskning nøgletal'!$F$12:$F$62)+Markniveau!$Y1214*Markniveau!$S1214/100,IF($X1214=3,LOOKUP(AI1214,'Udvaskning nøgletal'!$C$12:$C$62,'Udvaskning nøgletal'!Q1224:Q1274)+Markniveau!$Y1214*Markniveau!$S1214/100,"")))</f>
        <v>55.420779741212854</v>
      </c>
      <c r="AK1214" s="10">
        <f t="shared" si="189"/>
        <v>279.87493769312488</v>
      </c>
      <c r="AL1214" s="10" t="str">
        <f t="shared" si="191"/>
        <v/>
      </c>
      <c r="AM1214" s="10" t="str">
        <f t="shared" si="192"/>
        <v/>
      </c>
    </row>
    <row r="1215" spans="1:39" x14ac:dyDescent="0.25">
      <c r="A1215" s="15">
        <v>35557628</v>
      </c>
      <c r="B1215" s="15">
        <v>9.15</v>
      </c>
      <c r="C1215" s="15">
        <v>284524</v>
      </c>
      <c r="D1215" s="15">
        <v>55926</v>
      </c>
      <c r="E1215" s="15" t="s">
        <v>1077</v>
      </c>
      <c r="F1215" s="15">
        <v>2011</v>
      </c>
      <c r="G1215" s="15">
        <v>20110512</v>
      </c>
      <c r="H1215" s="15">
        <v>24593</v>
      </c>
      <c r="I1215" s="15">
        <v>2.46</v>
      </c>
      <c r="J1215" s="6" t="s">
        <v>1078</v>
      </c>
      <c r="K1215" s="15">
        <v>11</v>
      </c>
      <c r="L1215" s="15" t="s">
        <v>102</v>
      </c>
      <c r="M1215" s="15" t="s">
        <v>5</v>
      </c>
      <c r="N1215" s="11" t="s">
        <v>1390</v>
      </c>
      <c r="O1215" s="11" t="s">
        <v>42</v>
      </c>
      <c r="P1215" s="11" t="s">
        <v>33</v>
      </c>
      <c r="Q1215" s="15">
        <v>0</v>
      </c>
      <c r="R1215" s="11" t="s">
        <v>1386</v>
      </c>
      <c r="S1215" s="10">
        <v>90.815594824257005</v>
      </c>
      <c r="T1215" s="15">
        <v>80</v>
      </c>
      <c r="U1215" s="15">
        <v>0</v>
      </c>
      <c r="V1215" s="15">
        <v>0</v>
      </c>
      <c r="W1215" s="15">
        <v>0</v>
      </c>
      <c r="X1215" s="15">
        <f>IF(O1215='Udvaskning nøgletal'!$D$65,1,IF(O1215='Udvaskning nøgletal'!$D$66,2,IF(O1215='Udvaskning nøgletal'!$D$67,3,IF(O1215='Udvaskning nøgletal'!$D$68,2,""))))</f>
        <v>2</v>
      </c>
      <c r="Y1215" s="15">
        <f>LOOKUP(K1215,'Udvaskning nøgletal'!$C$12:$C$60,'Udvaskning nøgletal'!$H$12:$H$60)</f>
        <v>5</v>
      </c>
      <c r="Z1215" s="10">
        <f>IF(X1215=1,LOOKUP(K1215,'Udvaskning nøgletal'!$C$12:$C$60,'Udvaskning nøgletal'!$E$12:$E$60)+Markniveau!Y1215*Markniveau!S1215/100,IF(X1215=2,LOOKUP(K1215,'Udvaskning nøgletal'!$C$12:$C$60,'Udvaskning nøgletal'!$F$12:$F$60)+Markniveau!Y1215*Markniveau!S1215/100,IF(X1215=3,LOOKUP(K1215,'Udvaskning nøgletal'!$C$12:$C$60,'Udvaskning nøgletal'!G1225:G1273)+Markniveau!Y1215*Markniveau!S1215/100,"")))</f>
        <v>55.420779741212854</v>
      </c>
      <c r="AA1215" s="10">
        <f t="shared" si="186"/>
        <v>136.33511816338361</v>
      </c>
      <c r="AB1215" s="10" t="str">
        <f t="shared" si="185"/>
        <v/>
      </c>
      <c r="AC1215" s="10" t="str">
        <f t="shared" si="187"/>
        <v/>
      </c>
      <c r="AD1215" s="10">
        <f>IF(AND(Q1215&gt;0,Q1215&lt;30,K1215&lt;8),Markniveau!Z1215*'Udvaskning nøgletal'!$I$12/100,IF(AND(Q1215&gt;0,Q1215&lt;30,K1215=216),Markniveau!Z1215*'Udvaskning nøgletal'!$I$34/100,Markniveau!Z1215))</f>
        <v>55.420779741212854</v>
      </c>
      <c r="AE1215" s="10">
        <f t="shared" si="193"/>
        <v>136.33511816338361</v>
      </c>
      <c r="AF1215" s="10" t="str">
        <f t="shared" si="188"/>
        <v/>
      </c>
      <c r="AG1215" s="10" t="str">
        <f t="shared" si="194"/>
        <v/>
      </c>
      <c r="AH1215" s="10" t="str">
        <f>IF(AND(Q1215&gt;0,Q1215&lt;30,K1215=216),'Udvaskning nøgletal'!$C$42,IF(AND(Q1215&gt;0,Q1215&lt;30,K1215&gt;7,K1215&lt;17),'Udvaskning nøgletal'!$C$61,IF(AND(Q1215&gt;0,Q1215&lt;30,K1215&lt;7),'Udvaskning nøgletal'!$C$62,"")))</f>
        <v/>
      </c>
      <c r="AI1215" s="10">
        <f t="shared" si="190"/>
        <v>11</v>
      </c>
      <c r="AJ1215" s="10">
        <f>IF($X1215=1,LOOKUP(AI1215,'Udvaskning nøgletal'!$C$12:$C$62,'Udvaskning nøgletal'!$E$12:$E$62)+Markniveau!$Y1215*Markniveau!$S1215/100,IF($X1215=2,LOOKUP(AI1215,'Udvaskning nøgletal'!$C$12:$C$62,'Udvaskning nøgletal'!$F$12:$F$62)+Markniveau!$Y1215*Markniveau!$S1215/100,IF($X1215=3,LOOKUP(AI1215,'Udvaskning nøgletal'!$C$12:$C$62,'Udvaskning nøgletal'!Q1225:Q1275)+Markniveau!$Y1215*Markniveau!$S1215/100,"")))</f>
        <v>55.420779741212854</v>
      </c>
      <c r="AK1215" s="10">
        <f t="shared" si="189"/>
        <v>136.33511816338361</v>
      </c>
      <c r="AL1215" s="10" t="str">
        <f t="shared" si="191"/>
        <v/>
      </c>
      <c r="AM1215" s="10" t="str">
        <f t="shared" si="192"/>
        <v/>
      </c>
    </row>
    <row r="1216" spans="1:39" x14ac:dyDescent="0.25">
      <c r="A1216" s="15">
        <v>35557628</v>
      </c>
      <c r="B1216" s="15">
        <v>9.15</v>
      </c>
      <c r="C1216" s="15">
        <v>284526</v>
      </c>
      <c r="D1216" s="15">
        <v>55926</v>
      </c>
      <c r="E1216" s="15" t="s">
        <v>1079</v>
      </c>
      <c r="F1216" s="15">
        <v>2011</v>
      </c>
      <c r="G1216" s="15">
        <v>20110512</v>
      </c>
      <c r="H1216" s="15">
        <v>13998</v>
      </c>
      <c r="I1216" s="15">
        <v>1.4</v>
      </c>
      <c r="J1216" s="6" t="s">
        <v>1080</v>
      </c>
      <c r="K1216" s="15">
        <v>15</v>
      </c>
      <c r="L1216" s="15" t="s">
        <v>362</v>
      </c>
      <c r="M1216" s="15" t="s">
        <v>5</v>
      </c>
      <c r="N1216" s="11" t="s">
        <v>1384</v>
      </c>
      <c r="O1216" s="11" t="s">
        <v>28</v>
      </c>
      <c r="P1216" s="11" t="s">
        <v>33</v>
      </c>
      <c r="Q1216" s="15">
        <v>0</v>
      </c>
      <c r="R1216" s="11" t="s">
        <v>1386</v>
      </c>
      <c r="S1216" s="10">
        <v>90.815594824257005</v>
      </c>
      <c r="T1216" s="15">
        <v>80</v>
      </c>
      <c r="U1216" s="15">
        <v>0</v>
      </c>
      <c r="V1216" s="15">
        <v>0</v>
      </c>
      <c r="W1216" s="15">
        <v>0</v>
      </c>
      <c r="X1216" s="15">
        <f>IF(O1216='Udvaskning nøgletal'!$D$65,1,IF(O1216='Udvaskning nøgletal'!$D$66,2,IF(O1216='Udvaskning nøgletal'!$D$67,3,IF(O1216='Udvaskning nøgletal'!$D$68,2,""))))</f>
        <v>1</v>
      </c>
      <c r="Y1216" s="15">
        <f>LOOKUP(K1216,'Udvaskning nøgletal'!$C$12:$C$60,'Udvaskning nøgletal'!$H$12:$H$60)</f>
        <v>5</v>
      </c>
      <c r="Z1216" s="10">
        <f>IF(X1216=1,LOOKUP(K1216,'Udvaskning nøgletal'!$C$12:$C$60,'Udvaskning nøgletal'!$E$12:$E$60)+Markniveau!Y1216*Markniveau!S1216/100,IF(X1216=2,LOOKUP(K1216,'Udvaskning nøgletal'!$C$12:$C$60,'Udvaskning nøgletal'!$F$12:$F$60)+Markniveau!Y1216*Markniveau!S1216/100,IF(X1216=3,LOOKUP(K1216,'Udvaskning nøgletal'!$C$12:$C$60,'Udvaskning nøgletal'!G1226:G1274)+Markniveau!Y1216*Markniveau!S1216/100,"")))</f>
        <v>69.200779741212841</v>
      </c>
      <c r="AA1216" s="10">
        <f t="shared" si="186"/>
        <v>96.881091637697978</v>
      </c>
      <c r="AB1216" s="10" t="str">
        <f t="shared" si="185"/>
        <v/>
      </c>
      <c r="AC1216" s="10" t="str">
        <f t="shared" si="187"/>
        <v/>
      </c>
      <c r="AD1216" s="10">
        <f>IF(AND(Q1216&gt;0,Q1216&lt;30,K1216&lt;8),Markniveau!Z1216*'Udvaskning nøgletal'!$I$12/100,IF(AND(Q1216&gt;0,Q1216&lt;30,K1216=216),Markniveau!Z1216*'Udvaskning nøgletal'!$I$34/100,Markniveau!Z1216))</f>
        <v>69.200779741212841</v>
      </c>
      <c r="AE1216" s="10">
        <f t="shared" si="193"/>
        <v>96.881091637697978</v>
      </c>
      <c r="AF1216" s="10" t="str">
        <f t="shared" si="188"/>
        <v/>
      </c>
      <c r="AG1216" s="10" t="str">
        <f t="shared" si="194"/>
        <v/>
      </c>
      <c r="AH1216" s="10" t="str">
        <f>IF(AND(Q1216&gt;0,Q1216&lt;30,K1216=216),'Udvaskning nøgletal'!$C$42,IF(AND(Q1216&gt;0,Q1216&lt;30,K1216&gt;7,K1216&lt;17),'Udvaskning nøgletal'!$C$61,IF(AND(Q1216&gt;0,Q1216&lt;30,K1216&lt;7),'Udvaskning nøgletal'!$C$62,"")))</f>
        <v/>
      </c>
      <c r="AI1216" s="10">
        <f t="shared" si="190"/>
        <v>15</v>
      </c>
      <c r="AJ1216" s="10">
        <f>IF($X1216=1,LOOKUP(AI1216,'Udvaskning nøgletal'!$C$12:$C$62,'Udvaskning nøgletal'!$E$12:$E$62)+Markniveau!$Y1216*Markniveau!$S1216/100,IF($X1216=2,LOOKUP(AI1216,'Udvaskning nøgletal'!$C$12:$C$62,'Udvaskning nøgletal'!$F$12:$F$62)+Markniveau!$Y1216*Markniveau!$S1216/100,IF($X1216=3,LOOKUP(AI1216,'Udvaskning nøgletal'!$C$12:$C$62,'Udvaskning nøgletal'!Q1226:Q1276)+Markniveau!$Y1216*Markniveau!$S1216/100,"")))</f>
        <v>69.200779741212841</v>
      </c>
      <c r="AK1216" s="10">
        <f t="shared" si="189"/>
        <v>96.881091637697978</v>
      </c>
      <c r="AL1216" s="10" t="str">
        <f t="shared" si="191"/>
        <v/>
      </c>
      <c r="AM1216" s="10" t="str">
        <f t="shared" si="192"/>
        <v/>
      </c>
    </row>
    <row r="1217" spans="1:39" x14ac:dyDescent="0.25">
      <c r="A1217" s="15">
        <v>35557628</v>
      </c>
      <c r="B1217" s="15">
        <v>9.15</v>
      </c>
      <c r="C1217" s="15">
        <v>284527</v>
      </c>
      <c r="D1217" s="15">
        <v>55926</v>
      </c>
      <c r="E1217" s="15" t="s">
        <v>1081</v>
      </c>
      <c r="F1217" s="15">
        <v>2011</v>
      </c>
      <c r="G1217" s="15">
        <v>20110512</v>
      </c>
      <c r="H1217" s="15">
        <v>46806</v>
      </c>
      <c r="I1217" s="15">
        <v>4.68</v>
      </c>
      <c r="J1217" s="6" t="s">
        <v>1082</v>
      </c>
      <c r="K1217" s="15">
        <v>150</v>
      </c>
      <c r="L1217" s="15" t="s">
        <v>896</v>
      </c>
      <c r="M1217" s="15" t="s">
        <v>5</v>
      </c>
      <c r="N1217" s="11" t="s">
        <v>1391</v>
      </c>
      <c r="O1217" s="11" t="s">
        <v>46</v>
      </c>
      <c r="P1217" s="11" t="s">
        <v>33</v>
      </c>
      <c r="Q1217" s="15">
        <v>0</v>
      </c>
      <c r="R1217" s="11" t="s">
        <v>1386</v>
      </c>
      <c r="S1217" s="10">
        <v>90.815594824257005</v>
      </c>
      <c r="T1217" s="15">
        <v>80</v>
      </c>
      <c r="U1217" s="15">
        <v>0</v>
      </c>
      <c r="V1217" s="15">
        <v>0</v>
      </c>
      <c r="W1217" s="15">
        <v>0</v>
      </c>
      <c r="X1217" s="15">
        <f>IF(O1217='Udvaskning nøgletal'!$D$65,1,IF(O1217='Udvaskning nøgletal'!$D$66,2,IF(O1217='Udvaskning nøgletal'!$D$67,3,IF(O1217='Udvaskning nøgletal'!$D$68,2,""))))</f>
        <v>2</v>
      </c>
      <c r="Y1217" s="15">
        <f>LOOKUP(K1217,'Udvaskning nøgletal'!$C$12:$C$60,'Udvaskning nøgletal'!$H$12:$H$60)</f>
        <v>5</v>
      </c>
      <c r="Z1217" s="10">
        <f>IF(X1217=1,LOOKUP(K1217,'Udvaskning nøgletal'!$C$12:$C$60,'Udvaskning nøgletal'!$E$12:$E$60)+Markniveau!Y1217*Markniveau!S1217/100,IF(X1217=2,LOOKUP(K1217,'Udvaskning nøgletal'!$C$12:$C$60,'Udvaskning nøgletal'!$F$12:$F$60)+Markniveau!Y1217*Markniveau!S1217/100,IF(X1217=3,LOOKUP(K1217,'Udvaskning nøgletal'!$C$12:$C$60,'Udvaskning nøgletal'!G1227:G1275)+Markniveau!Y1217*Markniveau!S1217/100,"")))</f>
        <v>55.420779741212854</v>
      </c>
      <c r="AA1217" s="10">
        <f t="shared" si="186"/>
        <v>259.36924918887615</v>
      </c>
      <c r="AB1217" s="10" t="str">
        <f t="shared" si="185"/>
        <v/>
      </c>
      <c r="AC1217" s="10" t="str">
        <f t="shared" si="187"/>
        <v/>
      </c>
      <c r="AD1217" s="10">
        <f>IF(AND(Q1217&gt;0,Q1217&lt;30,K1217&lt;8),Markniveau!Z1217*'Udvaskning nøgletal'!$I$12/100,IF(AND(Q1217&gt;0,Q1217&lt;30,K1217=216),Markniveau!Z1217*'Udvaskning nøgletal'!$I$34/100,Markniveau!Z1217))</f>
        <v>55.420779741212854</v>
      </c>
      <c r="AE1217" s="10">
        <f t="shared" si="193"/>
        <v>259.36924918887615</v>
      </c>
      <c r="AF1217" s="10" t="str">
        <f t="shared" si="188"/>
        <v/>
      </c>
      <c r="AG1217" s="10" t="str">
        <f t="shared" si="194"/>
        <v/>
      </c>
      <c r="AH1217" s="10" t="str">
        <f>IF(AND(Q1217&gt;0,Q1217&lt;30,K1217=216),'Udvaskning nøgletal'!$C$42,IF(AND(Q1217&gt;0,Q1217&lt;30,K1217&gt;7,K1217&lt;17),'Udvaskning nøgletal'!$C$61,IF(AND(Q1217&gt;0,Q1217&lt;30,K1217&lt;7),'Udvaskning nøgletal'!$C$62,"")))</f>
        <v/>
      </c>
      <c r="AI1217" s="10">
        <f t="shared" si="190"/>
        <v>150</v>
      </c>
      <c r="AJ1217" s="10">
        <f>IF($X1217=1,LOOKUP(AI1217,'Udvaskning nøgletal'!$C$12:$C$62,'Udvaskning nøgletal'!$E$12:$E$62)+Markniveau!$Y1217*Markniveau!$S1217/100,IF($X1217=2,LOOKUP(AI1217,'Udvaskning nøgletal'!$C$12:$C$62,'Udvaskning nøgletal'!$F$12:$F$62)+Markniveau!$Y1217*Markniveau!$S1217/100,IF($X1217=3,LOOKUP(AI1217,'Udvaskning nøgletal'!$C$12:$C$62,'Udvaskning nøgletal'!Q1227:Q1277)+Markniveau!$Y1217*Markniveau!$S1217/100,"")))</f>
        <v>55.420779741212854</v>
      </c>
      <c r="AK1217" s="10">
        <f t="shared" si="189"/>
        <v>259.36924918887615</v>
      </c>
      <c r="AL1217" s="10" t="str">
        <f t="shared" si="191"/>
        <v/>
      </c>
      <c r="AM1217" s="10" t="str">
        <f t="shared" si="192"/>
        <v/>
      </c>
    </row>
    <row r="1218" spans="1:39" x14ac:dyDescent="0.25">
      <c r="A1218" s="15">
        <v>35557628</v>
      </c>
      <c r="B1218" s="15">
        <v>9.15</v>
      </c>
      <c r="C1218" s="15">
        <v>284528</v>
      </c>
      <c r="D1218" s="15">
        <v>55926</v>
      </c>
      <c r="E1218" s="15" t="s">
        <v>210</v>
      </c>
      <c r="F1218" s="15">
        <v>2011</v>
      </c>
      <c r="G1218" s="15">
        <v>20110512</v>
      </c>
      <c r="H1218" s="15">
        <v>63685</v>
      </c>
      <c r="I1218" s="15">
        <v>6.37</v>
      </c>
      <c r="J1218" s="6" t="s">
        <v>1083</v>
      </c>
      <c r="K1218" s="15">
        <v>152</v>
      </c>
      <c r="L1218" s="15" t="s">
        <v>333</v>
      </c>
      <c r="M1218" s="15" t="s">
        <v>5</v>
      </c>
      <c r="N1218" s="11" t="s">
        <v>1384</v>
      </c>
      <c r="O1218" s="11" t="s">
        <v>28</v>
      </c>
      <c r="P1218" s="11" t="s">
        <v>33</v>
      </c>
      <c r="Q1218" s="15">
        <v>0</v>
      </c>
      <c r="R1218" s="11" t="s">
        <v>1386</v>
      </c>
      <c r="S1218" s="10">
        <v>90.815594824257005</v>
      </c>
      <c r="T1218" s="15">
        <v>80</v>
      </c>
      <c r="U1218" s="15">
        <v>0</v>
      </c>
      <c r="V1218" s="15">
        <v>0</v>
      </c>
      <c r="W1218" s="15">
        <v>0</v>
      </c>
      <c r="X1218" s="15">
        <f>IF(O1218='Udvaskning nøgletal'!$D$65,1,IF(O1218='Udvaskning nøgletal'!$D$66,2,IF(O1218='Udvaskning nøgletal'!$D$67,3,IF(O1218='Udvaskning nøgletal'!$D$68,2,""))))</f>
        <v>1</v>
      </c>
      <c r="Y1218" s="15">
        <f>LOOKUP(K1218,'Udvaskning nøgletal'!$C$12:$C$60,'Udvaskning nøgletal'!$H$12:$H$60)</f>
        <v>5</v>
      </c>
      <c r="Z1218" s="10">
        <f>IF(X1218=1,LOOKUP(K1218,'Udvaskning nøgletal'!$C$12:$C$60,'Udvaskning nøgletal'!$E$12:$E$60)+Markniveau!Y1218*Markniveau!S1218/100,IF(X1218=2,LOOKUP(K1218,'Udvaskning nøgletal'!$C$12:$C$60,'Udvaskning nøgletal'!$F$12:$F$60)+Markniveau!Y1218*Markniveau!S1218/100,IF(X1218=3,LOOKUP(K1218,'Udvaskning nøgletal'!$C$12:$C$60,'Udvaskning nøgletal'!G1228:G1276)+Markniveau!Y1218*Markniveau!S1218/100,"")))</f>
        <v>69.200779741212841</v>
      </c>
      <c r="AA1218" s="10">
        <f t="shared" si="186"/>
        <v>440.8089669515258</v>
      </c>
      <c r="AB1218" s="10" t="str">
        <f t="shared" ref="AB1218:AB1281" si="195">IF(Q1218&gt;0,(100-Q1218)*Z1218/100,"")</f>
        <v/>
      </c>
      <c r="AC1218" s="10" t="str">
        <f t="shared" si="187"/>
        <v/>
      </c>
      <c r="AD1218" s="10">
        <f>IF(AND(Q1218&gt;0,Q1218&lt;30,K1218&lt;8),Markniveau!Z1218*'Udvaskning nøgletal'!$I$12/100,IF(AND(Q1218&gt;0,Q1218&lt;30,K1218=216),Markniveau!Z1218*'Udvaskning nøgletal'!$I$34/100,Markniveau!Z1218))</f>
        <v>69.200779741212841</v>
      </c>
      <c r="AE1218" s="10">
        <f t="shared" si="193"/>
        <v>440.8089669515258</v>
      </c>
      <c r="AF1218" s="10" t="str">
        <f t="shared" si="188"/>
        <v/>
      </c>
      <c r="AG1218" s="10" t="str">
        <f t="shared" si="194"/>
        <v/>
      </c>
      <c r="AH1218" s="10" t="str">
        <f>IF(AND(Q1218&gt;0,Q1218&lt;30,K1218=216),'Udvaskning nøgletal'!$C$42,IF(AND(Q1218&gt;0,Q1218&lt;30,K1218&gt;7,K1218&lt;17),'Udvaskning nøgletal'!$C$61,IF(AND(Q1218&gt;0,Q1218&lt;30,K1218&lt;7),'Udvaskning nøgletal'!$C$62,"")))</f>
        <v/>
      </c>
      <c r="AI1218" s="10">
        <f t="shared" si="190"/>
        <v>152</v>
      </c>
      <c r="AJ1218" s="10">
        <f>IF($X1218=1,LOOKUP(AI1218,'Udvaskning nøgletal'!$C$12:$C$62,'Udvaskning nøgletal'!$E$12:$E$62)+Markniveau!$Y1218*Markniveau!$S1218/100,IF($X1218=2,LOOKUP(AI1218,'Udvaskning nøgletal'!$C$12:$C$62,'Udvaskning nøgletal'!$F$12:$F$62)+Markniveau!$Y1218*Markniveau!$S1218/100,IF($X1218=3,LOOKUP(AI1218,'Udvaskning nøgletal'!$C$12:$C$62,'Udvaskning nøgletal'!Q1228:Q1278)+Markniveau!$Y1218*Markniveau!$S1218/100,"")))</f>
        <v>69.200779741212841</v>
      </c>
      <c r="AK1218" s="10">
        <f t="shared" si="189"/>
        <v>440.8089669515258</v>
      </c>
      <c r="AL1218" s="10" t="str">
        <f t="shared" si="191"/>
        <v/>
      </c>
      <c r="AM1218" s="10" t="str">
        <f t="shared" si="192"/>
        <v/>
      </c>
    </row>
    <row r="1219" spans="1:39" x14ac:dyDescent="0.25">
      <c r="A1219" s="15">
        <v>35557628</v>
      </c>
      <c r="B1219" s="15">
        <v>9.15</v>
      </c>
      <c r="C1219" s="15">
        <v>284575</v>
      </c>
      <c r="D1219" s="15">
        <v>55926</v>
      </c>
      <c r="E1219" s="15" t="s">
        <v>872</v>
      </c>
      <c r="F1219" s="15">
        <v>2011</v>
      </c>
      <c r="G1219" s="15">
        <v>20110512</v>
      </c>
      <c r="H1219" s="15">
        <v>57276</v>
      </c>
      <c r="I1219" s="15">
        <v>5.73</v>
      </c>
      <c r="J1219" s="6" t="s">
        <v>397</v>
      </c>
      <c r="K1219" s="15">
        <v>1</v>
      </c>
      <c r="L1219" s="15" t="s">
        <v>32</v>
      </c>
      <c r="M1219" s="15" t="s">
        <v>5</v>
      </c>
      <c r="N1219" s="11" t="s">
        <v>1384</v>
      </c>
      <c r="O1219" s="11" t="s">
        <v>28</v>
      </c>
      <c r="P1219" s="11" t="s">
        <v>33</v>
      </c>
      <c r="Q1219" s="15">
        <v>0</v>
      </c>
      <c r="R1219" s="11" t="s">
        <v>1386</v>
      </c>
      <c r="S1219" s="10">
        <v>90.815594824257005</v>
      </c>
      <c r="T1219" s="15">
        <v>80</v>
      </c>
      <c r="U1219" s="15">
        <v>0</v>
      </c>
      <c r="V1219" s="15">
        <v>0</v>
      </c>
      <c r="W1219" s="15">
        <v>0</v>
      </c>
      <c r="X1219" s="15">
        <f>IF(O1219='Udvaskning nøgletal'!$D$65,1,IF(O1219='Udvaskning nøgletal'!$D$66,2,IF(O1219='Udvaskning nøgletal'!$D$67,3,IF(O1219='Udvaskning nøgletal'!$D$68,2,""))))</f>
        <v>1</v>
      </c>
      <c r="Y1219" s="15">
        <f>LOOKUP(K1219,'Udvaskning nøgletal'!$C$12:$C$60,'Udvaskning nøgletal'!$H$12:$H$60)</f>
        <v>5</v>
      </c>
      <c r="Z1219" s="10">
        <f>IF(X1219=1,LOOKUP(K1219,'Udvaskning nøgletal'!$C$12:$C$60,'Udvaskning nøgletal'!$E$12:$E$60)+Markniveau!Y1219*Markniveau!S1219/100,IF(X1219=2,LOOKUP(K1219,'Udvaskning nøgletal'!$C$12:$C$60,'Udvaskning nøgletal'!$F$12:$F$60)+Markniveau!Y1219*Markniveau!S1219/100,IF(X1219=3,LOOKUP(K1219,'Udvaskning nøgletal'!$C$12:$C$60,'Udvaskning nøgletal'!G1229:G1277)+Markniveau!Y1219*Markniveau!S1219/100,"")))</f>
        <v>69.200779741212841</v>
      </c>
      <c r="AA1219" s="10">
        <f t="shared" ref="AA1219:AA1282" si="196">Z1219*I1219</f>
        <v>396.52046791714963</v>
      </c>
      <c r="AB1219" s="10" t="str">
        <f t="shared" si="195"/>
        <v/>
      </c>
      <c r="AC1219" s="10" t="str">
        <f t="shared" ref="AC1219:AC1282" si="197">IF(Q1219&gt;0,AB1219*I1219,"")</f>
        <v/>
      </c>
      <c r="AD1219" s="10">
        <f>IF(AND(Q1219&gt;0,Q1219&lt;30,K1219&lt;8),Markniveau!Z1219*'Udvaskning nøgletal'!$I$12/100,IF(AND(Q1219&gt;0,Q1219&lt;30,K1219=216),Markniveau!Z1219*'Udvaskning nøgletal'!$I$34/100,Markniveau!Z1219))</f>
        <v>69.200779741212841</v>
      </c>
      <c r="AE1219" s="10">
        <f t="shared" si="193"/>
        <v>396.52046791714963</v>
      </c>
      <c r="AF1219" s="10" t="str">
        <f t="shared" ref="AF1219:AF1282" si="198">IF($Q1219&gt;0,(100-$Q1219)*$AD1219/100,"")</f>
        <v/>
      </c>
      <c r="AG1219" s="10" t="str">
        <f t="shared" si="194"/>
        <v/>
      </c>
      <c r="AH1219" s="10" t="str">
        <f>IF(AND(Q1219&gt;0,Q1219&lt;30,K1219=216),'Udvaskning nøgletal'!$C$42,IF(AND(Q1219&gt;0,Q1219&lt;30,K1219&gt;7,K1219&lt;17),'Udvaskning nøgletal'!$C$61,IF(AND(Q1219&gt;0,Q1219&lt;30,K1219&lt;7),'Udvaskning nøgletal'!$C$62,"")))</f>
        <v/>
      </c>
      <c r="AI1219" s="10">
        <f t="shared" si="190"/>
        <v>1</v>
      </c>
      <c r="AJ1219" s="10">
        <f>IF($X1219=1,LOOKUP(AI1219,'Udvaskning nøgletal'!$C$12:$C$62,'Udvaskning nøgletal'!$E$12:$E$62)+Markniveau!$Y1219*Markniveau!$S1219/100,IF($X1219=2,LOOKUP(AI1219,'Udvaskning nøgletal'!$C$12:$C$62,'Udvaskning nøgletal'!$F$12:$F$62)+Markniveau!$Y1219*Markniveau!$S1219/100,IF($X1219=3,LOOKUP(AI1219,'Udvaskning nøgletal'!$C$12:$C$62,'Udvaskning nøgletal'!Q1229:Q1279)+Markniveau!$Y1219*Markniveau!$S1219/100,"")))</f>
        <v>69.200779741212841</v>
      </c>
      <c r="AK1219" s="10">
        <f t="shared" ref="AK1219:AK1282" si="199">AJ1219*$I1219</f>
        <v>396.52046791714963</v>
      </c>
      <c r="AL1219" s="10" t="str">
        <f t="shared" si="191"/>
        <v/>
      </c>
      <c r="AM1219" s="10" t="str">
        <f t="shared" si="192"/>
        <v/>
      </c>
    </row>
    <row r="1220" spans="1:39" x14ac:dyDescent="0.25">
      <c r="A1220" s="15">
        <v>35557628</v>
      </c>
      <c r="B1220" s="15">
        <v>9.15</v>
      </c>
      <c r="C1220" s="15">
        <v>284577</v>
      </c>
      <c r="D1220" s="15">
        <v>55926</v>
      </c>
      <c r="E1220" s="15" t="s">
        <v>872</v>
      </c>
      <c r="F1220" s="15">
        <v>2011</v>
      </c>
      <c r="G1220" s="15">
        <v>20110512</v>
      </c>
      <c r="H1220" s="15">
        <v>38996</v>
      </c>
      <c r="I1220" s="15">
        <v>3.9</v>
      </c>
      <c r="J1220" s="6" t="s">
        <v>89</v>
      </c>
      <c r="K1220" s="15">
        <v>1</v>
      </c>
      <c r="L1220" s="15" t="s">
        <v>32</v>
      </c>
      <c r="M1220" s="15" t="s">
        <v>5</v>
      </c>
      <c r="N1220" s="11" t="s">
        <v>1384</v>
      </c>
      <c r="O1220" s="11" t="s">
        <v>28</v>
      </c>
      <c r="P1220" s="11" t="s">
        <v>33</v>
      </c>
      <c r="Q1220" s="15">
        <v>0</v>
      </c>
      <c r="R1220" s="11" t="s">
        <v>1386</v>
      </c>
      <c r="S1220" s="10">
        <v>90.815594824257005</v>
      </c>
      <c r="T1220" s="15">
        <v>80</v>
      </c>
      <c r="U1220" s="15">
        <v>0</v>
      </c>
      <c r="V1220" s="15">
        <v>0</v>
      </c>
      <c r="W1220" s="15">
        <v>0</v>
      </c>
      <c r="X1220" s="15">
        <f>IF(O1220='Udvaskning nøgletal'!$D$65,1,IF(O1220='Udvaskning nøgletal'!$D$66,2,IF(O1220='Udvaskning nøgletal'!$D$67,3,IF(O1220='Udvaskning nøgletal'!$D$68,2,""))))</f>
        <v>1</v>
      </c>
      <c r="Y1220" s="15">
        <f>LOOKUP(K1220,'Udvaskning nøgletal'!$C$12:$C$60,'Udvaskning nøgletal'!$H$12:$H$60)</f>
        <v>5</v>
      </c>
      <c r="Z1220" s="10">
        <f>IF(X1220=1,LOOKUP(K1220,'Udvaskning nøgletal'!$C$12:$C$60,'Udvaskning nøgletal'!$E$12:$E$60)+Markniveau!Y1220*Markniveau!S1220/100,IF(X1220=2,LOOKUP(K1220,'Udvaskning nøgletal'!$C$12:$C$60,'Udvaskning nøgletal'!$F$12:$F$60)+Markniveau!Y1220*Markniveau!S1220/100,IF(X1220=3,LOOKUP(K1220,'Udvaskning nøgletal'!$C$12:$C$60,'Udvaskning nøgletal'!G1230:G1278)+Markniveau!Y1220*Markniveau!S1220/100,"")))</f>
        <v>69.200779741212841</v>
      </c>
      <c r="AA1220" s="10">
        <f t="shared" si="196"/>
        <v>269.88304099073008</v>
      </c>
      <c r="AB1220" s="10" t="str">
        <f t="shared" si="195"/>
        <v/>
      </c>
      <c r="AC1220" s="10" t="str">
        <f t="shared" si="197"/>
        <v/>
      </c>
      <c r="AD1220" s="10">
        <f>IF(AND(Q1220&gt;0,Q1220&lt;30,K1220&lt;8),Markniveau!Z1220*'Udvaskning nøgletal'!$I$12/100,IF(AND(Q1220&gt;0,Q1220&lt;30,K1220=216),Markniveau!Z1220*'Udvaskning nøgletal'!$I$34/100,Markniveau!Z1220))</f>
        <v>69.200779741212841</v>
      </c>
      <c r="AE1220" s="10">
        <f t="shared" si="193"/>
        <v>269.88304099073008</v>
      </c>
      <c r="AF1220" s="10" t="str">
        <f t="shared" si="198"/>
        <v/>
      </c>
      <c r="AG1220" s="10" t="str">
        <f t="shared" si="194"/>
        <v/>
      </c>
      <c r="AH1220" s="10" t="str">
        <f>IF(AND(Q1220&gt;0,Q1220&lt;30,K1220=216),'Udvaskning nøgletal'!$C$42,IF(AND(Q1220&gt;0,Q1220&lt;30,K1220&gt;7,K1220&lt;17),'Udvaskning nøgletal'!$C$61,IF(AND(Q1220&gt;0,Q1220&lt;30,K1220&lt;7),'Udvaskning nøgletal'!$C$62,"")))</f>
        <v/>
      </c>
      <c r="AI1220" s="10">
        <f t="shared" si="190"/>
        <v>1</v>
      </c>
      <c r="AJ1220" s="10">
        <f>IF($X1220=1,LOOKUP(AI1220,'Udvaskning nøgletal'!$C$12:$C$62,'Udvaskning nøgletal'!$E$12:$E$62)+Markniveau!$Y1220*Markniveau!$S1220/100,IF($X1220=2,LOOKUP(AI1220,'Udvaskning nøgletal'!$C$12:$C$62,'Udvaskning nøgletal'!$F$12:$F$62)+Markniveau!$Y1220*Markniveau!$S1220/100,IF($X1220=3,LOOKUP(AI1220,'Udvaskning nøgletal'!$C$12:$C$62,'Udvaskning nøgletal'!Q1230:Q1280)+Markniveau!$Y1220*Markniveau!$S1220/100,"")))</f>
        <v>69.200779741212841</v>
      </c>
      <c r="AK1220" s="10">
        <f t="shared" si="199"/>
        <v>269.88304099073008</v>
      </c>
      <c r="AL1220" s="10" t="str">
        <f t="shared" si="191"/>
        <v/>
      </c>
      <c r="AM1220" s="10" t="str">
        <f t="shared" si="192"/>
        <v/>
      </c>
    </row>
    <row r="1221" spans="1:39" x14ac:dyDescent="0.25">
      <c r="A1221" s="15">
        <v>35557628</v>
      </c>
      <c r="B1221" s="15">
        <v>9.15</v>
      </c>
      <c r="C1221" s="15">
        <v>284588</v>
      </c>
      <c r="D1221" s="15">
        <v>55926</v>
      </c>
      <c r="E1221" s="15" t="s">
        <v>1084</v>
      </c>
      <c r="F1221" s="15">
        <v>2011</v>
      </c>
      <c r="G1221" s="15">
        <v>20110512</v>
      </c>
      <c r="H1221" s="15">
        <v>19192</v>
      </c>
      <c r="I1221" s="15">
        <v>1.92</v>
      </c>
      <c r="J1221" s="6" t="s">
        <v>1085</v>
      </c>
      <c r="K1221" s="15">
        <v>22</v>
      </c>
      <c r="L1221" s="15" t="s">
        <v>213</v>
      </c>
      <c r="M1221" s="15" t="s">
        <v>5</v>
      </c>
      <c r="N1221" s="11" t="s">
        <v>1384</v>
      </c>
      <c r="O1221" s="11" t="s">
        <v>28</v>
      </c>
      <c r="P1221" s="11" t="s">
        <v>33</v>
      </c>
      <c r="Q1221" s="15">
        <v>0</v>
      </c>
      <c r="R1221" s="11" t="s">
        <v>1386</v>
      </c>
      <c r="S1221" s="10">
        <v>90.815594824257005</v>
      </c>
      <c r="T1221" s="15">
        <v>80</v>
      </c>
      <c r="U1221" s="15">
        <v>0</v>
      </c>
      <c r="V1221" s="15">
        <v>0</v>
      </c>
      <c r="W1221" s="15">
        <v>0</v>
      </c>
      <c r="X1221" s="15">
        <f>IF(O1221='Udvaskning nøgletal'!$D$65,1,IF(O1221='Udvaskning nøgletal'!$D$66,2,IF(O1221='Udvaskning nøgletal'!$D$67,3,IF(O1221='Udvaskning nøgletal'!$D$68,2,""))))</f>
        <v>1</v>
      </c>
      <c r="Y1221" s="15">
        <f>LOOKUP(K1221,'Udvaskning nøgletal'!$C$12:$C$60,'Udvaskning nøgletal'!$H$12:$H$60)</f>
        <v>5</v>
      </c>
      <c r="Z1221" s="10">
        <f>IF(X1221=1,LOOKUP(K1221,'Udvaskning nøgletal'!$C$12:$C$60,'Udvaskning nøgletal'!$E$12:$E$60)+Markniveau!Y1221*Markniveau!S1221/100,IF(X1221=2,LOOKUP(K1221,'Udvaskning nøgletal'!$C$12:$C$60,'Udvaskning nøgletal'!$F$12:$F$60)+Markniveau!Y1221*Markniveau!S1221/100,IF(X1221=3,LOOKUP(K1221,'Udvaskning nøgletal'!$C$12:$C$60,'Udvaskning nøgletal'!G1231:G1279)+Markniveau!Y1221*Markniveau!S1221/100,"")))</f>
        <v>69.200779741212841</v>
      </c>
      <c r="AA1221" s="10">
        <f t="shared" si="196"/>
        <v>132.86549710312866</v>
      </c>
      <c r="AB1221" s="10" t="str">
        <f t="shared" si="195"/>
        <v/>
      </c>
      <c r="AC1221" s="10" t="str">
        <f t="shared" si="197"/>
        <v/>
      </c>
      <c r="AD1221" s="10">
        <f>IF(AND(Q1221&gt;0,Q1221&lt;30,K1221&lt;8),Markniveau!Z1221*'Udvaskning nøgletal'!$I$12/100,IF(AND(Q1221&gt;0,Q1221&lt;30,K1221=216),Markniveau!Z1221*'Udvaskning nøgletal'!$I$34/100,Markniveau!Z1221))</f>
        <v>69.200779741212841</v>
      </c>
      <c r="AE1221" s="10">
        <f t="shared" si="193"/>
        <v>132.86549710312866</v>
      </c>
      <c r="AF1221" s="10" t="str">
        <f t="shared" si="198"/>
        <v/>
      </c>
      <c r="AG1221" s="10" t="str">
        <f t="shared" si="194"/>
        <v/>
      </c>
      <c r="AH1221" s="10" t="str">
        <f>IF(AND(Q1221&gt;0,Q1221&lt;30,K1221=216),'Udvaskning nøgletal'!$C$42,IF(AND(Q1221&gt;0,Q1221&lt;30,K1221&gt;7,K1221&lt;17),'Udvaskning nøgletal'!$C$61,IF(AND(Q1221&gt;0,Q1221&lt;30,K1221&lt;7),'Udvaskning nøgletal'!$C$62,"")))</f>
        <v/>
      </c>
      <c r="AI1221" s="10">
        <f t="shared" si="190"/>
        <v>22</v>
      </c>
      <c r="AJ1221" s="10">
        <f>IF($X1221=1,LOOKUP(AI1221,'Udvaskning nøgletal'!$C$12:$C$62,'Udvaskning nøgletal'!$E$12:$E$62)+Markniveau!$Y1221*Markniveau!$S1221/100,IF($X1221=2,LOOKUP(AI1221,'Udvaskning nøgletal'!$C$12:$C$62,'Udvaskning nøgletal'!$F$12:$F$62)+Markniveau!$Y1221*Markniveau!$S1221/100,IF($X1221=3,LOOKUP(AI1221,'Udvaskning nøgletal'!$C$12:$C$62,'Udvaskning nøgletal'!Q1231:Q1281)+Markniveau!$Y1221*Markniveau!$S1221/100,"")))</f>
        <v>69.200779741212841</v>
      </c>
      <c r="AK1221" s="10">
        <f t="shared" si="199"/>
        <v>132.86549710312866</v>
      </c>
      <c r="AL1221" s="10" t="str">
        <f t="shared" si="191"/>
        <v/>
      </c>
      <c r="AM1221" s="10" t="str">
        <f t="shared" si="192"/>
        <v/>
      </c>
    </row>
    <row r="1222" spans="1:39" x14ac:dyDescent="0.25">
      <c r="A1222" s="15">
        <v>35557628</v>
      </c>
      <c r="B1222" s="15">
        <v>9.15</v>
      </c>
      <c r="C1222" s="15">
        <v>284773</v>
      </c>
      <c r="D1222" s="15">
        <v>55926</v>
      </c>
      <c r="E1222" s="15" t="s">
        <v>986</v>
      </c>
      <c r="F1222" s="15">
        <v>2011</v>
      </c>
      <c r="G1222" s="15">
        <v>20110512</v>
      </c>
      <c r="H1222" s="15">
        <v>71424</v>
      </c>
      <c r="I1222" s="15">
        <v>7.14</v>
      </c>
      <c r="J1222" s="6" t="s">
        <v>1086</v>
      </c>
      <c r="K1222" s="15">
        <v>15</v>
      </c>
      <c r="L1222" s="15" t="s">
        <v>362</v>
      </c>
      <c r="M1222" s="15" t="s">
        <v>5</v>
      </c>
      <c r="N1222" s="11" t="s">
        <v>1391</v>
      </c>
      <c r="O1222" s="11" t="s">
        <v>46</v>
      </c>
      <c r="P1222" s="11" t="s">
        <v>33</v>
      </c>
      <c r="Q1222" s="15">
        <v>0</v>
      </c>
      <c r="R1222" s="11" t="s">
        <v>1386</v>
      </c>
      <c r="S1222" s="10">
        <v>90.815594824257005</v>
      </c>
      <c r="T1222" s="15">
        <v>80</v>
      </c>
      <c r="U1222" s="15">
        <v>0</v>
      </c>
      <c r="V1222" s="15">
        <v>0</v>
      </c>
      <c r="W1222" s="15">
        <v>0</v>
      </c>
      <c r="X1222" s="15">
        <f>IF(O1222='Udvaskning nøgletal'!$D$65,1,IF(O1222='Udvaskning nøgletal'!$D$66,2,IF(O1222='Udvaskning nøgletal'!$D$67,3,IF(O1222='Udvaskning nøgletal'!$D$68,2,""))))</f>
        <v>2</v>
      </c>
      <c r="Y1222" s="15">
        <f>LOOKUP(K1222,'Udvaskning nøgletal'!$C$12:$C$60,'Udvaskning nøgletal'!$H$12:$H$60)</f>
        <v>5</v>
      </c>
      <c r="Z1222" s="10">
        <f>IF(X1222=1,LOOKUP(K1222,'Udvaskning nøgletal'!$C$12:$C$60,'Udvaskning nøgletal'!$E$12:$E$60)+Markniveau!Y1222*Markniveau!S1222/100,IF(X1222=2,LOOKUP(K1222,'Udvaskning nøgletal'!$C$12:$C$60,'Udvaskning nøgletal'!$F$12:$F$60)+Markniveau!Y1222*Markniveau!S1222/100,IF(X1222=3,LOOKUP(K1222,'Udvaskning nøgletal'!$C$12:$C$60,'Udvaskning nøgletal'!G1232:G1280)+Markniveau!Y1222*Markniveau!S1222/100,"")))</f>
        <v>55.420779741212854</v>
      </c>
      <c r="AA1222" s="10">
        <f t="shared" si="196"/>
        <v>395.70436735225974</v>
      </c>
      <c r="AB1222" s="10" t="str">
        <f t="shared" si="195"/>
        <v/>
      </c>
      <c r="AC1222" s="10" t="str">
        <f t="shared" si="197"/>
        <v/>
      </c>
      <c r="AD1222" s="10">
        <f>IF(AND(Q1222&gt;0,Q1222&lt;30,K1222&lt;8),Markniveau!Z1222*'Udvaskning nøgletal'!$I$12/100,IF(AND(Q1222&gt;0,Q1222&lt;30,K1222=216),Markniveau!Z1222*'Udvaskning nøgletal'!$I$34/100,Markniveau!Z1222))</f>
        <v>55.420779741212854</v>
      </c>
      <c r="AE1222" s="10">
        <f t="shared" si="193"/>
        <v>395.70436735225974</v>
      </c>
      <c r="AF1222" s="10" t="str">
        <f t="shared" si="198"/>
        <v/>
      </c>
      <c r="AG1222" s="10" t="str">
        <f t="shared" si="194"/>
        <v/>
      </c>
      <c r="AH1222" s="10" t="str">
        <f>IF(AND(Q1222&gt;0,Q1222&lt;30,K1222=216),'Udvaskning nøgletal'!$C$42,IF(AND(Q1222&gt;0,Q1222&lt;30,K1222&gt;7,K1222&lt;17),'Udvaskning nøgletal'!$C$61,IF(AND(Q1222&gt;0,Q1222&lt;30,K1222&lt;7),'Udvaskning nøgletal'!$C$62,"")))</f>
        <v/>
      </c>
      <c r="AI1222" s="10">
        <f t="shared" si="190"/>
        <v>15</v>
      </c>
      <c r="AJ1222" s="10">
        <f>IF($X1222=1,LOOKUP(AI1222,'Udvaskning nøgletal'!$C$12:$C$62,'Udvaskning nøgletal'!$E$12:$E$62)+Markniveau!$Y1222*Markniveau!$S1222/100,IF($X1222=2,LOOKUP(AI1222,'Udvaskning nøgletal'!$C$12:$C$62,'Udvaskning nøgletal'!$F$12:$F$62)+Markniveau!$Y1222*Markniveau!$S1222/100,IF($X1222=3,LOOKUP(AI1222,'Udvaskning nøgletal'!$C$12:$C$62,'Udvaskning nøgletal'!Q1232:Q1282)+Markniveau!$Y1222*Markniveau!$S1222/100,"")))</f>
        <v>55.420779741212854</v>
      </c>
      <c r="AK1222" s="10">
        <f t="shared" si="199"/>
        <v>395.70436735225974</v>
      </c>
      <c r="AL1222" s="10" t="str">
        <f t="shared" si="191"/>
        <v/>
      </c>
      <c r="AM1222" s="10" t="str">
        <f t="shared" si="192"/>
        <v/>
      </c>
    </row>
    <row r="1223" spans="1:39" x14ac:dyDescent="0.25">
      <c r="A1223" s="15">
        <v>35557628</v>
      </c>
      <c r="B1223" s="15">
        <v>9.15</v>
      </c>
      <c r="C1223" s="15">
        <v>284973</v>
      </c>
      <c r="D1223" s="15">
        <v>55926</v>
      </c>
      <c r="E1223" s="15" t="s">
        <v>1087</v>
      </c>
      <c r="F1223" s="15">
        <v>2011</v>
      </c>
      <c r="G1223" s="15">
        <v>20110512</v>
      </c>
      <c r="H1223" s="15">
        <v>148134</v>
      </c>
      <c r="I1223" s="15">
        <v>14.81</v>
      </c>
      <c r="J1223" s="6" t="s">
        <v>1088</v>
      </c>
      <c r="K1223" s="15">
        <v>150</v>
      </c>
      <c r="L1223" s="15" t="s">
        <v>896</v>
      </c>
      <c r="M1223" s="15" t="s">
        <v>5</v>
      </c>
      <c r="N1223" s="11" t="s">
        <v>1391</v>
      </c>
      <c r="O1223" s="11" t="s">
        <v>46</v>
      </c>
      <c r="P1223" s="11" t="s">
        <v>33</v>
      </c>
      <c r="Q1223" s="15">
        <v>0</v>
      </c>
      <c r="R1223" s="11" t="s">
        <v>1386</v>
      </c>
      <c r="S1223" s="10">
        <v>90.815594824257005</v>
      </c>
      <c r="T1223" s="15">
        <v>80</v>
      </c>
      <c r="U1223" s="15">
        <v>0</v>
      </c>
      <c r="V1223" s="15">
        <v>0</v>
      </c>
      <c r="W1223" s="15">
        <v>0</v>
      </c>
      <c r="X1223" s="15">
        <f>IF(O1223='Udvaskning nøgletal'!$D$65,1,IF(O1223='Udvaskning nøgletal'!$D$66,2,IF(O1223='Udvaskning nøgletal'!$D$67,3,IF(O1223='Udvaskning nøgletal'!$D$68,2,""))))</f>
        <v>2</v>
      </c>
      <c r="Y1223" s="15">
        <f>LOOKUP(K1223,'Udvaskning nøgletal'!$C$12:$C$60,'Udvaskning nøgletal'!$H$12:$H$60)</f>
        <v>5</v>
      </c>
      <c r="Z1223" s="10">
        <f>IF(X1223=1,LOOKUP(K1223,'Udvaskning nøgletal'!$C$12:$C$60,'Udvaskning nøgletal'!$E$12:$E$60)+Markniveau!Y1223*Markniveau!S1223/100,IF(X1223=2,LOOKUP(K1223,'Udvaskning nøgletal'!$C$12:$C$60,'Udvaskning nøgletal'!$F$12:$F$60)+Markniveau!Y1223*Markniveau!S1223/100,IF(X1223=3,LOOKUP(K1223,'Udvaskning nøgletal'!$C$12:$C$60,'Udvaskning nøgletal'!G1233:G1281)+Markniveau!Y1223*Markniveau!S1223/100,"")))</f>
        <v>55.420779741212854</v>
      </c>
      <c r="AA1223" s="10">
        <f t="shared" si="196"/>
        <v>820.78174796736243</v>
      </c>
      <c r="AB1223" s="10" t="str">
        <f t="shared" si="195"/>
        <v/>
      </c>
      <c r="AC1223" s="10" t="str">
        <f t="shared" si="197"/>
        <v/>
      </c>
      <c r="AD1223" s="10">
        <f>IF(AND(Q1223&gt;0,Q1223&lt;30,K1223&lt;8),Markniveau!Z1223*'Udvaskning nøgletal'!$I$12/100,IF(AND(Q1223&gt;0,Q1223&lt;30,K1223=216),Markniveau!Z1223*'Udvaskning nøgletal'!$I$34/100,Markniveau!Z1223))</f>
        <v>55.420779741212854</v>
      </c>
      <c r="AE1223" s="10">
        <f t="shared" si="193"/>
        <v>820.78174796736243</v>
      </c>
      <c r="AF1223" s="10" t="str">
        <f t="shared" si="198"/>
        <v/>
      </c>
      <c r="AG1223" s="10" t="str">
        <f t="shared" si="194"/>
        <v/>
      </c>
      <c r="AH1223" s="10" t="str">
        <f>IF(AND(Q1223&gt;0,Q1223&lt;30,K1223=216),'Udvaskning nøgletal'!$C$42,IF(AND(Q1223&gt;0,Q1223&lt;30,K1223&gt;7,K1223&lt;17),'Udvaskning nøgletal'!$C$61,IF(AND(Q1223&gt;0,Q1223&lt;30,K1223&lt;7),'Udvaskning nøgletal'!$C$62,"")))</f>
        <v/>
      </c>
      <c r="AI1223" s="10">
        <f t="shared" si="190"/>
        <v>150</v>
      </c>
      <c r="AJ1223" s="10">
        <f>IF($X1223=1,LOOKUP(AI1223,'Udvaskning nøgletal'!$C$12:$C$62,'Udvaskning nøgletal'!$E$12:$E$62)+Markniveau!$Y1223*Markniveau!$S1223/100,IF($X1223=2,LOOKUP(AI1223,'Udvaskning nøgletal'!$C$12:$C$62,'Udvaskning nøgletal'!$F$12:$F$62)+Markniveau!$Y1223*Markniveau!$S1223/100,IF($X1223=3,LOOKUP(AI1223,'Udvaskning nøgletal'!$C$12:$C$62,'Udvaskning nøgletal'!Q1233:Q1283)+Markniveau!$Y1223*Markniveau!$S1223/100,"")))</f>
        <v>55.420779741212854</v>
      </c>
      <c r="AK1223" s="10">
        <f t="shared" si="199"/>
        <v>820.78174796736243</v>
      </c>
      <c r="AL1223" s="10" t="str">
        <f t="shared" si="191"/>
        <v/>
      </c>
      <c r="AM1223" s="10" t="str">
        <f t="shared" si="192"/>
        <v/>
      </c>
    </row>
    <row r="1224" spans="1:39" x14ac:dyDescent="0.25">
      <c r="A1224" s="15">
        <v>35557628</v>
      </c>
      <c r="B1224" s="15">
        <v>9.15</v>
      </c>
      <c r="C1224" s="15">
        <v>285463</v>
      </c>
      <c r="D1224" s="15">
        <v>55926</v>
      </c>
      <c r="E1224" s="15" t="s">
        <v>967</v>
      </c>
      <c r="F1224" s="15">
        <v>2011</v>
      </c>
      <c r="G1224" s="15">
        <v>20110512</v>
      </c>
      <c r="H1224" s="15">
        <v>5706</v>
      </c>
      <c r="I1224" s="15">
        <v>0.56999999999999995</v>
      </c>
      <c r="J1224" s="6" t="s">
        <v>73</v>
      </c>
      <c r="K1224" s="15">
        <v>310</v>
      </c>
      <c r="L1224" s="15" t="s">
        <v>484</v>
      </c>
      <c r="M1224" s="15" t="s">
        <v>81</v>
      </c>
      <c r="N1224" s="11" t="s">
        <v>1384</v>
      </c>
      <c r="O1224" s="11" t="s">
        <v>28</v>
      </c>
      <c r="P1224" s="11" t="s">
        <v>33</v>
      </c>
      <c r="Q1224" s="15">
        <v>0</v>
      </c>
      <c r="R1224" s="11" t="s">
        <v>1386</v>
      </c>
      <c r="S1224" s="10">
        <v>90.815594824257005</v>
      </c>
      <c r="T1224" s="15">
        <v>80</v>
      </c>
      <c r="U1224" s="15">
        <v>0</v>
      </c>
      <c r="V1224" s="15">
        <v>0</v>
      </c>
      <c r="W1224" s="15">
        <v>0</v>
      </c>
      <c r="X1224" s="15">
        <f>IF(O1224='Udvaskning nøgletal'!$D$65,1,IF(O1224='Udvaskning nøgletal'!$D$66,2,IF(O1224='Udvaskning nøgletal'!$D$67,3,IF(O1224='Udvaskning nøgletal'!$D$68,2,""))))</f>
        <v>1</v>
      </c>
      <c r="Y1224" s="15">
        <f>LOOKUP(K1224,'Udvaskning nøgletal'!$C$12:$C$60,'Udvaskning nøgletal'!$H$12:$H$60)</f>
        <v>0</v>
      </c>
      <c r="Z1224" s="10">
        <f>IF(X1224=1,LOOKUP(K1224,'Udvaskning nøgletal'!$C$12:$C$60,'Udvaskning nøgletal'!$E$12:$E$60)+Markniveau!Y1224*Markniveau!S1224/100,IF(X1224=2,LOOKUP(K1224,'Udvaskning nøgletal'!$C$12:$C$60,'Udvaskning nøgletal'!$F$12:$F$60)+Markniveau!Y1224*Markniveau!S1224/100,IF(X1224=3,LOOKUP(K1224,'Udvaskning nøgletal'!$C$12:$C$60,'Udvaskning nøgletal'!G1234:G1282)+Markniveau!Y1224*Markniveau!S1224/100,"")))</f>
        <v>10</v>
      </c>
      <c r="AA1224" s="10">
        <f t="shared" si="196"/>
        <v>5.6999999999999993</v>
      </c>
      <c r="AB1224" s="10" t="str">
        <f t="shared" si="195"/>
        <v/>
      </c>
      <c r="AC1224" s="10" t="str">
        <f t="shared" si="197"/>
        <v/>
      </c>
      <c r="AD1224" s="10">
        <f>IF(AND(Q1224&gt;0,Q1224&lt;30,K1224&lt;8),Markniveau!Z1224*'Udvaskning nøgletal'!$I$12/100,IF(AND(Q1224&gt;0,Q1224&lt;30,K1224=216),Markniveau!Z1224*'Udvaskning nøgletal'!$I$34/100,Markniveau!Z1224))</f>
        <v>10</v>
      </c>
      <c r="AE1224" s="10">
        <f t="shared" si="193"/>
        <v>5.6999999999999993</v>
      </c>
      <c r="AF1224" s="10" t="str">
        <f t="shared" si="198"/>
        <v/>
      </c>
      <c r="AG1224" s="10" t="str">
        <f t="shared" si="194"/>
        <v/>
      </c>
      <c r="AH1224" s="10" t="str">
        <f>IF(AND(Q1224&gt;0,Q1224&lt;30,K1224=216),'Udvaskning nøgletal'!$C$42,IF(AND(Q1224&gt;0,Q1224&lt;30,K1224&gt;7,K1224&lt;17),'Udvaskning nøgletal'!$C$61,IF(AND(Q1224&gt;0,Q1224&lt;30,K1224&lt;7),'Udvaskning nøgletal'!$C$62,"")))</f>
        <v/>
      </c>
      <c r="AI1224" s="10">
        <f t="shared" ref="AI1224:AI1287" si="200">IF(SUM(AH1224)&gt;0,AH1224,K1224)</f>
        <v>310</v>
      </c>
      <c r="AJ1224" s="10">
        <f>IF($X1224=1,LOOKUP(AI1224,'Udvaskning nøgletal'!$C$12:$C$62,'Udvaskning nøgletal'!$E$12:$E$62)+Markniveau!$Y1224*Markniveau!$S1224/100,IF($X1224=2,LOOKUP(AI1224,'Udvaskning nøgletal'!$C$12:$C$62,'Udvaskning nøgletal'!$F$12:$F$62)+Markniveau!$Y1224*Markniveau!$S1224/100,IF($X1224=3,LOOKUP(AI1224,'Udvaskning nøgletal'!$C$12:$C$62,'Udvaskning nøgletal'!Q1234:Q1284)+Markniveau!$Y1224*Markniveau!$S1224/100,"")))</f>
        <v>10</v>
      </c>
      <c r="AK1224" s="10">
        <f t="shared" si="199"/>
        <v>5.6999999999999993</v>
      </c>
      <c r="AL1224" s="10" t="str">
        <f t="shared" si="191"/>
        <v/>
      </c>
      <c r="AM1224" s="10" t="str">
        <f t="shared" si="192"/>
        <v/>
      </c>
    </row>
    <row r="1225" spans="1:39" x14ac:dyDescent="0.25">
      <c r="A1225" s="15">
        <v>35557628</v>
      </c>
      <c r="B1225" s="15">
        <v>9.15</v>
      </c>
      <c r="C1225" s="15">
        <v>285722</v>
      </c>
      <c r="D1225" s="15">
        <v>55926</v>
      </c>
      <c r="E1225" s="15" t="s">
        <v>1089</v>
      </c>
      <c r="F1225" s="15">
        <v>2011</v>
      </c>
      <c r="G1225" s="15">
        <v>20110512</v>
      </c>
      <c r="H1225" s="15">
        <v>11379</v>
      </c>
      <c r="I1225" s="15">
        <v>1.1399999999999999</v>
      </c>
      <c r="J1225" s="6" t="s">
        <v>577</v>
      </c>
      <c r="K1225" s="15">
        <v>22</v>
      </c>
      <c r="L1225" s="15" t="s">
        <v>213</v>
      </c>
      <c r="M1225" s="15" t="s">
        <v>5</v>
      </c>
      <c r="N1225" s="11" t="s">
        <v>1384</v>
      </c>
      <c r="O1225" s="11" t="s">
        <v>28</v>
      </c>
      <c r="P1225" s="11" t="s">
        <v>33</v>
      </c>
      <c r="Q1225" s="15">
        <v>0</v>
      </c>
      <c r="R1225" s="11" t="s">
        <v>1386</v>
      </c>
      <c r="S1225" s="10">
        <v>90.815594824257005</v>
      </c>
      <c r="T1225" s="15">
        <v>80</v>
      </c>
      <c r="U1225" s="15">
        <v>0</v>
      </c>
      <c r="V1225" s="15">
        <v>0</v>
      </c>
      <c r="W1225" s="15">
        <v>0</v>
      </c>
      <c r="X1225" s="15">
        <f>IF(O1225='Udvaskning nøgletal'!$D$65,1,IF(O1225='Udvaskning nøgletal'!$D$66,2,IF(O1225='Udvaskning nøgletal'!$D$67,3,IF(O1225='Udvaskning nøgletal'!$D$68,2,""))))</f>
        <v>1</v>
      </c>
      <c r="Y1225" s="15">
        <f>LOOKUP(K1225,'Udvaskning nøgletal'!$C$12:$C$60,'Udvaskning nøgletal'!$H$12:$H$60)</f>
        <v>5</v>
      </c>
      <c r="Z1225" s="10">
        <f>IF(X1225=1,LOOKUP(K1225,'Udvaskning nøgletal'!$C$12:$C$60,'Udvaskning nøgletal'!$E$12:$E$60)+Markniveau!Y1225*Markniveau!S1225/100,IF(X1225=2,LOOKUP(K1225,'Udvaskning nøgletal'!$C$12:$C$60,'Udvaskning nøgletal'!$F$12:$F$60)+Markniveau!Y1225*Markniveau!S1225/100,IF(X1225=3,LOOKUP(K1225,'Udvaskning nøgletal'!$C$12:$C$60,'Udvaskning nøgletal'!G1235:G1283)+Markniveau!Y1225*Markniveau!S1225/100,"")))</f>
        <v>69.200779741212841</v>
      </c>
      <c r="AA1225" s="10">
        <f t="shared" si="196"/>
        <v>78.888888904982636</v>
      </c>
      <c r="AB1225" s="10" t="str">
        <f t="shared" si="195"/>
        <v/>
      </c>
      <c r="AC1225" s="10" t="str">
        <f t="shared" si="197"/>
        <v/>
      </c>
      <c r="AD1225" s="10">
        <f>IF(AND(Q1225&gt;0,Q1225&lt;30,K1225&lt;8),Markniveau!Z1225*'Udvaskning nøgletal'!$I$12/100,IF(AND(Q1225&gt;0,Q1225&lt;30,K1225=216),Markniveau!Z1225*'Udvaskning nøgletal'!$I$34/100,Markniveau!Z1225))</f>
        <v>69.200779741212841</v>
      </c>
      <c r="AE1225" s="10">
        <f t="shared" si="193"/>
        <v>78.888888904982636</v>
      </c>
      <c r="AF1225" s="10" t="str">
        <f t="shared" si="198"/>
        <v/>
      </c>
      <c r="AG1225" s="10" t="str">
        <f t="shared" si="194"/>
        <v/>
      </c>
      <c r="AH1225" s="10" t="str">
        <f>IF(AND(Q1225&gt;0,Q1225&lt;30,K1225=216),'Udvaskning nøgletal'!$C$42,IF(AND(Q1225&gt;0,Q1225&lt;30,K1225&gt;7,K1225&lt;17),'Udvaskning nøgletal'!$C$61,IF(AND(Q1225&gt;0,Q1225&lt;30,K1225&lt;7),'Udvaskning nøgletal'!$C$62,"")))</f>
        <v/>
      </c>
      <c r="AI1225" s="10">
        <f t="shared" si="200"/>
        <v>22</v>
      </c>
      <c r="AJ1225" s="10">
        <f>IF($X1225=1,LOOKUP(AI1225,'Udvaskning nøgletal'!$C$12:$C$62,'Udvaskning nøgletal'!$E$12:$E$62)+Markniveau!$Y1225*Markniveau!$S1225/100,IF($X1225=2,LOOKUP(AI1225,'Udvaskning nøgletal'!$C$12:$C$62,'Udvaskning nøgletal'!$F$12:$F$62)+Markniveau!$Y1225*Markniveau!$S1225/100,IF($X1225=3,LOOKUP(AI1225,'Udvaskning nøgletal'!$C$12:$C$62,'Udvaskning nøgletal'!Q1235:Q1285)+Markniveau!$Y1225*Markniveau!$S1225/100,"")))</f>
        <v>69.200779741212841</v>
      </c>
      <c r="AK1225" s="10">
        <f t="shared" si="199"/>
        <v>78.888888904982636</v>
      </c>
      <c r="AL1225" s="10" t="str">
        <f t="shared" si="191"/>
        <v/>
      </c>
      <c r="AM1225" s="10" t="str">
        <f t="shared" si="192"/>
        <v/>
      </c>
    </row>
    <row r="1226" spans="1:39" x14ac:dyDescent="0.25">
      <c r="A1226" s="15">
        <v>35557628</v>
      </c>
      <c r="B1226" s="15">
        <v>9.15</v>
      </c>
      <c r="C1226" s="15">
        <v>285764</v>
      </c>
      <c r="D1226" s="15">
        <v>55926</v>
      </c>
      <c r="E1226" s="15" t="s">
        <v>1090</v>
      </c>
      <c r="F1226" s="15">
        <v>2011</v>
      </c>
      <c r="G1226" s="15">
        <v>20110512</v>
      </c>
      <c r="H1226" s="15">
        <v>56622</v>
      </c>
      <c r="I1226" s="15">
        <v>5.66</v>
      </c>
      <c r="J1226" s="6" t="s">
        <v>97</v>
      </c>
      <c r="K1226" s="15">
        <v>150</v>
      </c>
      <c r="L1226" s="15" t="s">
        <v>896</v>
      </c>
      <c r="M1226" s="15" t="s">
        <v>5</v>
      </c>
      <c r="N1226" s="11" t="s">
        <v>1384</v>
      </c>
      <c r="O1226" s="11" t="s">
        <v>28</v>
      </c>
      <c r="P1226" s="11" t="s">
        <v>33</v>
      </c>
      <c r="Q1226" s="15">
        <v>0</v>
      </c>
      <c r="R1226" s="11" t="s">
        <v>1386</v>
      </c>
      <c r="S1226" s="10">
        <v>90.815594824257005</v>
      </c>
      <c r="T1226" s="15">
        <v>80</v>
      </c>
      <c r="U1226" s="15">
        <v>0</v>
      </c>
      <c r="V1226" s="15">
        <v>0</v>
      </c>
      <c r="W1226" s="15">
        <v>0</v>
      </c>
      <c r="X1226" s="15">
        <f>IF(O1226='Udvaskning nøgletal'!$D$65,1,IF(O1226='Udvaskning nøgletal'!$D$66,2,IF(O1226='Udvaskning nøgletal'!$D$67,3,IF(O1226='Udvaskning nøgletal'!$D$68,2,""))))</f>
        <v>1</v>
      </c>
      <c r="Y1226" s="15">
        <f>LOOKUP(K1226,'Udvaskning nøgletal'!$C$12:$C$60,'Udvaskning nøgletal'!$H$12:$H$60)</f>
        <v>5</v>
      </c>
      <c r="Z1226" s="10">
        <f>IF(X1226=1,LOOKUP(K1226,'Udvaskning nøgletal'!$C$12:$C$60,'Udvaskning nøgletal'!$E$12:$E$60)+Markniveau!Y1226*Markniveau!S1226/100,IF(X1226=2,LOOKUP(K1226,'Udvaskning nøgletal'!$C$12:$C$60,'Udvaskning nøgletal'!$F$12:$F$60)+Markniveau!Y1226*Markniveau!S1226/100,IF(X1226=3,LOOKUP(K1226,'Udvaskning nøgletal'!$C$12:$C$60,'Udvaskning nøgletal'!G1236:G1284)+Markniveau!Y1226*Markniveau!S1226/100,"")))</f>
        <v>69.200779741212841</v>
      </c>
      <c r="AA1226" s="10">
        <f t="shared" si="196"/>
        <v>391.67641333526467</v>
      </c>
      <c r="AB1226" s="10" t="str">
        <f t="shared" si="195"/>
        <v/>
      </c>
      <c r="AC1226" s="10" t="str">
        <f t="shared" si="197"/>
        <v/>
      </c>
      <c r="AD1226" s="10">
        <f>IF(AND(Q1226&gt;0,Q1226&lt;30,K1226&lt;8),Markniveau!Z1226*'Udvaskning nøgletal'!$I$12/100,IF(AND(Q1226&gt;0,Q1226&lt;30,K1226=216),Markniveau!Z1226*'Udvaskning nøgletal'!$I$34/100,Markniveau!Z1226))</f>
        <v>69.200779741212841</v>
      </c>
      <c r="AE1226" s="10">
        <f t="shared" si="193"/>
        <v>391.67641333526467</v>
      </c>
      <c r="AF1226" s="10" t="str">
        <f t="shared" si="198"/>
        <v/>
      </c>
      <c r="AG1226" s="10" t="str">
        <f t="shared" si="194"/>
        <v/>
      </c>
      <c r="AH1226" s="10" t="str">
        <f>IF(AND(Q1226&gt;0,Q1226&lt;30,K1226=216),'Udvaskning nøgletal'!$C$42,IF(AND(Q1226&gt;0,Q1226&lt;30,K1226&gt;7,K1226&lt;17),'Udvaskning nøgletal'!$C$61,IF(AND(Q1226&gt;0,Q1226&lt;30,K1226&lt;7),'Udvaskning nøgletal'!$C$62,"")))</f>
        <v/>
      </c>
      <c r="AI1226" s="10">
        <f t="shared" si="200"/>
        <v>150</v>
      </c>
      <c r="AJ1226" s="10">
        <f>IF($X1226=1,LOOKUP(AI1226,'Udvaskning nøgletal'!$C$12:$C$62,'Udvaskning nøgletal'!$E$12:$E$62)+Markniveau!$Y1226*Markniveau!$S1226/100,IF($X1226=2,LOOKUP(AI1226,'Udvaskning nøgletal'!$C$12:$C$62,'Udvaskning nøgletal'!$F$12:$F$62)+Markniveau!$Y1226*Markniveau!$S1226/100,IF($X1226=3,LOOKUP(AI1226,'Udvaskning nøgletal'!$C$12:$C$62,'Udvaskning nøgletal'!Q1236:Q1286)+Markniveau!$Y1226*Markniveau!$S1226/100,"")))</f>
        <v>69.200779741212841</v>
      </c>
      <c r="AK1226" s="10">
        <f t="shared" si="199"/>
        <v>391.67641333526467</v>
      </c>
      <c r="AL1226" s="10" t="str">
        <f t="shared" si="191"/>
        <v/>
      </c>
      <c r="AM1226" s="10" t="str">
        <f t="shared" si="192"/>
        <v/>
      </c>
    </row>
    <row r="1227" spans="1:39" x14ac:dyDescent="0.25">
      <c r="A1227" s="15">
        <v>35557628</v>
      </c>
      <c r="B1227" s="15">
        <v>9.15</v>
      </c>
      <c r="C1227" s="15">
        <v>285767</v>
      </c>
      <c r="D1227" s="15">
        <v>55926</v>
      </c>
      <c r="E1227" s="15" t="s">
        <v>1077</v>
      </c>
      <c r="F1227" s="15">
        <v>2011</v>
      </c>
      <c r="G1227" s="15">
        <v>20110512</v>
      </c>
      <c r="H1227" s="15">
        <v>31995</v>
      </c>
      <c r="I1227" s="15">
        <v>3.2</v>
      </c>
      <c r="J1227" s="6" t="s">
        <v>1091</v>
      </c>
      <c r="K1227" s="15">
        <v>11</v>
      </c>
      <c r="L1227" s="15" t="s">
        <v>102</v>
      </c>
      <c r="M1227" s="15" t="s">
        <v>5</v>
      </c>
      <c r="N1227" s="11" t="s">
        <v>1391</v>
      </c>
      <c r="O1227" s="11" t="s">
        <v>46</v>
      </c>
      <c r="P1227" s="11" t="s">
        <v>33</v>
      </c>
      <c r="Q1227" s="15">
        <v>0</v>
      </c>
      <c r="R1227" s="11" t="s">
        <v>1386</v>
      </c>
      <c r="S1227" s="10">
        <v>90.815594824257005</v>
      </c>
      <c r="T1227" s="15">
        <v>80</v>
      </c>
      <c r="U1227" s="15">
        <v>0</v>
      </c>
      <c r="V1227" s="15">
        <v>0</v>
      </c>
      <c r="W1227" s="15">
        <v>0</v>
      </c>
      <c r="X1227" s="15">
        <f>IF(O1227='Udvaskning nøgletal'!$D$65,1,IF(O1227='Udvaskning nøgletal'!$D$66,2,IF(O1227='Udvaskning nøgletal'!$D$67,3,IF(O1227='Udvaskning nøgletal'!$D$68,2,""))))</f>
        <v>2</v>
      </c>
      <c r="Y1227" s="15">
        <f>LOOKUP(K1227,'Udvaskning nøgletal'!$C$12:$C$60,'Udvaskning nøgletal'!$H$12:$H$60)</f>
        <v>5</v>
      </c>
      <c r="Z1227" s="10">
        <f>IF(X1227=1,LOOKUP(K1227,'Udvaskning nøgletal'!$C$12:$C$60,'Udvaskning nøgletal'!$E$12:$E$60)+Markniveau!Y1227*Markniveau!S1227/100,IF(X1227=2,LOOKUP(K1227,'Udvaskning nøgletal'!$C$12:$C$60,'Udvaskning nøgletal'!$F$12:$F$60)+Markniveau!Y1227*Markniveau!S1227/100,IF(X1227=3,LOOKUP(K1227,'Udvaskning nøgletal'!$C$12:$C$60,'Udvaskning nøgletal'!G1237:G1285)+Markniveau!Y1227*Markniveau!S1227/100,"")))</f>
        <v>55.420779741212854</v>
      </c>
      <c r="AA1227" s="10">
        <f t="shared" si="196"/>
        <v>177.34649517188114</v>
      </c>
      <c r="AB1227" s="10" t="str">
        <f t="shared" si="195"/>
        <v/>
      </c>
      <c r="AC1227" s="10" t="str">
        <f t="shared" si="197"/>
        <v/>
      </c>
      <c r="AD1227" s="10">
        <f>IF(AND(Q1227&gt;0,Q1227&lt;30,K1227&lt;8),Markniveau!Z1227*'Udvaskning nøgletal'!$I$12/100,IF(AND(Q1227&gt;0,Q1227&lt;30,K1227=216),Markniveau!Z1227*'Udvaskning nøgletal'!$I$34/100,Markniveau!Z1227))</f>
        <v>55.420779741212854</v>
      </c>
      <c r="AE1227" s="10">
        <f t="shared" si="193"/>
        <v>177.34649517188114</v>
      </c>
      <c r="AF1227" s="10" t="str">
        <f t="shared" si="198"/>
        <v/>
      </c>
      <c r="AG1227" s="10" t="str">
        <f t="shared" si="194"/>
        <v/>
      </c>
      <c r="AH1227" s="10" t="str">
        <f>IF(AND(Q1227&gt;0,Q1227&lt;30,K1227=216),'Udvaskning nøgletal'!$C$42,IF(AND(Q1227&gt;0,Q1227&lt;30,K1227&gt;7,K1227&lt;17),'Udvaskning nøgletal'!$C$61,IF(AND(Q1227&gt;0,Q1227&lt;30,K1227&lt;7),'Udvaskning nøgletal'!$C$62,"")))</f>
        <v/>
      </c>
      <c r="AI1227" s="10">
        <f t="shared" si="200"/>
        <v>11</v>
      </c>
      <c r="AJ1227" s="10">
        <f>IF($X1227=1,LOOKUP(AI1227,'Udvaskning nøgletal'!$C$12:$C$62,'Udvaskning nøgletal'!$E$12:$E$62)+Markniveau!$Y1227*Markniveau!$S1227/100,IF($X1227=2,LOOKUP(AI1227,'Udvaskning nøgletal'!$C$12:$C$62,'Udvaskning nøgletal'!$F$12:$F$62)+Markniveau!$Y1227*Markniveau!$S1227/100,IF($X1227=3,LOOKUP(AI1227,'Udvaskning nøgletal'!$C$12:$C$62,'Udvaskning nøgletal'!Q1237:Q1287)+Markniveau!$Y1227*Markniveau!$S1227/100,"")))</f>
        <v>55.420779741212854</v>
      </c>
      <c r="AK1227" s="10">
        <f t="shared" si="199"/>
        <v>177.34649517188114</v>
      </c>
      <c r="AL1227" s="10" t="str">
        <f t="shared" ref="AL1227:AL1290" si="201">IF($Q1227&gt;0,(100-$Q1227)*AJ1227/100,"")</f>
        <v/>
      </c>
      <c r="AM1227" s="10" t="str">
        <f t="shared" ref="AM1227:AM1290" si="202">IF($Q1227&gt;0,(100-$Q1227)*AJ1227/100*I1227,"")</f>
        <v/>
      </c>
    </row>
    <row r="1228" spans="1:39" x14ac:dyDescent="0.25">
      <c r="A1228" s="15">
        <v>35557628</v>
      </c>
      <c r="B1228" s="15">
        <v>9.15</v>
      </c>
      <c r="C1228" s="15">
        <v>285768</v>
      </c>
      <c r="D1228" s="15">
        <v>55926</v>
      </c>
      <c r="E1228" s="15" t="s">
        <v>1050</v>
      </c>
      <c r="F1228" s="15">
        <v>2011</v>
      </c>
      <c r="G1228" s="15">
        <v>20110512</v>
      </c>
      <c r="H1228" s="15">
        <v>14567</v>
      </c>
      <c r="I1228" s="15">
        <v>1.46</v>
      </c>
      <c r="J1228" s="6" t="s">
        <v>1092</v>
      </c>
      <c r="K1228" s="15">
        <v>264</v>
      </c>
      <c r="L1228" s="15" t="s">
        <v>207</v>
      </c>
      <c r="M1228" s="15" t="s">
        <v>4</v>
      </c>
      <c r="N1228" s="11" t="s">
        <v>1384</v>
      </c>
      <c r="O1228" s="11" t="s">
        <v>28</v>
      </c>
      <c r="P1228" s="11" t="s">
        <v>33</v>
      </c>
      <c r="Q1228" s="15">
        <v>0</v>
      </c>
      <c r="R1228" s="11" t="s">
        <v>1386</v>
      </c>
      <c r="S1228" s="10">
        <v>90.815594824257005</v>
      </c>
      <c r="T1228" s="15">
        <v>80</v>
      </c>
      <c r="U1228" s="15">
        <v>0</v>
      </c>
      <c r="V1228" s="15">
        <v>0</v>
      </c>
      <c r="W1228" s="15">
        <v>0</v>
      </c>
      <c r="X1228" s="15">
        <f>IF(O1228='Udvaskning nøgletal'!$D$65,1,IF(O1228='Udvaskning nøgletal'!$D$66,2,IF(O1228='Udvaskning nøgletal'!$D$67,3,IF(O1228='Udvaskning nøgletal'!$D$68,2,""))))</f>
        <v>1</v>
      </c>
      <c r="Y1228" s="15">
        <f>LOOKUP(K1228,'Udvaskning nøgletal'!$C$12:$C$60,'Udvaskning nøgletal'!$H$12:$H$60)</f>
        <v>0</v>
      </c>
      <c r="Z1228" s="10">
        <f>IF(X1228=1,LOOKUP(K1228,'Udvaskning nøgletal'!$C$12:$C$60,'Udvaskning nøgletal'!$E$12:$E$60)+Markniveau!Y1228*Markniveau!S1228/100,IF(X1228=2,LOOKUP(K1228,'Udvaskning nøgletal'!$C$12:$C$60,'Udvaskning nøgletal'!$F$12:$F$60)+Markniveau!Y1228*Markniveau!S1228/100,IF(X1228=3,LOOKUP(K1228,'Udvaskning nøgletal'!$C$12:$C$60,'Udvaskning nøgletal'!G1238:G1286)+Markniveau!Y1228*Markniveau!S1228/100,"")))</f>
        <v>10.6</v>
      </c>
      <c r="AA1228" s="10">
        <f t="shared" si="196"/>
        <v>15.475999999999999</v>
      </c>
      <c r="AB1228" s="10" t="str">
        <f t="shared" si="195"/>
        <v/>
      </c>
      <c r="AC1228" s="10" t="str">
        <f t="shared" si="197"/>
        <v/>
      </c>
      <c r="AD1228" s="10">
        <f>IF(AND(Q1228&gt;0,Q1228&lt;30,K1228&lt;8),Markniveau!Z1228*'Udvaskning nøgletal'!$I$12/100,IF(AND(Q1228&gt;0,Q1228&lt;30,K1228=216),Markniveau!Z1228*'Udvaskning nøgletal'!$I$34/100,Markniveau!Z1228))</f>
        <v>10.6</v>
      </c>
      <c r="AE1228" s="10">
        <f t="shared" si="193"/>
        <v>15.475999999999999</v>
      </c>
      <c r="AF1228" s="10" t="str">
        <f t="shared" si="198"/>
        <v/>
      </c>
      <c r="AG1228" s="10" t="str">
        <f t="shared" si="194"/>
        <v/>
      </c>
      <c r="AH1228" s="10" t="str">
        <f>IF(AND(Q1228&gt;0,Q1228&lt;30,K1228=216),'Udvaskning nøgletal'!$C$42,IF(AND(Q1228&gt;0,Q1228&lt;30,K1228&gt;7,K1228&lt;17),'Udvaskning nøgletal'!$C$61,IF(AND(Q1228&gt;0,Q1228&lt;30,K1228&lt;7),'Udvaskning nøgletal'!$C$62,"")))</f>
        <v/>
      </c>
      <c r="AI1228" s="10">
        <f t="shared" si="200"/>
        <v>264</v>
      </c>
      <c r="AJ1228" s="10">
        <f>IF($X1228=1,LOOKUP(AI1228,'Udvaskning nøgletal'!$C$12:$C$62,'Udvaskning nøgletal'!$E$12:$E$62)+Markniveau!$Y1228*Markniveau!$S1228/100,IF($X1228=2,LOOKUP(AI1228,'Udvaskning nøgletal'!$C$12:$C$62,'Udvaskning nøgletal'!$F$12:$F$62)+Markniveau!$Y1228*Markniveau!$S1228/100,IF($X1228=3,LOOKUP(AI1228,'Udvaskning nøgletal'!$C$12:$C$62,'Udvaskning nøgletal'!Q1238:Q1288)+Markniveau!$Y1228*Markniveau!$S1228/100,"")))</f>
        <v>10.6</v>
      </c>
      <c r="AK1228" s="10">
        <f t="shared" si="199"/>
        <v>15.475999999999999</v>
      </c>
      <c r="AL1228" s="10" t="str">
        <f t="shared" si="201"/>
        <v/>
      </c>
      <c r="AM1228" s="10" t="str">
        <f t="shared" si="202"/>
        <v/>
      </c>
    </row>
    <row r="1229" spans="1:39" x14ac:dyDescent="0.25">
      <c r="A1229" s="15">
        <v>35557628</v>
      </c>
      <c r="B1229" s="15">
        <v>9.15</v>
      </c>
      <c r="C1229" s="15">
        <v>285791</v>
      </c>
      <c r="D1229" s="15">
        <v>55926</v>
      </c>
      <c r="E1229" s="15" t="s">
        <v>1093</v>
      </c>
      <c r="F1229" s="15">
        <v>2011</v>
      </c>
      <c r="G1229" s="15">
        <v>20110512</v>
      </c>
      <c r="H1229" s="15">
        <v>125735</v>
      </c>
      <c r="I1229" s="15">
        <v>12.57</v>
      </c>
      <c r="J1229" s="6" t="s">
        <v>1094</v>
      </c>
      <c r="K1229" s="15">
        <v>2</v>
      </c>
      <c r="L1229" s="15" t="s">
        <v>49</v>
      </c>
      <c r="M1229" s="15" t="s">
        <v>5</v>
      </c>
      <c r="N1229" s="11" t="s">
        <v>1391</v>
      </c>
      <c r="O1229" s="11" t="s">
        <v>46</v>
      </c>
      <c r="P1229" s="11" t="s">
        <v>33</v>
      </c>
      <c r="Q1229" s="15">
        <v>0</v>
      </c>
      <c r="R1229" s="11" t="s">
        <v>1386</v>
      </c>
      <c r="S1229" s="10">
        <v>90.815594824257005</v>
      </c>
      <c r="T1229" s="15">
        <v>80</v>
      </c>
      <c r="U1229" s="15">
        <v>0</v>
      </c>
      <c r="V1229" s="15">
        <v>0</v>
      </c>
      <c r="W1229" s="15">
        <v>0</v>
      </c>
      <c r="X1229" s="15">
        <f>IF(O1229='Udvaskning nøgletal'!$D$65,1,IF(O1229='Udvaskning nøgletal'!$D$66,2,IF(O1229='Udvaskning nøgletal'!$D$67,3,IF(O1229='Udvaskning nøgletal'!$D$68,2,""))))</f>
        <v>2</v>
      </c>
      <c r="Y1229" s="15">
        <f>LOOKUP(K1229,'Udvaskning nøgletal'!$C$12:$C$60,'Udvaskning nøgletal'!$H$12:$H$60)</f>
        <v>5</v>
      </c>
      <c r="Z1229" s="10">
        <f>IF(X1229=1,LOOKUP(K1229,'Udvaskning nøgletal'!$C$12:$C$60,'Udvaskning nøgletal'!$E$12:$E$60)+Markniveau!Y1229*Markniveau!S1229/100,IF(X1229=2,LOOKUP(K1229,'Udvaskning nøgletal'!$C$12:$C$60,'Udvaskning nøgletal'!$F$12:$F$60)+Markniveau!Y1229*Markniveau!S1229/100,IF(X1229=3,LOOKUP(K1229,'Udvaskning nøgletal'!$C$12:$C$60,'Udvaskning nøgletal'!G1239:G1287)+Markniveau!Y1229*Markniveau!S1229/100,"")))</f>
        <v>55.420779741212854</v>
      </c>
      <c r="AA1229" s="10">
        <f t="shared" si="196"/>
        <v>696.63920134704563</v>
      </c>
      <c r="AB1229" s="10" t="str">
        <f t="shared" si="195"/>
        <v/>
      </c>
      <c r="AC1229" s="10" t="str">
        <f t="shared" si="197"/>
        <v/>
      </c>
      <c r="AD1229" s="10">
        <f>IF(AND(Q1229&gt;0,Q1229&lt;30,K1229&lt;8),Markniveau!Z1229*'Udvaskning nøgletal'!$I$12/100,IF(AND(Q1229&gt;0,Q1229&lt;30,K1229=216),Markniveau!Z1229*'Udvaskning nøgletal'!$I$34/100,Markniveau!Z1229))</f>
        <v>55.420779741212854</v>
      </c>
      <c r="AE1229" s="10">
        <f t="shared" si="193"/>
        <v>696.63920134704563</v>
      </c>
      <c r="AF1229" s="10" t="str">
        <f t="shared" si="198"/>
        <v/>
      </c>
      <c r="AG1229" s="10" t="str">
        <f t="shared" si="194"/>
        <v/>
      </c>
      <c r="AH1229" s="10" t="str">
        <f>IF(AND(Q1229&gt;0,Q1229&lt;30,K1229=216),'Udvaskning nøgletal'!$C$42,IF(AND(Q1229&gt;0,Q1229&lt;30,K1229&gt;7,K1229&lt;17),'Udvaskning nøgletal'!$C$61,IF(AND(Q1229&gt;0,Q1229&lt;30,K1229&lt;7),'Udvaskning nøgletal'!$C$62,"")))</f>
        <v/>
      </c>
      <c r="AI1229" s="10">
        <f t="shared" si="200"/>
        <v>2</v>
      </c>
      <c r="AJ1229" s="10">
        <f>IF($X1229=1,LOOKUP(AI1229,'Udvaskning nøgletal'!$C$12:$C$62,'Udvaskning nøgletal'!$E$12:$E$62)+Markniveau!$Y1229*Markniveau!$S1229/100,IF($X1229=2,LOOKUP(AI1229,'Udvaskning nøgletal'!$C$12:$C$62,'Udvaskning nøgletal'!$F$12:$F$62)+Markniveau!$Y1229*Markniveau!$S1229/100,IF($X1229=3,LOOKUP(AI1229,'Udvaskning nøgletal'!$C$12:$C$62,'Udvaskning nøgletal'!Q1239:Q1289)+Markniveau!$Y1229*Markniveau!$S1229/100,"")))</f>
        <v>55.420779741212854</v>
      </c>
      <c r="AK1229" s="10">
        <f t="shared" si="199"/>
        <v>696.63920134704563</v>
      </c>
      <c r="AL1229" s="10" t="str">
        <f t="shared" si="201"/>
        <v/>
      </c>
      <c r="AM1229" s="10" t="str">
        <f t="shared" si="202"/>
        <v/>
      </c>
    </row>
    <row r="1230" spans="1:39" x14ac:dyDescent="0.25">
      <c r="A1230" s="15">
        <v>35557628</v>
      </c>
      <c r="B1230" s="15">
        <v>9.15</v>
      </c>
      <c r="C1230" s="15">
        <v>285858</v>
      </c>
      <c r="D1230" s="15">
        <v>55926</v>
      </c>
      <c r="E1230" s="15" t="s">
        <v>1095</v>
      </c>
      <c r="F1230" s="15">
        <v>2011</v>
      </c>
      <c r="G1230" s="15">
        <v>20110512</v>
      </c>
      <c r="H1230" s="15">
        <v>31486</v>
      </c>
      <c r="I1230" s="15">
        <v>3.15</v>
      </c>
      <c r="J1230" s="6" t="s">
        <v>1096</v>
      </c>
      <c r="K1230" s="15">
        <v>11</v>
      </c>
      <c r="L1230" s="15" t="s">
        <v>102</v>
      </c>
      <c r="M1230" s="15" t="s">
        <v>5</v>
      </c>
      <c r="N1230" s="11" t="s">
        <v>1391</v>
      </c>
      <c r="O1230" s="11" t="s">
        <v>46</v>
      </c>
      <c r="P1230" s="11" t="s">
        <v>33</v>
      </c>
      <c r="Q1230" s="15">
        <v>0</v>
      </c>
      <c r="R1230" s="11" t="s">
        <v>1386</v>
      </c>
      <c r="S1230" s="10">
        <v>90.815594824257005</v>
      </c>
      <c r="T1230" s="15">
        <v>80</v>
      </c>
      <c r="U1230" s="15">
        <v>0</v>
      </c>
      <c r="V1230" s="15">
        <v>0</v>
      </c>
      <c r="W1230" s="15">
        <v>0</v>
      </c>
      <c r="X1230" s="15">
        <f>IF(O1230='Udvaskning nøgletal'!$D$65,1,IF(O1230='Udvaskning nøgletal'!$D$66,2,IF(O1230='Udvaskning nøgletal'!$D$67,3,IF(O1230='Udvaskning nøgletal'!$D$68,2,""))))</f>
        <v>2</v>
      </c>
      <c r="Y1230" s="15">
        <f>LOOKUP(K1230,'Udvaskning nøgletal'!$C$12:$C$60,'Udvaskning nøgletal'!$H$12:$H$60)</f>
        <v>5</v>
      </c>
      <c r="Z1230" s="10">
        <f>IF(X1230=1,LOOKUP(K1230,'Udvaskning nøgletal'!$C$12:$C$60,'Udvaskning nøgletal'!$E$12:$E$60)+Markniveau!Y1230*Markniveau!S1230/100,IF(X1230=2,LOOKUP(K1230,'Udvaskning nøgletal'!$C$12:$C$60,'Udvaskning nøgletal'!$F$12:$F$60)+Markniveau!Y1230*Markniveau!S1230/100,IF(X1230=3,LOOKUP(K1230,'Udvaskning nøgletal'!$C$12:$C$60,'Udvaskning nøgletal'!G1240:G1288)+Markniveau!Y1230*Markniveau!S1230/100,"")))</f>
        <v>55.420779741212854</v>
      </c>
      <c r="AA1230" s="10">
        <f t="shared" si="196"/>
        <v>174.5754561848205</v>
      </c>
      <c r="AB1230" s="10" t="str">
        <f t="shared" si="195"/>
        <v/>
      </c>
      <c r="AC1230" s="10" t="str">
        <f t="shared" si="197"/>
        <v/>
      </c>
      <c r="AD1230" s="10">
        <f>IF(AND(Q1230&gt;0,Q1230&lt;30,K1230&lt;8),Markniveau!Z1230*'Udvaskning nøgletal'!$I$12/100,IF(AND(Q1230&gt;0,Q1230&lt;30,K1230=216),Markniveau!Z1230*'Udvaskning nøgletal'!$I$34/100,Markniveau!Z1230))</f>
        <v>55.420779741212854</v>
      </c>
      <c r="AE1230" s="10">
        <f t="shared" si="193"/>
        <v>174.5754561848205</v>
      </c>
      <c r="AF1230" s="10" t="str">
        <f t="shared" si="198"/>
        <v/>
      </c>
      <c r="AG1230" s="10" t="str">
        <f t="shared" si="194"/>
        <v/>
      </c>
      <c r="AH1230" s="10" t="str">
        <f>IF(AND(Q1230&gt;0,Q1230&lt;30,K1230=216),'Udvaskning nøgletal'!$C$42,IF(AND(Q1230&gt;0,Q1230&lt;30,K1230&gt;7,K1230&lt;17),'Udvaskning nøgletal'!$C$61,IF(AND(Q1230&gt;0,Q1230&lt;30,K1230&lt;7),'Udvaskning nøgletal'!$C$62,"")))</f>
        <v/>
      </c>
      <c r="AI1230" s="10">
        <f t="shared" si="200"/>
        <v>11</v>
      </c>
      <c r="AJ1230" s="10">
        <f>IF($X1230=1,LOOKUP(AI1230,'Udvaskning nøgletal'!$C$12:$C$62,'Udvaskning nøgletal'!$E$12:$E$62)+Markniveau!$Y1230*Markniveau!$S1230/100,IF($X1230=2,LOOKUP(AI1230,'Udvaskning nøgletal'!$C$12:$C$62,'Udvaskning nøgletal'!$F$12:$F$62)+Markniveau!$Y1230*Markniveau!$S1230/100,IF($X1230=3,LOOKUP(AI1230,'Udvaskning nøgletal'!$C$12:$C$62,'Udvaskning nøgletal'!Q1240:Q1290)+Markniveau!$Y1230*Markniveau!$S1230/100,"")))</f>
        <v>55.420779741212854</v>
      </c>
      <c r="AK1230" s="10">
        <f t="shared" si="199"/>
        <v>174.5754561848205</v>
      </c>
      <c r="AL1230" s="10" t="str">
        <f t="shared" si="201"/>
        <v/>
      </c>
      <c r="AM1230" s="10" t="str">
        <f t="shared" si="202"/>
        <v/>
      </c>
    </row>
    <row r="1231" spans="1:39" x14ac:dyDescent="0.25">
      <c r="A1231" s="15">
        <v>35557628</v>
      </c>
      <c r="B1231" s="15">
        <v>9.15</v>
      </c>
      <c r="C1231" s="15">
        <v>286025</v>
      </c>
      <c r="D1231" s="15">
        <v>55926</v>
      </c>
      <c r="E1231" s="15" t="s">
        <v>1097</v>
      </c>
      <c r="F1231" s="15">
        <v>2011</v>
      </c>
      <c r="G1231" s="15">
        <v>20110512</v>
      </c>
      <c r="H1231" s="15">
        <v>123078</v>
      </c>
      <c r="I1231" s="15">
        <v>12.31</v>
      </c>
      <c r="J1231" s="6" t="s">
        <v>820</v>
      </c>
      <c r="K1231" s="15">
        <v>15</v>
      </c>
      <c r="L1231" s="15" t="s">
        <v>362</v>
      </c>
      <c r="M1231" s="15" t="s">
        <v>5</v>
      </c>
      <c r="N1231" s="11" t="s">
        <v>1384</v>
      </c>
      <c r="O1231" s="11" t="s">
        <v>28</v>
      </c>
      <c r="P1231" s="11" t="s">
        <v>33</v>
      </c>
      <c r="Q1231" s="15">
        <v>0</v>
      </c>
      <c r="R1231" s="11" t="s">
        <v>1386</v>
      </c>
      <c r="S1231" s="10">
        <v>90.815594824257005</v>
      </c>
      <c r="T1231" s="15">
        <v>80</v>
      </c>
      <c r="U1231" s="15">
        <v>0</v>
      </c>
      <c r="V1231" s="15">
        <v>0</v>
      </c>
      <c r="W1231" s="15">
        <v>0</v>
      </c>
      <c r="X1231" s="15">
        <f>IF(O1231='Udvaskning nøgletal'!$D$65,1,IF(O1231='Udvaskning nøgletal'!$D$66,2,IF(O1231='Udvaskning nøgletal'!$D$67,3,IF(O1231='Udvaskning nøgletal'!$D$68,2,""))))</f>
        <v>1</v>
      </c>
      <c r="Y1231" s="15">
        <f>LOOKUP(K1231,'Udvaskning nøgletal'!$C$12:$C$60,'Udvaskning nøgletal'!$H$12:$H$60)</f>
        <v>5</v>
      </c>
      <c r="Z1231" s="10">
        <f>IF(X1231=1,LOOKUP(K1231,'Udvaskning nøgletal'!$C$12:$C$60,'Udvaskning nøgletal'!$E$12:$E$60)+Markniveau!Y1231*Markniveau!S1231/100,IF(X1231=2,LOOKUP(K1231,'Udvaskning nøgletal'!$C$12:$C$60,'Udvaskning nøgletal'!$F$12:$F$60)+Markniveau!Y1231*Markniveau!S1231/100,IF(X1231=3,LOOKUP(K1231,'Udvaskning nøgletal'!$C$12:$C$60,'Udvaskning nøgletal'!G1241:G1289)+Markniveau!Y1231*Markniveau!S1231/100,"")))</f>
        <v>69.200779741212841</v>
      </c>
      <c r="AA1231" s="10">
        <f t="shared" si="196"/>
        <v>851.86159861433009</v>
      </c>
      <c r="AB1231" s="10" t="str">
        <f t="shared" si="195"/>
        <v/>
      </c>
      <c r="AC1231" s="10" t="str">
        <f t="shared" si="197"/>
        <v/>
      </c>
      <c r="AD1231" s="10">
        <f>IF(AND(Q1231&gt;0,Q1231&lt;30,K1231&lt;8),Markniveau!Z1231*'Udvaskning nøgletal'!$I$12/100,IF(AND(Q1231&gt;0,Q1231&lt;30,K1231=216),Markniveau!Z1231*'Udvaskning nøgletal'!$I$34/100,Markniveau!Z1231))</f>
        <v>69.200779741212841</v>
      </c>
      <c r="AE1231" s="10">
        <f t="shared" si="193"/>
        <v>851.86159861433009</v>
      </c>
      <c r="AF1231" s="10" t="str">
        <f t="shared" si="198"/>
        <v/>
      </c>
      <c r="AG1231" s="10" t="str">
        <f t="shared" si="194"/>
        <v/>
      </c>
      <c r="AH1231" s="10" t="str">
        <f>IF(AND(Q1231&gt;0,Q1231&lt;30,K1231=216),'Udvaskning nøgletal'!$C$42,IF(AND(Q1231&gt;0,Q1231&lt;30,K1231&gt;7,K1231&lt;17),'Udvaskning nøgletal'!$C$61,IF(AND(Q1231&gt;0,Q1231&lt;30,K1231&lt;7),'Udvaskning nøgletal'!$C$62,"")))</f>
        <v/>
      </c>
      <c r="AI1231" s="10">
        <f t="shared" si="200"/>
        <v>15</v>
      </c>
      <c r="AJ1231" s="10">
        <f>IF($X1231=1,LOOKUP(AI1231,'Udvaskning nøgletal'!$C$12:$C$62,'Udvaskning nøgletal'!$E$12:$E$62)+Markniveau!$Y1231*Markniveau!$S1231/100,IF($X1231=2,LOOKUP(AI1231,'Udvaskning nøgletal'!$C$12:$C$62,'Udvaskning nøgletal'!$F$12:$F$62)+Markniveau!$Y1231*Markniveau!$S1231/100,IF($X1231=3,LOOKUP(AI1231,'Udvaskning nøgletal'!$C$12:$C$62,'Udvaskning nøgletal'!Q1241:Q1291)+Markniveau!$Y1231*Markniveau!$S1231/100,"")))</f>
        <v>69.200779741212841</v>
      </c>
      <c r="AK1231" s="10">
        <f t="shared" si="199"/>
        <v>851.86159861433009</v>
      </c>
      <c r="AL1231" s="10" t="str">
        <f t="shared" si="201"/>
        <v/>
      </c>
      <c r="AM1231" s="10" t="str">
        <f t="shared" si="202"/>
        <v/>
      </c>
    </row>
    <row r="1232" spans="1:39" x14ac:dyDescent="0.25">
      <c r="A1232" s="15">
        <v>35557628</v>
      </c>
      <c r="B1232" s="15">
        <v>9.15</v>
      </c>
      <c r="C1232" s="15">
        <v>286026</v>
      </c>
      <c r="D1232" s="15">
        <v>55926</v>
      </c>
      <c r="E1232" s="15" t="s">
        <v>1098</v>
      </c>
      <c r="F1232" s="15">
        <v>2011</v>
      </c>
      <c r="G1232" s="15">
        <v>20110512</v>
      </c>
      <c r="H1232" s="15">
        <v>49729</v>
      </c>
      <c r="I1232" s="15">
        <v>4.97</v>
      </c>
      <c r="J1232" s="6" t="s">
        <v>1099</v>
      </c>
      <c r="K1232" s="15">
        <v>2</v>
      </c>
      <c r="L1232" s="15" t="s">
        <v>49</v>
      </c>
      <c r="M1232" s="15" t="s">
        <v>5</v>
      </c>
      <c r="N1232" s="11" t="s">
        <v>1391</v>
      </c>
      <c r="O1232" s="11" t="s">
        <v>46</v>
      </c>
      <c r="P1232" s="11" t="s">
        <v>33</v>
      </c>
      <c r="Q1232" s="15">
        <v>0</v>
      </c>
      <c r="R1232" s="11" t="s">
        <v>1386</v>
      </c>
      <c r="S1232" s="10">
        <v>90.815594824257005</v>
      </c>
      <c r="T1232" s="15">
        <v>80</v>
      </c>
      <c r="U1232" s="15">
        <v>0</v>
      </c>
      <c r="V1232" s="15">
        <v>0</v>
      </c>
      <c r="W1232" s="15">
        <v>0</v>
      </c>
      <c r="X1232" s="15">
        <f>IF(O1232='Udvaskning nøgletal'!$D$65,1,IF(O1232='Udvaskning nøgletal'!$D$66,2,IF(O1232='Udvaskning nøgletal'!$D$67,3,IF(O1232='Udvaskning nøgletal'!$D$68,2,""))))</f>
        <v>2</v>
      </c>
      <c r="Y1232" s="15">
        <f>LOOKUP(K1232,'Udvaskning nøgletal'!$C$12:$C$60,'Udvaskning nøgletal'!$H$12:$H$60)</f>
        <v>5</v>
      </c>
      <c r="Z1232" s="10">
        <f>IF(X1232=1,LOOKUP(K1232,'Udvaskning nøgletal'!$C$12:$C$60,'Udvaskning nøgletal'!$E$12:$E$60)+Markniveau!Y1232*Markniveau!S1232/100,IF(X1232=2,LOOKUP(K1232,'Udvaskning nøgletal'!$C$12:$C$60,'Udvaskning nøgletal'!$F$12:$F$60)+Markniveau!Y1232*Markniveau!S1232/100,IF(X1232=3,LOOKUP(K1232,'Udvaskning nøgletal'!$C$12:$C$60,'Udvaskning nøgletal'!G1242:G1290)+Markniveau!Y1232*Markniveau!S1232/100,"")))</f>
        <v>55.420779741212854</v>
      </c>
      <c r="AA1232" s="10">
        <f t="shared" si="196"/>
        <v>275.44127531382787</v>
      </c>
      <c r="AB1232" s="10" t="str">
        <f t="shared" si="195"/>
        <v/>
      </c>
      <c r="AC1232" s="10" t="str">
        <f t="shared" si="197"/>
        <v/>
      </c>
      <c r="AD1232" s="10">
        <f>IF(AND(Q1232&gt;0,Q1232&lt;30,K1232&lt;8),Markniveau!Z1232*'Udvaskning nøgletal'!$I$12/100,IF(AND(Q1232&gt;0,Q1232&lt;30,K1232=216),Markniveau!Z1232*'Udvaskning nøgletal'!$I$34/100,Markniveau!Z1232))</f>
        <v>55.420779741212854</v>
      </c>
      <c r="AE1232" s="10">
        <f t="shared" si="193"/>
        <v>275.44127531382787</v>
      </c>
      <c r="AF1232" s="10" t="str">
        <f t="shared" si="198"/>
        <v/>
      </c>
      <c r="AG1232" s="10" t="str">
        <f t="shared" si="194"/>
        <v/>
      </c>
      <c r="AH1232" s="10" t="str">
        <f>IF(AND(Q1232&gt;0,Q1232&lt;30,K1232=216),'Udvaskning nøgletal'!$C$42,IF(AND(Q1232&gt;0,Q1232&lt;30,K1232&gt;7,K1232&lt;17),'Udvaskning nøgletal'!$C$61,IF(AND(Q1232&gt;0,Q1232&lt;30,K1232&lt;7),'Udvaskning nøgletal'!$C$62,"")))</f>
        <v/>
      </c>
      <c r="AI1232" s="10">
        <f t="shared" si="200"/>
        <v>2</v>
      </c>
      <c r="AJ1232" s="10">
        <f>IF($X1232=1,LOOKUP(AI1232,'Udvaskning nøgletal'!$C$12:$C$62,'Udvaskning nøgletal'!$E$12:$E$62)+Markniveau!$Y1232*Markniveau!$S1232/100,IF($X1232=2,LOOKUP(AI1232,'Udvaskning nøgletal'!$C$12:$C$62,'Udvaskning nøgletal'!$F$12:$F$62)+Markniveau!$Y1232*Markniveau!$S1232/100,IF($X1232=3,LOOKUP(AI1232,'Udvaskning nøgletal'!$C$12:$C$62,'Udvaskning nøgletal'!Q1242:Q1292)+Markniveau!$Y1232*Markniveau!$S1232/100,"")))</f>
        <v>55.420779741212854</v>
      </c>
      <c r="AK1232" s="10">
        <f t="shared" si="199"/>
        <v>275.44127531382787</v>
      </c>
      <c r="AL1232" s="10" t="str">
        <f t="shared" si="201"/>
        <v/>
      </c>
      <c r="AM1232" s="10" t="str">
        <f t="shared" si="202"/>
        <v/>
      </c>
    </row>
    <row r="1233" spans="1:39" x14ac:dyDescent="0.25">
      <c r="A1233" s="15">
        <v>35557628</v>
      </c>
      <c r="B1233" s="15">
        <v>9.15</v>
      </c>
      <c r="C1233" s="15">
        <v>286100</v>
      </c>
      <c r="D1233" s="15">
        <v>55926</v>
      </c>
      <c r="E1233" s="15" t="s">
        <v>1100</v>
      </c>
      <c r="F1233" s="15">
        <v>2011</v>
      </c>
      <c r="G1233" s="15">
        <v>20110513</v>
      </c>
      <c r="H1233" s="15">
        <v>102033</v>
      </c>
      <c r="I1233" s="15">
        <v>10.199999999999999</v>
      </c>
      <c r="J1233" s="6" t="s">
        <v>1101</v>
      </c>
      <c r="K1233" s="15">
        <v>152</v>
      </c>
      <c r="L1233" s="15" t="s">
        <v>333</v>
      </c>
      <c r="M1233" s="15" t="s">
        <v>5</v>
      </c>
      <c r="N1233" s="11" t="s">
        <v>1391</v>
      </c>
      <c r="O1233" s="11" t="s">
        <v>46</v>
      </c>
      <c r="P1233" s="11" t="s">
        <v>33</v>
      </c>
      <c r="Q1233" s="15">
        <v>0</v>
      </c>
      <c r="R1233" s="11" t="s">
        <v>1386</v>
      </c>
      <c r="S1233" s="10">
        <v>90.815594824257005</v>
      </c>
      <c r="T1233" s="15">
        <v>80</v>
      </c>
      <c r="U1233" s="15">
        <v>0</v>
      </c>
      <c r="V1233" s="15">
        <v>0</v>
      </c>
      <c r="W1233" s="15">
        <v>0</v>
      </c>
      <c r="X1233" s="15">
        <f>IF(O1233='Udvaskning nøgletal'!$D$65,1,IF(O1233='Udvaskning nøgletal'!$D$66,2,IF(O1233='Udvaskning nøgletal'!$D$67,3,IF(O1233='Udvaskning nøgletal'!$D$68,2,""))))</f>
        <v>2</v>
      </c>
      <c r="Y1233" s="15">
        <f>LOOKUP(K1233,'Udvaskning nøgletal'!$C$12:$C$60,'Udvaskning nøgletal'!$H$12:$H$60)</f>
        <v>5</v>
      </c>
      <c r="Z1233" s="10">
        <f>IF(X1233=1,LOOKUP(K1233,'Udvaskning nøgletal'!$C$12:$C$60,'Udvaskning nøgletal'!$E$12:$E$60)+Markniveau!Y1233*Markniveau!S1233/100,IF(X1233=2,LOOKUP(K1233,'Udvaskning nøgletal'!$C$12:$C$60,'Udvaskning nøgletal'!$F$12:$F$60)+Markniveau!Y1233*Markniveau!S1233/100,IF(X1233=3,LOOKUP(K1233,'Udvaskning nøgletal'!$C$12:$C$60,'Udvaskning nøgletal'!G1243:G1291)+Markniveau!Y1233*Markniveau!S1233/100,"")))</f>
        <v>55.420779741212854</v>
      </c>
      <c r="AA1233" s="10">
        <f t="shared" si="196"/>
        <v>565.29195336037105</v>
      </c>
      <c r="AB1233" s="10" t="str">
        <f t="shared" si="195"/>
        <v/>
      </c>
      <c r="AC1233" s="10" t="str">
        <f t="shared" si="197"/>
        <v/>
      </c>
      <c r="AD1233" s="10">
        <f>IF(AND(Q1233&gt;0,Q1233&lt;30,K1233&lt;8),Markniveau!Z1233*'Udvaskning nøgletal'!$I$12/100,IF(AND(Q1233&gt;0,Q1233&lt;30,K1233=216),Markniveau!Z1233*'Udvaskning nøgletal'!$I$34/100,Markniveau!Z1233))</f>
        <v>55.420779741212854</v>
      </c>
      <c r="AE1233" s="10">
        <f t="shared" ref="AE1233:AE1296" si="203">AD1233*I1233</f>
        <v>565.29195336037105</v>
      </c>
      <c r="AF1233" s="10" t="str">
        <f t="shared" si="198"/>
        <v/>
      </c>
      <c r="AG1233" s="10" t="str">
        <f t="shared" ref="AG1233:AG1296" si="204">IF($Q1233&gt;0,(100-$Q1233)*$AD1233/100*I1233,"")</f>
        <v/>
      </c>
      <c r="AH1233" s="10" t="str">
        <f>IF(AND(Q1233&gt;0,Q1233&lt;30,K1233=216),'Udvaskning nøgletal'!$C$42,IF(AND(Q1233&gt;0,Q1233&lt;30,K1233&gt;7,K1233&lt;17),'Udvaskning nøgletal'!$C$61,IF(AND(Q1233&gt;0,Q1233&lt;30,K1233&lt;7),'Udvaskning nøgletal'!$C$62,"")))</f>
        <v/>
      </c>
      <c r="AI1233" s="10">
        <f t="shared" si="200"/>
        <v>152</v>
      </c>
      <c r="AJ1233" s="10">
        <f>IF($X1233=1,LOOKUP(AI1233,'Udvaskning nøgletal'!$C$12:$C$62,'Udvaskning nøgletal'!$E$12:$E$62)+Markniveau!$Y1233*Markniveau!$S1233/100,IF($X1233=2,LOOKUP(AI1233,'Udvaskning nøgletal'!$C$12:$C$62,'Udvaskning nøgletal'!$F$12:$F$62)+Markniveau!$Y1233*Markniveau!$S1233/100,IF($X1233=3,LOOKUP(AI1233,'Udvaskning nøgletal'!$C$12:$C$62,'Udvaskning nøgletal'!Q1243:Q1293)+Markniveau!$Y1233*Markniveau!$S1233/100,"")))</f>
        <v>55.420779741212854</v>
      </c>
      <c r="AK1233" s="10">
        <f t="shared" si="199"/>
        <v>565.29195336037105</v>
      </c>
      <c r="AL1233" s="10" t="str">
        <f t="shared" si="201"/>
        <v/>
      </c>
      <c r="AM1233" s="10" t="str">
        <f t="shared" si="202"/>
        <v/>
      </c>
    </row>
    <row r="1234" spans="1:39" x14ac:dyDescent="0.25">
      <c r="A1234" s="15">
        <v>35557628</v>
      </c>
      <c r="B1234" s="15">
        <v>9.15</v>
      </c>
      <c r="C1234" s="15">
        <v>286431</v>
      </c>
      <c r="D1234" s="15">
        <v>55926</v>
      </c>
      <c r="E1234" s="15" t="s">
        <v>1102</v>
      </c>
      <c r="F1234" s="15">
        <v>2011</v>
      </c>
      <c r="G1234" s="15">
        <v>20110512</v>
      </c>
      <c r="H1234" s="15">
        <v>8839</v>
      </c>
      <c r="I1234" s="15">
        <v>0.88</v>
      </c>
      <c r="J1234" s="6" t="s">
        <v>1103</v>
      </c>
      <c r="K1234" s="15">
        <v>150</v>
      </c>
      <c r="L1234" s="15" t="s">
        <v>896</v>
      </c>
      <c r="M1234" s="15" t="s">
        <v>5</v>
      </c>
      <c r="N1234" s="11" t="s">
        <v>1391</v>
      </c>
      <c r="O1234" s="11" t="s">
        <v>46</v>
      </c>
      <c r="P1234" s="11" t="s">
        <v>33</v>
      </c>
      <c r="Q1234" s="15">
        <v>0</v>
      </c>
      <c r="R1234" s="11" t="s">
        <v>1386</v>
      </c>
      <c r="S1234" s="10">
        <v>90.815594824257005</v>
      </c>
      <c r="T1234" s="15">
        <v>80</v>
      </c>
      <c r="U1234" s="15">
        <v>0</v>
      </c>
      <c r="V1234" s="15">
        <v>0</v>
      </c>
      <c r="W1234" s="15">
        <v>0</v>
      </c>
      <c r="X1234" s="15">
        <f>IF(O1234='Udvaskning nøgletal'!$D$65,1,IF(O1234='Udvaskning nøgletal'!$D$66,2,IF(O1234='Udvaskning nøgletal'!$D$67,3,IF(O1234='Udvaskning nøgletal'!$D$68,2,""))))</f>
        <v>2</v>
      </c>
      <c r="Y1234" s="15">
        <f>LOOKUP(K1234,'Udvaskning nøgletal'!$C$12:$C$60,'Udvaskning nøgletal'!$H$12:$H$60)</f>
        <v>5</v>
      </c>
      <c r="Z1234" s="10">
        <f>IF(X1234=1,LOOKUP(K1234,'Udvaskning nøgletal'!$C$12:$C$60,'Udvaskning nøgletal'!$E$12:$E$60)+Markniveau!Y1234*Markniveau!S1234/100,IF(X1234=2,LOOKUP(K1234,'Udvaskning nøgletal'!$C$12:$C$60,'Udvaskning nøgletal'!$F$12:$F$60)+Markniveau!Y1234*Markniveau!S1234/100,IF(X1234=3,LOOKUP(K1234,'Udvaskning nøgletal'!$C$12:$C$60,'Udvaskning nøgletal'!G1244:G1292)+Markniveau!Y1234*Markniveau!S1234/100,"")))</f>
        <v>55.420779741212854</v>
      </c>
      <c r="AA1234" s="10">
        <f t="shared" si="196"/>
        <v>48.770286172267312</v>
      </c>
      <c r="AB1234" s="10" t="str">
        <f t="shared" si="195"/>
        <v/>
      </c>
      <c r="AC1234" s="10" t="str">
        <f t="shared" si="197"/>
        <v/>
      </c>
      <c r="AD1234" s="10">
        <f>IF(AND(Q1234&gt;0,Q1234&lt;30,K1234&lt;8),Markniveau!Z1234*'Udvaskning nøgletal'!$I$12/100,IF(AND(Q1234&gt;0,Q1234&lt;30,K1234=216),Markniveau!Z1234*'Udvaskning nøgletal'!$I$34/100,Markniveau!Z1234))</f>
        <v>55.420779741212854</v>
      </c>
      <c r="AE1234" s="10">
        <f t="shared" si="203"/>
        <v>48.770286172267312</v>
      </c>
      <c r="AF1234" s="10" t="str">
        <f t="shared" si="198"/>
        <v/>
      </c>
      <c r="AG1234" s="10" t="str">
        <f t="shared" si="204"/>
        <v/>
      </c>
      <c r="AH1234" s="10" t="str">
        <f>IF(AND(Q1234&gt;0,Q1234&lt;30,K1234=216),'Udvaskning nøgletal'!$C$42,IF(AND(Q1234&gt;0,Q1234&lt;30,K1234&gt;7,K1234&lt;17),'Udvaskning nøgletal'!$C$61,IF(AND(Q1234&gt;0,Q1234&lt;30,K1234&lt;7),'Udvaskning nøgletal'!$C$62,"")))</f>
        <v/>
      </c>
      <c r="AI1234" s="10">
        <f t="shared" si="200"/>
        <v>150</v>
      </c>
      <c r="AJ1234" s="10">
        <f>IF($X1234=1,LOOKUP(AI1234,'Udvaskning nøgletal'!$C$12:$C$62,'Udvaskning nøgletal'!$E$12:$E$62)+Markniveau!$Y1234*Markniveau!$S1234/100,IF($X1234=2,LOOKUP(AI1234,'Udvaskning nøgletal'!$C$12:$C$62,'Udvaskning nøgletal'!$F$12:$F$62)+Markniveau!$Y1234*Markniveau!$S1234/100,IF($X1234=3,LOOKUP(AI1234,'Udvaskning nøgletal'!$C$12:$C$62,'Udvaskning nøgletal'!Q1244:Q1294)+Markniveau!$Y1234*Markniveau!$S1234/100,"")))</f>
        <v>55.420779741212854</v>
      </c>
      <c r="AK1234" s="10">
        <f t="shared" si="199"/>
        <v>48.770286172267312</v>
      </c>
      <c r="AL1234" s="10" t="str">
        <f t="shared" si="201"/>
        <v/>
      </c>
      <c r="AM1234" s="10" t="str">
        <f t="shared" si="202"/>
        <v/>
      </c>
    </row>
    <row r="1235" spans="1:39" x14ac:dyDescent="0.25">
      <c r="A1235" s="15">
        <v>35557628</v>
      </c>
      <c r="B1235" s="15">
        <v>9.15</v>
      </c>
      <c r="C1235" s="15">
        <v>286530</v>
      </c>
      <c r="D1235" s="15">
        <v>55926</v>
      </c>
      <c r="E1235" s="15" t="s">
        <v>1104</v>
      </c>
      <c r="F1235" s="15">
        <v>2011</v>
      </c>
      <c r="G1235" s="15">
        <v>20110512</v>
      </c>
      <c r="H1235" s="15">
        <v>60905</v>
      </c>
      <c r="I1235" s="15">
        <v>6.09</v>
      </c>
      <c r="J1235" s="6" t="s">
        <v>1105</v>
      </c>
      <c r="K1235" s="15">
        <v>15</v>
      </c>
      <c r="L1235" s="15" t="s">
        <v>362</v>
      </c>
      <c r="M1235" s="15" t="s">
        <v>5</v>
      </c>
      <c r="N1235" s="11" t="s">
        <v>1384</v>
      </c>
      <c r="O1235" s="11" t="s">
        <v>28</v>
      </c>
      <c r="P1235" s="11" t="s">
        <v>33</v>
      </c>
      <c r="Q1235" s="15">
        <v>0</v>
      </c>
      <c r="R1235" s="11" t="s">
        <v>1386</v>
      </c>
      <c r="S1235" s="10">
        <v>90.815594824257005</v>
      </c>
      <c r="T1235" s="15">
        <v>80</v>
      </c>
      <c r="U1235" s="15">
        <v>0</v>
      </c>
      <c r="V1235" s="15">
        <v>0</v>
      </c>
      <c r="W1235" s="15">
        <v>0</v>
      </c>
      <c r="X1235" s="15">
        <f>IF(O1235='Udvaskning nøgletal'!$D$65,1,IF(O1235='Udvaskning nøgletal'!$D$66,2,IF(O1235='Udvaskning nøgletal'!$D$67,3,IF(O1235='Udvaskning nøgletal'!$D$68,2,""))))</f>
        <v>1</v>
      </c>
      <c r="Y1235" s="15">
        <f>LOOKUP(K1235,'Udvaskning nøgletal'!$C$12:$C$60,'Udvaskning nøgletal'!$H$12:$H$60)</f>
        <v>5</v>
      </c>
      <c r="Z1235" s="10">
        <f>IF(X1235=1,LOOKUP(K1235,'Udvaskning nøgletal'!$C$12:$C$60,'Udvaskning nøgletal'!$E$12:$E$60)+Markniveau!Y1235*Markniveau!S1235/100,IF(X1235=2,LOOKUP(K1235,'Udvaskning nøgletal'!$C$12:$C$60,'Udvaskning nøgletal'!$F$12:$F$60)+Markniveau!Y1235*Markniveau!S1235/100,IF(X1235=3,LOOKUP(K1235,'Udvaskning nøgletal'!$C$12:$C$60,'Udvaskning nøgletal'!G1245:G1293)+Markniveau!Y1235*Markniveau!S1235/100,"")))</f>
        <v>69.200779741212841</v>
      </c>
      <c r="AA1235" s="10">
        <f t="shared" si="196"/>
        <v>421.43274862398619</v>
      </c>
      <c r="AB1235" s="10" t="str">
        <f t="shared" si="195"/>
        <v/>
      </c>
      <c r="AC1235" s="10" t="str">
        <f t="shared" si="197"/>
        <v/>
      </c>
      <c r="AD1235" s="10">
        <f>IF(AND(Q1235&gt;0,Q1235&lt;30,K1235&lt;8),Markniveau!Z1235*'Udvaskning nøgletal'!$I$12/100,IF(AND(Q1235&gt;0,Q1235&lt;30,K1235=216),Markniveau!Z1235*'Udvaskning nøgletal'!$I$34/100,Markniveau!Z1235))</f>
        <v>69.200779741212841</v>
      </c>
      <c r="AE1235" s="10">
        <f t="shared" si="203"/>
        <v>421.43274862398619</v>
      </c>
      <c r="AF1235" s="10" t="str">
        <f t="shared" si="198"/>
        <v/>
      </c>
      <c r="AG1235" s="10" t="str">
        <f t="shared" si="204"/>
        <v/>
      </c>
      <c r="AH1235" s="10" t="str">
        <f>IF(AND(Q1235&gt;0,Q1235&lt;30,K1235=216),'Udvaskning nøgletal'!$C$42,IF(AND(Q1235&gt;0,Q1235&lt;30,K1235&gt;7,K1235&lt;17),'Udvaskning nøgletal'!$C$61,IF(AND(Q1235&gt;0,Q1235&lt;30,K1235&lt;7),'Udvaskning nøgletal'!$C$62,"")))</f>
        <v/>
      </c>
      <c r="AI1235" s="10">
        <f t="shared" si="200"/>
        <v>15</v>
      </c>
      <c r="AJ1235" s="10">
        <f>IF($X1235=1,LOOKUP(AI1235,'Udvaskning nøgletal'!$C$12:$C$62,'Udvaskning nøgletal'!$E$12:$E$62)+Markniveau!$Y1235*Markniveau!$S1235/100,IF($X1235=2,LOOKUP(AI1235,'Udvaskning nøgletal'!$C$12:$C$62,'Udvaskning nøgletal'!$F$12:$F$62)+Markniveau!$Y1235*Markniveau!$S1235/100,IF($X1235=3,LOOKUP(AI1235,'Udvaskning nøgletal'!$C$12:$C$62,'Udvaskning nøgletal'!Q1245:Q1295)+Markniveau!$Y1235*Markniveau!$S1235/100,"")))</f>
        <v>69.200779741212841</v>
      </c>
      <c r="AK1235" s="10">
        <f t="shared" si="199"/>
        <v>421.43274862398619</v>
      </c>
      <c r="AL1235" s="10" t="str">
        <f t="shared" si="201"/>
        <v/>
      </c>
      <c r="AM1235" s="10" t="str">
        <f t="shared" si="202"/>
        <v/>
      </c>
    </row>
    <row r="1236" spans="1:39" x14ac:dyDescent="0.25">
      <c r="A1236" s="15">
        <v>35557628</v>
      </c>
      <c r="B1236" s="15">
        <v>9.15</v>
      </c>
      <c r="C1236" s="15">
        <v>286550</v>
      </c>
      <c r="D1236" s="15">
        <v>55926</v>
      </c>
      <c r="E1236" s="15" t="s">
        <v>884</v>
      </c>
      <c r="F1236" s="15">
        <v>2011</v>
      </c>
      <c r="G1236" s="15">
        <v>20110512</v>
      </c>
      <c r="H1236" s="15">
        <v>80344</v>
      </c>
      <c r="I1236" s="15">
        <v>8.0299999999999994</v>
      </c>
      <c r="J1236" s="6" t="s">
        <v>1106</v>
      </c>
      <c r="K1236" s="15">
        <v>22</v>
      </c>
      <c r="L1236" s="15" t="s">
        <v>213</v>
      </c>
      <c r="M1236" s="15" t="s">
        <v>5</v>
      </c>
      <c r="N1236" s="11" t="s">
        <v>1384</v>
      </c>
      <c r="O1236" s="11" t="s">
        <v>28</v>
      </c>
      <c r="P1236" s="11" t="s">
        <v>33</v>
      </c>
      <c r="Q1236" s="15">
        <v>0</v>
      </c>
      <c r="R1236" s="11" t="s">
        <v>1386</v>
      </c>
      <c r="S1236" s="10">
        <v>90.815594824257005</v>
      </c>
      <c r="T1236" s="15">
        <v>80</v>
      </c>
      <c r="U1236" s="15">
        <v>0</v>
      </c>
      <c r="V1236" s="15">
        <v>0</v>
      </c>
      <c r="W1236" s="15">
        <v>0</v>
      </c>
      <c r="X1236" s="15">
        <f>IF(O1236='Udvaskning nøgletal'!$D$65,1,IF(O1236='Udvaskning nøgletal'!$D$66,2,IF(O1236='Udvaskning nøgletal'!$D$67,3,IF(O1236='Udvaskning nøgletal'!$D$68,2,""))))</f>
        <v>1</v>
      </c>
      <c r="Y1236" s="15">
        <f>LOOKUP(K1236,'Udvaskning nøgletal'!$C$12:$C$60,'Udvaskning nøgletal'!$H$12:$H$60)</f>
        <v>5</v>
      </c>
      <c r="Z1236" s="10">
        <f>IF(X1236=1,LOOKUP(K1236,'Udvaskning nøgletal'!$C$12:$C$60,'Udvaskning nøgletal'!$E$12:$E$60)+Markniveau!Y1236*Markniveau!S1236/100,IF(X1236=2,LOOKUP(K1236,'Udvaskning nøgletal'!$C$12:$C$60,'Udvaskning nøgletal'!$F$12:$F$60)+Markniveau!Y1236*Markniveau!S1236/100,IF(X1236=3,LOOKUP(K1236,'Udvaskning nøgletal'!$C$12:$C$60,'Udvaskning nøgletal'!G1246:G1294)+Markniveau!Y1236*Markniveau!S1236/100,"")))</f>
        <v>69.200779741212841</v>
      </c>
      <c r="AA1236" s="10">
        <f t="shared" si="196"/>
        <v>555.68226132193911</v>
      </c>
      <c r="AB1236" s="10" t="str">
        <f t="shared" si="195"/>
        <v/>
      </c>
      <c r="AC1236" s="10" t="str">
        <f t="shared" si="197"/>
        <v/>
      </c>
      <c r="AD1236" s="10">
        <f>IF(AND(Q1236&gt;0,Q1236&lt;30,K1236&lt;8),Markniveau!Z1236*'Udvaskning nøgletal'!$I$12/100,IF(AND(Q1236&gt;0,Q1236&lt;30,K1236=216),Markniveau!Z1236*'Udvaskning nøgletal'!$I$34/100,Markniveau!Z1236))</f>
        <v>69.200779741212841</v>
      </c>
      <c r="AE1236" s="10">
        <f t="shared" si="203"/>
        <v>555.68226132193911</v>
      </c>
      <c r="AF1236" s="10" t="str">
        <f t="shared" si="198"/>
        <v/>
      </c>
      <c r="AG1236" s="10" t="str">
        <f t="shared" si="204"/>
        <v/>
      </c>
      <c r="AH1236" s="10" t="str">
        <f>IF(AND(Q1236&gt;0,Q1236&lt;30,K1236=216),'Udvaskning nøgletal'!$C$42,IF(AND(Q1236&gt;0,Q1236&lt;30,K1236&gt;7,K1236&lt;17),'Udvaskning nøgletal'!$C$61,IF(AND(Q1236&gt;0,Q1236&lt;30,K1236&lt;7),'Udvaskning nøgletal'!$C$62,"")))</f>
        <v/>
      </c>
      <c r="AI1236" s="10">
        <f t="shared" si="200"/>
        <v>22</v>
      </c>
      <c r="AJ1236" s="10">
        <f>IF($X1236=1,LOOKUP(AI1236,'Udvaskning nøgletal'!$C$12:$C$62,'Udvaskning nøgletal'!$E$12:$E$62)+Markniveau!$Y1236*Markniveau!$S1236/100,IF($X1236=2,LOOKUP(AI1236,'Udvaskning nøgletal'!$C$12:$C$62,'Udvaskning nøgletal'!$F$12:$F$62)+Markniveau!$Y1236*Markniveau!$S1236/100,IF($X1236=3,LOOKUP(AI1236,'Udvaskning nøgletal'!$C$12:$C$62,'Udvaskning nøgletal'!Q1246:Q1296)+Markniveau!$Y1236*Markniveau!$S1236/100,"")))</f>
        <v>69.200779741212841</v>
      </c>
      <c r="AK1236" s="10">
        <f t="shared" si="199"/>
        <v>555.68226132193911</v>
      </c>
      <c r="AL1236" s="10" t="str">
        <f t="shared" si="201"/>
        <v/>
      </c>
      <c r="AM1236" s="10" t="str">
        <f t="shared" si="202"/>
        <v/>
      </c>
    </row>
    <row r="1237" spans="1:39" x14ac:dyDescent="0.25">
      <c r="A1237" s="15">
        <v>35557628</v>
      </c>
      <c r="B1237" s="15">
        <v>9.15</v>
      </c>
      <c r="C1237" s="15">
        <v>286621</v>
      </c>
      <c r="D1237" s="15">
        <v>55926</v>
      </c>
      <c r="E1237" s="15" t="s">
        <v>880</v>
      </c>
      <c r="F1237" s="15">
        <v>2011</v>
      </c>
      <c r="G1237" s="15">
        <v>20110512</v>
      </c>
      <c r="H1237" s="15">
        <v>5010</v>
      </c>
      <c r="I1237" s="15">
        <v>0.5</v>
      </c>
      <c r="J1237" s="6" t="s">
        <v>1107</v>
      </c>
      <c r="K1237" s="15">
        <v>276</v>
      </c>
      <c r="L1237" s="15" t="s">
        <v>146</v>
      </c>
      <c r="M1237" s="15" t="s">
        <v>4</v>
      </c>
      <c r="N1237" s="11" t="s">
        <v>1391</v>
      </c>
      <c r="O1237" s="11" t="s">
        <v>46</v>
      </c>
      <c r="P1237" s="11" t="s">
        <v>33</v>
      </c>
      <c r="Q1237" s="15">
        <v>0</v>
      </c>
      <c r="R1237" s="11" t="s">
        <v>1386</v>
      </c>
      <c r="S1237" s="10">
        <v>90.815594824257005</v>
      </c>
      <c r="T1237" s="15">
        <v>80</v>
      </c>
      <c r="U1237" s="15">
        <v>0</v>
      </c>
      <c r="V1237" s="15">
        <v>0</v>
      </c>
      <c r="W1237" s="15">
        <v>0</v>
      </c>
      <c r="X1237" s="15">
        <f>IF(O1237='Udvaskning nøgletal'!$D$65,1,IF(O1237='Udvaskning nøgletal'!$D$66,2,IF(O1237='Udvaskning nøgletal'!$D$67,3,IF(O1237='Udvaskning nøgletal'!$D$68,2,""))))</f>
        <v>2</v>
      </c>
      <c r="Y1237" s="15">
        <f>LOOKUP(K1237,'Udvaskning nøgletal'!$C$12:$C$60,'Udvaskning nøgletal'!$H$12:$H$60)</f>
        <v>0</v>
      </c>
      <c r="Z1237" s="10">
        <f>IF(X1237=1,LOOKUP(K1237,'Udvaskning nøgletal'!$C$12:$C$60,'Udvaskning nøgletal'!$E$12:$E$60)+Markniveau!Y1237*Markniveau!S1237/100,IF(X1237=2,LOOKUP(K1237,'Udvaskning nøgletal'!$C$12:$C$60,'Udvaskning nøgletal'!$F$12:$F$60)+Markniveau!Y1237*Markniveau!S1237/100,IF(X1237=3,LOOKUP(K1237,'Udvaskning nøgletal'!$C$12:$C$60,'Udvaskning nøgletal'!G1247:G1295)+Markniveau!Y1237*Markniveau!S1237/100,"")))</f>
        <v>10.6</v>
      </c>
      <c r="AA1237" s="10">
        <f t="shared" si="196"/>
        <v>5.3</v>
      </c>
      <c r="AB1237" s="10" t="str">
        <f t="shared" si="195"/>
        <v/>
      </c>
      <c r="AC1237" s="10" t="str">
        <f t="shared" si="197"/>
        <v/>
      </c>
      <c r="AD1237" s="10">
        <f>IF(AND(Q1237&gt;0,Q1237&lt;30,K1237&lt;8),Markniveau!Z1237*'Udvaskning nøgletal'!$I$12/100,IF(AND(Q1237&gt;0,Q1237&lt;30,K1237=216),Markniveau!Z1237*'Udvaskning nøgletal'!$I$34/100,Markniveau!Z1237))</f>
        <v>10.6</v>
      </c>
      <c r="AE1237" s="10">
        <f t="shared" si="203"/>
        <v>5.3</v>
      </c>
      <c r="AF1237" s="10" t="str">
        <f t="shared" si="198"/>
        <v/>
      </c>
      <c r="AG1237" s="10" t="str">
        <f t="shared" si="204"/>
        <v/>
      </c>
      <c r="AH1237" s="10" t="str">
        <f>IF(AND(Q1237&gt;0,Q1237&lt;30,K1237=216),'Udvaskning nøgletal'!$C$42,IF(AND(Q1237&gt;0,Q1237&lt;30,K1237&gt;7,K1237&lt;17),'Udvaskning nøgletal'!$C$61,IF(AND(Q1237&gt;0,Q1237&lt;30,K1237&lt;7),'Udvaskning nøgletal'!$C$62,"")))</f>
        <v/>
      </c>
      <c r="AI1237" s="10">
        <f t="shared" si="200"/>
        <v>276</v>
      </c>
      <c r="AJ1237" s="10">
        <f>IF($X1237=1,LOOKUP(AI1237,'Udvaskning nøgletal'!$C$12:$C$62,'Udvaskning nøgletal'!$E$12:$E$62)+Markniveau!$Y1237*Markniveau!$S1237/100,IF($X1237=2,LOOKUP(AI1237,'Udvaskning nøgletal'!$C$12:$C$62,'Udvaskning nøgletal'!$F$12:$F$62)+Markniveau!$Y1237*Markniveau!$S1237/100,IF($X1237=3,LOOKUP(AI1237,'Udvaskning nøgletal'!$C$12:$C$62,'Udvaskning nøgletal'!Q1247:Q1297)+Markniveau!$Y1237*Markniveau!$S1237/100,"")))</f>
        <v>10.6</v>
      </c>
      <c r="AK1237" s="10">
        <f t="shared" si="199"/>
        <v>5.3</v>
      </c>
      <c r="AL1237" s="10" t="str">
        <f t="shared" si="201"/>
        <v/>
      </c>
      <c r="AM1237" s="10" t="str">
        <f t="shared" si="202"/>
        <v/>
      </c>
    </row>
    <row r="1238" spans="1:39" x14ac:dyDescent="0.25">
      <c r="A1238" s="15">
        <v>35557628</v>
      </c>
      <c r="B1238" s="15">
        <v>9.15</v>
      </c>
      <c r="C1238" s="15">
        <v>286622</v>
      </c>
      <c r="D1238" s="15">
        <v>55926</v>
      </c>
      <c r="E1238" s="15" t="s">
        <v>1108</v>
      </c>
      <c r="F1238" s="15">
        <v>2011</v>
      </c>
      <c r="G1238" s="15">
        <v>20110512</v>
      </c>
      <c r="H1238" s="15">
        <v>180207</v>
      </c>
      <c r="I1238" s="15">
        <v>18.02</v>
      </c>
      <c r="J1238" s="6" t="s">
        <v>1109</v>
      </c>
      <c r="K1238" s="15">
        <v>152</v>
      </c>
      <c r="L1238" s="15" t="s">
        <v>333</v>
      </c>
      <c r="M1238" s="15" t="s">
        <v>5</v>
      </c>
      <c r="N1238" s="11" t="s">
        <v>1384</v>
      </c>
      <c r="O1238" s="11" t="s">
        <v>28</v>
      </c>
      <c r="P1238" s="11" t="s">
        <v>33</v>
      </c>
      <c r="Q1238" s="15">
        <v>0</v>
      </c>
      <c r="R1238" s="11" t="s">
        <v>1386</v>
      </c>
      <c r="S1238" s="10">
        <v>90.815594824257005</v>
      </c>
      <c r="T1238" s="15">
        <v>80</v>
      </c>
      <c r="U1238" s="15">
        <v>0</v>
      </c>
      <c r="V1238" s="15">
        <v>0</v>
      </c>
      <c r="W1238" s="15">
        <v>0</v>
      </c>
      <c r="X1238" s="15">
        <f>IF(O1238='Udvaskning nøgletal'!$D$65,1,IF(O1238='Udvaskning nøgletal'!$D$66,2,IF(O1238='Udvaskning nøgletal'!$D$67,3,IF(O1238='Udvaskning nøgletal'!$D$68,2,""))))</f>
        <v>1</v>
      </c>
      <c r="Y1238" s="15">
        <f>LOOKUP(K1238,'Udvaskning nøgletal'!$C$12:$C$60,'Udvaskning nøgletal'!$H$12:$H$60)</f>
        <v>5</v>
      </c>
      <c r="Z1238" s="10">
        <f>IF(X1238=1,LOOKUP(K1238,'Udvaskning nøgletal'!$C$12:$C$60,'Udvaskning nøgletal'!$E$12:$E$60)+Markniveau!Y1238*Markniveau!S1238/100,IF(X1238=2,LOOKUP(K1238,'Udvaskning nøgletal'!$C$12:$C$60,'Udvaskning nøgletal'!$F$12:$F$60)+Markniveau!Y1238*Markniveau!S1238/100,IF(X1238=3,LOOKUP(K1238,'Udvaskning nøgletal'!$C$12:$C$60,'Udvaskning nøgletal'!G1248:G1296)+Markniveau!Y1238*Markniveau!S1238/100,"")))</f>
        <v>69.200779741212841</v>
      </c>
      <c r="AA1238" s="10">
        <f t="shared" si="196"/>
        <v>1246.9980509366553</v>
      </c>
      <c r="AB1238" s="10" t="str">
        <f t="shared" si="195"/>
        <v/>
      </c>
      <c r="AC1238" s="10" t="str">
        <f t="shared" si="197"/>
        <v/>
      </c>
      <c r="AD1238" s="10">
        <f>IF(AND(Q1238&gt;0,Q1238&lt;30,K1238&lt;8),Markniveau!Z1238*'Udvaskning nøgletal'!$I$12/100,IF(AND(Q1238&gt;0,Q1238&lt;30,K1238=216),Markniveau!Z1238*'Udvaskning nøgletal'!$I$34/100,Markniveau!Z1238))</f>
        <v>69.200779741212841</v>
      </c>
      <c r="AE1238" s="10">
        <f t="shared" si="203"/>
        <v>1246.9980509366553</v>
      </c>
      <c r="AF1238" s="10" t="str">
        <f t="shared" si="198"/>
        <v/>
      </c>
      <c r="AG1238" s="10" t="str">
        <f t="shared" si="204"/>
        <v/>
      </c>
      <c r="AH1238" s="10" t="str">
        <f>IF(AND(Q1238&gt;0,Q1238&lt;30,K1238=216),'Udvaskning nøgletal'!$C$42,IF(AND(Q1238&gt;0,Q1238&lt;30,K1238&gt;7,K1238&lt;17),'Udvaskning nøgletal'!$C$61,IF(AND(Q1238&gt;0,Q1238&lt;30,K1238&lt;7),'Udvaskning nøgletal'!$C$62,"")))</f>
        <v/>
      </c>
      <c r="AI1238" s="10">
        <f t="shared" si="200"/>
        <v>152</v>
      </c>
      <c r="AJ1238" s="10">
        <f>IF($X1238=1,LOOKUP(AI1238,'Udvaskning nøgletal'!$C$12:$C$62,'Udvaskning nøgletal'!$E$12:$E$62)+Markniveau!$Y1238*Markniveau!$S1238/100,IF($X1238=2,LOOKUP(AI1238,'Udvaskning nøgletal'!$C$12:$C$62,'Udvaskning nøgletal'!$F$12:$F$62)+Markniveau!$Y1238*Markniveau!$S1238/100,IF($X1238=3,LOOKUP(AI1238,'Udvaskning nøgletal'!$C$12:$C$62,'Udvaskning nøgletal'!Q1248:Q1298)+Markniveau!$Y1238*Markniveau!$S1238/100,"")))</f>
        <v>69.200779741212841</v>
      </c>
      <c r="AK1238" s="10">
        <f t="shared" si="199"/>
        <v>1246.9980509366553</v>
      </c>
      <c r="AL1238" s="10" t="str">
        <f t="shared" si="201"/>
        <v/>
      </c>
      <c r="AM1238" s="10" t="str">
        <f t="shared" si="202"/>
        <v/>
      </c>
    </row>
    <row r="1239" spans="1:39" x14ac:dyDescent="0.25">
      <c r="A1239" s="15">
        <v>35557628</v>
      </c>
      <c r="B1239" s="15">
        <v>9.15</v>
      </c>
      <c r="C1239" s="15">
        <v>286623</v>
      </c>
      <c r="D1239" s="15">
        <v>55926</v>
      </c>
      <c r="E1239" s="15" t="s">
        <v>1110</v>
      </c>
      <c r="F1239" s="15">
        <v>2011</v>
      </c>
      <c r="G1239" s="15">
        <v>20110512</v>
      </c>
      <c r="H1239" s="15">
        <v>44164</v>
      </c>
      <c r="I1239" s="15">
        <v>4.42</v>
      </c>
      <c r="J1239" s="6" t="s">
        <v>1111</v>
      </c>
      <c r="K1239" s="15">
        <v>11</v>
      </c>
      <c r="L1239" s="15" t="s">
        <v>102</v>
      </c>
      <c r="M1239" s="15" t="s">
        <v>5</v>
      </c>
      <c r="N1239" s="11" t="s">
        <v>1406</v>
      </c>
      <c r="O1239" s="11" t="s">
        <v>46</v>
      </c>
      <c r="P1239" s="11" t="s">
        <v>33</v>
      </c>
      <c r="Q1239" s="15">
        <v>0</v>
      </c>
      <c r="R1239" s="11" t="s">
        <v>1386</v>
      </c>
      <c r="S1239" s="10">
        <v>90.815594824257005</v>
      </c>
      <c r="T1239" s="15">
        <v>80</v>
      </c>
      <c r="U1239" s="15">
        <v>0</v>
      </c>
      <c r="V1239" s="15">
        <v>0</v>
      </c>
      <c r="W1239" s="15">
        <v>0</v>
      </c>
      <c r="X1239" s="15">
        <f>IF(O1239='Udvaskning nøgletal'!$D$65,1,IF(O1239='Udvaskning nøgletal'!$D$66,2,IF(O1239='Udvaskning nøgletal'!$D$67,3,IF(O1239='Udvaskning nøgletal'!$D$68,2,""))))</f>
        <v>2</v>
      </c>
      <c r="Y1239" s="15">
        <f>LOOKUP(K1239,'Udvaskning nøgletal'!$C$12:$C$60,'Udvaskning nøgletal'!$H$12:$H$60)</f>
        <v>5</v>
      </c>
      <c r="Z1239" s="10">
        <f>IF(X1239=1,LOOKUP(K1239,'Udvaskning nøgletal'!$C$12:$C$60,'Udvaskning nøgletal'!$E$12:$E$60)+Markniveau!Y1239*Markniveau!S1239/100,IF(X1239=2,LOOKUP(K1239,'Udvaskning nøgletal'!$C$12:$C$60,'Udvaskning nøgletal'!$F$12:$F$60)+Markniveau!Y1239*Markniveau!S1239/100,IF(X1239=3,LOOKUP(K1239,'Udvaskning nøgletal'!$C$12:$C$60,'Udvaskning nøgletal'!G1249:G1297)+Markniveau!Y1239*Markniveau!S1239/100,"")))</f>
        <v>55.420779741212854</v>
      </c>
      <c r="AA1239" s="10">
        <f t="shared" si="196"/>
        <v>244.95984645616082</v>
      </c>
      <c r="AB1239" s="10" t="str">
        <f t="shared" si="195"/>
        <v/>
      </c>
      <c r="AC1239" s="10" t="str">
        <f t="shared" si="197"/>
        <v/>
      </c>
      <c r="AD1239" s="10">
        <f>IF(AND(Q1239&gt;0,Q1239&lt;30,K1239&lt;8),Markniveau!Z1239*'Udvaskning nøgletal'!$I$12/100,IF(AND(Q1239&gt;0,Q1239&lt;30,K1239=216),Markniveau!Z1239*'Udvaskning nøgletal'!$I$34/100,Markniveau!Z1239))</f>
        <v>55.420779741212854</v>
      </c>
      <c r="AE1239" s="10">
        <f t="shared" si="203"/>
        <v>244.95984645616082</v>
      </c>
      <c r="AF1239" s="10" t="str">
        <f t="shared" si="198"/>
        <v/>
      </c>
      <c r="AG1239" s="10" t="str">
        <f t="shared" si="204"/>
        <v/>
      </c>
      <c r="AH1239" s="10" t="str">
        <f>IF(AND(Q1239&gt;0,Q1239&lt;30,K1239=216),'Udvaskning nøgletal'!$C$42,IF(AND(Q1239&gt;0,Q1239&lt;30,K1239&gt;7,K1239&lt;17),'Udvaskning nøgletal'!$C$61,IF(AND(Q1239&gt;0,Q1239&lt;30,K1239&lt;7),'Udvaskning nøgletal'!$C$62,"")))</f>
        <v/>
      </c>
      <c r="AI1239" s="10">
        <f t="shared" si="200"/>
        <v>11</v>
      </c>
      <c r="AJ1239" s="10">
        <f>IF($X1239=1,LOOKUP(AI1239,'Udvaskning nøgletal'!$C$12:$C$62,'Udvaskning nøgletal'!$E$12:$E$62)+Markniveau!$Y1239*Markniveau!$S1239/100,IF($X1239=2,LOOKUP(AI1239,'Udvaskning nøgletal'!$C$12:$C$62,'Udvaskning nøgletal'!$F$12:$F$62)+Markniveau!$Y1239*Markniveau!$S1239/100,IF($X1239=3,LOOKUP(AI1239,'Udvaskning nøgletal'!$C$12:$C$62,'Udvaskning nøgletal'!Q1249:Q1299)+Markniveau!$Y1239*Markniveau!$S1239/100,"")))</f>
        <v>55.420779741212854</v>
      </c>
      <c r="AK1239" s="10">
        <f t="shared" si="199"/>
        <v>244.95984645616082</v>
      </c>
      <c r="AL1239" s="10" t="str">
        <f t="shared" si="201"/>
        <v/>
      </c>
      <c r="AM1239" s="10" t="str">
        <f t="shared" si="202"/>
        <v/>
      </c>
    </row>
    <row r="1240" spans="1:39" x14ac:dyDescent="0.25">
      <c r="A1240" s="15">
        <v>35557628</v>
      </c>
      <c r="B1240" s="15">
        <v>9.15</v>
      </c>
      <c r="C1240" s="15">
        <v>286624</v>
      </c>
      <c r="D1240" s="15">
        <v>55926</v>
      </c>
      <c r="E1240" s="15" t="s">
        <v>906</v>
      </c>
      <c r="F1240" s="15">
        <v>2011</v>
      </c>
      <c r="G1240" s="15">
        <v>20110512</v>
      </c>
      <c r="H1240" s="15">
        <v>100896</v>
      </c>
      <c r="I1240" s="15">
        <v>10.09</v>
      </c>
      <c r="J1240" s="6" t="s">
        <v>65</v>
      </c>
      <c r="K1240" s="15">
        <v>150</v>
      </c>
      <c r="L1240" s="15" t="s">
        <v>896</v>
      </c>
      <c r="M1240" s="15" t="s">
        <v>5</v>
      </c>
      <c r="N1240" s="11" t="s">
        <v>1384</v>
      </c>
      <c r="O1240" s="11" t="s">
        <v>28</v>
      </c>
      <c r="P1240" s="11" t="s">
        <v>33</v>
      </c>
      <c r="Q1240" s="15">
        <v>0</v>
      </c>
      <c r="R1240" s="11" t="s">
        <v>1386</v>
      </c>
      <c r="S1240" s="10">
        <v>90.815594824257005</v>
      </c>
      <c r="T1240" s="15">
        <v>80</v>
      </c>
      <c r="U1240" s="15">
        <v>0</v>
      </c>
      <c r="V1240" s="15">
        <v>0</v>
      </c>
      <c r="W1240" s="15">
        <v>0</v>
      </c>
      <c r="X1240" s="15">
        <f>IF(O1240='Udvaskning nøgletal'!$D$65,1,IF(O1240='Udvaskning nøgletal'!$D$66,2,IF(O1240='Udvaskning nøgletal'!$D$67,3,IF(O1240='Udvaskning nøgletal'!$D$68,2,""))))</f>
        <v>1</v>
      </c>
      <c r="Y1240" s="15">
        <f>LOOKUP(K1240,'Udvaskning nøgletal'!$C$12:$C$60,'Udvaskning nøgletal'!$H$12:$H$60)</f>
        <v>5</v>
      </c>
      <c r="Z1240" s="10">
        <f>IF(X1240=1,LOOKUP(K1240,'Udvaskning nøgletal'!$C$12:$C$60,'Udvaskning nøgletal'!$E$12:$E$60)+Markniveau!Y1240*Markniveau!S1240/100,IF(X1240=2,LOOKUP(K1240,'Udvaskning nøgletal'!$C$12:$C$60,'Udvaskning nøgletal'!$F$12:$F$60)+Markniveau!Y1240*Markniveau!S1240/100,IF(X1240=3,LOOKUP(K1240,'Udvaskning nøgletal'!$C$12:$C$60,'Udvaskning nøgletal'!G1250:G1298)+Markniveau!Y1240*Markniveau!S1240/100,"")))</f>
        <v>69.200779741212841</v>
      </c>
      <c r="AA1240" s="10">
        <f t="shared" si="196"/>
        <v>698.23586758883755</v>
      </c>
      <c r="AB1240" s="10" t="str">
        <f t="shared" si="195"/>
        <v/>
      </c>
      <c r="AC1240" s="10" t="str">
        <f t="shared" si="197"/>
        <v/>
      </c>
      <c r="AD1240" s="10">
        <f>IF(AND(Q1240&gt;0,Q1240&lt;30,K1240&lt;8),Markniveau!Z1240*'Udvaskning nøgletal'!$I$12/100,IF(AND(Q1240&gt;0,Q1240&lt;30,K1240=216),Markniveau!Z1240*'Udvaskning nøgletal'!$I$34/100,Markniveau!Z1240))</f>
        <v>69.200779741212841</v>
      </c>
      <c r="AE1240" s="10">
        <f t="shared" si="203"/>
        <v>698.23586758883755</v>
      </c>
      <c r="AF1240" s="10" t="str">
        <f t="shared" si="198"/>
        <v/>
      </c>
      <c r="AG1240" s="10" t="str">
        <f t="shared" si="204"/>
        <v/>
      </c>
      <c r="AH1240" s="10" t="str">
        <f>IF(AND(Q1240&gt;0,Q1240&lt;30,K1240=216),'Udvaskning nøgletal'!$C$42,IF(AND(Q1240&gt;0,Q1240&lt;30,K1240&gt;7,K1240&lt;17),'Udvaskning nøgletal'!$C$61,IF(AND(Q1240&gt;0,Q1240&lt;30,K1240&lt;7),'Udvaskning nøgletal'!$C$62,"")))</f>
        <v/>
      </c>
      <c r="AI1240" s="10">
        <f t="shared" si="200"/>
        <v>150</v>
      </c>
      <c r="AJ1240" s="10">
        <f>IF($X1240=1,LOOKUP(AI1240,'Udvaskning nøgletal'!$C$12:$C$62,'Udvaskning nøgletal'!$E$12:$E$62)+Markniveau!$Y1240*Markniveau!$S1240/100,IF($X1240=2,LOOKUP(AI1240,'Udvaskning nøgletal'!$C$12:$C$62,'Udvaskning nøgletal'!$F$12:$F$62)+Markniveau!$Y1240*Markniveau!$S1240/100,IF($X1240=3,LOOKUP(AI1240,'Udvaskning nøgletal'!$C$12:$C$62,'Udvaskning nøgletal'!Q1250:Q1300)+Markniveau!$Y1240*Markniveau!$S1240/100,"")))</f>
        <v>69.200779741212841</v>
      </c>
      <c r="AK1240" s="10">
        <f t="shared" si="199"/>
        <v>698.23586758883755</v>
      </c>
      <c r="AL1240" s="10" t="str">
        <f t="shared" si="201"/>
        <v/>
      </c>
      <c r="AM1240" s="10" t="str">
        <f t="shared" si="202"/>
        <v/>
      </c>
    </row>
    <row r="1241" spans="1:39" x14ac:dyDescent="0.25">
      <c r="A1241" s="15">
        <v>35557628</v>
      </c>
      <c r="B1241" s="15">
        <v>9.15</v>
      </c>
      <c r="C1241" s="15">
        <v>286625</v>
      </c>
      <c r="D1241" s="15">
        <v>55926</v>
      </c>
      <c r="E1241" s="15" t="s">
        <v>1112</v>
      </c>
      <c r="F1241" s="15">
        <v>2011</v>
      </c>
      <c r="G1241" s="15">
        <v>20110512</v>
      </c>
      <c r="H1241" s="15">
        <v>49128</v>
      </c>
      <c r="I1241" s="15">
        <v>4.91</v>
      </c>
      <c r="J1241" s="6" t="s">
        <v>1113</v>
      </c>
      <c r="K1241" s="15">
        <v>150</v>
      </c>
      <c r="L1241" s="15" t="s">
        <v>896</v>
      </c>
      <c r="M1241" s="15" t="s">
        <v>5</v>
      </c>
      <c r="N1241" s="11" t="s">
        <v>1391</v>
      </c>
      <c r="O1241" s="11" t="s">
        <v>46</v>
      </c>
      <c r="P1241" s="11" t="s">
        <v>33</v>
      </c>
      <c r="Q1241" s="15">
        <v>0</v>
      </c>
      <c r="R1241" s="11" t="s">
        <v>1386</v>
      </c>
      <c r="S1241" s="10">
        <v>90.815594824257005</v>
      </c>
      <c r="T1241" s="15">
        <v>80</v>
      </c>
      <c r="U1241" s="15">
        <v>0</v>
      </c>
      <c r="V1241" s="15">
        <v>0</v>
      </c>
      <c r="W1241" s="15">
        <v>0</v>
      </c>
      <c r="X1241" s="15">
        <f>IF(O1241='Udvaskning nøgletal'!$D$65,1,IF(O1241='Udvaskning nøgletal'!$D$66,2,IF(O1241='Udvaskning nøgletal'!$D$67,3,IF(O1241='Udvaskning nøgletal'!$D$68,2,""))))</f>
        <v>2</v>
      </c>
      <c r="Y1241" s="15">
        <f>LOOKUP(K1241,'Udvaskning nøgletal'!$C$12:$C$60,'Udvaskning nøgletal'!$H$12:$H$60)</f>
        <v>5</v>
      </c>
      <c r="Z1241" s="10">
        <f>IF(X1241=1,LOOKUP(K1241,'Udvaskning nøgletal'!$C$12:$C$60,'Udvaskning nøgletal'!$E$12:$E$60)+Markniveau!Y1241*Markniveau!S1241/100,IF(X1241=2,LOOKUP(K1241,'Udvaskning nøgletal'!$C$12:$C$60,'Udvaskning nøgletal'!$F$12:$F$60)+Markniveau!Y1241*Markniveau!S1241/100,IF(X1241=3,LOOKUP(K1241,'Udvaskning nøgletal'!$C$12:$C$60,'Udvaskning nøgletal'!G1251:G1299)+Markniveau!Y1241*Markniveau!S1241/100,"")))</f>
        <v>55.420779741212854</v>
      </c>
      <c r="AA1241" s="10">
        <f t="shared" si="196"/>
        <v>272.11602852935511</v>
      </c>
      <c r="AB1241" s="10" t="str">
        <f t="shared" si="195"/>
        <v/>
      </c>
      <c r="AC1241" s="10" t="str">
        <f t="shared" si="197"/>
        <v/>
      </c>
      <c r="AD1241" s="10">
        <f>IF(AND(Q1241&gt;0,Q1241&lt;30,K1241&lt;8),Markniveau!Z1241*'Udvaskning nøgletal'!$I$12/100,IF(AND(Q1241&gt;0,Q1241&lt;30,K1241=216),Markniveau!Z1241*'Udvaskning nøgletal'!$I$34/100,Markniveau!Z1241))</f>
        <v>55.420779741212854</v>
      </c>
      <c r="AE1241" s="10">
        <f t="shared" si="203"/>
        <v>272.11602852935511</v>
      </c>
      <c r="AF1241" s="10" t="str">
        <f t="shared" si="198"/>
        <v/>
      </c>
      <c r="AG1241" s="10" t="str">
        <f t="shared" si="204"/>
        <v/>
      </c>
      <c r="AH1241" s="10" t="str">
        <f>IF(AND(Q1241&gt;0,Q1241&lt;30,K1241=216),'Udvaskning nøgletal'!$C$42,IF(AND(Q1241&gt;0,Q1241&lt;30,K1241&gt;7,K1241&lt;17),'Udvaskning nøgletal'!$C$61,IF(AND(Q1241&gt;0,Q1241&lt;30,K1241&lt;7),'Udvaskning nøgletal'!$C$62,"")))</f>
        <v/>
      </c>
      <c r="AI1241" s="10">
        <f t="shared" si="200"/>
        <v>150</v>
      </c>
      <c r="AJ1241" s="10">
        <f>IF($X1241=1,LOOKUP(AI1241,'Udvaskning nøgletal'!$C$12:$C$62,'Udvaskning nøgletal'!$E$12:$E$62)+Markniveau!$Y1241*Markniveau!$S1241/100,IF($X1241=2,LOOKUP(AI1241,'Udvaskning nøgletal'!$C$12:$C$62,'Udvaskning nøgletal'!$F$12:$F$62)+Markniveau!$Y1241*Markniveau!$S1241/100,IF($X1241=3,LOOKUP(AI1241,'Udvaskning nøgletal'!$C$12:$C$62,'Udvaskning nøgletal'!Q1251:Q1301)+Markniveau!$Y1241*Markniveau!$S1241/100,"")))</f>
        <v>55.420779741212854</v>
      </c>
      <c r="AK1241" s="10">
        <f t="shared" si="199"/>
        <v>272.11602852935511</v>
      </c>
      <c r="AL1241" s="10" t="str">
        <f t="shared" si="201"/>
        <v/>
      </c>
      <c r="AM1241" s="10" t="str">
        <f t="shared" si="202"/>
        <v/>
      </c>
    </row>
    <row r="1242" spans="1:39" x14ac:dyDescent="0.25">
      <c r="A1242" s="15">
        <v>35557628</v>
      </c>
      <c r="B1242" s="15">
        <v>9.15</v>
      </c>
      <c r="C1242" s="15">
        <v>286626</v>
      </c>
      <c r="D1242" s="15">
        <v>55926</v>
      </c>
      <c r="E1242" s="15" t="s">
        <v>1112</v>
      </c>
      <c r="F1242" s="15">
        <v>2011</v>
      </c>
      <c r="G1242" s="15">
        <v>20110512</v>
      </c>
      <c r="H1242" s="15">
        <v>70993</v>
      </c>
      <c r="I1242" s="15">
        <v>7.1</v>
      </c>
      <c r="J1242" s="6" t="s">
        <v>1114</v>
      </c>
      <c r="K1242" s="15">
        <v>152</v>
      </c>
      <c r="L1242" s="15" t="s">
        <v>333</v>
      </c>
      <c r="M1242" s="15" t="s">
        <v>5</v>
      </c>
      <c r="N1242" s="11" t="s">
        <v>1391</v>
      </c>
      <c r="O1242" s="11" t="s">
        <v>46</v>
      </c>
      <c r="P1242" s="11" t="s">
        <v>33</v>
      </c>
      <c r="Q1242" s="15">
        <v>0</v>
      </c>
      <c r="R1242" s="11" t="s">
        <v>1386</v>
      </c>
      <c r="S1242" s="10">
        <v>90.815594824257005</v>
      </c>
      <c r="T1242" s="15">
        <v>80</v>
      </c>
      <c r="U1242" s="15">
        <v>0</v>
      </c>
      <c r="V1242" s="15">
        <v>0</v>
      </c>
      <c r="W1242" s="15">
        <v>0</v>
      </c>
      <c r="X1242" s="15">
        <f>IF(O1242='Udvaskning nøgletal'!$D$65,1,IF(O1242='Udvaskning nøgletal'!$D$66,2,IF(O1242='Udvaskning nøgletal'!$D$67,3,IF(O1242='Udvaskning nøgletal'!$D$68,2,""))))</f>
        <v>2</v>
      </c>
      <c r="Y1242" s="15">
        <f>LOOKUP(K1242,'Udvaskning nøgletal'!$C$12:$C$60,'Udvaskning nøgletal'!$H$12:$H$60)</f>
        <v>5</v>
      </c>
      <c r="Z1242" s="10">
        <f>IF(X1242=1,LOOKUP(K1242,'Udvaskning nøgletal'!$C$12:$C$60,'Udvaskning nøgletal'!$E$12:$E$60)+Markniveau!Y1242*Markniveau!S1242/100,IF(X1242=2,LOOKUP(K1242,'Udvaskning nøgletal'!$C$12:$C$60,'Udvaskning nøgletal'!$F$12:$F$60)+Markniveau!Y1242*Markniveau!S1242/100,IF(X1242=3,LOOKUP(K1242,'Udvaskning nøgletal'!$C$12:$C$60,'Udvaskning nøgletal'!G1252:G1300)+Markniveau!Y1242*Markniveau!S1242/100,"")))</f>
        <v>55.420779741212854</v>
      </c>
      <c r="AA1242" s="10">
        <f t="shared" si="196"/>
        <v>393.48753616261126</v>
      </c>
      <c r="AB1242" s="10" t="str">
        <f t="shared" si="195"/>
        <v/>
      </c>
      <c r="AC1242" s="10" t="str">
        <f t="shared" si="197"/>
        <v/>
      </c>
      <c r="AD1242" s="10">
        <f>IF(AND(Q1242&gt;0,Q1242&lt;30,K1242&lt;8),Markniveau!Z1242*'Udvaskning nøgletal'!$I$12/100,IF(AND(Q1242&gt;0,Q1242&lt;30,K1242=216),Markniveau!Z1242*'Udvaskning nøgletal'!$I$34/100,Markniveau!Z1242))</f>
        <v>55.420779741212854</v>
      </c>
      <c r="AE1242" s="10">
        <f t="shared" si="203"/>
        <v>393.48753616261126</v>
      </c>
      <c r="AF1242" s="10" t="str">
        <f t="shared" si="198"/>
        <v/>
      </c>
      <c r="AG1242" s="10" t="str">
        <f t="shared" si="204"/>
        <v/>
      </c>
      <c r="AH1242" s="10" t="str">
        <f>IF(AND(Q1242&gt;0,Q1242&lt;30,K1242=216),'Udvaskning nøgletal'!$C$42,IF(AND(Q1242&gt;0,Q1242&lt;30,K1242&gt;7,K1242&lt;17),'Udvaskning nøgletal'!$C$61,IF(AND(Q1242&gt;0,Q1242&lt;30,K1242&lt;7),'Udvaskning nøgletal'!$C$62,"")))</f>
        <v/>
      </c>
      <c r="AI1242" s="10">
        <f t="shared" si="200"/>
        <v>152</v>
      </c>
      <c r="AJ1242" s="10">
        <f>IF($X1242=1,LOOKUP(AI1242,'Udvaskning nøgletal'!$C$12:$C$62,'Udvaskning nøgletal'!$E$12:$E$62)+Markniveau!$Y1242*Markniveau!$S1242/100,IF($X1242=2,LOOKUP(AI1242,'Udvaskning nøgletal'!$C$12:$C$62,'Udvaskning nøgletal'!$F$12:$F$62)+Markniveau!$Y1242*Markniveau!$S1242/100,IF($X1242=3,LOOKUP(AI1242,'Udvaskning nøgletal'!$C$12:$C$62,'Udvaskning nøgletal'!Q1252:Q1302)+Markniveau!$Y1242*Markniveau!$S1242/100,"")))</f>
        <v>55.420779741212854</v>
      </c>
      <c r="AK1242" s="10">
        <f t="shared" si="199"/>
        <v>393.48753616261126</v>
      </c>
      <c r="AL1242" s="10" t="str">
        <f t="shared" si="201"/>
        <v/>
      </c>
      <c r="AM1242" s="10" t="str">
        <f t="shared" si="202"/>
        <v/>
      </c>
    </row>
    <row r="1243" spans="1:39" x14ac:dyDescent="0.25">
      <c r="A1243" s="15">
        <v>35557628</v>
      </c>
      <c r="B1243" s="15">
        <v>9.15</v>
      </c>
      <c r="C1243" s="15">
        <v>286655</v>
      </c>
      <c r="D1243" s="15">
        <v>55926</v>
      </c>
      <c r="E1243" s="15" t="s">
        <v>862</v>
      </c>
      <c r="F1243" s="15">
        <v>2011</v>
      </c>
      <c r="G1243" s="15">
        <v>20110512</v>
      </c>
      <c r="H1243" s="15">
        <v>120708</v>
      </c>
      <c r="I1243" s="15">
        <v>12.07</v>
      </c>
      <c r="J1243" s="6" t="s">
        <v>589</v>
      </c>
      <c r="K1243" s="15">
        <v>11</v>
      </c>
      <c r="L1243" s="15" t="s">
        <v>102</v>
      </c>
      <c r="M1243" s="15" t="s">
        <v>5</v>
      </c>
      <c r="N1243" s="11" t="s">
        <v>1384</v>
      </c>
      <c r="O1243" s="11" t="s">
        <v>28</v>
      </c>
      <c r="P1243" s="11" t="s">
        <v>33</v>
      </c>
      <c r="Q1243" s="15">
        <v>0</v>
      </c>
      <c r="R1243" s="11" t="s">
        <v>1386</v>
      </c>
      <c r="S1243" s="10">
        <v>90.815594824257005</v>
      </c>
      <c r="T1243" s="15">
        <v>80</v>
      </c>
      <c r="U1243" s="15">
        <v>0</v>
      </c>
      <c r="V1243" s="15">
        <v>0</v>
      </c>
      <c r="W1243" s="15">
        <v>0</v>
      </c>
      <c r="X1243" s="15">
        <f>IF(O1243='Udvaskning nøgletal'!$D$65,1,IF(O1243='Udvaskning nøgletal'!$D$66,2,IF(O1243='Udvaskning nøgletal'!$D$67,3,IF(O1243='Udvaskning nøgletal'!$D$68,2,""))))</f>
        <v>1</v>
      </c>
      <c r="Y1243" s="15">
        <f>LOOKUP(K1243,'Udvaskning nøgletal'!$C$12:$C$60,'Udvaskning nøgletal'!$H$12:$H$60)</f>
        <v>5</v>
      </c>
      <c r="Z1243" s="10">
        <f>IF(X1243=1,LOOKUP(K1243,'Udvaskning nøgletal'!$C$12:$C$60,'Udvaskning nøgletal'!$E$12:$E$60)+Markniveau!Y1243*Markniveau!S1243/100,IF(X1243=2,LOOKUP(K1243,'Udvaskning nøgletal'!$C$12:$C$60,'Udvaskning nøgletal'!$F$12:$F$60)+Markniveau!Y1243*Markniveau!S1243/100,IF(X1243=3,LOOKUP(K1243,'Udvaskning nøgletal'!$C$12:$C$60,'Udvaskning nøgletal'!G1253:G1301)+Markniveau!Y1243*Markniveau!S1243/100,"")))</f>
        <v>69.200779741212841</v>
      </c>
      <c r="AA1243" s="10">
        <f t="shared" si="196"/>
        <v>835.25341147643906</v>
      </c>
      <c r="AB1243" s="10" t="str">
        <f t="shared" si="195"/>
        <v/>
      </c>
      <c r="AC1243" s="10" t="str">
        <f t="shared" si="197"/>
        <v/>
      </c>
      <c r="AD1243" s="10">
        <f>IF(AND(Q1243&gt;0,Q1243&lt;30,K1243&lt;8),Markniveau!Z1243*'Udvaskning nøgletal'!$I$12/100,IF(AND(Q1243&gt;0,Q1243&lt;30,K1243=216),Markniveau!Z1243*'Udvaskning nøgletal'!$I$34/100,Markniveau!Z1243))</f>
        <v>69.200779741212841</v>
      </c>
      <c r="AE1243" s="10">
        <f t="shared" si="203"/>
        <v>835.25341147643906</v>
      </c>
      <c r="AF1243" s="10" t="str">
        <f t="shared" si="198"/>
        <v/>
      </c>
      <c r="AG1243" s="10" t="str">
        <f t="shared" si="204"/>
        <v/>
      </c>
      <c r="AH1243" s="10" t="str">
        <f>IF(AND(Q1243&gt;0,Q1243&lt;30,K1243=216),'Udvaskning nøgletal'!$C$42,IF(AND(Q1243&gt;0,Q1243&lt;30,K1243&gt;7,K1243&lt;17),'Udvaskning nøgletal'!$C$61,IF(AND(Q1243&gt;0,Q1243&lt;30,K1243&lt;7),'Udvaskning nøgletal'!$C$62,"")))</f>
        <v/>
      </c>
      <c r="AI1243" s="10">
        <f t="shared" si="200"/>
        <v>11</v>
      </c>
      <c r="AJ1243" s="10">
        <f>IF($X1243=1,LOOKUP(AI1243,'Udvaskning nøgletal'!$C$12:$C$62,'Udvaskning nøgletal'!$E$12:$E$62)+Markniveau!$Y1243*Markniveau!$S1243/100,IF($X1243=2,LOOKUP(AI1243,'Udvaskning nøgletal'!$C$12:$C$62,'Udvaskning nøgletal'!$F$12:$F$62)+Markniveau!$Y1243*Markniveau!$S1243/100,IF($X1243=3,LOOKUP(AI1243,'Udvaskning nøgletal'!$C$12:$C$62,'Udvaskning nøgletal'!Q1253:Q1303)+Markniveau!$Y1243*Markniveau!$S1243/100,"")))</f>
        <v>69.200779741212841</v>
      </c>
      <c r="AK1243" s="10">
        <f t="shared" si="199"/>
        <v>835.25341147643906</v>
      </c>
      <c r="AL1243" s="10" t="str">
        <f t="shared" si="201"/>
        <v/>
      </c>
      <c r="AM1243" s="10" t="str">
        <f t="shared" si="202"/>
        <v/>
      </c>
    </row>
    <row r="1244" spans="1:39" x14ac:dyDescent="0.25">
      <c r="A1244" s="15">
        <v>35557628</v>
      </c>
      <c r="B1244" s="15">
        <v>9.15</v>
      </c>
      <c r="C1244" s="15">
        <v>287193</v>
      </c>
      <c r="D1244" s="15">
        <v>55926</v>
      </c>
      <c r="E1244" s="15" t="s">
        <v>1115</v>
      </c>
      <c r="F1244" s="15">
        <v>2011</v>
      </c>
      <c r="G1244" s="15">
        <v>20110512</v>
      </c>
      <c r="H1244" s="15">
        <v>129344</v>
      </c>
      <c r="I1244" s="15">
        <v>12.93</v>
      </c>
      <c r="J1244" s="6" t="s">
        <v>1116</v>
      </c>
      <c r="K1244" s="15">
        <v>152</v>
      </c>
      <c r="L1244" s="15" t="s">
        <v>333</v>
      </c>
      <c r="M1244" s="15" t="s">
        <v>5</v>
      </c>
      <c r="N1244" s="11" t="s">
        <v>1406</v>
      </c>
      <c r="O1244" s="11" t="s">
        <v>46</v>
      </c>
      <c r="P1244" s="11" t="s">
        <v>33</v>
      </c>
      <c r="Q1244" s="15">
        <v>0</v>
      </c>
      <c r="R1244" s="11" t="s">
        <v>1386</v>
      </c>
      <c r="S1244" s="10">
        <v>90.815594824257005</v>
      </c>
      <c r="T1244" s="15">
        <v>80</v>
      </c>
      <c r="U1244" s="15">
        <v>0</v>
      </c>
      <c r="V1244" s="15">
        <v>0</v>
      </c>
      <c r="W1244" s="15">
        <v>0</v>
      </c>
      <c r="X1244" s="15">
        <f>IF(O1244='Udvaskning nøgletal'!$D$65,1,IF(O1244='Udvaskning nøgletal'!$D$66,2,IF(O1244='Udvaskning nøgletal'!$D$67,3,IF(O1244='Udvaskning nøgletal'!$D$68,2,""))))</f>
        <v>2</v>
      </c>
      <c r="Y1244" s="15">
        <f>LOOKUP(K1244,'Udvaskning nøgletal'!$C$12:$C$60,'Udvaskning nøgletal'!$H$12:$H$60)</f>
        <v>5</v>
      </c>
      <c r="Z1244" s="10">
        <f>IF(X1244=1,LOOKUP(K1244,'Udvaskning nøgletal'!$C$12:$C$60,'Udvaskning nøgletal'!$E$12:$E$60)+Markniveau!Y1244*Markniveau!S1244/100,IF(X1244=2,LOOKUP(K1244,'Udvaskning nøgletal'!$C$12:$C$60,'Udvaskning nøgletal'!$F$12:$F$60)+Markniveau!Y1244*Markniveau!S1244/100,IF(X1244=3,LOOKUP(K1244,'Udvaskning nøgletal'!$C$12:$C$60,'Udvaskning nøgletal'!G1254:G1302)+Markniveau!Y1244*Markniveau!S1244/100,"")))</f>
        <v>55.420779741212854</v>
      </c>
      <c r="AA1244" s="10">
        <f t="shared" si="196"/>
        <v>716.59068205388223</v>
      </c>
      <c r="AB1244" s="10" t="str">
        <f t="shared" si="195"/>
        <v/>
      </c>
      <c r="AC1244" s="10" t="str">
        <f t="shared" si="197"/>
        <v/>
      </c>
      <c r="AD1244" s="10">
        <f>IF(AND(Q1244&gt;0,Q1244&lt;30,K1244&lt;8),Markniveau!Z1244*'Udvaskning nøgletal'!$I$12/100,IF(AND(Q1244&gt;0,Q1244&lt;30,K1244=216),Markniveau!Z1244*'Udvaskning nøgletal'!$I$34/100,Markniveau!Z1244))</f>
        <v>55.420779741212854</v>
      </c>
      <c r="AE1244" s="10">
        <f t="shared" si="203"/>
        <v>716.59068205388223</v>
      </c>
      <c r="AF1244" s="10" t="str">
        <f t="shared" si="198"/>
        <v/>
      </c>
      <c r="AG1244" s="10" t="str">
        <f t="shared" si="204"/>
        <v/>
      </c>
      <c r="AH1244" s="10" t="str">
        <f>IF(AND(Q1244&gt;0,Q1244&lt;30,K1244=216),'Udvaskning nøgletal'!$C$42,IF(AND(Q1244&gt;0,Q1244&lt;30,K1244&gt;7,K1244&lt;17),'Udvaskning nøgletal'!$C$61,IF(AND(Q1244&gt;0,Q1244&lt;30,K1244&lt;7),'Udvaskning nøgletal'!$C$62,"")))</f>
        <v/>
      </c>
      <c r="AI1244" s="10">
        <f t="shared" si="200"/>
        <v>152</v>
      </c>
      <c r="AJ1244" s="10">
        <f>IF($X1244=1,LOOKUP(AI1244,'Udvaskning nøgletal'!$C$12:$C$62,'Udvaskning nøgletal'!$E$12:$E$62)+Markniveau!$Y1244*Markniveau!$S1244/100,IF($X1244=2,LOOKUP(AI1244,'Udvaskning nøgletal'!$C$12:$C$62,'Udvaskning nøgletal'!$F$12:$F$62)+Markniveau!$Y1244*Markniveau!$S1244/100,IF($X1244=3,LOOKUP(AI1244,'Udvaskning nøgletal'!$C$12:$C$62,'Udvaskning nøgletal'!Q1254:Q1304)+Markniveau!$Y1244*Markniveau!$S1244/100,"")))</f>
        <v>55.420779741212854</v>
      </c>
      <c r="AK1244" s="10">
        <f t="shared" si="199"/>
        <v>716.59068205388223</v>
      </c>
      <c r="AL1244" s="10" t="str">
        <f t="shared" si="201"/>
        <v/>
      </c>
      <c r="AM1244" s="10" t="str">
        <f t="shared" si="202"/>
        <v/>
      </c>
    </row>
    <row r="1245" spans="1:39" x14ac:dyDescent="0.25">
      <c r="A1245" s="15">
        <v>35557628</v>
      </c>
      <c r="B1245" s="15">
        <v>9.15</v>
      </c>
      <c r="C1245" s="15">
        <v>287194</v>
      </c>
      <c r="D1245" s="15">
        <v>55926</v>
      </c>
      <c r="E1245" s="15" t="s">
        <v>880</v>
      </c>
      <c r="F1245" s="15">
        <v>2011</v>
      </c>
      <c r="G1245" s="15">
        <v>20110512</v>
      </c>
      <c r="H1245" s="15">
        <v>4052</v>
      </c>
      <c r="I1245" s="15">
        <v>0.41</v>
      </c>
      <c r="J1245" s="6" t="s">
        <v>1117</v>
      </c>
      <c r="K1245" s="15">
        <v>276</v>
      </c>
      <c r="L1245" s="15" t="s">
        <v>146</v>
      </c>
      <c r="M1245" s="15" t="s">
        <v>4</v>
      </c>
      <c r="N1245" s="11" t="s">
        <v>1391</v>
      </c>
      <c r="O1245" s="11" t="s">
        <v>46</v>
      </c>
      <c r="P1245" s="11" t="s">
        <v>33</v>
      </c>
      <c r="Q1245" s="15">
        <v>0</v>
      </c>
      <c r="R1245" s="11" t="s">
        <v>1386</v>
      </c>
      <c r="S1245" s="10">
        <v>90.815594824257005</v>
      </c>
      <c r="T1245" s="15">
        <v>80</v>
      </c>
      <c r="U1245" s="15">
        <v>0</v>
      </c>
      <c r="V1245" s="15">
        <v>0</v>
      </c>
      <c r="W1245" s="15">
        <v>0</v>
      </c>
      <c r="X1245" s="15">
        <f>IF(O1245='Udvaskning nøgletal'!$D$65,1,IF(O1245='Udvaskning nøgletal'!$D$66,2,IF(O1245='Udvaskning nøgletal'!$D$67,3,IF(O1245='Udvaskning nøgletal'!$D$68,2,""))))</f>
        <v>2</v>
      </c>
      <c r="Y1245" s="15">
        <f>LOOKUP(K1245,'Udvaskning nøgletal'!$C$12:$C$60,'Udvaskning nøgletal'!$H$12:$H$60)</f>
        <v>0</v>
      </c>
      <c r="Z1245" s="10">
        <f>IF(X1245=1,LOOKUP(K1245,'Udvaskning nøgletal'!$C$12:$C$60,'Udvaskning nøgletal'!$E$12:$E$60)+Markniveau!Y1245*Markniveau!S1245/100,IF(X1245=2,LOOKUP(K1245,'Udvaskning nøgletal'!$C$12:$C$60,'Udvaskning nøgletal'!$F$12:$F$60)+Markniveau!Y1245*Markniveau!S1245/100,IF(X1245=3,LOOKUP(K1245,'Udvaskning nøgletal'!$C$12:$C$60,'Udvaskning nøgletal'!G1255:G1303)+Markniveau!Y1245*Markniveau!S1245/100,"")))</f>
        <v>10.6</v>
      </c>
      <c r="AA1245" s="10">
        <f t="shared" si="196"/>
        <v>4.3459999999999992</v>
      </c>
      <c r="AB1245" s="10" t="str">
        <f t="shared" si="195"/>
        <v/>
      </c>
      <c r="AC1245" s="10" t="str">
        <f t="shared" si="197"/>
        <v/>
      </c>
      <c r="AD1245" s="10">
        <f>IF(AND(Q1245&gt;0,Q1245&lt;30,K1245&lt;8),Markniveau!Z1245*'Udvaskning nøgletal'!$I$12/100,IF(AND(Q1245&gt;0,Q1245&lt;30,K1245=216),Markniveau!Z1245*'Udvaskning nøgletal'!$I$34/100,Markniveau!Z1245))</f>
        <v>10.6</v>
      </c>
      <c r="AE1245" s="10">
        <f t="shared" si="203"/>
        <v>4.3459999999999992</v>
      </c>
      <c r="AF1245" s="10" t="str">
        <f t="shared" si="198"/>
        <v/>
      </c>
      <c r="AG1245" s="10" t="str">
        <f t="shared" si="204"/>
        <v/>
      </c>
      <c r="AH1245" s="10" t="str">
        <f>IF(AND(Q1245&gt;0,Q1245&lt;30,K1245=216),'Udvaskning nøgletal'!$C$42,IF(AND(Q1245&gt;0,Q1245&lt;30,K1245&gt;7,K1245&lt;17),'Udvaskning nøgletal'!$C$61,IF(AND(Q1245&gt;0,Q1245&lt;30,K1245&lt;7),'Udvaskning nøgletal'!$C$62,"")))</f>
        <v/>
      </c>
      <c r="AI1245" s="10">
        <f t="shared" si="200"/>
        <v>276</v>
      </c>
      <c r="AJ1245" s="10">
        <f>IF($X1245=1,LOOKUP(AI1245,'Udvaskning nøgletal'!$C$12:$C$62,'Udvaskning nøgletal'!$E$12:$E$62)+Markniveau!$Y1245*Markniveau!$S1245/100,IF($X1245=2,LOOKUP(AI1245,'Udvaskning nøgletal'!$C$12:$C$62,'Udvaskning nøgletal'!$F$12:$F$62)+Markniveau!$Y1245*Markniveau!$S1245/100,IF($X1245=3,LOOKUP(AI1245,'Udvaskning nøgletal'!$C$12:$C$62,'Udvaskning nøgletal'!Q1255:Q1305)+Markniveau!$Y1245*Markniveau!$S1245/100,"")))</f>
        <v>10.6</v>
      </c>
      <c r="AK1245" s="10">
        <f t="shared" si="199"/>
        <v>4.3459999999999992</v>
      </c>
      <c r="AL1245" s="10" t="str">
        <f t="shared" si="201"/>
        <v/>
      </c>
      <c r="AM1245" s="10" t="str">
        <f t="shared" si="202"/>
        <v/>
      </c>
    </row>
    <row r="1246" spans="1:39" x14ac:dyDescent="0.25">
      <c r="A1246" s="15">
        <v>35557628</v>
      </c>
      <c r="B1246" s="15">
        <v>9.15</v>
      </c>
      <c r="C1246" s="15">
        <v>287219</v>
      </c>
      <c r="D1246" s="15">
        <v>55926</v>
      </c>
      <c r="E1246" s="15" t="s">
        <v>1118</v>
      </c>
      <c r="F1246" s="15">
        <v>2011</v>
      </c>
      <c r="G1246" s="15">
        <v>20110512</v>
      </c>
      <c r="H1246" s="15">
        <v>8431</v>
      </c>
      <c r="I1246" s="15">
        <v>0.84</v>
      </c>
      <c r="J1246" s="6" t="s">
        <v>1119</v>
      </c>
      <c r="K1246" s="15">
        <v>264</v>
      </c>
      <c r="L1246" s="15" t="s">
        <v>207</v>
      </c>
      <c r="M1246" s="15" t="s">
        <v>4</v>
      </c>
      <c r="N1246" s="11" t="s">
        <v>1391</v>
      </c>
      <c r="O1246" s="11" t="s">
        <v>46</v>
      </c>
      <c r="P1246" s="11" t="s">
        <v>33</v>
      </c>
      <c r="Q1246" s="15">
        <v>0</v>
      </c>
      <c r="R1246" s="11" t="s">
        <v>1386</v>
      </c>
      <c r="S1246" s="10">
        <v>90.815594824257005</v>
      </c>
      <c r="T1246" s="15">
        <v>80</v>
      </c>
      <c r="U1246" s="15">
        <v>0</v>
      </c>
      <c r="V1246" s="15">
        <v>0</v>
      </c>
      <c r="W1246" s="15">
        <v>0</v>
      </c>
      <c r="X1246" s="15">
        <f>IF(O1246='Udvaskning nøgletal'!$D$65,1,IF(O1246='Udvaskning nøgletal'!$D$66,2,IF(O1246='Udvaskning nøgletal'!$D$67,3,IF(O1246='Udvaskning nøgletal'!$D$68,2,""))))</f>
        <v>2</v>
      </c>
      <c r="Y1246" s="15">
        <f>LOOKUP(K1246,'Udvaskning nøgletal'!$C$12:$C$60,'Udvaskning nøgletal'!$H$12:$H$60)</f>
        <v>0</v>
      </c>
      <c r="Z1246" s="10">
        <f>IF(X1246=1,LOOKUP(K1246,'Udvaskning nøgletal'!$C$12:$C$60,'Udvaskning nøgletal'!$E$12:$E$60)+Markniveau!Y1246*Markniveau!S1246/100,IF(X1246=2,LOOKUP(K1246,'Udvaskning nøgletal'!$C$12:$C$60,'Udvaskning nøgletal'!$F$12:$F$60)+Markniveau!Y1246*Markniveau!S1246/100,IF(X1246=3,LOOKUP(K1246,'Udvaskning nøgletal'!$C$12:$C$60,'Udvaskning nøgletal'!G1256:G1304)+Markniveau!Y1246*Markniveau!S1246/100,"")))</f>
        <v>10.6</v>
      </c>
      <c r="AA1246" s="10">
        <f t="shared" si="196"/>
        <v>8.9039999999999999</v>
      </c>
      <c r="AB1246" s="10" t="str">
        <f t="shared" si="195"/>
        <v/>
      </c>
      <c r="AC1246" s="10" t="str">
        <f t="shared" si="197"/>
        <v/>
      </c>
      <c r="AD1246" s="10">
        <f>IF(AND(Q1246&gt;0,Q1246&lt;30,K1246&lt;8),Markniveau!Z1246*'Udvaskning nøgletal'!$I$12/100,IF(AND(Q1246&gt;0,Q1246&lt;30,K1246=216),Markniveau!Z1246*'Udvaskning nøgletal'!$I$34/100,Markniveau!Z1246))</f>
        <v>10.6</v>
      </c>
      <c r="AE1246" s="10">
        <f t="shared" si="203"/>
        <v>8.9039999999999999</v>
      </c>
      <c r="AF1246" s="10" t="str">
        <f t="shared" si="198"/>
        <v/>
      </c>
      <c r="AG1246" s="10" t="str">
        <f t="shared" si="204"/>
        <v/>
      </c>
      <c r="AH1246" s="10" t="str">
        <f>IF(AND(Q1246&gt;0,Q1246&lt;30,K1246=216),'Udvaskning nøgletal'!$C$42,IF(AND(Q1246&gt;0,Q1246&lt;30,K1246&gt;7,K1246&lt;17),'Udvaskning nøgletal'!$C$61,IF(AND(Q1246&gt;0,Q1246&lt;30,K1246&lt;7),'Udvaskning nøgletal'!$C$62,"")))</f>
        <v/>
      </c>
      <c r="AI1246" s="10">
        <f t="shared" si="200"/>
        <v>264</v>
      </c>
      <c r="AJ1246" s="10">
        <f>IF($X1246=1,LOOKUP(AI1246,'Udvaskning nøgletal'!$C$12:$C$62,'Udvaskning nøgletal'!$E$12:$E$62)+Markniveau!$Y1246*Markniveau!$S1246/100,IF($X1246=2,LOOKUP(AI1246,'Udvaskning nøgletal'!$C$12:$C$62,'Udvaskning nøgletal'!$F$12:$F$62)+Markniveau!$Y1246*Markniveau!$S1246/100,IF($X1246=3,LOOKUP(AI1246,'Udvaskning nøgletal'!$C$12:$C$62,'Udvaskning nøgletal'!Q1256:Q1306)+Markniveau!$Y1246*Markniveau!$S1246/100,"")))</f>
        <v>10.6</v>
      </c>
      <c r="AK1246" s="10">
        <f t="shared" si="199"/>
        <v>8.9039999999999999</v>
      </c>
      <c r="AL1246" s="10" t="str">
        <f t="shared" si="201"/>
        <v/>
      </c>
      <c r="AM1246" s="10" t="str">
        <f t="shared" si="202"/>
        <v/>
      </c>
    </row>
    <row r="1247" spans="1:39" x14ac:dyDescent="0.25">
      <c r="A1247" s="15">
        <v>35557628</v>
      </c>
      <c r="B1247" s="15">
        <v>9.15</v>
      </c>
      <c r="C1247" s="15">
        <v>287220</v>
      </c>
      <c r="D1247" s="15">
        <v>55926</v>
      </c>
      <c r="E1247" s="15" t="s">
        <v>1120</v>
      </c>
      <c r="F1247" s="15">
        <v>2011</v>
      </c>
      <c r="G1247" s="15">
        <v>20110512</v>
      </c>
      <c r="H1247" s="15">
        <v>41096</v>
      </c>
      <c r="I1247" s="15">
        <v>4.1100000000000003</v>
      </c>
      <c r="J1247" s="6" t="s">
        <v>1121</v>
      </c>
      <c r="K1247" s="15">
        <v>150</v>
      </c>
      <c r="L1247" s="15" t="s">
        <v>896</v>
      </c>
      <c r="M1247" s="15" t="s">
        <v>5</v>
      </c>
      <c r="N1247" s="11" t="s">
        <v>1391</v>
      </c>
      <c r="O1247" s="11" t="s">
        <v>46</v>
      </c>
      <c r="P1247" s="11" t="s">
        <v>33</v>
      </c>
      <c r="Q1247" s="15">
        <v>0</v>
      </c>
      <c r="R1247" s="11" t="s">
        <v>1386</v>
      </c>
      <c r="S1247" s="10">
        <v>90.815594824257005</v>
      </c>
      <c r="T1247" s="15">
        <v>80</v>
      </c>
      <c r="U1247" s="15">
        <v>0</v>
      </c>
      <c r="V1247" s="15">
        <v>0</v>
      </c>
      <c r="W1247" s="15">
        <v>0</v>
      </c>
      <c r="X1247" s="15">
        <f>IF(O1247='Udvaskning nøgletal'!$D$65,1,IF(O1247='Udvaskning nøgletal'!$D$66,2,IF(O1247='Udvaskning nøgletal'!$D$67,3,IF(O1247='Udvaskning nøgletal'!$D$68,2,""))))</f>
        <v>2</v>
      </c>
      <c r="Y1247" s="15">
        <f>LOOKUP(K1247,'Udvaskning nøgletal'!$C$12:$C$60,'Udvaskning nøgletal'!$H$12:$H$60)</f>
        <v>5</v>
      </c>
      <c r="Z1247" s="10">
        <f>IF(X1247=1,LOOKUP(K1247,'Udvaskning nøgletal'!$C$12:$C$60,'Udvaskning nøgletal'!$E$12:$E$60)+Markniveau!Y1247*Markniveau!S1247/100,IF(X1247=2,LOOKUP(K1247,'Udvaskning nøgletal'!$C$12:$C$60,'Udvaskning nøgletal'!$F$12:$F$60)+Markniveau!Y1247*Markniveau!S1247/100,IF(X1247=3,LOOKUP(K1247,'Udvaskning nøgletal'!$C$12:$C$60,'Udvaskning nøgletal'!G1257:G1305)+Markniveau!Y1247*Markniveau!S1247/100,"")))</f>
        <v>55.420779741212854</v>
      </c>
      <c r="AA1247" s="10">
        <f t="shared" si="196"/>
        <v>227.77940473638486</v>
      </c>
      <c r="AB1247" s="10" t="str">
        <f t="shared" si="195"/>
        <v/>
      </c>
      <c r="AC1247" s="10" t="str">
        <f t="shared" si="197"/>
        <v/>
      </c>
      <c r="AD1247" s="10">
        <f>IF(AND(Q1247&gt;0,Q1247&lt;30,K1247&lt;8),Markniveau!Z1247*'Udvaskning nøgletal'!$I$12/100,IF(AND(Q1247&gt;0,Q1247&lt;30,K1247=216),Markniveau!Z1247*'Udvaskning nøgletal'!$I$34/100,Markniveau!Z1247))</f>
        <v>55.420779741212854</v>
      </c>
      <c r="AE1247" s="10">
        <f t="shared" si="203"/>
        <v>227.77940473638486</v>
      </c>
      <c r="AF1247" s="10" t="str">
        <f t="shared" si="198"/>
        <v/>
      </c>
      <c r="AG1247" s="10" t="str">
        <f t="shared" si="204"/>
        <v/>
      </c>
      <c r="AH1247" s="10" t="str">
        <f>IF(AND(Q1247&gt;0,Q1247&lt;30,K1247=216),'Udvaskning nøgletal'!$C$42,IF(AND(Q1247&gt;0,Q1247&lt;30,K1247&gt;7,K1247&lt;17),'Udvaskning nøgletal'!$C$61,IF(AND(Q1247&gt;0,Q1247&lt;30,K1247&lt;7),'Udvaskning nøgletal'!$C$62,"")))</f>
        <v/>
      </c>
      <c r="AI1247" s="10">
        <f t="shared" si="200"/>
        <v>150</v>
      </c>
      <c r="AJ1247" s="10">
        <f>IF($X1247=1,LOOKUP(AI1247,'Udvaskning nøgletal'!$C$12:$C$62,'Udvaskning nøgletal'!$E$12:$E$62)+Markniveau!$Y1247*Markniveau!$S1247/100,IF($X1247=2,LOOKUP(AI1247,'Udvaskning nøgletal'!$C$12:$C$62,'Udvaskning nøgletal'!$F$12:$F$62)+Markniveau!$Y1247*Markniveau!$S1247/100,IF($X1247=3,LOOKUP(AI1247,'Udvaskning nøgletal'!$C$12:$C$62,'Udvaskning nøgletal'!Q1257:Q1307)+Markniveau!$Y1247*Markniveau!$S1247/100,"")))</f>
        <v>55.420779741212854</v>
      </c>
      <c r="AK1247" s="10">
        <f t="shared" si="199"/>
        <v>227.77940473638486</v>
      </c>
      <c r="AL1247" s="10" t="str">
        <f t="shared" si="201"/>
        <v/>
      </c>
      <c r="AM1247" s="10" t="str">
        <f t="shared" si="202"/>
        <v/>
      </c>
    </row>
    <row r="1248" spans="1:39" x14ac:dyDescent="0.25">
      <c r="A1248" s="15">
        <v>35557628</v>
      </c>
      <c r="B1248" s="15">
        <v>9.15</v>
      </c>
      <c r="C1248" s="15">
        <v>287243</v>
      </c>
      <c r="D1248" s="15">
        <v>55926</v>
      </c>
      <c r="E1248" s="15" t="s">
        <v>1122</v>
      </c>
      <c r="F1248" s="15">
        <v>2011</v>
      </c>
      <c r="G1248" s="15">
        <v>20110512</v>
      </c>
      <c r="H1248" s="15">
        <v>84501</v>
      </c>
      <c r="I1248" s="15">
        <v>8.4499999999999993</v>
      </c>
      <c r="J1248" s="6" t="s">
        <v>164</v>
      </c>
      <c r="K1248" s="15">
        <v>150</v>
      </c>
      <c r="L1248" s="15" t="s">
        <v>896</v>
      </c>
      <c r="M1248" s="15" t="s">
        <v>5</v>
      </c>
      <c r="N1248" s="11" t="s">
        <v>1391</v>
      </c>
      <c r="O1248" s="11" t="s">
        <v>46</v>
      </c>
      <c r="P1248" s="11" t="s">
        <v>33</v>
      </c>
      <c r="Q1248" s="15">
        <v>0</v>
      </c>
      <c r="R1248" s="11" t="s">
        <v>1386</v>
      </c>
      <c r="S1248" s="10">
        <v>90.815594824257005</v>
      </c>
      <c r="T1248" s="15">
        <v>80</v>
      </c>
      <c r="U1248" s="15">
        <v>0</v>
      </c>
      <c r="V1248" s="15">
        <v>0</v>
      </c>
      <c r="W1248" s="15">
        <v>0</v>
      </c>
      <c r="X1248" s="15">
        <f>IF(O1248='Udvaskning nøgletal'!$D$65,1,IF(O1248='Udvaskning nøgletal'!$D$66,2,IF(O1248='Udvaskning nøgletal'!$D$67,3,IF(O1248='Udvaskning nøgletal'!$D$68,2,""))))</f>
        <v>2</v>
      </c>
      <c r="Y1248" s="15">
        <f>LOOKUP(K1248,'Udvaskning nøgletal'!$C$12:$C$60,'Udvaskning nøgletal'!$H$12:$H$60)</f>
        <v>5</v>
      </c>
      <c r="Z1248" s="10">
        <f>IF(X1248=1,LOOKUP(K1248,'Udvaskning nøgletal'!$C$12:$C$60,'Udvaskning nøgletal'!$E$12:$E$60)+Markniveau!Y1248*Markniveau!S1248/100,IF(X1248=2,LOOKUP(K1248,'Udvaskning nøgletal'!$C$12:$C$60,'Udvaskning nøgletal'!$F$12:$F$60)+Markniveau!Y1248*Markniveau!S1248/100,IF(X1248=3,LOOKUP(K1248,'Udvaskning nøgletal'!$C$12:$C$60,'Udvaskning nøgletal'!G1258:G1306)+Markniveau!Y1248*Markniveau!S1248/100,"")))</f>
        <v>55.420779741212854</v>
      </c>
      <c r="AA1248" s="10">
        <f t="shared" si="196"/>
        <v>468.30558881324856</v>
      </c>
      <c r="AB1248" s="10" t="str">
        <f t="shared" si="195"/>
        <v/>
      </c>
      <c r="AC1248" s="10" t="str">
        <f t="shared" si="197"/>
        <v/>
      </c>
      <c r="AD1248" s="10">
        <f>IF(AND(Q1248&gt;0,Q1248&lt;30,K1248&lt;8),Markniveau!Z1248*'Udvaskning nøgletal'!$I$12/100,IF(AND(Q1248&gt;0,Q1248&lt;30,K1248=216),Markniveau!Z1248*'Udvaskning nøgletal'!$I$34/100,Markniveau!Z1248))</f>
        <v>55.420779741212854</v>
      </c>
      <c r="AE1248" s="10">
        <f t="shared" si="203"/>
        <v>468.30558881324856</v>
      </c>
      <c r="AF1248" s="10" t="str">
        <f t="shared" si="198"/>
        <v/>
      </c>
      <c r="AG1248" s="10" t="str">
        <f t="shared" si="204"/>
        <v/>
      </c>
      <c r="AH1248" s="10" t="str">
        <f>IF(AND(Q1248&gt;0,Q1248&lt;30,K1248=216),'Udvaskning nøgletal'!$C$42,IF(AND(Q1248&gt;0,Q1248&lt;30,K1248&gt;7,K1248&lt;17),'Udvaskning nøgletal'!$C$61,IF(AND(Q1248&gt;0,Q1248&lt;30,K1248&lt;7),'Udvaskning nøgletal'!$C$62,"")))</f>
        <v/>
      </c>
      <c r="AI1248" s="10">
        <f t="shared" si="200"/>
        <v>150</v>
      </c>
      <c r="AJ1248" s="10">
        <f>IF($X1248=1,LOOKUP(AI1248,'Udvaskning nøgletal'!$C$12:$C$62,'Udvaskning nøgletal'!$E$12:$E$62)+Markniveau!$Y1248*Markniveau!$S1248/100,IF($X1248=2,LOOKUP(AI1248,'Udvaskning nøgletal'!$C$12:$C$62,'Udvaskning nøgletal'!$F$12:$F$62)+Markniveau!$Y1248*Markniveau!$S1248/100,IF($X1248=3,LOOKUP(AI1248,'Udvaskning nøgletal'!$C$12:$C$62,'Udvaskning nøgletal'!Q1258:Q1308)+Markniveau!$Y1248*Markniveau!$S1248/100,"")))</f>
        <v>55.420779741212854</v>
      </c>
      <c r="AK1248" s="10">
        <f t="shared" si="199"/>
        <v>468.30558881324856</v>
      </c>
      <c r="AL1248" s="10" t="str">
        <f t="shared" si="201"/>
        <v/>
      </c>
      <c r="AM1248" s="10" t="str">
        <f t="shared" si="202"/>
        <v/>
      </c>
    </row>
    <row r="1249" spans="1:39" x14ac:dyDescent="0.25">
      <c r="A1249" s="15">
        <v>35557628</v>
      </c>
      <c r="B1249" s="15">
        <v>9.15</v>
      </c>
      <c r="C1249" s="15">
        <v>287244</v>
      </c>
      <c r="D1249" s="15">
        <v>55926</v>
      </c>
      <c r="E1249" s="15" t="s">
        <v>1123</v>
      </c>
      <c r="F1249" s="15">
        <v>2011</v>
      </c>
      <c r="G1249" s="15">
        <v>20110512</v>
      </c>
      <c r="H1249" s="15">
        <v>190340</v>
      </c>
      <c r="I1249" s="15">
        <v>19.03</v>
      </c>
      <c r="J1249" s="6" t="s">
        <v>1124</v>
      </c>
      <c r="K1249" s="15">
        <v>152</v>
      </c>
      <c r="L1249" s="15" t="s">
        <v>333</v>
      </c>
      <c r="M1249" s="15" t="s">
        <v>5</v>
      </c>
      <c r="N1249" s="11" t="s">
        <v>1391</v>
      </c>
      <c r="O1249" s="11" t="s">
        <v>46</v>
      </c>
      <c r="P1249" s="11" t="s">
        <v>33</v>
      </c>
      <c r="Q1249" s="15">
        <v>0</v>
      </c>
      <c r="R1249" s="11" t="s">
        <v>1386</v>
      </c>
      <c r="S1249" s="10">
        <v>90.815594824257005</v>
      </c>
      <c r="T1249" s="15">
        <v>80</v>
      </c>
      <c r="U1249" s="15">
        <v>0</v>
      </c>
      <c r="V1249" s="15">
        <v>0</v>
      </c>
      <c r="W1249" s="15">
        <v>0</v>
      </c>
      <c r="X1249" s="15">
        <f>IF(O1249='Udvaskning nøgletal'!$D$65,1,IF(O1249='Udvaskning nøgletal'!$D$66,2,IF(O1249='Udvaskning nøgletal'!$D$67,3,IF(O1249='Udvaskning nøgletal'!$D$68,2,""))))</f>
        <v>2</v>
      </c>
      <c r="Y1249" s="15">
        <f>LOOKUP(K1249,'Udvaskning nøgletal'!$C$12:$C$60,'Udvaskning nøgletal'!$H$12:$H$60)</f>
        <v>5</v>
      </c>
      <c r="Z1249" s="10">
        <f>IF(X1249=1,LOOKUP(K1249,'Udvaskning nøgletal'!$C$12:$C$60,'Udvaskning nøgletal'!$E$12:$E$60)+Markniveau!Y1249*Markniveau!S1249/100,IF(X1249=2,LOOKUP(K1249,'Udvaskning nøgletal'!$C$12:$C$60,'Udvaskning nøgletal'!$F$12:$F$60)+Markniveau!Y1249*Markniveau!S1249/100,IF(X1249=3,LOOKUP(K1249,'Udvaskning nøgletal'!$C$12:$C$60,'Udvaskning nøgletal'!G1259:G1307)+Markniveau!Y1249*Markniveau!S1249/100,"")))</f>
        <v>55.420779741212854</v>
      </c>
      <c r="AA1249" s="10">
        <f t="shared" si="196"/>
        <v>1054.6574384752807</v>
      </c>
      <c r="AB1249" s="10" t="str">
        <f t="shared" si="195"/>
        <v/>
      </c>
      <c r="AC1249" s="10" t="str">
        <f t="shared" si="197"/>
        <v/>
      </c>
      <c r="AD1249" s="10">
        <f>IF(AND(Q1249&gt;0,Q1249&lt;30,K1249&lt;8),Markniveau!Z1249*'Udvaskning nøgletal'!$I$12/100,IF(AND(Q1249&gt;0,Q1249&lt;30,K1249=216),Markniveau!Z1249*'Udvaskning nøgletal'!$I$34/100,Markniveau!Z1249))</f>
        <v>55.420779741212854</v>
      </c>
      <c r="AE1249" s="10">
        <f t="shared" si="203"/>
        <v>1054.6574384752807</v>
      </c>
      <c r="AF1249" s="10" t="str">
        <f t="shared" si="198"/>
        <v/>
      </c>
      <c r="AG1249" s="10" t="str">
        <f t="shared" si="204"/>
        <v/>
      </c>
      <c r="AH1249" s="10" t="str">
        <f>IF(AND(Q1249&gt;0,Q1249&lt;30,K1249=216),'Udvaskning nøgletal'!$C$42,IF(AND(Q1249&gt;0,Q1249&lt;30,K1249&gt;7,K1249&lt;17),'Udvaskning nøgletal'!$C$61,IF(AND(Q1249&gt;0,Q1249&lt;30,K1249&lt;7),'Udvaskning nøgletal'!$C$62,"")))</f>
        <v/>
      </c>
      <c r="AI1249" s="10">
        <f t="shared" si="200"/>
        <v>152</v>
      </c>
      <c r="AJ1249" s="10">
        <f>IF($X1249=1,LOOKUP(AI1249,'Udvaskning nøgletal'!$C$12:$C$62,'Udvaskning nøgletal'!$E$12:$E$62)+Markniveau!$Y1249*Markniveau!$S1249/100,IF($X1249=2,LOOKUP(AI1249,'Udvaskning nøgletal'!$C$12:$C$62,'Udvaskning nøgletal'!$F$12:$F$62)+Markniveau!$Y1249*Markniveau!$S1249/100,IF($X1249=3,LOOKUP(AI1249,'Udvaskning nøgletal'!$C$12:$C$62,'Udvaskning nøgletal'!Q1259:Q1309)+Markniveau!$Y1249*Markniveau!$S1249/100,"")))</f>
        <v>55.420779741212854</v>
      </c>
      <c r="AK1249" s="10">
        <f t="shared" si="199"/>
        <v>1054.6574384752807</v>
      </c>
      <c r="AL1249" s="10" t="str">
        <f t="shared" si="201"/>
        <v/>
      </c>
      <c r="AM1249" s="10" t="str">
        <f t="shared" si="202"/>
        <v/>
      </c>
    </row>
    <row r="1250" spans="1:39" x14ac:dyDescent="0.25">
      <c r="A1250" s="15">
        <v>35557628</v>
      </c>
      <c r="B1250" s="15">
        <v>9.15</v>
      </c>
      <c r="C1250" s="15">
        <v>287280</v>
      </c>
      <c r="D1250" s="15">
        <v>55926</v>
      </c>
      <c r="E1250" s="15" t="s">
        <v>1125</v>
      </c>
      <c r="F1250" s="15">
        <v>2011</v>
      </c>
      <c r="G1250" s="15">
        <v>20110512</v>
      </c>
      <c r="H1250" s="15">
        <v>196720</v>
      </c>
      <c r="I1250" s="15">
        <v>19.670000000000002</v>
      </c>
      <c r="J1250" s="6" t="s">
        <v>1126</v>
      </c>
      <c r="K1250" s="15">
        <v>152</v>
      </c>
      <c r="L1250" s="15" t="s">
        <v>333</v>
      </c>
      <c r="M1250" s="15" t="s">
        <v>5</v>
      </c>
      <c r="N1250" s="11" t="s">
        <v>1384</v>
      </c>
      <c r="O1250" s="11" t="s">
        <v>28</v>
      </c>
      <c r="P1250" s="11" t="s">
        <v>33</v>
      </c>
      <c r="Q1250" s="15">
        <v>0</v>
      </c>
      <c r="R1250" s="11" t="s">
        <v>1386</v>
      </c>
      <c r="S1250" s="10">
        <v>90.815594824257005</v>
      </c>
      <c r="T1250" s="15">
        <v>80</v>
      </c>
      <c r="U1250" s="15">
        <v>0</v>
      </c>
      <c r="V1250" s="15">
        <v>0</v>
      </c>
      <c r="W1250" s="15">
        <v>0</v>
      </c>
      <c r="X1250" s="15">
        <f>IF(O1250='Udvaskning nøgletal'!$D$65,1,IF(O1250='Udvaskning nøgletal'!$D$66,2,IF(O1250='Udvaskning nøgletal'!$D$67,3,IF(O1250='Udvaskning nøgletal'!$D$68,2,""))))</f>
        <v>1</v>
      </c>
      <c r="Y1250" s="15">
        <f>LOOKUP(K1250,'Udvaskning nøgletal'!$C$12:$C$60,'Udvaskning nøgletal'!$H$12:$H$60)</f>
        <v>5</v>
      </c>
      <c r="Z1250" s="10">
        <f>IF(X1250=1,LOOKUP(K1250,'Udvaskning nøgletal'!$C$12:$C$60,'Udvaskning nøgletal'!$E$12:$E$60)+Markniveau!Y1250*Markniveau!S1250/100,IF(X1250=2,LOOKUP(K1250,'Udvaskning nøgletal'!$C$12:$C$60,'Udvaskning nøgletal'!$F$12:$F$60)+Markniveau!Y1250*Markniveau!S1250/100,IF(X1250=3,LOOKUP(K1250,'Udvaskning nøgletal'!$C$12:$C$60,'Udvaskning nøgletal'!G1260:G1308)+Markniveau!Y1250*Markniveau!S1250/100,"")))</f>
        <v>69.200779741212841</v>
      </c>
      <c r="AA1250" s="10">
        <f t="shared" si="196"/>
        <v>1361.1793375096568</v>
      </c>
      <c r="AB1250" s="10" t="str">
        <f t="shared" si="195"/>
        <v/>
      </c>
      <c r="AC1250" s="10" t="str">
        <f t="shared" si="197"/>
        <v/>
      </c>
      <c r="AD1250" s="10">
        <f>IF(AND(Q1250&gt;0,Q1250&lt;30,K1250&lt;8),Markniveau!Z1250*'Udvaskning nøgletal'!$I$12/100,IF(AND(Q1250&gt;0,Q1250&lt;30,K1250=216),Markniveau!Z1250*'Udvaskning nøgletal'!$I$34/100,Markniveau!Z1250))</f>
        <v>69.200779741212841</v>
      </c>
      <c r="AE1250" s="10">
        <f t="shared" si="203"/>
        <v>1361.1793375096568</v>
      </c>
      <c r="AF1250" s="10" t="str">
        <f t="shared" si="198"/>
        <v/>
      </c>
      <c r="AG1250" s="10" t="str">
        <f t="shared" si="204"/>
        <v/>
      </c>
      <c r="AH1250" s="10" t="str">
        <f>IF(AND(Q1250&gt;0,Q1250&lt;30,K1250=216),'Udvaskning nøgletal'!$C$42,IF(AND(Q1250&gt;0,Q1250&lt;30,K1250&gt;7,K1250&lt;17),'Udvaskning nøgletal'!$C$61,IF(AND(Q1250&gt;0,Q1250&lt;30,K1250&lt;7),'Udvaskning nøgletal'!$C$62,"")))</f>
        <v/>
      </c>
      <c r="AI1250" s="10">
        <f t="shared" si="200"/>
        <v>152</v>
      </c>
      <c r="AJ1250" s="10">
        <f>IF($X1250=1,LOOKUP(AI1250,'Udvaskning nøgletal'!$C$12:$C$62,'Udvaskning nøgletal'!$E$12:$E$62)+Markniveau!$Y1250*Markniveau!$S1250/100,IF($X1250=2,LOOKUP(AI1250,'Udvaskning nøgletal'!$C$12:$C$62,'Udvaskning nøgletal'!$F$12:$F$62)+Markniveau!$Y1250*Markniveau!$S1250/100,IF($X1250=3,LOOKUP(AI1250,'Udvaskning nøgletal'!$C$12:$C$62,'Udvaskning nøgletal'!Q1260:Q1310)+Markniveau!$Y1250*Markniveau!$S1250/100,"")))</f>
        <v>69.200779741212841</v>
      </c>
      <c r="AK1250" s="10">
        <f t="shared" si="199"/>
        <v>1361.1793375096568</v>
      </c>
      <c r="AL1250" s="10" t="str">
        <f t="shared" si="201"/>
        <v/>
      </c>
      <c r="AM1250" s="10" t="str">
        <f t="shared" si="202"/>
        <v/>
      </c>
    </row>
    <row r="1251" spans="1:39" x14ac:dyDescent="0.25">
      <c r="A1251" s="15">
        <v>35557628</v>
      </c>
      <c r="B1251" s="15">
        <v>9.15</v>
      </c>
      <c r="C1251" s="15">
        <v>377347</v>
      </c>
      <c r="D1251" s="15">
        <v>55926</v>
      </c>
      <c r="E1251" s="15" t="s">
        <v>1127</v>
      </c>
      <c r="F1251" s="15">
        <v>2011</v>
      </c>
      <c r="G1251" s="15">
        <v>20110512</v>
      </c>
      <c r="H1251" s="15">
        <v>177983</v>
      </c>
      <c r="I1251" s="15">
        <v>17.8</v>
      </c>
      <c r="J1251" s="6" t="s">
        <v>67</v>
      </c>
      <c r="K1251" s="15">
        <v>150</v>
      </c>
      <c r="L1251" s="15" t="s">
        <v>896</v>
      </c>
      <c r="M1251" s="15" t="s">
        <v>5</v>
      </c>
      <c r="N1251" s="11" t="s">
        <v>1391</v>
      </c>
      <c r="O1251" s="11" t="s">
        <v>46</v>
      </c>
      <c r="P1251" s="11" t="s">
        <v>33</v>
      </c>
      <c r="Q1251" s="15">
        <v>0</v>
      </c>
      <c r="R1251" s="11" t="s">
        <v>1386</v>
      </c>
      <c r="S1251" s="10">
        <v>90.815594824257005</v>
      </c>
      <c r="T1251" s="15">
        <v>80</v>
      </c>
      <c r="U1251" s="15">
        <v>0</v>
      </c>
      <c r="V1251" s="15">
        <v>0</v>
      </c>
      <c r="W1251" s="15">
        <v>0</v>
      </c>
      <c r="X1251" s="15">
        <f>IF(O1251='Udvaskning nøgletal'!$D$65,1,IF(O1251='Udvaskning nøgletal'!$D$66,2,IF(O1251='Udvaskning nøgletal'!$D$67,3,IF(O1251='Udvaskning nøgletal'!$D$68,2,""))))</f>
        <v>2</v>
      </c>
      <c r="Y1251" s="15">
        <f>LOOKUP(K1251,'Udvaskning nøgletal'!$C$12:$C$60,'Udvaskning nøgletal'!$H$12:$H$60)</f>
        <v>5</v>
      </c>
      <c r="Z1251" s="10">
        <f>IF(X1251=1,LOOKUP(K1251,'Udvaskning nøgletal'!$C$12:$C$60,'Udvaskning nøgletal'!$E$12:$E$60)+Markniveau!Y1251*Markniveau!S1251/100,IF(X1251=2,LOOKUP(K1251,'Udvaskning nøgletal'!$C$12:$C$60,'Udvaskning nøgletal'!$F$12:$F$60)+Markniveau!Y1251*Markniveau!S1251/100,IF(X1251=3,LOOKUP(K1251,'Udvaskning nøgletal'!$C$12:$C$60,'Udvaskning nøgletal'!G1261:G1309)+Markniveau!Y1251*Markniveau!S1251/100,"")))</f>
        <v>55.420779741212854</v>
      </c>
      <c r="AA1251" s="10">
        <f t="shared" si="196"/>
        <v>986.48987939358881</v>
      </c>
      <c r="AB1251" s="10" t="str">
        <f t="shared" si="195"/>
        <v/>
      </c>
      <c r="AC1251" s="10" t="str">
        <f t="shared" si="197"/>
        <v/>
      </c>
      <c r="AD1251" s="10">
        <f>IF(AND(Q1251&gt;0,Q1251&lt;30,K1251&lt;8),Markniveau!Z1251*'Udvaskning nøgletal'!$I$12/100,IF(AND(Q1251&gt;0,Q1251&lt;30,K1251=216),Markniveau!Z1251*'Udvaskning nøgletal'!$I$34/100,Markniveau!Z1251))</f>
        <v>55.420779741212854</v>
      </c>
      <c r="AE1251" s="10">
        <f t="shared" si="203"/>
        <v>986.48987939358881</v>
      </c>
      <c r="AF1251" s="10" t="str">
        <f t="shared" si="198"/>
        <v/>
      </c>
      <c r="AG1251" s="10" t="str">
        <f t="shared" si="204"/>
        <v/>
      </c>
      <c r="AH1251" s="10" t="str">
        <f>IF(AND(Q1251&gt;0,Q1251&lt;30,K1251=216),'Udvaskning nøgletal'!$C$42,IF(AND(Q1251&gt;0,Q1251&lt;30,K1251&gt;7,K1251&lt;17),'Udvaskning nøgletal'!$C$61,IF(AND(Q1251&gt;0,Q1251&lt;30,K1251&lt;7),'Udvaskning nøgletal'!$C$62,"")))</f>
        <v/>
      </c>
      <c r="AI1251" s="10">
        <f t="shared" si="200"/>
        <v>150</v>
      </c>
      <c r="AJ1251" s="10">
        <f>IF($X1251=1,LOOKUP(AI1251,'Udvaskning nøgletal'!$C$12:$C$62,'Udvaskning nøgletal'!$E$12:$E$62)+Markniveau!$Y1251*Markniveau!$S1251/100,IF($X1251=2,LOOKUP(AI1251,'Udvaskning nøgletal'!$C$12:$C$62,'Udvaskning nøgletal'!$F$12:$F$62)+Markniveau!$Y1251*Markniveau!$S1251/100,IF($X1251=3,LOOKUP(AI1251,'Udvaskning nøgletal'!$C$12:$C$62,'Udvaskning nøgletal'!Q1261:Q1311)+Markniveau!$Y1251*Markniveau!$S1251/100,"")))</f>
        <v>55.420779741212854</v>
      </c>
      <c r="AK1251" s="10">
        <f t="shared" si="199"/>
        <v>986.48987939358881</v>
      </c>
      <c r="AL1251" s="10" t="str">
        <f t="shared" si="201"/>
        <v/>
      </c>
      <c r="AM1251" s="10" t="str">
        <f t="shared" si="202"/>
        <v/>
      </c>
    </row>
    <row r="1252" spans="1:39" x14ac:dyDescent="0.25">
      <c r="A1252" s="15">
        <v>35557628</v>
      </c>
      <c r="B1252" s="15">
        <v>9.15</v>
      </c>
      <c r="C1252" s="15">
        <v>377350</v>
      </c>
      <c r="D1252" s="15">
        <v>55926</v>
      </c>
      <c r="E1252" s="15" t="s">
        <v>1128</v>
      </c>
      <c r="F1252" s="15">
        <v>2011</v>
      </c>
      <c r="G1252" s="15">
        <v>20110512</v>
      </c>
      <c r="H1252" s="15">
        <v>11069</v>
      </c>
      <c r="I1252" s="15">
        <v>1.1100000000000001</v>
      </c>
      <c r="J1252" s="6" t="s">
        <v>301</v>
      </c>
      <c r="K1252" s="15">
        <v>151</v>
      </c>
      <c r="L1252" s="15" t="s">
        <v>1129</v>
      </c>
      <c r="M1252" s="15" t="s">
        <v>5</v>
      </c>
      <c r="N1252" s="11" t="s">
        <v>1391</v>
      </c>
      <c r="O1252" s="11" t="s">
        <v>46</v>
      </c>
      <c r="P1252" s="11" t="s">
        <v>33</v>
      </c>
      <c r="Q1252" s="15">
        <v>0</v>
      </c>
      <c r="R1252" s="11" t="s">
        <v>1386</v>
      </c>
      <c r="S1252" s="10">
        <v>90.815594824257005</v>
      </c>
      <c r="T1252" s="15">
        <v>80</v>
      </c>
      <c r="U1252" s="15">
        <v>0</v>
      </c>
      <c r="V1252" s="15">
        <v>0</v>
      </c>
      <c r="W1252" s="15">
        <v>0</v>
      </c>
      <c r="X1252" s="15">
        <f>IF(O1252='Udvaskning nøgletal'!$D$65,1,IF(O1252='Udvaskning nøgletal'!$D$66,2,IF(O1252='Udvaskning nøgletal'!$D$67,3,IF(O1252='Udvaskning nøgletal'!$D$68,2,""))))</f>
        <v>2</v>
      </c>
      <c r="Y1252" s="15">
        <f>LOOKUP(K1252,'Udvaskning nøgletal'!$C$12:$C$60,'Udvaskning nøgletal'!$H$12:$H$60)</f>
        <v>5</v>
      </c>
      <c r="Z1252" s="10">
        <f>IF(X1252=1,LOOKUP(K1252,'Udvaskning nøgletal'!$C$12:$C$60,'Udvaskning nøgletal'!$E$12:$E$60)+Markniveau!Y1252*Markniveau!S1252/100,IF(X1252=2,LOOKUP(K1252,'Udvaskning nøgletal'!$C$12:$C$60,'Udvaskning nøgletal'!$F$12:$F$60)+Markniveau!Y1252*Markniveau!S1252/100,IF(X1252=3,LOOKUP(K1252,'Udvaskning nøgletal'!$C$12:$C$60,'Udvaskning nøgletal'!G1262:G1310)+Markniveau!Y1252*Markniveau!S1252/100,"")))</f>
        <v>55.420779741212854</v>
      </c>
      <c r="AA1252" s="10">
        <f t="shared" si="196"/>
        <v>61.517065512746271</v>
      </c>
      <c r="AB1252" s="10" t="str">
        <f t="shared" si="195"/>
        <v/>
      </c>
      <c r="AC1252" s="10" t="str">
        <f t="shared" si="197"/>
        <v/>
      </c>
      <c r="AD1252" s="10">
        <f>IF(AND(Q1252&gt;0,Q1252&lt;30,K1252&lt;8),Markniveau!Z1252*'Udvaskning nøgletal'!$I$12/100,IF(AND(Q1252&gt;0,Q1252&lt;30,K1252=216),Markniveau!Z1252*'Udvaskning nøgletal'!$I$34/100,Markniveau!Z1252))</f>
        <v>55.420779741212854</v>
      </c>
      <c r="AE1252" s="10">
        <f t="shared" si="203"/>
        <v>61.517065512746271</v>
      </c>
      <c r="AF1252" s="10" t="str">
        <f t="shared" si="198"/>
        <v/>
      </c>
      <c r="AG1252" s="10" t="str">
        <f t="shared" si="204"/>
        <v/>
      </c>
      <c r="AH1252" s="10" t="str">
        <f>IF(AND(Q1252&gt;0,Q1252&lt;30,K1252=216),'Udvaskning nøgletal'!$C$42,IF(AND(Q1252&gt;0,Q1252&lt;30,K1252&gt;7,K1252&lt;17),'Udvaskning nøgletal'!$C$61,IF(AND(Q1252&gt;0,Q1252&lt;30,K1252&lt;7),'Udvaskning nøgletal'!$C$62,"")))</f>
        <v/>
      </c>
      <c r="AI1252" s="10">
        <f t="shared" si="200"/>
        <v>151</v>
      </c>
      <c r="AJ1252" s="10">
        <f>IF($X1252=1,LOOKUP(AI1252,'Udvaskning nøgletal'!$C$12:$C$62,'Udvaskning nøgletal'!$E$12:$E$62)+Markniveau!$Y1252*Markniveau!$S1252/100,IF($X1252=2,LOOKUP(AI1252,'Udvaskning nøgletal'!$C$12:$C$62,'Udvaskning nøgletal'!$F$12:$F$62)+Markniveau!$Y1252*Markniveau!$S1252/100,IF($X1252=3,LOOKUP(AI1252,'Udvaskning nøgletal'!$C$12:$C$62,'Udvaskning nøgletal'!Q1262:Q1312)+Markniveau!$Y1252*Markniveau!$S1252/100,"")))</f>
        <v>55.420779741212854</v>
      </c>
      <c r="AK1252" s="10">
        <f t="shared" si="199"/>
        <v>61.517065512746271</v>
      </c>
      <c r="AL1252" s="10" t="str">
        <f t="shared" si="201"/>
        <v/>
      </c>
      <c r="AM1252" s="10" t="str">
        <f t="shared" si="202"/>
        <v/>
      </c>
    </row>
    <row r="1253" spans="1:39" x14ac:dyDescent="0.25">
      <c r="A1253" s="15">
        <v>35557628</v>
      </c>
      <c r="B1253" s="15">
        <v>9.15</v>
      </c>
      <c r="C1253" s="15">
        <v>384963</v>
      </c>
      <c r="D1253" s="15">
        <v>55926</v>
      </c>
      <c r="E1253" s="15" t="s">
        <v>1130</v>
      </c>
      <c r="F1253" s="15">
        <v>2011</v>
      </c>
      <c r="G1253" s="15">
        <v>20110512</v>
      </c>
      <c r="H1253" s="15">
        <v>57644</v>
      </c>
      <c r="I1253" s="15">
        <v>5.76</v>
      </c>
      <c r="J1253" s="6" t="s">
        <v>1131</v>
      </c>
      <c r="K1253" s="15">
        <v>15</v>
      </c>
      <c r="L1253" s="15" t="s">
        <v>362</v>
      </c>
      <c r="M1253" s="15" t="s">
        <v>5</v>
      </c>
      <c r="N1253" s="11" t="s">
        <v>1384</v>
      </c>
      <c r="O1253" s="11" t="s">
        <v>28</v>
      </c>
      <c r="P1253" s="11" t="s">
        <v>33</v>
      </c>
      <c r="Q1253" s="15">
        <v>0</v>
      </c>
      <c r="R1253" s="11" t="s">
        <v>1386</v>
      </c>
      <c r="S1253" s="10">
        <v>90.815594824257005</v>
      </c>
      <c r="T1253" s="15">
        <v>80</v>
      </c>
      <c r="U1253" s="15">
        <v>0</v>
      </c>
      <c r="V1253" s="15">
        <v>0</v>
      </c>
      <c r="W1253" s="15">
        <v>0</v>
      </c>
      <c r="X1253" s="15">
        <f>IF(O1253='Udvaskning nøgletal'!$D$65,1,IF(O1253='Udvaskning nøgletal'!$D$66,2,IF(O1253='Udvaskning nøgletal'!$D$67,3,IF(O1253='Udvaskning nøgletal'!$D$68,2,""))))</f>
        <v>1</v>
      </c>
      <c r="Y1253" s="15">
        <f>LOOKUP(K1253,'Udvaskning nøgletal'!$C$12:$C$60,'Udvaskning nøgletal'!$H$12:$H$60)</f>
        <v>5</v>
      </c>
      <c r="Z1253" s="10">
        <f>IF(X1253=1,LOOKUP(K1253,'Udvaskning nøgletal'!$C$12:$C$60,'Udvaskning nøgletal'!$E$12:$E$60)+Markniveau!Y1253*Markniveau!S1253/100,IF(X1253=2,LOOKUP(K1253,'Udvaskning nøgletal'!$C$12:$C$60,'Udvaskning nøgletal'!$F$12:$F$60)+Markniveau!Y1253*Markniveau!S1253/100,IF(X1253=3,LOOKUP(K1253,'Udvaskning nøgletal'!$C$12:$C$60,'Udvaskning nøgletal'!G1263:G1311)+Markniveau!Y1253*Markniveau!S1253/100,"")))</f>
        <v>69.200779741212841</v>
      </c>
      <c r="AA1253" s="10">
        <f t="shared" si="196"/>
        <v>398.59649130938595</v>
      </c>
      <c r="AB1253" s="10" t="str">
        <f t="shared" si="195"/>
        <v/>
      </c>
      <c r="AC1253" s="10" t="str">
        <f t="shared" si="197"/>
        <v/>
      </c>
      <c r="AD1253" s="10">
        <f>IF(AND(Q1253&gt;0,Q1253&lt;30,K1253&lt;8),Markniveau!Z1253*'Udvaskning nøgletal'!$I$12/100,IF(AND(Q1253&gt;0,Q1253&lt;30,K1253=216),Markniveau!Z1253*'Udvaskning nøgletal'!$I$34/100,Markniveau!Z1253))</f>
        <v>69.200779741212841</v>
      </c>
      <c r="AE1253" s="10">
        <f t="shared" si="203"/>
        <v>398.59649130938595</v>
      </c>
      <c r="AF1253" s="10" t="str">
        <f t="shared" si="198"/>
        <v/>
      </c>
      <c r="AG1253" s="10" t="str">
        <f t="shared" si="204"/>
        <v/>
      </c>
      <c r="AH1253" s="10" t="str">
        <f>IF(AND(Q1253&gt;0,Q1253&lt;30,K1253=216),'Udvaskning nøgletal'!$C$42,IF(AND(Q1253&gt;0,Q1253&lt;30,K1253&gt;7,K1253&lt;17),'Udvaskning nøgletal'!$C$61,IF(AND(Q1253&gt;0,Q1253&lt;30,K1253&lt;7),'Udvaskning nøgletal'!$C$62,"")))</f>
        <v/>
      </c>
      <c r="AI1253" s="10">
        <f t="shared" si="200"/>
        <v>15</v>
      </c>
      <c r="AJ1253" s="10">
        <f>IF($X1253=1,LOOKUP(AI1253,'Udvaskning nøgletal'!$C$12:$C$62,'Udvaskning nøgletal'!$E$12:$E$62)+Markniveau!$Y1253*Markniveau!$S1253/100,IF($X1253=2,LOOKUP(AI1253,'Udvaskning nøgletal'!$C$12:$C$62,'Udvaskning nøgletal'!$F$12:$F$62)+Markniveau!$Y1253*Markniveau!$S1253/100,IF($X1253=3,LOOKUP(AI1253,'Udvaskning nøgletal'!$C$12:$C$62,'Udvaskning nøgletal'!Q1263:Q1313)+Markniveau!$Y1253*Markniveau!$S1253/100,"")))</f>
        <v>69.200779741212841</v>
      </c>
      <c r="AK1253" s="10">
        <f t="shared" si="199"/>
        <v>398.59649130938595</v>
      </c>
      <c r="AL1253" s="10" t="str">
        <f t="shared" si="201"/>
        <v/>
      </c>
      <c r="AM1253" s="10" t="str">
        <f t="shared" si="202"/>
        <v/>
      </c>
    </row>
    <row r="1254" spans="1:39" x14ac:dyDescent="0.25">
      <c r="A1254" s="15">
        <v>35557628</v>
      </c>
      <c r="B1254" s="15">
        <v>9.15</v>
      </c>
      <c r="C1254" s="15">
        <v>384964</v>
      </c>
      <c r="D1254" s="15">
        <v>55926</v>
      </c>
      <c r="E1254" s="15" t="s">
        <v>1132</v>
      </c>
      <c r="F1254" s="15">
        <v>2011</v>
      </c>
      <c r="G1254" s="15">
        <v>20110512</v>
      </c>
      <c r="H1254" s="15">
        <v>178419</v>
      </c>
      <c r="I1254" s="15">
        <v>17.84</v>
      </c>
      <c r="J1254" s="6" t="s">
        <v>1133</v>
      </c>
      <c r="K1254" s="15">
        <v>15</v>
      </c>
      <c r="L1254" s="15" t="s">
        <v>362</v>
      </c>
      <c r="M1254" s="15" t="s">
        <v>5</v>
      </c>
      <c r="N1254" s="11" t="s">
        <v>1384</v>
      </c>
      <c r="O1254" s="11" t="s">
        <v>28</v>
      </c>
      <c r="P1254" s="11" t="s">
        <v>33</v>
      </c>
      <c r="Q1254" s="15">
        <v>0</v>
      </c>
      <c r="R1254" s="11" t="s">
        <v>1386</v>
      </c>
      <c r="S1254" s="10">
        <v>90.815594824257005</v>
      </c>
      <c r="T1254" s="15">
        <v>80</v>
      </c>
      <c r="U1254" s="15">
        <v>0</v>
      </c>
      <c r="V1254" s="15">
        <v>0</v>
      </c>
      <c r="W1254" s="15">
        <v>0</v>
      </c>
      <c r="X1254" s="15">
        <f>IF(O1254='Udvaskning nøgletal'!$D$65,1,IF(O1254='Udvaskning nøgletal'!$D$66,2,IF(O1254='Udvaskning nøgletal'!$D$67,3,IF(O1254='Udvaskning nøgletal'!$D$68,2,""))))</f>
        <v>1</v>
      </c>
      <c r="Y1254" s="15">
        <f>LOOKUP(K1254,'Udvaskning nøgletal'!$C$12:$C$60,'Udvaskning nøgletal'!$H$12:$H$60)</f>
        <v>5</v>
      </c>
      <c r="Z1254" s="10">
        <f>IF(X1254=1,LOOKUP(K1254,'Udvaskning nøgletal'!$C$12:$C$60,'Udvaskning nøgletal'!$E$12:$E$60)+Markniveau!Y1254*Markniveau!S1254/100,IF(X1254=2,LOOKUP(K1254,'Udvaskning nøgletal'!$C$12:$C$60,'Udvaskning nøgletal'!$F$12:$F$60)+Markniveau!Y1254*Markniveau!S1254/100,IF(X1254=3,LOOKUP(K1254,'Udvaskning nøgletal'!$C$12:$C$60,'Udvaskning nøgletal'!G1264:G1312)+Markniveau!Y1254*Markniveau!S1254/100,"")))</f>
        <v>69.200779741212841</v>
      </c>
      <c r="AA1254" s="10">
        <f t="shared" si="196"/>
        <v>1234.541910583237</v>
      </c>
      <c r="AB1254" s="10" t="str">
        <f t="shared" si="195"/>
        <v/>
      </c>
      <c r="AC1254" s="10" t="str">
        <f t="shared" si="197"/>
        <v/>
      </c>
      <c r="AD1254" s="10">
        <f>IF(AND(Q1254&gt;0,Q1254&lt;30,K1254&lt;8),Markniveau!Z1254*'Udvaskning nøgletal'!$I$12/100,IF(AND(Q1254&gt;0,Q1254&lt;30,K1254=216),Markniveau!Z1254*'Udvaskning nøgletal'!$I$34/100,Markniveau!Z1254))</f>
        <v>69.200779741212841</v>
      </c>
      <c r="AE1254" s="10">
        <f t="shared" si="203"/>
        <v>1234.541910583237</v>
      </c>
      <c r="AF1254" s="10" t="str">
        <f t="shared" si="198"/>
        <v/>
      </c>
      <c r="AG1254" s="10" t="str">
        <f t="shared" si="204"/>
        <v/>
      </c>
      <c r="AH1254" s="10" t="str">
        <f>IF(AND(Q1254&gt;0,Q1254&lt;30,K1254=216),'Udvaskning nøgletal'!$C$42,IF(AND(Q1254&gt;0,Q1254&lt;30,K1254&gt;7,K1254&lt;17),'Udvaskning nøgletal'!$C$61,IF(AND(Q1254&gt;0,Q1254&lt;30,K1254&lt;7),'Udvaskning nøgletal'!$C$62,"")))</f>
        <v/>
      </c>
      <c r="AI1254" s="10">
        <f t="shared" si="200"/>
        <v>15</v>
      </c>
      <c r="AJ1254" s="10">
        <f>IF($X1254=1,LOOKUP(AI1254,'Udvaskning nøgletal'!$C$12:$C$62,'Udvaskning nøgletal'!$E$12:$E$62)+Markniveau!$Y1254*Markniveau!$S1254/100,IF($X1254=2,LOOKUP(AI1254,'Udvaskning nøgletal'!$C$12:$C$62,'Udvaskning nøgletal'!$F$12:$F$62)+Markniveau!$Y1254*Markniveau!$S1254/100,IF($X1254=3,LOOKUP(AI1254,'Udvaskning nøgletal'!$C$12:$C$62,'Udvaskning nøgletal'!Q1264:Q1314)+Markniveau!$Y1254*Markniveau!$S1254/100,"")))</f>
        <v>69.200779741212841</v>
      </c>
      <c r="AK1254" s="10">
        <f t="shared" si="199"/>
        <v>1234.541910583237</v>
      </c>
      <c r="AL1254" s="10" t="str">
        <f t="shared" si="201"/>
        <v/>
      </c>
      <c r="AM1254" s="10" t="str">
        <f t="shared" si="202"/>
        <v/>
      </c>
    </row>
    <row r="1255" spans="1:39" x14ac:dyDescent="0.25">
      <c r="A1255" s="15">
        <v>35557628</v>
      </c>
      <c r="B1255" s="15">
        <v>9.15</v>
      </c>
      <c r="C1255" s="15">
        <v>391481</v>
      </c>
      <c r="D1255" s="15">
        <v>55926</v>
      </c>
      <c r="E1255" s="15" t="s">
        <v>1134</v>
      </c>
      <c r="F1255" s="15">
        <v>2011</v>
      </c>
      <c r="G1255" s="15">
        <v>20110513</v>
      </c>
      <c r="H1255" s="15">
        <v>5330</v>
      </c>
      <c r="I1255" s="15">
        <v>0.53</v>
      </c>
      <c r="J1255" s="6" t="s">
        <v>1135</v>
      </c>
      <c r="K1255" s="15">
        <v>15</v>
      </c>
      <c r="L1255" s="15" t="s">
        <v>362</v>
      </c>
      <c r="M1255" s="15" t="s">
        <v>5</v>
      </c>
      <c r="N1255" s="11" t="s">
        <v>1384</v>
      </c>
      <c r="O1255" s="11" t="s">
        <v>28</v>
      </c>
      <c r="P1255" s="11" t="s">
        <v>33</v>
      </c>
      <c r="Q1255" s="15">
        <v>0</v>
      </c>
      <c r="R1255" s="11" t="s">
        <v>1386</v>
      </c>
      <c r="S1255" s="10">
        <v>90.815594824257005</v>
      </c>
      <c r="T1255" s="15">
        <v>80</v>
      </c>
      <c r="U1255" s="15">
        <v>0</v>
      </c>
      <c r="V1255" s="15">
        <v>0</v>
      </c>
      <c r="W1255" s="15">
        <v>0</v>
      </c>
      <c r="X1255" s="15">
        <f>IF(O1255='Udvaskning nøgletal'!$D$65,1,IF(O1255='Udvaskning nøgletal'!$D$66,2,IF(O1255='Udvaskning nøgletal'!$D$67,3,IF(O1255='Udvaskning nøgletal'!$D$68,2,""))))</f>
        <v>1</v>
      </c>
      <c r="Y1255" s="15">
        <f>LOOKUP(K1255,'Udvaskning nøgletal'!$C$12:$C$60,'Udvaskning nøgletal'!$H$12:$H$60)</f>
        <v>5</v>
      </c>
      <c r="Z1255" s="10">
        <f>IF(X1255=1,LOOKUP(K1255,'Udvaskning nøgletal'!$C$12:$C$60,'Udvaskning nøgletal'!$E$12:$E$60)+Markniveau!Y1255*Markniveau!S1255/100,IF(X1255=2,LOOKUP(K1255,'Udvaskning nøgletal'!$C$12:$C$60,'Udvaskning nøgletal'!$F$12:$F$60)+Markniveau!Y1255*Markniveau!S1255/100,IF(X1255=3,LOOKUP(K1255,'Udvaskning nøgletal'!$C$12:$C$60,'Udvaskning nøgletal'!G1265:G1313)+Markniveau!Y1255*Markniveau!S1255/100,"")))</f>
        <v>69.200779741212841</v>
      </c>
      <c r="AA1255" s="10">
        <f t="shared" si="196"/>
        <v>36.676413262842807</v>
      </c>
      <c r="AB1255" s="10" t="str">
        <f t="shared" si="195"/>
        <v/>
      </c>
      <c r="AC1255" s="10" t="str">
        <f t="shared" si="197"/>
        <v/>
      </c>
      <c r="AD1255" s="10">
        <f>IF(AND(Q1255&gt;0,Q1255&lt;30,K1255&lt;8),Markniveau!Z1255*'Udvaskning nøgletal'!$I$12/100,IF(AND(Q1255&gt;0,Q1255&lt;30,K1255=216),Markniveau!Z1255*'Udvaskning nøgletal'!$I$34/100,Markniveau!Z1255))</f>
        <v>69.200779741212841</v>
      </c>
      <c r="AE1255" s="10">
        <f t="shared" si="203"/>
        <v>36.676413262842807</v>
      </c>
      <c r="AF1255" s="10" t="str">
        <f t="shared" si="198"/>
        <v/>
      </c>
      <c r="AG1255" s="10" t="str">
        <f t="shared" si="204"/>
        <v/>
      </c>
      <c r="AH1255" s="10" t="str">
        <f>IF(AND(Q1255&gt;0,Q1255&lt;30,K1255=216),'Udvaskning nøgletal'!$C$42,IF(AND(Q1255&gt;0,Q1255&lt;30,K1255&gt;7,K1255&lt;17),'Udvaskning nøgletal'!$C$61,IF(AND(Q1255&gt;0,Q1255&lt;30,K1255&lt;7),'Udvaskning nøgletal'!$C$62,"")))</f>
        <v/>
      </c>
      <c r="AI1255" s="10">
        <f t="shared" si="200"/>
        <v>15</v>
      </c>
      <c r="AJ1255" s="10">
        <f>IF($X1255=1,LOOKUP(AI1255,'Udvaskning nøgletal'!$C$12:$C$62,'Udvaskning nøgletal'!$E$12:$E$62)+Markniveau!$Y1255*Markniveau!$S1255/100,IF($X1255=2,LOOKUP(AI1255,'Udvaskning nøgletal'!$C$12:$C$62,'Udvaskning nøgletal'!$F$12:$F$62)+Markniveau!$Y1255*Markniveau!$S1255/100,IF($X1255=3,LOOKUP(AI1255,'Udvaskning nøgletal'!$C$12:$C$62,'Udvaskning nøgletal'!Q1265:Q1315)+Markniveau!$Y1255*Markniveau!$S1255/100,"")))</f>
        <v>69.200779741212841</v>
      </c>
      <c r="AK1255" s="10">
        <f t="shared" si="199"/>
        <v>36.676413262842807</v>
      </c>
      <c r="AL1255" s="10" t="str">
        <f t="shared" si="201"/>
        <v/>
      </c>
      <c r="AM1255" s="10" t="str">
        <f t="shared" si="202"/>
        <v/>
      </c>
    </row>
    <row r="1256" spans="1:39" x14ac:dyDescent="0.25">
      <c r="A1256" s="15">
        <v>35557628</v>
      </c>
      <c r="B1256" s="15">
        <v>9.15</v>
      </c>
      <c r="C1256" s="15">
        <v>449303</v>
      </c>
      <c r="D1256" s="15">
        <v>55926</v>
      </c>
      <c r="E1256" s="15" t="s">
        <v>1008</v>
      </c>
      <c r="F1256" s="15">
        <v>2011</v>
      </c>
      <c r="G1256" s="15">
        <v>20110512</v>
      </c>
      <c r="H1256" s="15">
        <v>64902</v>
      </c>
      <c r="I1256" s="15">
        <v>6.49</v>
      </c>
      <c r="J1256" s="6" t="s">
        <v>60</v>
      </c>
      <c r="K1256" s="15">
        <v>22</v>
      </c>
      <c r="L1256" s="15" t="s">
        <v>213</v>
      </c>
      <c r="M1256" s="15" t="s">
        <v>5</v>
      </c>
      <c r="N1256" s="11" t="s">
        <v>1384</v>
      </c>
      <c r="O1256" s="11" t="s">
        <v>28</v>
      </c>
      <c r="P1256" s="11" t="s">
        <v>33</v>
      </c>
      <c r="Q1256" s="15">
        <v>0</v>
      </c>
      <c r="R1256" s="11" t="s">
        <v>1386</v>
      </c>
      <c r="S1256" s="10">
        <v>90.815594824257005</v>
      </c>
      <c r="T1256" s="15">
        <v>80</v>
      </c>
      <c r="U1256" s="15">
        <v>0</v>
      </c>
      <c r="V1256" s="15">
        <v>0</v>
      </c>
      <c r="W1256" s="15">
        <v>0</v>
      </c>
      <c r="X1256" s="15">
        <f>IF(O1256='Udvaskning nøgletal'!$D$65,1,IF(O1256='Udvaskning nøgletal'!$D$66,2,IF(O1256='Udvaskning nøgletal'!$D$67,3,IF(O1256='Udvaskning nøgletal'!$D$68,2,""))))</f>
        <v>1</v>
      </c>
      <c r="Y1256" s="15">
        <f>LOOKUP(K1256,'Udvaskning nøgletal'!$C$12:$C$60,'Udvaskning nøgletal'!$H$12:$H$60)</f>
        <v>5</v>
      </c>
      <c r="Z1256" s="10">
        <f>IF(X1256=1,LOOKUP(K1256,'Udvaskning nøgletal'!$C$12:$C$60,'Udvaskning nøgletal'!$E$12:$E$60)+Markniveau!Y1256*Markniveau!S1256/100,IF(X1256=2,LOOKUP(K1256,'Udvaskning nøgletal'!$C$12:$C$60,'Udvaskning nøgletal'!$F$12:$F$60)+Markniveau!Y1256*Markniveau!S1256/100,IF(X1256=3,LOOKUP(K1256,'Udvaskning nøgletal'!$C$12:$C$60,'Udvaskning nøgletal'!G1266:G1314)+Markniveau!Y1256*Markniveau!S1256/100,"")))</f>
        <v>69.200779741212841</v>
      </c>
      <c r="AA1256" s="10">
        <f t="shared" si="196"/>
        <v>449.11306052047138</v>
      </c>
      <c r="AB1256" s="10" t="str">
        <f t="shared" si="195"/>
        <v/>
      </c>
      <c r="AC1256" s="10" t="str">
        <f t="shared" si="197"/>
        <v/>
      </c>
      <c r="AD1256" s="10">
        <f>IF(AND(Q1256&gt;0,Q1256&lt;30,K1256&lt;8),Markniveau!Z1256*'Udvaskning nøgletal'!$I$12/100,IF(AND(Q1256&gt;0,Q1256&lt;30,K1256=216),Markniveau!Z1256*'Udvaskning nøgletal'!$I$34/100,Markniveau!Z1256))</f>
        <v>69.200779741212841</v>
      </c>
      <c r="AE1256" s="10">
        <f t="shared" si="203"/>
        <v>449.11306052047138</v>
      </c>
      <c r="AF1256" s="10" t="str">
        <f t="shared" si="198"/>
        <v/>
      </c>
      <c r="AG1256" s="10" t="str">
        <f t="shared" si="204"/>
        <v/>
      </c>
      <c r="AH1256" s="10" t="str">
        <f>IF(AND(Q1256&gt;0,Q1256&lt;30,K1256=216),'Udvaskning nøgletal'!$C$42,IF(AND(Q1256&gt;0,Q1256&lt;30,K1256&gt;7,K1256&lt;17),'Udvaskning nøgletal'!$C$61,IF(AND(Q1256&gt;0,Q1256&lt;30,K1256&lt;7),'Udvaskning nøgletal'!$C$62,"")))</f>
        <v/>
      </c>
      <c r="AI1256" s="10">
        <f t="shared" si="200"/>
        <v>22</v>
      </c>
      <c r="AJ1256" s="10">
        <f>IF($X1256=1,LOOKUP(AI1256,'Udvaskning nøgletal'!$C$12:$C$62,'Udvaskning nøgletal'!$E$12:$E$62)+Markniveau!$Y1256*Markniveau!$S1256/100,IF($X1256=2,LOOKUP(AI1256,'Udvaskning nøgletal'!$C$12:$C$62,'Udvaskning nøgletal'!$F$12:$F$62)+Markniveau!$Y1256*Markniveau!$S1256/100,IF($X1256=3,LOOKUP(AI1256,'Udvaskning nøgletal'!$C$12:$C$62,'Udvaskning nøgletal'!Q1266:Q1316)+Markniveau!$Y1256*Markniveau!$S1256/100,"")))</f>
        <v>69.200779741212841</v>
      </c>
      <c r="AK1256" s="10">
        <f t="shared" si="199"/>
        <v>449.11306052047138</v>
      </c>
      <c r="AL1256" s="10" t="str">
        <f t="shared" si="201"/>
        <v/>
      </c>
      <c r="AM1256" s="10" t="str">
        <f t="shared" si="202"/>
        <v/>
      </c>
    </row>
    <row r="1257" spans="1:39" x14ac:dyDescent="0.25">
      <c r="A1257" s="15">
        <v>35557628</v>
      </c>
      <c r="B1257" s="15">
        <v>9.15</v>
      </c>
      <c r="C1257" s="15">
        <v>262865</v>
      </c>
      <c r="D1257" s="15">
        <v>55926</v>
      </c>
      <c r="E1257" s="15" t="s">
        <v>983</v>
      </c>
      <c r="F1257" s="15">
        <v>2011</v>
      </c>
      <c r="G1257" s="15">
        <v>20110512</v>
      </c>
      <c r="H1257" s="15">
        <v>23196</v>
      </c>
      <c r="I1257" s="15">
        <v>2.3199999999999998</v>
      </c>
      <c r="J1257" s="6" t="s">
        <v>1136</v>
      </c>
      <c r="K1257" s="15">
        <v>15</v>
      </c>
      <c r="L1257" s="15" t="s">
        <v>362</v>
      </c>
      <c r="M1257" s="15" t="s">
        <v>5</v>
      </c>
      <c r="N1257" s="11" t="s">
        <v>1384</v>
      </c>
      <c r="O1257" s="11" t="s">
        <v>28</v>
      </c>
      <c r="P1257" s="11" t="s">
        <v>33</v>
      </c>
      <c r="Q1257" s="15">
        <v>0</v>
      </c>
      <c r="R1257" s="11" t="s">
        <v>1386</v>
      </c>
      <c r="S1257" s="10">
        <v>90.815594824257005</v>
      </c>
      <c r="T1257" s="15">
        <v>80</v>
      </c>
      <c r="U1257" s="15">
        <v>0</v>
      </c>
      <c r="V1257" s="15">
        <v>0</v>
      </c>
      <c r="W1257" s="15">
        <v>0</v>
      </c>
      <c r="X1257" s="15">
        <f>IF(O1257='Udvaskning nøgletal'!$D$65,1,IF(O1257='Udvaskning nøgletal'!$D$66,2,IF(O1257='Udvaskning nøgletal'!$D$67,3,IF(O1257='Udvaskning nøgletal'!$D$68,2,""))))</f>
        <v>1</v>
      </c>
      <c r="Y1257" s="15">
        <f>LOOKUP(K1257,'Udvaskning nøgletal'!$C$12:$C$60,'Udvaskning nøgletal'!$H$12:$H$60)</f>
        <v>5</v>
      </c>
      <c r="Z1257" s="10">
        <f>IF(X1257=1,LOOKUP(K1257,'Udvaskning nøgletal'!$C$12:$C$60,'Udvaskning nøgletal'!$E$12:$E$60)+Markniveau!Y1257*Markniveau!S1257/100,IF(X1257=2,LOOKUP(K1257,'Udvaskning nøgletal'!$C$12:$C$60,'Udvaskning nøgletal'!$F$12:$F$60)+Markniveau!Y1257*Markniveau!S1257/100,IF(X1257=3,LOOKUP(K1257,'Udvaskning nøgletal'!$C$12:$C$60,'Udvaskning nøgletal'!G1267:G1315)+Markniveau!Y1257*Markniveau!S1257/100,"")))</f>
        <v>69.200779741212841</v>
      </c>
      <c r="AA1257" s="10">
        <f t="shared" si="196"/>
        <v>160.54580899961377</v>
      </c>
      <c r="AB1257" s="10" t="str">
        <f t="shared" si="195"/>
        <v/>
      </c>
      <c r="AC1257" s="10" t="str">
        <f t="shared" si="197"/>
        <v/>
      </c>
      <c r="AD1257" s="10">
        <f>IF(AND(Q1257&gt;0,Q1257&lt;30,K1257&lt;8),Markniveau!Z1257*'Udvaskning nøgletal'!$I$12/100,IF(AND(Q1257&gt;0,Q1257&lt;30,K1257=216),Markniveau!Z1257*'Udvaskning nøgletal'!$I$34/100,Markniveau!Z1257))</f>
        <v>69.200779741212841</v>
      </c>
      <c r="AE1257" s="10">
        <f t="shared" si="203"/>
        <v>160.54580899961377</v>
      </c>
      <c r="AF1257" s="10" t="str">
        <f t="shared" si="198"/>
        <v/>
      </c>
      <c r="AG1257" s="10" t="str">
        <f t="shared" si="204"/>
        <v/>
      </c>
      <c r="AH1257" s="10" t="str">
        <f>IF(AND(Q1257&gt;0,Q1257&lt;30,K1257=216),'Udvaskning nøgletal'!$C$42,IF(AND(Q1257&gt;0,Q1257&lt;30,K1257&gt;7,K1257&lt;17),'Udvaskning nøgletal'!$C$61,IF(AND(Q1257&gt;0,Q1257&lt;30,K1257&lt;7),'Udvaskning nøgletal'!$C$62,"")))</f>
        <v/>
      </c>
      <c r="AI1257" s="10">
        <f t="shared" si="200"/>
        <v>15</v>
      </c>
      <c r="AJ1257" s="10">
        <f>IF($X1257=1,LOOKUP(AI1257,'Udvaskning nøgletal'!$C$12:$C$62,'Udvaskning nøgletal'!$E$12:$E$62)+Markniveau!$Y1257*Markniveau!$S1257/100,IF($X1257=2,LOOKUP(AI1257,'Udvaskning nøgletal'!$C$12:$C$62,'Udvaskning nøgletal'!$F$12:$F$62)+Markniveau!$Y1257*Markniveau!$S1257/100,IF($X1257=3,LOOKUP(AI1257,'Udvaskning nøgletal'!$C$12:$C$62,'Udvaskning nøgletal'!Q1267:Q1317)+Markniveau!$Y1257*Markniveau!$S1257/100,"")))</f>
        <v>69.200779741212841</v>
      </c>
      <c r="AK1257" s="10">
        <f t="shared" si="199"/>
        <v>160.54580899961377</v>
      </c>
      <c r="AL1257" s="10" t="str">
        <f t="shared" si="201"/>
        <v/>
      </c>
      <c r="AM1257" s="10" t="str">
        <f t="shared" si="202"/>
        <v/>
      </c>
    </row>
    <row r="1258" spans="1:39" x14ac:dyDescent="0.25">
      <c r="A1258" s="15">
        <v>35557628</v>
      </c>
      <c r="B1258" s="15">
        <v>9.15</v>
      </c>
      <c r="C1258" s="15">
        <v>263802</v>
      </c>
      <c r="D1258" s="15">
        <v>55926</v>
      </c>
      <c r="E1258" s="15" t="s">
        <v>990</v>
      </c>
      <c r="F1258" s="15">
        <v>2011</v>
      </c>
      <c r="G1258" s="15">
        <v>20110512</v>
      </c>
      <c r="H1258" s="15">
        <v>43792</v>
      </c>
      <c r="I1258" s="15">
        <v>4.38</v>
      </c>
      <c r="J1258" s="6" t="s">
        <v>1137</v>
      </c>
      <c r="K1258" s="15">
        <v>152</v>
      </c>
      <c r="L1258" s="15" t="s">
        <v>333</v>
      </c>
      <c r="M1258" s="15" t="s">
        <v>5</v>
      </c>
      <c r="N1258" s="11" t="s">
        <v>1391</v>
      </c>
      <c r="O1258" s="11" t="s">
        <v>46</v>
      </c>
      <c r="P1258" s="11" t="s">
        <v>33</v>
      </c>
      <c r="Q1258" s="15">
        <v>0</v>
      </c>
      <c r="R1258" s="11" t="s">
        <v>1386</v>
      </c>
      <c r="S1258" s="10">
        <v>90.815594824257005</v>
      </c>
      <c r="T1258" s="15">
        <v>80</v>
      </c>
      <c r="U1258" s="15">
        <v>0</v>
      </c>
      <c r="V1258" s="15">
        <v>0</v>
      </c>
      <c r="W1258" s="15">
        <v>0</v>
      </c>
      <c r="X1258" s="15">
        <f>IF(O1258='Udvaskning nøgletal'!$D$65,1,IF(O1258='Udvaskning nøgletal'!$D$66,2,IF(O1258='Udvaskning nøgletal'!$D$67,3,IF(O1258='Udvaskning nøgletal'!$D$68,2,""))))</f>
        <v>2</v>
      </c>
      <c r="Y1258" s="15">
        <f>LOOKUP(K1258,'Udvaskning nøgletal'!$C$12:$C$60,'Udvaskning nøgletal'!$H$12:$H$60)</f>
        <v>5</v>
      </c>
      <c r="Z1258" s="10">
        <f>IF(X1258=1,LOOKUP(K1258,'Udvaskning nøgletal'!$C$12:$C$60,'Udvaskning nøgletal'!$E$12:$E$60)+Markniveau!Y1258*Markniveau!S1258/100,IF(X1258=2,LOOKUP(K1258,'Udvaskning nøgletal'!$C$12:$C$60,'Udvaskning nøgletal'!$F$12:$F$60)+Markniveau!Y1258*Markniveau!S1258/100,IF(X1258=3,LOOKUP(K1258,'Udvaskning nøgletal'!$C$12:$C$60,'Udvaskning nøgletal'!G1268:G1316)+Markniveau!Y1258*Markniveau!S1258/100,"")))</f>
        <v>55.420779741212854</v>
      </c>
      <c r="AA1258" s="10">
        <f t="shared" si="196"/>
        <v>242.74301526651229</v>
      </c>
      <c r="AB1258" s="10" t="str">
        <f t="shared" si="195"/>
        <v/>
      </c>
      <c r="AC1258" s="10" t="str">
        <f t="shared" si="197"/>
        <v/>
      </c>
      <c r="AD1258" s="10">
        <f>IF(AND(Q1258&gt;0,Q1258&lt;30,K1258&lt;8),Markniveau!Z1258*'Udvaskning nøgletal'!$I$12/100,IF(AND(Q1258&gt;0,Q1258&lt;30,K1258=216),Markniveau!Z1258*'Udvaskning nøgletal'!$I$34/100,Markniveau!Z1258))</f>
        <v>55.420779741212854</v>
      </c>
      <c r="AE1258" s="10">
        <f t="shared" si="203"/>
        <v>242.74301526651229</v>
      </c>
      <c r="AF1258" s="10" t="str">
        <f t="shared" si="198"/>
        <v/>
      </c>
      <c r="AG1258" s="10" t="str">
        <f t="shared" si="204"/>
        <v/>
      </c>
      <c r="AH1258" s="10" t="str">
        <f>IF(AND(Q1258&gt;0,Q1258&lt;30,K1258=216),'Udvaskning nøgletal'!$C$42,IF(AND(Q1258&gt;0,Q1258&lt;30,K1258&gt;7,K1258&lt;17),'Udvaskning nøgletal'!$C$61,IF(AND(Q1258&gt;0,Q1258&lt;30,K1258&lt;7),'Udvaskning nøgletal'!$C$62,"")))</f>
        <v/>
      </c>
      <c r="AI1258" s="10">
        <f t="shared" si="200"/>
        <v>152</v>
      </c>
      <c r="AJ1258" s="10">
        <f>IF($X1258=1,LOOKUP(AI1258,'Udvaskning nøgletal'!$C$12:$C$62,'Udvaskning nøgletal'!$E$12:$E$62)+Markniveau!$Y1258*Markniveau!$S1258/100,IF($X1258=2,LOOKUP(AI1258,'Udvaskning nøgletal'!$C$12:$C$62,'Udvaskning nøgletal'!$F$12:$F$62)+Markniveau!$Y1258*Markniveau!$S1258/100,IF($X1258=3,LOOKUP(AI1258,'Udvaskning nøgletal'!$C$12:$C$62,'Udvaskning nøgletal'!Q1268:Q1318)+Markniveau!$Y1258*Markniveau!$S1258/100,"")))</f>
        <v>55.420779741212854</v>
      </c>
      <c r="AK1258" s="10">
        <f t="shared" si="199"/>
        <v>242.74301526651229</v>
      </c>
      <c r="AL1258" s="10" t="str">
        <f t="shared" si="201"/>
        <v/>
      </c>
      <c r="AM1258" s="10" t="str">
        <f t="shared" si="202"/>
        <v/>
      </c>
    </row>
    <row r="1259" spans="1:39" x14ac:dyDescent="0.25">
      <c r="A1259" s="15">
        <v>42746568</v>
      </c>
      <c r="B1259" s="15">
        <v>8.6199999999999992</v>
      </c>
      <c r="C1259" s="15">
        <v>431923</v>
      </c>
      <c r="D1259" s="15">
        <v>91160</v>
      </c>
      <c r="E1259" s="15" t="s">
        <v>1138</v>
      </c>
      <c r="F1259" s="15">
        <v>2011</v>
      </c>
      <c r="G1259" s="15">
        <v>20110307</v>
      </c>
      <c r="H1259" s="15">
        <v>10481</v>
      </c>
      <c r="I1259" s="15">
        <v>1.05</v>
      </c>
      <c r="J1259" s="6" t="s">
        <v>36</v>
      </c>
      <c r="K1259" s="15">
        <v>260</v>
      </c>
      <c r="L1259" s="15" t="s">
        <v>45</v>
      </c>
      <c r="M1259" s="15" t="s">
        <v>5</v>
      </c>
      <c r="N1259" s="11" t="s">
        <v>1384</v>
      </c>
      <c r="O1259" s="11" t="s">
        <v>28</v>
      </c>
      <c r="P1259" s="11" t="s">
        <v>29</v>
      </c>
      <c r="Q1259" s="15">
        <v>95</v>
      </c>
      <c r="R1259" s="11" t="s">
        <v>3</v>
      </c>
      <c r="S1259" s="10">
        <v>155.14863968149001</v>
      </c>
      <c r="T1259" s="15">
        <v>80</v>
      </c>
      <c r="U1259" s="15">
        <v>0</v>
      </c>
      <c r="V1259" s="15">
        <v>0</v>
      </c>
      <c r="W1259" s="15">
        <v>0</v>
      </c>
      <c r="X1259" s="15">
        <f>IF(O1259='Udvaskning nøgletal'!$D$65,1,IF(O1259='Udvaskning nøgletal'!$D$66,2,IF(O1259='Udvaskning nøgletal'!$D$67,3,IF(O1259='Udvaskning nøgletal'!$D$68,2,""))))</f>
        <v>1</v>
      </c>
      <c r="Y1259" s="15">
        <f>LOOKUP(K1259,'Udvaskning nøgletal'!$C$12:$C$60,'Udvaskning nøgletal'!$H$12:$H$60)</f>
        <v>0</v>
      </c>
      <c r="Z1259" s="10">
        <f>IF(X1259=1,LOOKUP(K1259,'Udvaskning nøgletal'!$C$12:$C$60,'Udvaskning nøgletal'!$E$12:$E$60)+Markniveau!Y1259*Markniveau!S1259/100,IF(X1259=2,LOOKUP(K1259,'Udvaskning nøgletal'!$C$12:$C$60,'Udvaskning nøgletal'!$F$12:$F$60)+Markniveau!Y1259*Markniveau!S1259/100,IF(X1259=3,LOOKUP(K1259,'Udvaskning nøgletal'!$C$12:$C$60,'Udvaskning nøgletal'!G1269:G1317)+Markniveau!Y1259*Markniveau!S1259/100,"")))</f>
        <v>33.723295792149436</v>
      </c>
      <c r="AA1259" s="10">
        <f t="shared" si="196"/>
        <v>35.40946058175691</v>
      </c>
      <c r="AB1259" s="10">
        <f t="shared" si="195"/>
        <v>1.6861647896074716</v>
      </c>
      <c r="AC1259" s="10">
        <f t="shared" si="197"/>
        <v>1.7704730290878452</v>
      </c>
      <c r="AD1259" s="10">
        <f>IF(AND(Q1259&gt;0,Q1259&lt;30,K1259&lt;8),Markniveau!Z1259*'Udvaskning nøgletal'!$I$12/100,IF(AND(Q1259&gt;0,Q1259&lt;30,K1259=216),Markniveau!Z1259*'Udvaskning nøgletal'!$I$34/100,Markniveau!Z1259))</f>
        <v>33.723295792149436</v>
      </c>
      <c r="AE1259" s="10">
        <f t="shared" si="203"/>
        <v>35.40946058175691</v>
      </c>
      <c r="AF1259" s="10">
        <f t="shared" si="198"/>
        <v>1.6861647896074716</v>
      </c>
      <c r="AG1259" s="10">
        <f t="shared" si="204"/>
        <v>1.7704730290878452</v>
      </c>
      <c r="AH1259" s="10" t="str">
        <f>IF(AND(Q1259&gt;0,Q1259&lt;30,K1259=216),'Udvaskning nøgletal'!$C$42,IF(AND(Q1259&gt;0,Q1259&lt;30,K1259&gt;7,K1259&lt;17),'Udvaskning nøgletal'!$C$61,IF(AND(Q1259&gt;0,Q1259&lt;30,K1259&lt;7),'Udvaskning nøgletal'!$C$62,"")))</f>
        <v/>
      </c>
      <c r="AI1259" s="10">
        <f t="shared" si="200"/>
        <v>260</v>
      </c>
      <c r="AJ1259" s="10">
        <f>IF($X1259=1,LOOKUP(AI1259,'Udvaskning nøgletal'!$C$12:$C$62,'Udvaskning nøgletal'!$E$12:$E$62)+Markniveau!$Y1259*Markniveau!$S1259/100,IF($X1259=2,LOOKUP(AI1259,'Udvaskning nøgletal'!$C$12:$C$62,'Udvaskning nøgletal'!$F$12:$F$62)+Markniveau!$Y1259*Markniveau!$S1259/100,IF($X1259=3,LOOKUP(AI1259,'Udvaskning nøgletal'!$C$12:$C$62,'Udvaskning nøgletal'!Q1269:Q1319)+Markniveau!$Y1259*Markniveau!$S1259/100,"")))</f>
        <v>33.723295792149436</v>
      </c>
      <c r="AK1259" s="10">
        <f t="shared" si="199"/>
        <v>35.40946058175691</v>
      </c>
      <c r="AL1259" s="10">
        <f t="shared" si="201"/>
        <v>1.6861647896074716</v>
      </c>
      <c r="AM1259" s="10">
        <f t="shared" si="202"/>
        <v>1.7704730290878452</v>
      </c>
    </row>
    <row r="1260" spans="1:39" x14ac:dyDescent="0.25">
      <c r="A1260" s="15">
        <v>42746568</v>
      </c>
      <c r="B1260" s="15">
        <v>8.6199999999999992</v>
      </c>
      <c r="C1260" s="15">
        <v>431924</v>
      </c>
      <c r="D1260" s="15">
        <v>91160</v>
      </c>
      <c r="E1260" s="15" t="s">
        <v>1139</v>
      </c>
      <c r="F1260" s="15">
        <v>2011</v>
      </c>
      <c r="G1260" s="15">
        <v>20110307</v>
      </c>
      <c r="H1260" s="15">
        <v>12016</v>
      </c>
      <c r="I1260" s="15">
        <v>1.2</v>
      </c>
      <c r="J1260" s="6" t="s">
        <v>31</v>
      </c>
      <c r="K1260" s="15">
        <v>260</v>
      </c>
      <c r="L1260" s="15" t="s">
        <v>45</v>
      </c>
      <c r="M1260" s="15" t="s">
        <v>5</v>
      </c>
      <c r="N1260" s="11" t="s">
        <v>1384</v>
      </c>
      <c r="O1260" s="11" t="s">
        <v>28</v>
      </c>
      <c r="P1260" s="11" t="s">
        <v>29</v>
      </c>
      <c r="Q1260" s="15">
        <v>95</v>
      </c>
      <c r="R1260" s="11" t="s">
        <v>3</v>
      </c>
      <c r="S1260" s="10">
        <v>155.14863968149001</v>
      </c>
      <c r="T1260" s="15">
        <v>80</v>
      </c>
      <c r="U1260" s="15">
        <v>0</v>
      </c>
      <c r="V1260" s="15">
        <v>0</v>
      </c>
      <c r="W1260" s="15">
        <v>0</v>
      </c>
      <c r="X1260" s="15">
        <f>IF(O1260='Udvaskning nøgletal'!$D$65,1,IF(O1260='Udvaskning nøgletal'!$D$66,2,IF(O1260='Udvaskning nøgletal'!$D$67,3,IF(O1260='Udvaskning nøgletal'!$D$68,2,""))))</f>
        <v>1</v>
      </c>
      <c r="Y1260" s="15">
        <f>LOOKUP(K1260,'Udvaskning nøgletal'!$C$12:$C$60,'Udvaskning nøgletal'!$H$12:$H$60)</f>
        <v>0</v>
      </c>
      <c r="Z1260" s="10">
        <f>IF(X1260=1,LOOKUP(K1260,'Udvaskning nøgletal'!$C$12:$C$60,'Udvaskning nøgletal'!$E$12:$E$60)+Markniveau!Y1260*Markniveau!S1260/100,IF(X1260=2,LOOKUP(K1260,'Udvaskning nøgletal'!$C$12:$C$60,'Udvaskning nøgletal'!$F$12:$F$60)+Markniveau!Y1260*Markniveau!S1260/100,IF(X1260=3,LOOKUP(K1260,'Udvaskning nøgletal'!$C$12:$C$60,'Udvaskning nøgletal'!G1270:G1318)+Markniveau!Y1260*Markniveau!S1260/100,"")))</f>
        <v>33.723295792149436</v>
      </c>
      <c r="AA1260" s="10">
        <f t="shared" si="196"/>
        <v>40.467954950579319</v>
      </c>
      <c r="AB1260" s="10">
        <f t="shared" si="195"/>
        <v>1.6861647896074716</v>
      </c>
      <c r="AC1260" s="10">
        <f t="shared" si="197"/>
        <v>2.023397747528966</v>
      </c>
      <c r="AD1260" s="10">
        <f>IF(AND(Q1260&gt;0,Q1260&lt;30,K1260&lt;8),Markniveau!Z1260*'Udvaskning nøgletal'!$I$12/100,IF(AND(Q1260&gt;0,Q1260&lt;30,K1260=216),Markniveau!Z1260*'Udvaskning nøgletal'!$I$34/100,Markniveau!Z1260))</f>
        <v>33.723295792149436</v>
      </c>
      <c r="AE1260" s="10">
        <f t="shared" si="203"/>
        <v>40.467954950579319</v>
      </c>
      <c r="AF1260" s="10">
        <f t="shared" si="198"/>
        <v>1.6861647896074716</v>
      </c>
      <c r="AG1260" s="10">
        <f t="shared" si="204"/>
        <v>2.023397747528966</v>
      </c>
      <c r="AH1260" s="10" t="str">
        <f>IF(AND(Q1260&gt;0,Q1260&lt;30,K1260=216),'Udvaskning nøgletal'!$C$42,IF(AND(Q1260&gt;0,Q1260&lt;30,K1260&gt;7,K1260&lt;17),'Udvaskning nøgletal'!$C$61,IF(AND(Q1260&gt;0,Q1260&lt;30,K1260&lt;7),'Udvaskning nøgletal'!$C$62,"")))</f>
        <v/>
      </c>
      <c r="AI1260" s="10">
        <f t="shared" si="200"/>
        <v>260</v>
      </c>
      <c r="AJ1260" s="10">
        <f>IF($X1260=1,LOOKUP(AI1260,'Udvaskning nøgletal'!$C$12:$C$62,'Udvaskning nøgletal'!$E$12:$E$62)+Markniveau!$Y1260*Markniveau!$S1260/100,IF($X1260=2,LOOKUP(AI1260,'Udvaskning nøgletal'!$C$12:$C$62,'Udvaskning nøgletal'!$F$12:$F$62)+Markniveau!$Y1260*Markniveau!$S1260/100,IF($X1260=3,LOOKUP(AI1260,'Udvaskning nøgletal'!$C$12:$C$62,'Udvaskning nøgletal'!Q1270:Q1320)+Markniveau!$Y1260*Markniveau!$S1260/100,"")))</f>
        <v>33.723295792149436</v>
      </c>
      <c r="AK1260" s="10">
        <f t="shared" si="199"/>
        <v>40.467954950579319</v>
      </c>
      <c r="AL1260" s="10">
        <f t="shared" si="201"/>
        <v>1.6861647896074716</v>
      </c>
      <c r="AM1260" s="10">
        <f t="shared" si="202"/>
        <v>2.023397747528966</v>
      </c>
    </row>
    <row r="1261" spans="1:39" x14ac:dyDescent="0.25">
      <c r="A1261" s="15">
        <v>42746568</v>
      </c>
      <c r="B1261" s="15">
        <v>8.6199999999999992</v>
      </c>
      <c r="C1261" s="15">
        <v>431925</v>
      </c>
      <c r="D1261" s="15">
        <v>91160</v>
      </c>
      <c r="E1261" s="15" t="s">
        <v>1139</v>
      </c>
      <c r="F1261" s="15">
        <v>2011</v>
      </c>
      <c r="G1261" s="15">
        <v>20110307</v>
      </c>
      <c r="H1261" s="15">
        <v>6941</v>
      </c>
      <c r="I1261" s="15">
        <v>0.69</v>
      </c>
      <c r="J1261" s="6" t="s">
        <v>1455</v>
      </c>
      <c r="K1261" s="15">
        <v>260</v>
      </c>
      <c r="L1261" s="15" t="s">
        <v>45</v>
      </c>
      <c r="M1261" s="15" t="s">
        <v>5</v>
      </c>
      <c r="N1261" s="11" t="s">
        <v>1384</v>
      </c>
      <c r="O1261" s="11" t="s">
        <v>28</v>
      </c>
      <c r="P1261" s="11" t="s">
        <v>29</v>
      </c>
      <c r="Q1261" s="15">
        <v>95</v>
      </c>
      <c r="R1261" s="11" t="s">
        <v>3</v>
      </c>
      <c r="S1261" s="10">
        <v>155.14863968149001</v>
      </c>
      <c r="T1261" s="15">
        <v>80</v>
      </c>
      <c r="U1261" s="15">
        <v>0</v>
      </c>
      <c r="V1261" s="15">
        <v>0</v>
      </c>
      <c r="W1261" s="15">
        <v>0</v>
      </c>
      <c r="X1261" s="15">
        <f>IF(O1261='Udvaskning nøgletal'!$D$65,1,IF(O1261='Udvaskning nøgletal'!$D$66,2,IF(O1261='Udvaskning nøgletal'!$D$67,3,IF(O1261='Udvaskning nøgletal'!$D$68,2,""))))</f>
        <v>1</v>
      </c>
      <c r="Y1261" s="15">
        <f>LOOKUP(K1261,'Udvaskning nøgletal'!$C$12:$C$60,'Udvaskning nøgletal'!$H$12:$H$60)</f>
        <v>0</v>
      </c>
      <c r="Z1261" s="10">
        <f>IF(X1261=1,LOOKUP(K1261,'Udvaskning nøgletal'!$C$12:$C$60,'Udvaskning nøgletal'!$E$12:$E$60)+Markniveau!Y1261*Markniveau!S1261/100,IF(X1261=2,LOOKUP(K1261,'Udvaskning nøgletal'!$C$12:$C$60,'Udvaskning nøgletal'!$F$12:$F$60)+Markniveau!Y1261*Markniveau!S1261/100,IF(X1261=3,LOOKUP(K1261,'Udvaskning nøgletal'!$C$12:$C$60,'Udvaskning nøgletal'!G1271:G1319)+Markniveau!Y1261*Markniveau!S1261/100,"")))</f>
        <v>33.723295792149436</v>
      </c>
      <c r="AA1261" s="10">
        <f t="shared" si="196"/>
        <v>23.269074096583108</v>
      </c>
      <c r="AB1261" s="10">
        <f t="shared" si="195"/>
        <v>1.6861647896074716</v>
      </c>
      <c r="AC1261" s="10">
        <f t="shared" si="197"/>
        <v>1.1634537048291553</v>
      </c>
      <c r="AD1261" s="10">
        <f>IF(AND(Q1261&gt;0,Q1261&lt;30,K1261&lt;8),Markniveau!Z1261*'Udvaskning nøgletal'!$I$12/100,IF(AND(Q1261&gt;0,Q1261&lt;30,K1261=216),Markniveau!Z1261*'Udvaskning nøgletal'!$I$34/100,Markniveau!Z1261))</f>
        <v>33.723295792149436</v>
      </c>
      <c r="AE1261" s="10">
        <f t="shared" si="203"/>
        <v>23.269074096583108</v>
      </c>
      <c r="AF1261" s="10">
        <f t="shared" si="198"/>
        <v>1.6861647896074716</v>
      </c>
      <c r="AG1261" s="10">
        <f t="shared" si="204"/>
        <v>1.1634537048291553</v>
      </c>
      <c r="AH1261" s="10" t="str">
        <f>IF(AND(Q1261&gt;0,Q1261&lt;30,K1261=216),'Udvaskning nøgletal'!$C$42,IF(AND(Q1261&gt;0,Q1261&lt;30,K1261&gt;7,K1261&lt;17),'Udvaskning nøgletal'!$C$61,IF(AND(Q1261&gt;0,Q1261&lt;30,K1261&lt;7),'Udvaskning nøgletal'!$C$62,"")))</f>
        <v/>
      </c>
      <c r="AI1261" s="10">
        <f t="shared" si="200"/>
        <v>260</v>
      </c>
      <c r="AJ1261" s="10">
        <f>IF($X1261=1,LOOKUP(AI1261,'Udvaskning nøgletal'!$C$12:$C$62,'Udvaskning nøgletal'!$E$12:$E$62)+Markniveau!$Y1261*Markniveau!$S1261/100,IF($X1261=2,LOOKUP(AI1261,'Udvaskning nøgletal'!$C$12:$C$62,'Udvaskning nøgletal'!$F$12:$F$62)+Markniveau!$Y1261*Markniveau!$S1261/100,IF($X1261=3,LOOKUP(AI1261,'Udvaskning nøgletal'!$C$12:$C$62,'Udvaskning nøgletal'!Q1271:Q1321)+Markniveau!$Y1261*Markniveau!$S1261/100,"")))</f>
        <v>33.723295792149436</v>
      </c>
      <c r="AK1261" s="10">
        <f t="shared" si="199"/>
        <v>23.269074096583108</v>
      </c>
      <c r="AL1261" s="10">
        <f t="shared" si="201"/>
        <v>1.6861647896074716</v>
      </c>
      <c r="AM1261" s="10">
        <f t="shared" si="202"/>
        <v>1.1634537048291553</v>
      </c>
    </row>
    <row r="1262" spans="1:39" x14ac:dyDescent="0.25">
      <c r="A1262" s="15">
        <v>42746568</v>
      </c>
      <c r="B1262" s="15">
        <v>8.6199999999999992</v>
      </c>
      <c r="C1262" s="15">
        <v>431926</v>
      </c>
      <c r="D1262" s="15">
        <v>91160</v>
      </c>
      <c r="E1262" s="15" t="s">
        <v>1139</v>
      </c>
      <c r="F1262" s="15">
        <v>2011</v>
      </c>
      <c r="G1262" s="15">
        <v>20110307</v>
      </c>
      <c r="H1262" s="15">
        <v>9750</v>
      </c>
      <c r="I1262" s="15">
        <v>0.98</v>
      </c>
      <c r="J1262" s="6" t="s">
        <v>97</v>
      </c>
      <c r="K1262" s="15">
        <v>260</v>
      </c>
      <c r="L1262" s="15" t="s">
        <v>45</v>
      </c>
      <c r="M1262" s="15" t="s">
        <v>5</v>
      </c>
      <c r="N1262" s="11" t="s">
        <v>1384</v>
      </c>
      <c r="O1262" s="11" t="s">
        <v>28</v>
      </c>
      <c r="P1262" s="11" t="s">
        <v>29</v>
      </c>
      <c r="Q1262" s="15">
        <v>95</v>
      </c>
      <c r="R1262" s="11" t="s">
        <v>3</v>
      </c>
      <c r="S1262" s="10">
        <v>155.14863968149001</v>
      </c>
      <c r="T1262" s="15">
        <v>80</v>
      </c>
      <c r="U1262" s="15">
        <v>0</v>
      </c>
      <c r="V1262" s="15">
        <v>0</v>
      </c>
      <c r="W1262" s="15">
        <v>0</v>
      </c>
      <c r="X1262" s="15">
        <f>IF(O1262='Udvaskning nøgletal'!$D$65,1,IF(O1262='Udvaskning nøgletal'!$D$66,2,IF(O1262='Udvaskning nøgletal'!$D$67,3,IF(O1262='Udvaskning nøgletal'!$D$68,2,""))))</f>
        <v>1</v>
      </c>
      <c r="Y1262" s="15">
        <f>LOOKUP(K1262,'Udvaskning nøgletal'!$C$12:$C$60,'Udvaskning nøgletal'!$H$12:$H$60)</f>
        <v>0</v>
      </c>
      <c r="Z1262" s="10">
        <f>IF(X1262=1,LOOKUP(K1262,'Udvaskning nøgletal'!$C$12:$C$60,'Udvaskning nøgletal'!$E$12:$E$60)+Markniveau!Y1262*Markniveau!S1262/100,IF(X1262=2,LOOKUP(K1262,'Udvaskning nøgletal'!$C$12:$C$60,'Udvaskning nøgletal'!$F$12:$F$60)+Markniveau!Y1262*Markniveau!S1262/100,IF(X1262=3,LOOKUP(K1262,'Udvaskning nøgletal'!$C$12:$C$60,'Udvaskning nøgletal'!G1272:G1320)+Markniveau!Y1262*Markniveau!S1262/100,"")))</f>
        <v>33.723295792149436</v>
      </c>
      <c r="AA1262" s="10">
        <f t="shared" si="196"/>
        <v>33.048829876306449</v>
      </c>
      <c r="AB1262" s="10">
        <f t="shared" si="195"/>
        <v>1.6861647896074716</v>
      </c>
      <c r="AC1262" s="10">
        <f t="shared" si="197"/>
        <v>1.6524414938153222</v>
      </c>
      <c r="AD1262" s="10">
        <f>IF(AND(Q1262&gt;0,Q1262&lt;30,K1262&lt;8),Markniveau!Z1262*'Udvaskning nøgletal'!$I$12/100,IF(AND(Q1262&gt;0,Q1262&lt;30,K1262=216),Markniveau!Z1262*'Udvaskning nøgletal'!$I$34/100,Markniveau!Z1262))</f>
        <v>33.723295792149436</v>
      </c>
      <c r="AE1262" s="10">
        <f t="shared" si="203"/>
        <v>33.048829876306449</v>
      </c>
      <c r="AF1262" s="10">
        <f t="shared" si="198"/>
        <v>1.6861647896074716</v>
      </c>
      <c r="AG1262" s="10">
        <f t="shared" si="204"/>
        <v>1.6524414938153222</v>
      </c>
      <c r="AH1262" s="10" t="str">
        <f>IF(AND(Q1262&gt;0,Q1262&lt;30,K1262=216),'Udvaskning nøgletal'!$C$42,IF(AND(Q1262&gt;0,Q1262&lt;30,K1262&gt;7,K1262&lt;17),'Udvaskning nøgletal'!$C$61,IF(AND(Q1262&gt;0,Q1262&lt;30,K1262&lt;7),'Udvaskning nøgletal'!$C$62,"")))</f>
        <v/>
      </c>
      <c r="AI1262" s="10">
        <f t="shared" si="200"/>
        <v>260</v>
      </c>
      <c r="AJ1262" s="10">
        <f>IF($X1262=1,LOOKUP(AI1262,'Udvaskning nøgletal'!$C$12:$C$62,'Udvaskning nøgletal'!$E$12:$E$62)+Markniveau!$Y1262*Markniveau!$S1262/100,IF($X1262=2,LOOKUP(AI1262,'Udvaskning nøgletal'!$C$12:$C$62,'Udvaskning nøgletal'!$F$12:$F$62)+Markniveau!$Y1262*Markniveau!$S1262/100,IF($X1262=3,LOOKUP(AI1262,'Udvaskning nøgletal'!$C$12:$C$62,'Udvaskning nøgletal'!Q1272:Q1322)+Markniveau!$Y1262*Markniveau!$S1262/100,"")))</f>
        <v>33.723295792149436</v>
      </c>
      <c r="AK1262" s="10">
        <f t="shared" si="199"/>
        <v>33.048829876306449</v>
      </c>
      <c r="AL1262" s="10">
        <f t="shared" si="201"/>
        <v>1.6861647896074716</v>
      </c>
      <c r="AM1262" s="10">
        <f t="shared" si="202"/>
        <v>1.6524414938153222</v>
      </c>
    </row>
    <row r="1263" spans="1:39" x14ac:dyDescent="0.25">
      <c r="A1263" s="15">
        <v>42746568</v>
      </c>
      <c r="B1263" s="15">
        <v>8.6199999999999992</v>
      </c>
      <c r="C1263" s="15">
        <v>431927</v>
      </c>
      <c r="D1263" s="15">
        <v>91160</v>
      </c>
      <c r="E1263" s="15" t="s">
        <v>1139</v>
      </c>
      <c r="F1263" s="15">
        <v>2011</v>
      </c>
      <c r="G1263" s="15">
        <v>20110307</v>
      </c>
      <c r="H1263" s="15">
        <v>8897</v>
      </c>
      <c r="I1263" s="15">
        <v>0.89</v>
      </c>
      <c r="J1263" s="6" t="s">
        <v>61</v>
      </c>
      <c r="K1263" s="15">
        <v>260</v>
      </c>
      <c r="L1263" s="15" t="s">
        <v>45</v>
      </c>
      <c r="M1263" s="15" t="s">
        <v>5</v>
      </c>
      <c r="N1263" s="11" t="s">
        <v>1384</v>
      </c>
      <c r="O1263" s="11" t="s">
        <v>28</v>
      </c>
      <c r="P1263" s="11" t="s">
        <v>29</v>
      </c>
      <c r="Q1263" s="15">
        <v>95</v>
      </c>
      <c r="R1263" s="11" t="s">
        <v>3</v>
      </c>
      <c r="S1263" s="10">
        <v>155.14863968149001</v>
      </c>
      <c r="T1263" s="15">
        <v>80</v>
      </c>
      <c r="U1263" s="15">
        <v>0</v>
      </c>
      <c r="V1263" s="15">
        <v>0</v>
      </c>
      <c r="W1263" s="15">
        <v>0</v>
      </c>
      <c r="X1263" s="15">
        <f>IF(O1263='Udvaskning nøgletal'!$D$65,1,IF(O1263='Udvaskning nøgletal'!$D$66,2,IF(O1263='Udvaskning nøgletal'!$D$67,3,IF(O1263='Udvaskning nøgletal'!$D$68,2,""))))</f>
        <v>1</v>
      </c>
      <c r="Y1263" s="15">
        <f>LOOKUP(K1263,'Udvaskning nøgletal'!$C$12:$C$60,'Udvaskning nøgletal'!$H$12:$H$60)</f>
        <v>0</v>
      </c>
      <c r="Z1263" s="10">
        <f>IF(X1263=1,LOOKUP(K1263,'Udvaskning nøgletal'!$C$12:$C$60,'Udvaskning nøgletal'!$E$12:$E$60)+Markniveau!Y1263*Markniveau!S1263/100,IF(X1263=2,LOOKUP(K1263,'Udvaskning nøgletal'!$C$12:$C$60,'Udvaskning nøgletal'!$F$12:$F$60)+Markniveau!Y1263*Markniveau!S1263/100,IF(X1263=3,LOOKUP(K1263,'Udvaskning nøgletal'!$C$12:$C$60,'Udvaskning nøgletal'!G1273:G1321)+Markniveau!Y1263*Markniveau!S1263/100,"")))</f>
        <v>33.723295792149436</v>
      </c>
      <c r="AA1263" s="10">
        <f t="shared" si="196"/>
        <v>30.013733255012998</v>
      </c>
      <c r="AB1263" s="10">
        <f t="shared" si="195"/>
        <v>1.6861647896074716</v>
      </c>
      <c r="AC1263" s="10">
        <f t="shared" si="197"/>
        <v>1.5006866627506499</v>
      </c>
      <c r="AD1263" s="10">
        <f>IF(AND(Q1263&gt;0,Q1263&lt;30,K1263&lt;8),Markniveau!Z1263*'Udvaskning nøgletal'!$I$12/100,IF(AND(Q1263&gt;0,Q1263&lt;30,K1263=216),Markniveau!Z1263*'Udvaskning nøgletal'!$I$34/100,Markniveau!Z1263))</f>
        <v>33.723295792149436</v>
      </c>
      <c r="AE1263" s="10">
        <f t="shared" si="203"/>
        <v>30.013733255012998</v>
      </c>
      <c r="AF1263" s="10">
        <f t="shared" si="198"/>
        <v>1.6861647896074716</v>
      </c>
      <c r="AG1263" s="10">
        <f t="shared" si="204"/>
        <v>1.5006866627506499</v>
      </c>
      <c r="AH1263" s="10" t="str">
        <f>IF(AND(Q1263&gt;0,Q1263&lt;30,K1263=216),'Udvaskning nøgletal'!$C$42,IF(AND(Q1263&gt;0,Q1263&lt;30,K1263&gt;7,K1263&lt;17),'Udvaskning nøgletal'!$C$61,IF(AND(Q1263&gt;0,Q1263&lt;30,K1263&lt;7),'Udvaskning nøgletal'!$C$62,"")))</f>
        <v/>
      </c>
      <c r="AI1263" s="10">
        <f t="shared" si="200"/>
        <v>260</v>
      </c>
      <c r="AJ1263" s="10">
        <f>IF($X1263=1,LOOKUP(AI1263,'Udvaskning nøgletal'!$C$12:$C$62,'Udvaskning nøgletal'!$E$12:$E$62)+Markniveau!$Y1263*Markniveau!$S1263/100,IF($X1263=2,LOOKUP(AI1263,'Udvaskning nøgletal'!$C$12:$C$62,'Udvaskning nøgletal'!$F$12:$F$62)+Markniveau!$Y1263*Markniveau!$S1263/100,IF($X1263=3,LOOKUP(AI1263,'Udvaskning nøgletal'!$C$12:$C$62,'Udvaskning nøgletal'!Q1273:Q1323)+Markniveau!$Y1263*Markniveau!$S1263/100,"")))</f>
        <v>33.723295792149436</v>
      </c>
      <c r="AK1263" s="10">
        <f t="shared" si="199"/>
        <v>30.013733255012998</v>
      </c>
      <c r="AL1263" s="10">
        <f t="shared" si="201"/>
        <v>1.6861647896074716</v>
      </c>
      <c r="AM1263" s="10">
        <f t="shared" si="202"/>
        <v>1.5006866627506499</v>
      </c>
    </row>
    <row r="1264" spans="1:39" x14ac:dyDescent="0.25">
      <c r="A1264" s="15">
        <v>42746568</v>
      </c>
      <c r="B1264" s="15">
        <v>8.6199999999999992</v>
      </c>
      <c r="C1264" s="15">
        <v>431928</v>
      </c>
      <c r="D1264" s="15">
        <v>91160</v>
      </c>
      <c r="E1264" s="15" t="s">
        <v>1139</v>
      </c>
      <c r="F1264" s="15">
        <v>2011</v>
      </c>
      <c r="G1264" s="15">
        <v>20110307</v>
      </c>
      <c r="H1264" s="15">
        <v>13229</v>
      </c>
      <c r="I1264" s="15">
        <v>1.32</v>
      </c>
      <c r="J1264" s="6" t="s">
        <v>37</v>
      </c>
      <c r="K1264" s="15">
        <v>260</v>
      </c>
      <c r="L1264" s="15" t="s">
        <v>45</v>
      </c>
      <c r="M1264" s="15" t="s">
        <v>5</v>
      </c>
      <c r="N1264" s="11" t="s">
        <v>1384</v>
      </c>
      <c r="O1264" s="11" t="s">
        <v>28</v>
      </c>
      <c r="P1264" s="11" t="s">
        <v>29</v>
      </c>
      <c r="Q1264" s="15">
        <v>95</v>
      </c>
      <c r="R1264" s="11" t="s">
        <v>3</v>
      </c>
      <c r="S1264" s="10">
        <v>155.14863968149001</v>
      </c>
      <c r="T1264" s="15">
        <v>80</v>
      </c>
      <c r="U1264" s="15">
        <v>0</v>
      </c>
      <c r="V1264" s="15">
        <v>0</v>
      </c>
      <c r="W1264" s="15">
        <v>0</v>
      </c>
      <c r="X1264" s="15">
        <f>IF(O1264='Udvaskning nøgletal'!$D$65,1,IF(O1264='Udvaskning nøgletal'!$D$66,2,IF(O1264='Udvaskning nøgletal'!$D$67,3,IF(O1264='Udvaskning nøgletal'!$D$68,2,""))))</f>
        <v>1</v>
      </c>
      <c r="Y1264" s="15">
        <f>LOOKUP(K1264,'Udvaskning nøgletal'!$C$12:$C$60,'Udvaskning nøgletal'!$H$12:$H$60)</f>
        <v>0</v>
      </c>
      <c r="Z1264" s="10">
        <f>IF(X1264=1,LOOKUP(K1264,'Udvaskning nøgletal'!$C$12:$C$60,'Udvaskning nøgletal'!$E$12:$E$60)+Markniveau!Y1264*Markniveau!S1264/100,IF(X1264=2,LOOKUP(K1264,'Udvaskning nøgletal'!$C$12:$C$60,'Udvaskning nøgletal'!$F$12:$F$60)+Markniveau!Y1264*Markniveau!S1264/100,IF(X1264=3,LOOKUP(K1264,'Udvaskning nøgletal'!$C$12:$C$60,'Udvaskning nøgletal'!G1274:G1322)+Markniveau!Y1264*Markniveau!S1264/100,"")))</f>
        <v>33.723295792149436</v>
      </c>
      <c r="AA1264" s="10">
        <f t="shared" si="196"/>
        <v>44.514750445637254</v>
      </c>
      <c r="AB1264" s="10">
        <f t="shared" si="195"/>
        <v>1.6861647896074716</v>
      </c>
      <c r="AC1264" s="10">
        <f t="shared" si="197"/>
        <v>2.2257375222818627</v>
      </c>
      <c r="AD1264" s="10">
        <f>IF(AND(Q1264&gt;0,Q1264&lt;30,K1264&lt;8),Markniveau!Z1264*'Udvaskning nøgletal'!$I$12/100,IF(AND(Q1264&gt;0,Q1264&lt;30,K1264=216),Markniveau!Z1264*'Udvaskning nøgletal'!$I$34/100,Markniveau!Z1264))</f>
        <v>33.723295792149436</v>
      </c>
      <c r="AE1264" s="10">
        <f t="shared" si="203"/>
        <v>44.514750445637254</v>
      </c>
      <c r="AF1264" s="10">
        <f t="shared" si="198"/>
        <v>1.6861647896074716</v>
      </c>
      <c r="AG1264" s="10">
        <f t="shared" si="204"/>
        <v>2.2257375222818627</v>
      </c>
      <c r="AH1264" s="10" t="str">
        <f>IF(AND(Q1264&gt;0,Q1264&lt;30,K1264=216),'Udvaskning nøgletal'!$C$42,IF(AND(Q1264&gt;0,Q1264&lt;30,K1264&gt;7,K1264&lt;17),'Udvaskning nøgletal'!$C$61,IF(AND(Q1264&gt;0,Q1264&lt;30,K1264&lt;7),'Udvaskning nøgletal'!$C$62,"")))</f>
        <v/>
      </c>
      <c r="AI1264" s="10">
        <f t="shared" si="200"/>
        <v>260</v>
      </c>
      <c r="AJ1264" s="10">
        <f>IF($X1264=1,LOOKUP(AI1264,'Udvaskning nøgletal'!$C$12:$C$62,'Udvaskning nøgletal'!$E$12:$E$62)+Markniveau!$Y1264*Markniveau!$S1264/100,IF($X1264=2,LOOKUP(AI1264,'Udvaskning nøgletal'!$C$12:$C$62,'Udvaskning nøgletal'!$F$12:$F$62)+Markniveau!$Y1264*Markniveau!$S1264/100,IF($X1264=3,LOOKUP(AI1264,'Udvaskning nøgletal'!$C$12:$C$62,'Udvaskning nøgletal'!Q1274:Q1324)+Markniveau!$Y1264*Markniveau!$S1264/100,"")))</f>
        <v>33.723295792149436</v>
      </c>
      <c r="AK1264" s="10">
        <f t="shared" si="199"/>
        <v>44.514750445637254</v>
      </c>
      <c r="AL1264" s="10">
        <f t="shared" si="201"/>
        <v>1.6861647896074716</v>
      </c>
      <c r="AM1264" s="10">
        <f t="shared" si="202"/>
        <v>2.2257375222818627</v>
      </c>
    </row>
    <row r="1265" spans="1:39" x14ac:dyDescent="0.25">
      <c r="A1265" s="15">
        <v>42746568</v>
      </c>
      <c r="B1265" s="15">
        <v>8.6199999999999992</v>
      </c>
      <c r="C1265" s="15">
        <v>431929</v>
      </c>
      <c r="D1265" s="15">
        <v>91160</v>
      </c>
      <c r="E1265" s="15" t="s">
        <v>1140</v>
      </c>
      <c r="F1265" s="15">
        <v>2011</v>
      </c>
      <c r="G1265" s="15">
        <v>20110307</v>
      </c>
      <c r="H1265" s="15">
        <v>17391</v>
      </c>
      <c r="I1265" s="15">
        <v>1.74</v>
      </c>
      <c r="J1265" s="6" t="s">
        <v>1518</v>
      </c>
      <c r="K1265" s="15">
        <v>318</v>
      </c>
      <c r="L1265" s="15" t="s">
        <v>171</v>
      </c>
      <c r="M1265" s="15" t="s">
        <v>13</v>
      </c>
      <c r="N1265" s="11" t="s">
        <v>1406</v>
      </c>
      <c r="O1265" s="11" t="s">
        <v>46</v>
      </c>
      <c r="P1265" s="11" t="s">
        <v>33</v>
      </c>
      <c r="Q1265" s="15">
        <v>0</v>
      </c>
      <c r="R1265" s="11" t="s">
        <v>1386</v>
      </c>
      <c r="S1265" s="10">
        <v>155.14863968149001</v>
      </c>
      <c r="T1265" s="15">
        <v>80</v>
      </c>
      <c r="U1265" s="15">
        <v>0</v>
      </c>
      <c r="V1265" s="15">
        <v>0</v>
      </c>
      <c r="W1265" s="15">
        <v>0</v>
      </c>
      <c r="X1265" s="15">
        <f>IF(O1265='Udvaskning nøgletal'!$D$65,1,IF(O1265='Udvaskning nøgletal'!$D$66,2,IF(O1265='Udvaskning nøgletal'!$D$67,3,IF(O1265='Udvaskning nøgletal'!$D$68,2,""))))</f>
        <v>2</v>
      </c>
      <c r="Y1265" s="15">
        <f>LOOKUP(K1265,'Udvaskning nøgletal'!$C$12:$C$60,'Udvaskning nøgletal'!$H$12:$H$60)</f>
        <v>0</v>
      </c>
      <c r="Z1265" s="10">
        <f>IF(X1265=1,LOOKUP(K1265,'Udvaskning nøgletal'!$C$12:$C$60,'Udvaskning nøgletal'!$E$12:$E$60)+Markniveau!Y1265*Markniveau!S1265/100,IF(X1265=2,LOOKUP(K1265,'Udvaskning nøgletal'!$C$12:$C$60,'Udvaskning nøgletal'!$F$12:$F$60)+Markniveau!Y1265*Markniveau!S1265/100,IF(X1265=3,LOOKUP(K1265,'Udvaskning nøgletal'!$C$12:$C$60,'Udvaskning nøgletal'!G1275:G1323)+Markniveau!Y1265*Markniveau!S1265/100,"")))</f>
        <v>10</v>
      </c>
      <c r="AA1265" s="10">
        <f t="shared" si="196"/>
        <v>17.399999999999999</v>
      </c>
      <c r="AB1265" s="10" t="str">
        <f t="shared" si="195"/>
        <v/>
      </c>
      <c r="AC1265" s="10" t="str">
        <f t="shared" si="197"/>
        <v/>
      </c>
      <c r="AD1265" s="10">
        <f>IF(AND(Q1265&gt;0,Q1265&lt;30,K1265&lt;8),Markniveau!Z1265*'Udvaskning nøgletal'!$I$12/100,IF(AND(Q1265&gt;0,Q1265&lt;30,K1265=216),Markniveau!Z1265*'Udvaskning nøgletal'!$I$34/100,Markniveau!Z1265))</f>
        <v>10</v>
      </c>
      <c r="AE1265" s="10">
        <f t="shared" si="203"/>
        <v>17.399999999999999</v>
      </c>
      <c r="AF1265" s="10" t="str">
        <f t="shared" si="198"/>
        <v/>
      </c>
      <c r="AG1265" s="10" t="str">
        <f t="shared" si="204"/>
        <v/>
      </c>
      <c r="AH1265" s="10" t="str">
        <f>IF(AND(Q1265&gt;0,Q1265&lt;30,K1265=216),'Udvaskning nøgletal'!$C$42,IF(AND(Q1265&gt;0,Q1265&lt;30,K1265&gt;7,K1265&lt;17),'Udvaskning nøgletal'!$C$61,IF(AND(Q1265&gt;0,Q1265&lt;30,K1265&lt;7),'Udvaskning nøgletal'!$C$62,"")))</f>
        <v/>
      </c>
      <c r="AI1265" s="10">
        <f t="shared" si="200"/>
        <v>318</v>
      </c>
      <c r="AJ1265" s="10">
        <f>IF($X1265=1,LOOKUP(AI1265,'Udvaskning nøgletal'!$C$12:$C$62,'Udvaskning nøgletal'!$E$12:$E$62)+Markniveau!$Y1265*Markniveau!$S1265/100,IF($X1265=2,LOOKUP(AI1265,'Udvaskning nøgletal'!$C$12:$C$62,'Udvaskning nøgletal'!$F$12:$F$62)+Markniveau!$Y1265*Markniveau!$S1265/100,IF($X1265=3,LOOKUP(AI1265,'Udvaskning nøgletal'!$C$12:$C$62,'Udvaskning nøgletal'!Q1275:Q1325)+Markniveau!$Y1265*Markniveau!$S1265/100,"")))</f>
        <v>10</v>
      </c>
      <c r="AK1265" s="10">
        <f t="shared" si="199"/>
        <v>17.399999999999999</v>
      </c>
      <c r="AL1265" s="10" t="str">
        <f t="shared" si="201"/>
        <v/>
      </c>
      <c r="AM1265" s="10" t="str">
        <f t="shared" si="202"/>
        <v/>
      </c>
    </row>
    <row r="1266" spans="1:39" x14ac:dyDescent="0.25">
      <c r="A1266" s="15">
        <v>42746568</v>
      </c>
      <c r="B1266" s="15">
        <v>8.6199999999999992</v>
      </c>
      <c r="C1266" s="15">
        <v>431930</v>
      </c>
      <c r="D1266" s="15">
        <v>91160</v>
      </c>
      <c r="E1266" s="15" t="s">
        <v>1141</v>
      </c>
      <c r="F1266" s="15">
        <v>2011</v>
      </c>
      <c r="G1266" s="15">
        <v>20110307</v>
      </c>
      <c r="H1266" s="15">
        <v>8228</v>
      </c>
      <c r="I1266" s="15">
        <v>0.82</v>
      </c>
      <c r="J1266" s="6" t="s">
        <v>1465</v>
      </c>
      <c r="K1266" s="15">
        <v>276</v>
      </c>
      <c r="L1266" s="15" t="s">
        <v>146</v>
      </c>
      <c r="M1266" s="15" t="s">
        <v>4</v>
      </c>
      <c r="N1266" s="11" t="s">
        <v>1406</v>
      </c>
      <c r="O1266" s="11" t="s">
        <v>46</v>
      </c>
      <c r="P1266" s="11" t="s">
        <v>33</v>
      </c>
      <c r="Q1266" s="15">
        <v>0</v>
      </c>
      <c r="R1266" s="11" t="s">
        <v>1386</v>
      </c>
      <c r="S1266" s="10">
        <v>155.14863968149001</v>
      </c>
      <c r="T1266" s="15">
        <v>80</v>
      </c>
      <c r="U1266" s="15">
        <v>0</v>
      </c>
      <c r="V1266" s="15">
        <v>0</v>
      </c>
      <c r="W1266" s="15">
        <v>0</v>
      </c>
      <c r="X1266" s="15">
        <f>IF(O1266='Udvaskning nøgletal'!$D$65,1,IF(O1266='Udvaskning nøgletal'!$D$66,2,IF(O1266='Udvaskning nøgletal'!$D$67,3,IF(O1266='Udvaskning nøgletal'!$D$68,2,""))))</f>
        <v>2</v>
      </c>
      <c r="Y1266" s="15">
        <f>LOOKUP(K1266,'Udvaskning nøgletal'!$C$12:$C$60,'Udvaskning nøgletal'!$H$12:$H$60)</f>
        <v>0</v>
      </c>
      <c r="Z1266" s="10">
        <f>IF(X1266=1,LOOKUP(K1266,'Udvaskning nøgletal'!$C$12:$C$60,'Udvaskning nøgletal'!$E$12:$E$60)+Markniveau!Y1266*Markniveau!S1266/100,IF(X1266=2,LOOKUP(K1266,'Udvaskning nøgletal'!$C$12:$C$60,'Udvaskning nøgletal'!$F$12:$F$60)+Markniveau!Y1266*Markniveau!S1266/100,IF(X1266=3,LOOKUP(K1266,'Udvaskning nøgletal'!$C$12:$C$60,'Udvaskning nøgletal'!G1276:G1324)+Markniveau!Y1266*Markniveau!S1266/100,"")))</f>
        <v>10.6</v>
      </c>
      <c r="AA1266" s="10">
        <f t="shared" si="196"/>
        <v>8.6919999999999984</v>
      </c>
      <c r="AB1266" s="10" t="str">
        <f t="shared" si="195"/>
        <v/>
      </c>
      <c r="AC1266" s="10" t="str">
        <f t="shared" si="197"/>
        <v/>
      </c>
      <c r="AD1266" s="10">
        <f>IF(AND(Q1266&gt;0,Q1266&lt;30,K1266&lt;8),Markniveau!Z1266*'Udvaskning nøgletal'!$I$12/100,IF(AND(Q1266&gt;0,Q1266&lt;30,K1266=216),Markniveau!Z1266*'Udvaskning nøgletal'!$I$34/100,Markniveau!Z1266))</f>
        <v>10.6</v>
      </c>
      <c r="AE1266" s="10">
        <f t="shared" si="203"/>
        <v>8.6919999999999984</v>
      </c>
      <c r="AF1266" s="10" t="str">
        <f t="shared" si="198"/>
        <v/>
      </c>
      <c r="AG1266" s="10" t="str">
        <f t="shared" si="204"/>
        <v/>
      </c>
      <c r="AH1266" s="10" t="str">
        <f>IF(AND(Q1266&gt;0,Q1266&lt;30,K1266=216),'Udvaskning nøgletal'!$C$42,IF(AND(Q1266&gt;0,Q1266&lt;30,K1266&gt;7,K1266&lt;17),'Udvaskning nøgletal'!$C$61,IF(AND(Q1266&gt;0,Q1266&lt;30,K1266&lt;7),'Udvaskning nøgletal'!$C$62,"")))</f>
        <v/>
      </c>
      <c r="AI1266" s="10">
        <f t="shared" si="200"/>
        <v>276</v>
      </c>
      <c r="AJ1266" s="10">
        <f>IF($X1266=1,LOOKUP(AI1266,'Udvaskning nøgletal'!$C$12:$C$62,'Udvaskning nøgletal'!$E$12:$E$62)+Markniveau!$Y1266*Markniveau!$S1266/100,IF($X1266=2,LOOKUP(AI1266,'Udvaskning nøgletal'!$C$12:$C$62,'Udvaskning nøgletal'!$F$12:$F$62)+Markniveau!$Y1266*Markniveau!$S1266/100,IF($X1266=3,LOOKUP(AI1266,'Udvaskning nøgletal'!$C$12:$C$62,'Udvaskning nøgletal'!Q1276:Q1326)+Markniveau!$Y1266*Markniveau!$S1266/100,"")))</f>
        <v>10.6</v>
      </c>
      <c r="AK1266" s="10">
        <f t="shared" si="199"/>
        <v>8.6919999999999984</v>
      </c>
      <c r="AL1266" s="10" t="str">
        <f t="shared" si="201"/>
        <v/>
      </c>
      <c r="AM1266" s="10" t="str">
        <f t="shared" si="202"/>
        <v/>
      </c>
    </row>
    <row r="1267" spans="1:39" x14ac:dyDescent="0.25">
      <c r="A1267" s="15">
        <v>42746568</v>
      </c>
      <c r="B1267" s="15">
        <v>8.6199999999999992</v>
      </c>
      <c r="C1267" s="15">
        <v>431931</v>
      </c>
      <c r="D1267" s="15">
        <v>91160</v>
      </c>
      <c r="E1267" s="15" t="s">
        <v>1141</v>
      </c>
      <c r="F1267" s="15">
        <v>2011</v>
      </c>
      <c r="G1267" s="15">
        <v>20110307</v>
      </c>
      <c r="H1267" s="15">
        <v>15104</v>
      </c>
      <c r="I1267" s="15">
        <v>1.51</v>
      </c>
      <c r="J1267" s="6" t="s">
        <v>1519</v>
      </c>
      <c r="K1267" s="15">
        <v>254</v>
      </c>
      <c r="L1267" s="15" t="s">
        <v>27</v>
      </c>
      <c r="M1267" s="15" t="s">
        <v>4</v>
      </c>
      <c r="N1267" s="11" t="s">
        <v>1406</v>
      </c>
      <c r="O1267" s="11" t="s">
        <v>46</v>
      </c>
      <c r="P1267" s="11" t="s">
        <v>33</v>
      </c>
      <c r="Q1267" s="15">
        <v>0</v>
      </c>
      <c r="R1267" s="11" t="s">
        <v>1386</v>
      </c>
      <c r="S1267" s="10">
        <v>155.14863968149001</v>
      </c>
      <c r="T1267" s="15">
        <v>80</v>
      </c>
      <c r="U1267" s="15">
        <v>0</v>
      </c>
      <c r="V1267" s="15">
        <v>0</v>
      </c>
      <c r="W1267" s="15">
        <v>0</v>
      </c>
      <c r="X1267" s="15">
        <f>IF(O1267='Udvaskning nøgletal'!$D$65,1,IF(O1267='Udvaskning nøgletal'!$D$66,2,IF(O1267='Udvaskning nøgletal'!$D$67,3,IF(O1267='Udvaskning nøgletal'!$D$68,2,""))))</f>
        <v>2</v>
      </c>
      <c r="Y1267" s="15">
        <f>LOOKUP(K1267,'Udvaskning nøgletal'!$C$12:$C$60,'Udvaskning nøgletal'!$H$12:$H$60)</f>
        <v>0</v>
      </c>
      <c r="Z1267" s="10">
        <f>IF(X1267=1,LOOKUP(K1267,'Udvaskning nøgletal'!$C$12:$C$60,'Udvaskning nøgletal'!$E$12:$E$60)+Markniveau!Y1267*Markniveau!S1267/100,IF(X1267=2,LOOKUP(K1267,'Udvaskning nøgletal'!$C$12:$C$60,'Udvaskning nøgletal'!$F$12:$F$60)+Markniveau!Y1267*Markniveau!S1267/100,IF(X1267=3,LOOKUP(K1267,'Udvaskning nøgletal'!$C$12:$C$60,'Udvaskning nøgletal'!G1277:G1325)+Markniveau!Y1267*Markniveau!S1267/100,"")))</f>
        <v>21.2</v>
      </c>
      <c r="AA1267" s="10">
        <f t="shared" si="196"/>
        <v>32.012</v>
      </c>
      <c r="AB1267" s="10" t="str">
        <f t="shared" si="195"/>
        <v/>
      </c>
      <c r="AC1267" s="10" t="str">
        <f t="shared" si="197"/>
        <v/>
      </c>
      <c r="AD1267" s="10">
        <f>IF(AND(Q1267&gt;0,Q1267&lt;30,K1267&lt;8),Markniveau!Z1267*'Udvaskning nøgletal'!$I$12/100,IF(AND(Q1267&gt;0,Q1267&lt;30,K1267=216),Markniveau!Z1267*'Udvaskning nøgletal'!$I$34/100,Markniveau!Z1267))</f>
        <v>21.2</v>
      </c>
      <c r="AE1267" s="10">
        <f t="shared" si="203"/>
        <v>32.012</v>
      </c>
      <c r="AF1267" s="10" t="str">
        <f t="shared" si="198"/>
        <v/>
      </c>
      <c r="AG1267" s="10" t="str">
        <f t="shared" si="204"/>
        <v/>
      </c>
      <c r="AH1267" s="10" t="str">
        <f>IF(AND(Q1267&gt;0,Q1267&lt;30,K1267=216),'Udvaskning nøgletal'!$C$42,IF(AND(Q1267&gt;0,Q1267&lt;30,K1267&gt;7,K1267&lt;17),'Udvaskning nøgletal'!$C$61,IF(AND(Q1267&gt;0,Q1267&lt;30,K1267&lt;7),'Udvaskning nøgletal'!$C$62,"")))</f>
        <v/>
      </c>
      <c r="AI1267" s="10">
        <f t="shared" si="200"/>
        <v>254</v>
      </c>
      <c r="AJ1267" s="10">
        <f>IF($X1267=1,LOOKUP(AI1267,'Udvaskning nøgletal'!$C$12:$C$62,'Udvaskning nøgletal'!$E$12:$E$62)+Markniveau!$Y1267*Markniveau!$S1267/100,IF($X1267=2,LOOKUP(AI1267,'Udvaskning nøgletal'!$C$12:$C$62,'Udvaskning nøgletal'!$F$12:$F$62)+Markniveau!$Y1267*Markniveau!$S1267/100,IF($X1267=3,LOOKUP(AI1267,'Udvaskning nøgletal'!$C$12:$C$62,'Udvaskning nøgletal'!Q1277:Q1327)+Markniveau!$Y1267*Markniveau!$S1267/100,"")))</f>
        <v>21.2</v>
      </c>
      <c r="AK1267" s="10">
        <f t="shared" si="199"/>
        <v>32.012</v>
      </c>
      <c r="AL1267" s="10" t="str">
        <f t="shared" si="201"/>
        <v/>
      </c>
      <c r="AM1267" s="10" t="str">
        <f t="shared" si="202"/>
        <v/>
      </c>
    </row>
    <row r="1268" spans="1:39" x14ac:dyDescent="0.25">
      <c r="A1268" s="15">
        <v>42746568</v>
      </c>
      <c r="B1268" s="15">
        <v>8.6199999999999992</v>
      </c>
      <c r="C1268" s="15">
        <v>432431</v>
      </c>
      <c r="D1268" s="15">
        <v>91160</v>
      </c>
      <c r="E1268" s="15" t="s">
        <v>1142</v>
      </c>
      <c r="F1268" s="15">
        <v>2011</v>
      </c>
      <c r="G1268" s="15">
        <v>20110307</v>
      </c>
      <c r="H1268" s="15">
        <v>12049</v>
      </c>
      <c r="I1268" s="15">
        <v>1.2</v>
      </c>
      <c r="J1268" s="6" t="s">
        <v>1520</v>
      </c>
      <c r="K1268" s="15">
        <v>318</v>
      </c>
      <c r="L1268" s="15" t="s">
        <v>171</v>
      </c>
      <c r="M1268" s="15" t="s">
        <v>13</v>
      </c>
      <c r="N1268" s="11" t="s">
        <v>1406</v>
      </c>
      <c r="O1268" s="11" t="s">
        <v>46</v>
      </c>
      <c r="P1268" s="11" t="s">
        <v>33</v>
      </c>
      <c r="Q1268" s="15">
        <v>0</v>
      </c>
      <c r="R1268" s="11" t="s">
        <v>1386</v>
      </c>
      <c r="S1268" s="10">
        <v>155.14863968149001</v>
      </c>
      <c r="T1268" s="15">
        <v>80</v>
      </c>
      <c r="U1268" s="15">
        <v>0</v>
      </c>
      <c r="V1268" s="15">
        <v>0</v>
      </c>
      <c r="W1268" s="15">
        <v>0</v>
      </c>
      <c r="X1268" s="15">
        <f>IF(O1268='Udvaskning nøgletal'!$D$65,1,IF(O1268='Udvaskning nøgletal'!$D$66,2,IF(O1268='Udvaskning nøgletal'!$D$67,3,IF(O1268='Udvaskning nøgletal'!$D$68,2,""))))</f>
        <v>2</v>
      </c>
      <c r="Y1268" s="15">
        <f>LOOKUP(K1268,'Udvaskning nøgletal'!$C$12:$C$60,'Udvaskning nøgletal'!$H$12:$H$60)</f>
        <v>0</v>
      </c>
      <c r="Z1268" s="10">
        <f>IF(X1268=1,LOOKUP(K1268,'Udvaskning nøgletal'!$C$12:$C$60,'Udvaskning nøgletal'!$E$12:$E$60)+Markniveau!Y1268*Markniveau!S1268/100,IF(X1268=2,LOOKUP(K1268,'Udvaskning nøgletal'!$C$12:$C$60,'Udvaskning nøgletal'!$F$12:$F$60)+Markniveau!Y1268*Markniveau!S1268/100,IF(X1268=3,LOOKUP(K1268,'Udvaskning nøgletal'!$C$12:$C$60,'Udvaskning nøgletal'!G1278:G1326)+Markniveau!Y1268*Markniveau!S1268/100,"")))</f>
        <v>10</v>
      </c>
      <c r="AA1268" s="10">
        <f t="shared" si="196"/>
        <v>12</v>
      </c>
      <c r="AB1268" s="10" t="str">
        <f t="shared" si="195"/>
        <v/>
      </c>
      <c r="AC1268" s="10" t="str">
        <f t="shared" si="197"/>
        <v/>
      </c>
      <c r="AD1268" s="10">
        <f>IF(AND(Q1268&gt;0,Q1268&lt;30,K1268&lt;8),Markniveau!Z1268*'Udvaskning nøgletal'!$I$12/100,IF(AND(Q1268&gt;0,Q1268&lt;30,K1268=216),Markniveau!Z1268*'Udvaskning nøgletal'!$I$34/100,Markniveau!Z1268))</f>
        <v>10</v>
      </c>
      <c r="AE1268" s="10">
        <f t="shared" si="203"/>
        <v>12</v>
      </c>
      <c r="AF1268" s="10" t="str">
        <f t="shared" si="198"/>
        <v/>
      </c>
      <c r="AG1268" s="10" t="str">
        <f t="shared" si="204"/>
        <v/>
      </c>
      <c r="AH1268" s="10" t="str">
        <f>IF(AND(Q1268&gt;0,Q1268&lt;30,K1268=216),'Udvaskning nøgletal'!$C$42,IF(AND(Q1268&gt;0,Q1268&lt;30,K1268&gt;7,K1268&lt;17),'Udvaskning nøgletal'!$C$61,IF(AND(Q1268&gt;0,Q1268&lt;30,K1268&lt;7),'Udvaskning nøgletal'!$C$62,"")))</f>
        <v/>
      </c>
      <c r="AI1268" s="10">
        <f t="shared" si="200"/>
        <v>318</v>
      </c>
      <c r="AJ1268" s="10">
        <f>IF($X1268=1,LOOKUP(AI1268,'Udvaskning nøgletal'!$C$12:$C$62,'Udvaskning nøgletal'!$E$12:$E$62)+Markniveau!$Y1268*Markniveau!$S1268/100,IF($X1268=2,LOOKUP(AI1268,'Udvaskning nøgletal'!$C$12:$C$62,'Udvaskning nøgletal'!$F$12:$F$62)+Markniveau!$Y1268*Markniveau!$S1268/100,IF($X1268=3,LOOKUP(AI1268,'Udvaskning nøgletal'!$C$12:$C$62,'Udvaskning nøgletal'!Q1278:Q1328)+Markniveau!$Y1268*Markniveau!$S1268/100,"")))</f>
        <v>10</v>
      </c>
      <c r="AK1268" s="10">
        <f t="shared" si="199"/>
        <v>12</v>
      </c>
      <c r="AL1268" s="10" t="str">
        <f t="shared" si="201"/>
        <v/>
      </c>
      <c r="AM1268" s="10" t="str">
        <f t="shared" si="202"/>
        <v/>
      </c>
    </row>
    <row r="1269" spans="1:39" x14ac:dyDescent="0.25">
      <c r="A1269" s="15">
        <v>42746568</v>
      </c>
      <c r="B1269" s="15">
        <v>8.6199999999999992</v>
      </c>
      <c r="C1269" s="15">
        <v>432432</v>
      </c>
      <c r="D1269" s="15">
        <v>91160</v>
      </c>
      <c r="E1269" s="15" t="s">
        <v>1143</v>
      </c>
      <c r="F1269" s="15">
        <v>2011</v>
      </c>
      <c r="G1269" s="15">
        <v>20110307</v>
      </c>
      <c r="H1269" s="15">
        <v>4832</v>
      </c>
      <c r="I1269" s="15">
        <v>0.48</v>
      </c>
      <c r="J1269" s="6" t="s">
        <v>1521</v>
      </c>
      <c r="K1269" s="15">
        <v>318</v>
      </c>
      <c r="L1269" s="15" t="s">
        <v>171</v>
      </c>
      <c r="M1269" s="15" t="s">
        <v>13</v>
      </c>
      <c r="N1269" s="11" t="s">
        <v>1406</v>
      </c>
      <c r="O1269" s="11" t="s">
        <v>46</v>
      </c>
      <c r="P1269" s="11" t="s">
        <v>33</v>
      </c>
      <c r="Q1269" s="15">
        <v>0</v>
      </c>
      <c r="R1269" s="11" t="s">
        <v>1386</v>
      </c>
      <c r="S1269" s="10">
        <v>155.14863968149001</v>
      </c>
      <c r="T1269" s="15">
        <v>80</v>
      </c>
      <c r="U1269" s="15">
        <v>0</v>
      </c>
      <c r="V1269" s="15">
        <v>0</v>
      </c>
      <c r="W1269" s="15">
        <v>0</v>
      </c>
      <c r="X1269" s="15">
        <f>IF(O1269='Udvaskning nøgletal'!$D$65,1,IF(O1269='Udvaskning nøgletal'!$D$66,2,IF(O1269='Udvaskning nøgletal'!$D$67,3,IF(O1269='Udvaskning nøgletal'!$D$68,2,""))))</f>
        <v>2</v>
      </c>
      <c r="Y1269" s="15">
        <f>LOOKUP(K1269,'Udvaskning nøgletal'!$C$12:$C$60,'Udvaskning nøgletal'!$H$12:$H$60)</f>
        <v>0</v>
      </c>
      <c r="Z1269" s="10">
        <f>IF(X1269=1,LOOKUP(K1269,'Udvaskning nøgletal'!$C$12:$C$60,'Udvaskning nøgletal'!$E$12:$E$60)+Markniveau!Y1269*Markniveau!S1269/100,IF(X1269=2,LOOKUP(K1269,'Udvaskning nøgletal'!$C$12:$C$60,'Udvaskning nøgletal'!$F$12:$F$60)+Markniveau!Y1269*Markniveau!S1269/100,IF(X1269=3,LOOKUP(K1269,'Udvaskning nøgletal'!$C$12:$C$60,'Udvaskning nøgletal'!G1279:G1327)+Markniveau!Y1269*Markniveau!S1269/100,"")))</f>
        <v>10</v>
      </c>
      <c r="AA1269" s="10">
        <f t="shared" si="196"/>
        <v>4.8</v>
      </c>
      <c r="AB1269" s="10" t="str">
        <f t="shared" si="195"/>
        <v/>
      </c>
      <c r="AC1269" s="10" t="str">
        <f t="shared" si="197"/>
        <v/>
      </c>
      <c r="AD1269" s="10">
        <f>IF(AND(Q1269&gt;0,Q1269&lt;30,K1269&lt;8),Markniveau!Z1269*'Udvaskning nøgletal'!$I$12/100,IF(AND(Q1269&gt;0,Q1269&lt;30,K1269=216),Markniveau!Z1269*'Udvaskning nøgletal'!$I$34/100,Markniveau!Z1269))</f>
        <v>10</v>
      </c>
      <c r="AE1269" s="10">
        <f t="shared" si="203"/>
        <v>4.8</v>
      </c>
      <c r="AF1269" s="10" t="str">
        <f t="shared" si="198"/>
        <v/>
      </c>
      <c r="AG1269" s="10" t="str">
        <f t="shared" si="204"/>
        <v/>
      </c>
      <c r="AH1269" s="10" t="str">
        <f>IF(AND(Q1269&gt;0,Q1269&lt;30,K1269=216),'Udvaskning nøgletal'!$C$42,IF(AND(Q1269&gt;0,Q1269&lt;30,K1269&gt;7,K1269&lt;17),'Udvaskning nøgletal'!$C$61,IF(AND(Q1269&gt;0,Q1269&lt;30,K1269&lt;7),'Udvaskning nøgletal'!$C$62,"")))</f>
        <v/>
      </c>
      <c r="AI1269" s="10">
        <f t="shared" si="200"/>
        <v>318</v>
      </c>
      <c r="AJ1269" s="10">
        <f>IF($X1269=1,LOOKUP(AI1269,'Udvaskning nøgletal'!$C$12:$C$62,'Udvaskning nøgletal'!$E$12:$E$62)+Markniveau!$Y1269*Markniveau!$S1269/100,IF($X1269=2,LOOKUP(AI1269,'Udvaskning nøgletal'!$C$12:$C$62,'Udvaskning nøgletal'!$F$12:$F$62)+Markniveau!$Y1269*Markniveau!$S1269/100,IF($X1269=3,LOOKUP(AI1269,'Udvaskning nøgletal'!$C$12:$C$62,'Udvaskning nøgletal'!Q1279:Q1329)+Markniveau!$Y1269*Markniveau!$S1269/100,"")))</f>
        <v>10</v>
      </c>
      <c r="AK1269" s="10">
        <f t="shared" si="199"/>
        <v>4.8</v>
      </c>
      <c r="AL1269" s="10" t="str">
        <f t="shared" si="201"/>
        <v/>
      </c>
      <c r="AM1269" s="10" t="str">
        <f t="shared" si="202"/>
        <v/>
      </c>
    </row>
    <row r="1270" spans="1:39" x14ac:dyDescent="0.25">
      <c r="A1270" s="15">
        <v>42746568</v>
      </c>
      <c r="B1270" s="15">
        <v>8.6199999999999992</v>
      </c>
      <c r="C1270" s="15">
        <v>432433</v>
      </c>
      <c r="D1270" s="15">
        <v>91160</v>
      </c>
      <c r="E1270" s="15" t="s">
        <v>1143</v>
      </c>
      <c r="F1270" s="15">
        <v>2011</v>
      </c>
      <c r="G1270" s="15">
        <v>20110307</v>
      </c>
      <c r="H1270" s="15">
        <v>25747</v>
      </c>
      <c r="I1270" s="15">
        <v>2.57</v>
      </c>
      <c r="J1270" s="6" t="s">
        <v>1522</v>
      </c>
      <c r="K1270" s="15">
        <v>318</v>
      </c>
      <c r="L1270" s="15" t="s">
        <v>171</v>
      </c>
      <c r="M1270" s="15" t="s">
        <v>13</v>
      </c>
      <c r="N1270" s="11" t="s">
        <v>1406</v>
      </c>
      <c r="O1270" s="11" t="s">
        <v>46</v>
      </c>
      <c r="P1270" s="11" t="s">
        <v>33</v>
      </c>
      <c r="Q1270" s="15">
        <v>0</v>
      </c>
      <c r="R1270" s="11" t="s">
        <v>1386</v>
      </c>
      <c r="S1270" s="10">
        <v>155.14863968149001</v>
      </c>
      <c r="T1270" s="15">
        <v>80</v>
      </c>
      <c r="U1270" s="15">
        <v>0</v>
      </c>
      <c r="V1270" s="15">
        <v>0</v>
      </c>
      <c r="W1270" s="15">
        <v>0</v>
      </c>
      <c r="X1270" s="15">
        <f>IF(O1270='Udvaskning nøgletal'!$D$65,1,IF(O1270='Udvaskning nøgletal'!$D$66,2,IF(O1270='Udvaskning nøgletal'!$D$67,3,IF(O1270='Udvaskning nøgletal'!$D$68,2,""))))</f>
        <v>2</v>
      </c>
      <c r="Y1270" s="15">
        <f>LOOKUP(K1270,'Udvaskning nøgletal'!$C$12:$C$60,'Udvaskning nøgletal'!$H$12:$H$60)</f>
        <v>0</v>
      </c>
      <c r="Z1270" s="10">
        <f>IF(X1270=1,LOOKUP(K1270,'Udvaskning nøgletal'!$C$12:$C$60,'Udvaskning nøgletal'!$E$12:$E$60)+Markniveau!Y1270*Markniveau!S1270/100,IF(X1270=2,LOOKUP(K1270,'Udvaskning nøgletal'!$C$12:$C$60,'Udvaskning nøgletal'!$F$12:$F$60)+Markniveau!Y1270*Markniveau!S1270/100,IF(X1270=3,LOOKUP(K1270,'Udvaskning nøgletal'!$C$12:$C$60,'Udvaskning nøgletal'!G1280:G1328)+Markniveau!Y1270*Markniveau!S1270/100,"")))</f>
        <v>10</v>
      </c>
      <c r="AA1270" s="10">
        <f t="shared" si="196"/>
        <v>25.7</v>
      </c>
      <c r="AB1270" s="10" t="str">
        <f t="shared" si="195"/>
        <v/>
      </c>
      <c r="AC1270" s="10" t="str">
        <f t="shared" si="197"/>
        <v/>
      </c>
      <c r="AD1270" s="10">
        <f>IF(AND(Q1270&gt;0,Q1270&lt;30,K1270&lt;8),Markniveau!Z1270*'Udvaskning nøgletal'!$I$12/100,IF(AND(Q1270&gt;0,Q1270&lt;30,K1270=216),Markniveau!Z1270*'Udvaskning nøgletal'!$I$34/100,Markniveau!Z1270))</f>
        <v>10</v>
      </c>
      <c r="AE1270" s="10">
        <f t="shared" si="203"/>
        <v>25.7</v>
      </c>
      <c r="AF1270" s="10" t="str">
        <f t="shared" si="198"/>
        <v/>
      </c>
      <c r="AG1270" s="10" t="str">
        <f t="shared" si="204"/>
        <v/>
      </c>
      <c r="AH1270" s="10" t="str">
        <f>IF(AND(Q1270&gt;0,Q1270&lt;30,K1270=216),'Udvaskning nøgletal'!$C$42,IF(AND(Q1270&gt;0,Q1270&lt;30,K1270&gt;7,K1270&lt;17),'Udvaskning nøgletal'!$C$61,IF(AND(Q1270&gt;0,Q1270&lt;30,K1270&lt;7),'Udvaskning nøgletal'!$C$62,"")))</f>
        <v/>
      </c>
      <c r="AI1270" s="10">
        <f t="shared" si="200"/>
        <v>318</v>
      </c>
      <c r="AJ1270" s="10">
        <f>IF($X1270=1,LOOKUP(AI1270,'Udvaskning nøgletal'!$C$12:$C$62,'Udvaskning nøgletal'!$E$12:$E$62)+Markniveau!$Y1270*Markniveau!$S1270/100,IF($X1270=2,LOOKUP(AI1270,'Udvaskning nøgletal'!$C$12:$C$62,'Udvaskning nøgletal'!$F$12:$F$62)+Markniveau!$Y1270*Markniveau!$S1270/100,IF($X1270=3,LOOKUP(AI1270,'Udvaskning nøgletal'!$C$12:$C$62,'Udvaskning nøgletal'!Q1280:Q1330)+Markniveau!$Y1270*Markniveau!$S1270/100,"")))</f>
        <v>10</v>
      </c>
      <c r="AK1270" s="10">
        <f t="shared" si="199"/>
        <v>25.7</v>
      </c>
      <c r="AL1270" s="10" t="str">
        <f t="shared" si="201"/>
        <v/>
      </c>
      <c r="AM1270" s="10" t="str">
        <f t="shared" si="202"/>
        <v/>
      </c>
    </row>
    <row r="1271" spans="1:39" x14ac:dyDescent="0.25">
      <c r="A1271" s="15">
        <v>42746568</v>
      </c>
      <c r="B1271" s="15">
        <v>8.6199999999999992</v>
      </c>
      <c r="C1271" s="15">
        <v>432434</v>
      </c>
      <c r="D1271" s="15">
        <v>91160</v>
      </c>
      <c r="E1271" s="15" t="s">
        <v>1144</v>
      </c>
      <c r="F1271" s="15">
        <v>2011</v>
      </c>
      <c r="G1271" s="15">
        <v>20110307</v>
      </c>
      <c r="H1271" s="15">
        <v>22620</v>
      </c>
      <c r="I1271" s="15">
        <v>2.2599999999999998</v>
      </c>
      <c r="J1271" s="6" t="s">
        <v>53</v>
      </c>
      <c r="K1271" s="15">
        <v>260</v>
      </c>
      <c r="L1271" s="15" t="s">
        <v>45</v>
      </c>
      <c r="M1271" s="15" t="s">
        <v>5</v>
      </c>
      <c r="N1271" s="11" t="s">
        <v>1384</v>
      </c>
      <c r="O1271" s="11" t="s">
        <v>28</v>
      </c>
      <c r="P1271" s="11" t="s">
        <v>33</v>
      </c>
      <c r="Q1271" s="15">
        <v>0</v>
      </c>
      <c r="R1271" s="11" t="s">
        <v>1386</v>
      </c>
      <c r="S1271" s="10">
        <v>155.14863968149001</v>
      </c>
      <c r="T1271" s="15">
        <v>80</v>
      </c>
      <c r="U1271" s="15">
        <v>0</v>
      </c>
      <c r="V1271" s="15">
        <v>0</v>
      </c>
      <c r="W1271" s="15">
        <v>0</v>
      </c>
      <c r="X1271" s="15">
        <f>IF(O1271='Udvaskning nøgletal'!$D$65,1,IF(O1271='Udvaskning nøgletal'!$D$66,2,IF(O1271='Udvaskning nøgletal'!$D$67,3,IF(O1271='Udvaskning nøgletal'!$D$68,2,""))))</f>
        <v>1</v>
      </c>
      <c r="Y1271" s="15">
        <f>LOOKUP(K1271,'Udvaskning nøgletal'!$C$12:$C$60,'Udvaskning nøgletal'!$H$12:$H$60)</f>
        <v>0</v>
      </c>
      <c r="Z1271" s="10">
        <f>IF(X1271=1,LOOKUP(K1271,'Udvaskning nøgletal'!$C$12:$C$60,'Udvaskning nøgletal'!$E$12:$E$60)+Markniveau!Y1271*Markniveau!S1271/100,IF(X1271=2,LOOKUP(K1271,'Udvaskning nøgletal'!$C$12:$C$60,'Udvaskning nøgletal'!$F$12:$F$60)+Markniveau!Y1271*Markniveau!S1271/100,IF(X1271=3,LOOKUP(K1271,'Udvaskning nøgletal'!$C$12:$C$60,'Udvaskning nøgletal'!G1281:G1329)+Markniveau!Y1271*Markniveau!S1271/100,"")))</f>
        <v>33.723295792149436</v>
      </c>
      <c r="AA1271" s="10">
        <f t="shared" si="196"/>
        <v>76.214648490257716</v>
      </c>
      <c r="AB1271" s="10" t="str">
        <f t="shared" si="195"/>
        <v/>
      </c>
      <c r="AC1271" s="10" t="str">
        <f t="shared" si="197"/>
        <v/>
      </c>
      <c r="AD1271" s="10">
        <f>IF(AND(Q1271&gt;0,Q1271&lt;30,K1271&lt;8),Markniveau!Z1271*'Udvaskning nøgletal'!$I$12/100,IF(AND(Q1271&gt;0,Q1271&lt;30,K1271=216),Markniveau!Z1271*'Udvaskning nøgletal'!$I$34/100,Markniveau!Z1271))</f>
        <v>33.723295792149436</v>
      </c>
      <c r="AE1271" s="10">
        <f t="shared" si="203"/>
        <v>76.214648490257716</v>
      </c>
      <c r="AF1271" s="10" t="str">
        <f t="shared" si="198"/>
        <v/>
      </c>
      <c r="AG1271" s="10" t="str">
        <f t="shared" si="204"/>
        <v/>
      </c>
      <c r="AH1271" s="10" t="str">
        <f>IF(AND(Q1271&gt;0,Q1271&lt;30,K1271=216),'Udvaskning nøgletal'!$C$42,IF(AND(Q1271&gt;0,Q1271&lt;30,K1271&gt;7,K1271&lt;17),'Udvaskning nøgletal'!$C$61,IF(AND(Q1271&gt;0,Q1271&lt;30,K1271&lt;7),'Udvaskning nøgletal'!$C$62,"")))</f>
        <v/>
      </c>
      <c r="AI1271" s="10">
        <f t="shared" si="200"/>
        <v>260</v>
      </c>
      <c r="AJ1271" s="10">
        <f>IF($X1271=1,LOOKUP(AI1271,'Udvaskning nøgletal'!$C$12:$C$62,'Udvaskning nøgletal'!$E$12:$E$62)+Markniveau!$Y1271*Markniveau!$S1271/100,IF($X1271=2,LOOKUP(AI1271,'Udvaskning nøgletal'!$C$12:$C$62,'Udvaskning nøgletal'!$F$12:$F$62)+Markniveau!$Y1271*Markniveau!$S1271/100,IF($X1271=3,LOOKUP(AI1271,'Udvaskning nøgletal'!$C$12:$C$62,'Udvaskning nøgletal'!Q1281:Q1331)+Markniveau!$Y1271*Markniveau!$S1271/100,"")))</f>
        <v>33.723295792149436</v>
      </c>
      <c r="AK1271" s="10">
        <f t="shared" si="199"/>
        <v>76.214648490257716</v>
      </c>
      <c r="AL1271" s="10" t="str">
        <f t="shared" si="201"/>
        <v/>
      </c>
      <c r="AM1271" s="10" t="str">
        <f t="shared" si="202"/>
        <v/>
      </c>
    </row>
    <row r="1272" spans="1:39" x14ac:dyDescent="0.25">
      <c r="A1272" s="15">
        <v>42746568</v>
      </c>
      <c r="B1272" s="15">
        <v>8.6199999999999992</v>
      </c>
      <c r="C1272" s="15">
        <v>432435</v>
      </c>
      <c r="D1272" s="15">
        <v>91160</v>
      </c>
      <c r="E1272" s="15" t="s">
        <v>1144</v>
      </c>
      <c r="F1272" s="15">
        <v>2011</v>
      </c>
      <c r="G1272" s="15">
        <v>20110307</v>
      </c>
      <c r="H1272" s="15">
        <v>20977</v>
      </c>
      <c r="I1272" s="15">
        <v>2.1</v>
      </c>
      <c r="J1272" s="6" t="s">
        <v>87</v>
      </c>
      <c r="K1272" s="15">
        <v>260</v>
      </c>
      <c r="L1272" s="15" t="s">
        <v>45</v>
      </c>
      <c r="M1272" s="15" t="s">
        <v>5</v>
      </c>
      <c r="N1272" s="11" t="s">
        <v>1384</v>
      </c>
      <c r="O1272" s="11" t="s">
        <v>28</v>
      </c>
      <c r="P1272" s="11" t="s">
        <v>33</v>
      </c>
      <c r="Q1272" s="15">
        <v>0</v>
      </c>
      <c r="R1272" s="11" t="s">
        <v>1386</v>
      </c>
      <c r="S1272" s="10">
        <v>155.14863968149001</v>
      </c>
      <c r="T1272" s="15">
        <v>80</v>
      </c>
      <c r="U1272" s="15">
        <v>0</v>
      </c>
      <c r="V1272" s="15">
        <v>0</v>
      </c>
      <c r="W1272" s="15">
        <v>0</v>
      </c>
      <c r="X1272" s="15">
        <f>IF(O1272='Udvaskning nøgletal'!$D$65,1,IF(O1272='Udvaskning nøgletal'!$D$66,2,IF(O1272='Udvaskning nøgletal'!$D$67,3,IF(O1272='Udvaskning nøgletal'!$D$68,2,""))))</f>
        <v>1</v>
      </c>
      <c r="Y1272" s="15">
        <f>LOOKUP(K1272,'Udvaskning nøgletal'!$C$12:$C$60,'Udvaskning nøgletal'!$H$12:$H$60)</f>
        <v>0</v>
      </c>
      <c r="Z1272" s="10">
        <f>IF(X1272=1,LOOKUP(K1272,'Udvaskning nøgletal'!$C$12:$C$60,'Udvaskning nøgletal'!$E$12:$E$60)+Markniveau!Y1272*Markniveau!S1272/100,IF(X1272=2,LOOKUP(K1272,'Udvaskning nøgletal'!$C$12:$C$60,'Udvaskning nøgletal'!$F$12:$F$60)+Markniveau!Y1272*Markniveau!S1272/100,IF(X1272=3,LOOKUP(K1272,'Udvaskning nøgletal'!$C$12:$C$60,'Udvaskning nøgletal'!G1282:G1330)+Markniveau!Y1272*Markniveau!S1272/100,"")))</f>
        <v>33.723295792149436</v>
      </c>
      <c r="AA1272" s="10">
        <f t="shared" si="196"/>
        <v>70.818921163513821</v>
      </c>
      <c r="AB1272" s="10" t="str">
        <f t="shared" si="195"/>
        <v/>
      </c>
      <c r="AC1272" s="10" t="str">
        <f t="shared" si="197"/>
        <v/>
      </c>
      <c r="AD1272" s="10">
        <f>IF(AND(Q1272&gt;0,Q1272&lt;30,K1272&lt;8),Markniveau!Z1272*'Udvaskning nøgletal'!$I$12/100,IF(AND(Q1272&gt;0,Q1272&lt;30,K1272=216),Markniveau!Z1272*'Udvaskning nøgletal'!$I$34/100,Markniveau!Z1272))</f>
        <v>33.723295792149436</v>
      </c>
      <c r="AE1272" s="10">
        <f t="shared" si="203"/>
        <v>70.818921163513821</v>
      </c>
      <c r="AF1272" s="10" t="str">
        <f t="shared" si="198"/>
        <v/>
      </c>
      <c r="AG1272" s="10" t="str">
        <f t="shared" si="204"/>
        <v/>
      </c>
      <c r="AH1272" s="10" t="str">
        <f>IF(AND(Q1272&gt;0,Q1272&lt;30,K1272=216),'Udvaskning nøgletal'!$C$42,IF(AND(Q1272&gt;0,Q1272&lt;30,K1272&gt;7,K1272&lt;17),'Udvaskning nøgletal'!$C$61,IF(AND(Q1272&gt;0,Q1272&lt;30,K1272&lt;7),'Udvaskning nøgletal'!$C$62,"")))</f>
        <v/>
      </c>
      <c r="AI1272" s="10">
        <f t="shared" si="200"/>
        <v>260</v>
      </c>
      <c r="AJ1272" s="10">
        <f>IF($X1272=1,LOOKUP(AI1272,'Udvaskning nøgletal'!$C$12:$C$62,'Udvaskning nøgletal'!$E$12:$E$62)+Markniveau!$Y1272*Markniveau!$S1272/100,IF($X1272=2,LOOKUP(AI1272,'Udvaskning nøgletal'!$C$12:$C$62,'Udvaskning nøgletal'!$F$12:$F$62)+Markniveau!$Y1272*Markniveau!$S1272/100,IF($X1272=3,LOOKUP(AI1272,'Udvaskning nøgletal'!$C$12:$C$62,'Udvaskning nøgletal'!Q1282:Q1332)+Markniveau!$Y1272*Markniveau!$S1272/100,"")))</f>
        <v>33.723295792149436</v>
      </c>
      <c r="AK1272" s="10">
        <f t="shared" si="199"/>
        <v>70.818921163513821</v>
      </c>
      <c r="AL1272" s="10" t="str">
        <f t="shared" si="201"/>
        <v/>
      </c>
      <c r="AM1272" s="10" t="str">
        <f t="shared" si="202"/>
        <v/>
      </c>
    </row>
    <row r="1273" spans="1:39" x14ac:dyDescent="0.25">
      <c r="A1273" s="15">
        <v>42746568</v>
      </c>
      <c r="B1273" s="15">
        <v>8.6199999999999992</v>
      </c>
      <c r="C1273" s="15">
        <v>432436</v>
      </c>
      <c r="D1273" s="15">
        <v>91160</v>
      </c>
      <c r="E1273" s="15" t="s">
        <v>1145</v>
      </c>
      <c r="F1273" s="15">
        <v>2011</v>
      </c>
      <c r="G1273" s="15">
        <v>20110307</v>
      </c>
      <c r="H1273" s="15">
        <v>20945</v>
      </c>
      <c r="I1273" s="15">
        <v>2.09</v>
      </c>
      <c r="J1273" s="6" t="s">
        <v>58</v>
      </c>
      <c r="K1273" s="15">
        <v>235</v>
      </c>
      <c r="L1273" s="15" t="s">
        <v>1146</v>
      </c>
      <c r="M1273" s="15" t="s">
        <v>5</v>
      </c>
      <c r="N1273" s="11" t="s">
        <v>1384</v>
      </c>
      <c r="O1273" s="11" t="s">
        <v>28</v>
      </c>
      <c r="P1273" s="11" t="s">
        <v>33</v>
      </c>
      <c r="Q1273" s="15">
        <v>0</v>
      </c>
      <c r="R1273" s="11" t="s">
        <v>1386</v>
      </c>
      <c r="S1273" s="10">
        <v>155.14863968149001</v>
      </c>
      <c r="T1273" s="15">
        <v>80</v>
      </c>
      <c r="U1273" s="15">
        <v>0</v>
      </c>
      <c r="V1273" s="15">
        <v>0</v>
      </c>
      <c r="W1273" s="15">
        <v>0</v>
      </c>
      <c r="X1273" s="15">
        <f>IF(O1273='Udvaskning nøgletal'!$D$65,1,IF(O1273='Udvaskning nøgletal'!$D$66,2,IF(O1273='Udvaskning nøgletal'!$D$67,3,IF(O1273='Udvaskning nøgletal'!$D$68,2,""))))</f>
        <v>1</v>
      </c>
      <c r="Y1273" s="15">
        <f>LOOKUP(K1273,'Udvaskning nøgletal'!$C$12:$C$60,'Udvaskning nøgletal'!$H$12:$H$60)</f>
        <v>0</v>
      </c>
      <c r="Z1273" s="10">
        <f>IF(X1273=1,LOOKUP(K1273,'Udvaskning nøgletal'!$C$12:$C$60,'Udvaskning nøgletal'!$E$12:$E$60)+Markniveau!Y1273*Markniveau!S1273/100,IF(X1273=2,LOOKUP(K1273,'Udvaskning nøgletal'!$C$12:$C$60,'Udvaskning nøgletal'!$F$12:$F$60)+Markniveau!Y1273*Markniveau!S1273/100,IF(X1273=3,LOOKUP(K1273,'Udvaskning nøgletal'!$C$12:$C$60,'Udvaskning nøgletal'!G1283:G1331)+Markniveau!Y1273*Markniveau!S1273/100,"")))</f>
        <v>38.620385460262987</v>
      </c>
      <c r="AA1273" s="10">
        <f t="shared" si="196"/>
        <v>80.716605611949632</v>
      </c>
      <c r="AB1273" s="10" t="str">
        <f t="shared" si="195"/>
        <v/>
      </c>
      <c r="AC1273" s="10" t="str">
        <f t="shared" si="197"/>
        <v/>
      </c>
      <c r="AD1273" s="10">
        <f>IF(AND(Q1273&gt;0,Q1273&lt;30,K1273&lt;8),Markniveau!Z1273*'Udvaskning nøgletal'!$I$12/100,IF(AND(Q1273&gt;0,Q1273&lt;30,K1273=216),Markniveau!Z1273*'Udvaskning nøgletal'!$I$34/100,Markniveau!Z1273))</f>
        <v>38.620385460262987</v>
      </c>
      <c r="AE1273" s="10">
        <f t="shared" si="203"/>
        <v>80.716605611949632</v>
      </c>
      <c r="AF1273" s="10" t="str">
        <f t="shared" si="198"/>
        <v/>
      </c>
      <c r="AG1273" s="10" t="str">
        <f t="shared" si="204"/>
        <v/>
      </c>
      <c r="AH1273" s="10" t="str">
        <f>IF(AND(Q1273&gt;0,Q1273&lt;30,K1273=216),'Udvaskning nøgletal'!$C$42,IF(AND(Q1273&gt;0,Q1273&lt;30,K1273&gt;7,K1273&lt;17),'Udvaskning nøgletal'!$C$61,IF(AND(Q1273&gt;0,Q1273&lt;30,K1273&lt;7),'Udvaskning nøgletal'!$C$62,"")))</f>
        <v/>
      </c>
      <c r="AI1273" s="10">
        <f t="shared" si="200"/>
        <v>235</v>
      </c>
      <c r="AJ1273" s="10">
        <f>IF($X1273=1,LOOKUP(AI1273,'Udvaskning nøgletal'!$C$12:$C$62,'Udvaskning nøgletal'!$E$12:$E$62)+Markniveau!$Y1273*Markniveau!$S1273/100,IF($X1273=2,LOOKUP(AI1273,'Udvaskning nøgletal'!$C$12:$C$62,'Udvaskning nøgletal'!$F$12:$F$62)+Markniveau!$Y1273*Markniveau!$S1273/100,IF($X1273=3,LOOKUP(AI1273,'Udvaskning nøgletal'!$C$12:$C$62,'Udvaskning nøgletal'!Q1283:Q1333)+Markniveau!$Y1273*Markniveau!$S1273/100,"")))</f>
        <v>38.620385460262987</v>
      </c>
      <c r="AK1273" s="10">
        <f t="shared" si="199"/>
        <v>80.716605611949632</v>
      </c>
      <c r="AL1273" s="10" t="str">
        <f t="shared" si="201"/>
        <v/>
      </c>
      <c r="AM1273" s="10" t="str">
        <f t="shared" si="202"/>
        <v/>
      </c>
    </row>
    <row r="1274" spans="1:39" x14ac:dyDescent="0.25">
      <c r="A1274" s="15">
        <v>42746568</v>
      </c>
      <c r="B1274" s="15">
        <v>8.6199999999999992</v>
      </c>
      <c r="C1274" s="15">
        <v>432939</v>
      </c>
      <c r="D1274" s="15">
        <v>91160</v>
      </c>
      <c r="E1274" s="15" t="s">
        <v>1147</v>
      </c>
      <c r="F1274" s="15">
        <v>2011</v>
      </c>
      <c r="G1274" s="15">
        <v>20110307</v>
      </c>
      <c r="H1274" s="15">
        <v>30692</v>
      </c>
      <c r="I1274" s="15">
        <v>3.07</v>
      </c>
      <c r="J1274" s="6" t="s">
        <v>86</v>
      </c>
      <c r="K1274" s="15">
        <v>318</v>
      </c>
      <c r="L1274" s="15" t="s">
        <v>171</v>
      </c>
      <c r="M1274" s="15" t="s">
        <v>13</v>
      </c>
      <c r="N1274" s="11" t="s">
        <v>1384</v>
      </c>
      <c r="O1274" s="11" t="s">
        <v>28</v>
      </c>
      <c r="P1274" s="11" t="s">
        <v>33</v>
      </c>
      <c r="Q1274" s="15">
        <v>0</v>
      </c>
      <c r="R1274" s="11" t="s">
        <v>1386</v>
      </c>
      <c r="S1274" s="10">
        <v>155.14863968149001</v>
      </c>
      <c r="T1274" s="15">
        <v>80</v>
      </c>
      <c r="U1274" s="15">
        <v>0</v>
      </c>
      <c r="V1274" s="15">
        <v>0</v>
      </c>
      <c r="W1274" s="15">
        <v>0</v>
      </c>
      <c r="X1274" s="15">
        <f>IF(O1274='Udvaskning nøgletal'!$D$65,1,IF(O1274='Udvaskning nøgletal'!$D$66,2,IF(O1274='Udvaskning nøgletal'!$D$67,3,IF(O1274='Udvaskning nøgletal'!$D$68,2,""))))</f>
        <v>1</v>
      </c>
      <c r="Y1274" s="15">
        <f>LOOKUP(K1274,'Udvaskning nøgletal'!$C$12:$C$60,'Udvaskning nøgletal'!$H$12:$H$60)</f>
        <v>0</v>
      </c>
      <c r="Z1274" s="10">
        <f>IF(X1274=1,LOOKUP(K1274,'Udvaskning nøgletal'!$C$12:$C$60,'Udvaskning nøgletal'!$E$12:$E$60)+Markniveau!Y1274*Markniveau!S1274/100,IF(X1274=2,LOOKUP(K1274,'Udvaskning nøgletal'!$C$12:$C$60,'Udvaskning nøgletal'!$F$12:$F$60)+Markniveau!Y1274*Markniveau!S1274/100,IF(X1274=3,LOOKUP(K1274,'Udvaskning nøgletal'!$C$12:$C$60,'Udvaskning nøgletal'!G1284:G1332)+Markniveau!Y1274*Markniveau!S1274/100,"")))</f>
        <v>10</v>
      </c>
      <c r="AA1274" s="10">
        <f t="shared" si="196"/>
        <v>30.7</v>
      </c>
      <c r="AB1274" s="10" t="str">
        <f t="shared" si="195"/>
        <v/>
      </c>
      <c r="AC1274" s="10" t="str">
        <f t="shared" si="197"/>
        <v/>
      </c>
      <c r="AD1274" s="10">
        <f>IF(AND(Q1274&gt;0,Q1274&lt;30,K1274&lt;8),Markniveau!Z1274*'Udvaskning nøgletal'!$I$12/100,IF(AND(Q1274&gt;0,Q1274&lt;30,K1274=216),Markniveau!Z1274*'Udvaskning nøgletal'!$I$34/100,Markniveau!Z1274))</f>
        <v>10</v>
      </c>
      <c r="AE1274" s="10">
        <f t="shared" si="203"/>
        <v>30.7</v>
      </c>
      <c r="AF1274" s="10" t="str">
        <f t="shared" si="198"/>
        <v/>
      </c>
      <c r="AG1274" s="10" t="str">
        <f t="shared" si="204"/>
        <v/>
      </c>
      <c r="AH1274" s="10" t="str">
        <f>IF(AND(Q1274&gt;0,Q1274&lt;30,K1274=216),'Udvaskning nøgletal'!$C$42,IF(AND(Q1274&gt;0,Q1274&lt;30,K1274&gt;7,K1274&lt;17),'Udvaskning nøgletal'!$C$61,IF(AND(Q1274&gt;0,Q1274&lt;30,K1274&lt;7),'Udvaskning nøgletal'!$C$62,"")))</f>
        <v/>
      </c>
      <c r="AI1274" s="10">
        <f t="shared" si="200"/>
        <v>318</v>
      </c>
      <c r="AJ1274" s="10">
        <f>IF($X1274=1,LOOKUP(AI1274,'Udvaskning nøgletal'!$C$12:$C$62,'Udvaskning nøgletal'!$E$12:$E$62)+Markniveau!$Y1274*Markniveau!$S1274/100,IF($X1274=2,LOOKUP(AI1274,'Udvaskning nøgletal'!$C$12:$C$62,'Udvaskning nøgletal'!$F$12:$F$62)+Markniveau!$Y1274*Markniveau!$S1274/100,IF($X1274=3,LOOKUP(AI1274,'Udvaskning nøgletal'!$C$12:$C$62,'Udvaskning nøgletal'!Q1284:Q1334)+Markniveau!$Y1274*Markniveau!$S1274/100,"")))</f>
        <v>10</v>
      </c>
      <c r="AK1274" s="10">
        <f t="shared" si="199"/>
        <v>30.7</v>
      </c>
      <c r="AL1274" s="10" t="str">
        <f t="shared" si="201"/>
        <v/>
      </c>
      <c r="AM1274" s="10" t="str">
        <f t="shared" si="202"/>
        <v/>
      </c>
    </row>
    <row r="1275" spans="1:39" x14ac:dyDescent="0.25">
      <c r="A1275" s="15">
        <v>42746568</v>
      </c>
      <c r="B1275" s="15">
        <v>8.6199999999999992</v>
      </c>
      <c r="C1275" s="15">
        <v>432940</v>
      </c>
      <c r="D1275" s="15">
        <v>91160</v>
      </c>
      <c r="E1275" s="15" t="s">
        <v>151</v>
      </c>
      <c r="F1275" s="15">
        <v>2011</v>
      </c>
      <c r="G1275" s="15">
        <v>20110307</v>
      </c>
      <c r="H1275" s="15">
        <v>15852</v>
      </c>
      <c r="I1275" s="15">
        <v>1.59</v>
      </c>
      <c r="J1275" s="6" t="s">
        <v>35</v>
      </c>
      <c r="K1275" s="15">
        <v>235</v>
      </c>
      <c r="L1275" s="15" t="s">
        <v>1146</v>
      </c>
      <c r="M1275" s="15" t="s">
        <v>5</v>
      </c>
      <c r="N1275" s="11" t="s">
        <v>1384</v>
      </c>
      <c r="O1275" s="11" t="s">
        <v>28</v>
      </c>
      <c r="P1275" s="11" t="s">
        <v>29</v>
      </c>
      <c r="Q1275" s="15">
        <v>0</v>
      </c>
      <c r="R1275" s="11" t="s">
        <v>1386</v>
      </c>
      <c r="S1275" s="10">
        <v>155.14863968149001</v>
      </c>
      <c r="T1275" s="15">
        <v>80</v>
      </c>
      <c r="U1275" s="15">
        <v>0</v>
      </c>
      <c r="V1275" s="15">
        <v>0</v>
      </c>
      <c r="W1275" s="15">
        <v>0</v>
      </c>
      <c r="X1275" s="15">
        <f>IF(O1275='Udvaskning nøgletal'!$D$65,1,IF(O1275='Udvaskning nøgletal'!$D$66,2,IF(O1275='Udvaskning nøgletal'!$D$67,3,IF(O1275='Udvaskning nøgletal'!$D$68,2,""))))</f>
        <v>1</v>
      </c>
      <c r="Y1275" s="15">
        <f>LOOKUP(K1275,'Udvaskning nøgletal'!$C$12:$C$60,'Udvaskning nøgletal'!$H$12:$H$60)</f>
        <v>0</v>
      </c>
      <c r="Z1275" s="10">
        <f>IF(X1275=1,LOOKUP(K1275,'Udvaskning nøgletal'!$C$12:$C$60,'Udvaskning nøgletal'!$E$12:$E$60)+Markniveau!Y1275*Markniveau!S1275/100,IF(X1275=2,LOOKUP(K1275,'Udvaskning nøgletal'!$C$12:$C$60,'Udvaskning nøgletal'!$F$12:$F$60)+Markniveau!Y1275*Markniveau!S1275/100,IF(X1275=3,LOOKUP(K1275,'Udvaskning nøgletal'!$C$12:$C$60,'Udvaskning nøgletal'!G1285:G1333)+Markniveau!Y1275*Markniveau!S1275/100,"")))</f>
        <v>38.620385460262987</v>
      </c>
      <c r="AA1275" s="10">
        <f t="shared" si="196"/>
        <v>61.406412881818156</v>
      </c>
      <c r="AB1275" s="10" t="str">
        <f t="shared" si="195"/>
        <v/>
      </c>
      <c r="AC1275" s="10" t="str">
        <f t="shared" si="197"/>
        <v/>
      </c>
      <c r="AD1275" s="10">
        <f>IF(AND(Q1275&gt;0,Q1275&lt;30,K1275&lt;8),Markniveau!Z1275*'Udvaskning nøgletal'!$I$12/100,IF(AND(Q1275&gt;0,Q1275&lt;30,K1275=216),Markniveau!Z1275*'Udvaskning nøgletal'!$I$34/100,Markniveau!Z1275))</f>
        <v>38.620385460262987</v>
      </c>
      <c r="AE1275" s="10">
        <f t="shared" si="203"/>
        <v>61.406412881818156</v>
      </c>
      <c r="AF1275" s="10" t="str">
        <f t="shared" si="198"/>
        <v/>
      </c>
      <c r="AG1275" s="10" t="str">
        <f t="shared" si="204"/>
        <v/>
      </c>
      <c r="AH1275" s="10" t="str">
        <f>IF(AND(Q1275&gt;0,Q1275&lt;30,K1275=216),'Udvaskning nøgletal'!$C$42,IF(AND(Q1275&gt;0,Q1275&lt;30,K1275&gt;7,K1275&lt;17),'Udvaskning nøgletal'!$C$61,IF(AND(Q1275&gt;0,Q1275&lt;30,K1275&lt;7),'Udvaskning nøgletal'!$C$62,"")))</f>
        <v/>
      </c>
      <c r="AI1275" s="10">
        <f t="shared" si="200"/>
        <v>235</v>
      </c>
      <c r="AJ1275" s="10">
        <f>IF($X1275=1,LOOKUP(AI1275,'Udvaskning nøgletal'!$C$12:$C$62,'Udvaskning nøgletal'!$E$12:$E$62)+Markniveau!$Y1275*Markniveau!$S1275/100,IF($X1275=2,LOOKUP(AI1275,'Udvaskning nøgletal'!$C$12:$C$62,'Udvaskning nøgletal'!$F$12:$F$62)+Markniveau!$Y1275*Markniveau!$S1275/100,IF($X1275=3,LOOKUP(AI1275,'Udvaskning nøgletal'!$C$12:$C$62,'Udvaskning nøgletal'!Q1285:Q1335)+Markniveau!$Y1275*Markniveau!$S1275/100,"")))</f>
        <v>38.620385460262987</v>
      </c>
      <c r="AK1275" s="10">
        <f t="shared" si="199"/>
        <v>61.406412881818156</v>
      </c>
      <c r="AL1275" s="10" t="str">
        <f t="shared" si="201"/>
        <v/>
      </c>
      <c r="AM1275" s="10" t="str">
        <f t="shared" si="202"/>
        <v/>
      </c>
    </row>
    <row r="1276" spans="1:39" x14ac:dyDescent="0.25">
      <c r="A1276" s="15">
        <v>42746568</v>
      </c>
      <c r="B1276" s="15">
        <v>8.6199999999999992</v>
      </c>
      <c r="C1276" s="15">
        <v>417693</v>
      </c>
      <c r="D1276" s="15">
        <v>91160</v>
      </c>
      <c r="E1276" s="15" t="s">
        <v>1147</v>
      </c>
      <c r="F1276" s="15">
        <v>2011</v>
      </c>
      <c r="G1276" s="15">
        <v>20110307</v>
      </c>
      <c r="H1276" s="15">
        <v>11925</v>
      </c>
      <c r="I1276" s="15">
        <v>1.19</v>
      </c>
      <c r="J1276" s="6" t="s">
        <v>92</v>
      </c>
      <c r="K1276" s="15">
        <v>318</v>
      </c>
      <c r="L1276" s="15" t="s">
        <v>171</v>
      </c>
      <c r="M1276" s="15" t="s">
        <v>13</v>
      </c>
      <c r="P1276" s="11" t="s">
        <v>33</v>
      </c>
      <c r="Q1276" s="15">
        <v>0</v>
      </c>
      <c r="R1276" s="11" t="s">
        <v>1386</v>
      </c>
      <c r="S1276" s="10">
        <v>155.14863968149001</v>
      </c>
      <c r="T1276" s="15">
        <v>80</v>
      </c>
      <c r="U1276" s="15">
        <v>0</v>
      </c>
      <c r="V1276" s="15">
        <v>0</v>
      </c>
      <c r="W1276" s="15">
        <v>0</v>
      </c>
      <c r="X1276" s="15" t="str">
        <f>IF(O1276='Udvaskning nøgletal'!$D$65,1,IF(O1276='Udvaskning nøgletal'!$D$66,2,IF(O1276='Udvaskning nøgletal'!$D$67,3,IF(O1276='Udvaskning nøgletal'!$D$68,2,""))))</f>
        <v/>
      </c>
      <c r="Y1276" s="15">
        <f>LOOKUP(K1276,'Udvaskning nøgletal'!$C$12:$C$60,'Udvaskning nøgletal'!$H$12:$H$60)</f>
        <v>0</v>
      </c>
      <c r="Z1276" s="10" t="str">
        <f>IF(X1276=1,LOOKUP(K1276,'Udvaskning nøgletal'!$C$12:$C$60,'Udvaskning nøgletal'!$E$12:$E$60)+Markniveau!Y1276*Markniveau!S1276/100,IF(X1276=2,LOOKUP(K1276,'Udvaskning nøgletal'!$C$12:$C$60,'Udvaskning nøgletal'!$F$12:$F$60)+Markniveau!Y1276*Markniveau!S1276/100,IF(X1276=3,LOOKUP(K1276,'Udvaskning nøgletal'!$C$12:$C$60,'Udvaskning nøgletal'!G1286:G1334)+Markniveau!Y1276*Markniveau!S1276/100,"")))</f>
        <v/>
      </c>
      <c r="AA1276" s="10"/>
      <c r="AB1276" s="10" t="str">
        <f t="shared" si="195"/>
        <v/>
      </c>
      <c r="AC1276" s="10" t="str">
        <f t="shared" si="197"/>
        <v/>
      </c>
      <c r="AD1276" s="10" t="str">
        <f>IF(AND(Q1276&gt;0,Q1276&lt;30,K1276&lt;8),Markniveau!Z1276*'Udvaskning nøgletal'!$I$12/100,IF(AND(Q1276&gt;0,Q1276&lt;30,K1276=216),Markniveau!Z1276*'Udvaskning nøgletal'!$I$34/100,Markniveau!Z1276))</f>
        <v/>
      </c>
      <c r="AE1276" s="10"/>
      <c r="AF1276" s="10" t="str">
        <f t="shared" si="198"/>
        <v/>
      </c>
      <c r="AG1276" s="10" t="str">
        <f t="shared" si="204"/>
        <v/>
      </c>
      <c r="AH1276" s="10" t="str">
        <f>IF(AND(Q1276&gt;0,Q1276&lt;30,K1276=216),'Udvaskning nøgletal'!$C$42,IF(AND(Q1276&gt;0,Q1276&lt;30,K1276&gt;7,K1276&lt;17),'Udvaskning nøgletal'!$C$61,IF(AND(Q1276&gt;0,Q1276&lt;30,K1276&lt;7),'Udvaskning nøgletal'!$C$62,"")))</f>
        <v/>
      </c>
      <c r="AI1276" s="10">
        <f t="shared" si="200"/>
        <v>318</v>
      </c>
      <c r="AJ1276" s="10" t="str">
        <f>IF($X1276=1,LOOKUP(AI1276,'Udvaskning nøgletal'!$C$12:$C$62,'Udvaskning nøgletal'!$E$12:$E$62)+Markniveau!$Y1276*Markniveau!$S1276/100,IF($X1276=2,LOOKUP(AI1276,'Udvaskning nøgletal'!$C$12:$C$62,'Udvaskning nøgletal'!$F$12:$F$62)+Markniveau!$Y1276*Markniveau!$S1276/100,IF($X1276=3,LOOKUP(AI1276,'Udvaskning nøgletal'!$C$12:$C$62,'Udvaskning nøgletal'!Q1286:Q1336)+Markniveau!$Y1276*Markniveau!$S1276/100,"")))</f>
        <v/>
      </c>
      <c r="AK1276" s="10" t="e">
        <f t="shared" si="199"/>
        <v>#VALUE!</v>
      </c>
      <c r="AL1276" s="10" t="str">
        <f t="shared" si="201"/>
        <v/>
      </c>
      <c r="AM1276" s="10" t="str">
        <f t="shared" si="202"/>
        <v/>
      </c>
    </row>
    <row r="1277" spans="1:39" x14ac:dyDescent="0.25">
      <c r="A1277" s="15">
        <v>42746568</v>
      </c>
      <c r="B1277" s="15">
        <v>8.6199999999999992</v>
      </c>
      <c r="C1277" s="15">
        <v>431420</v>
      </c>
      <c r="D1277" s="15">
        <v>91160</v>
      </c>
      <c r="E1277" s="15" t="s">
        <v>48</v>
      </c>
      <c r="F1277" s="15">
        <v>2011</v>
      </c>
      <c r="G1277" s="15">
        <v>20110307</v>
      </c>
      <c r="H1277" s="15">
        <v>8952</v>
      </c>
      <c r="I1277" s="15">
        <v>0.9</v>
      </c>
      <c r="J1277" s="6" t="s">
        <v>34</v>
      </c>
      <c r="K1277" s="15">
        <v>215</v>
      </c>
      <c r="L1277" s="15" t="s">
        <v>128</v>
      </c>
      <c r="M1277" s="15" t="s">
        <v>5</v>
      </c>
      <c r="N1277" s="11" t="s">
        <v>1384</v>
      </c>
      <c r="O1277" s="11" t="s">
        <v>28</v>
      </c>
      <c r="P1277" s="11" t="s">
        <v>29</v>
      </c>
      <c r="Q1277" s="15">
        <v>95</v>
      </c>
      <c r="R1277" s="11" t="s">
        <v>3</v>
      </c>
      <c r="S1277" s="10">
        <v>155.14863968149001</v>
      </c>
      <c r="T1277" s="15">
        <v>80</v>
      </c>
      <c r="U1277" s="15">
        <v>0</v>
      </c>
      <c r="V1277" s="15">
        <v>0</v>
      </c>
      <c r="W1277" s="15">
        <v>0</v>
      </c>
      <c r="X1277" s="15">
        <f>IF(O1277='Udvaskning nøgletal'!$D$65,1,IF(O1277='Udvaskning nøgletal'!$D$66,2,IF(O1277='Udvaskning nøgletal'!$D$67,3,IF(O1277='Udvaskning nøgletal'!$D$68,2,""))))</f>
        <v>1</v>
      </c>
      <c r="Y1277" s="15">
        <f>LOOKUP(K1277,'Udvaskning nøgletal'!$C$12:$C$60,'Udvaskning nøgletal'!$H$12:$H$60)</f>
        <v>0</v>
      </c>
      <c r="Z1277" s="10">
        <f>IF(X1277=1,LOOKUP(K1277,'Udvaskning nøgletal'!$C$12:$C$60,'Udvaskning nøgletal'!$E$12:$E$60)+Markniveau!Y1277*Markniveau!S1277/100,IF(X1277=2,LOOKUP(K1277,'Udvaskning nøgletal'!$C$12:$C$60,'Udvaskning nøgletal'!$F$12:$F$60)+Markniveau!Y1277*Markniveau!S1277/100,IF(X1277=3,LOOKUP(K1277,'Udvaskning nøgletal'!$C$12:$C$60,'Udvaskning nøgletal'!G1287:G1335)+Markniveau!Y1277*Markniveau!S1277/100,"")))</f>
        <v>38.620385460262987</v>
      </c>
      <c r="AA1277" s="10">
        <f t="shared" si="196"/>
        <v>34.758346914236689</v>
      </c>
      <c r="AB1277" s="10">
        <f t="shared" si="195"/>
        <v>1.9310192730131492</v>
      </c>
      <c r="AC1277" s="10">
        <f t="shared" si="197"/>
        <v>1.7379173457118344</v>
      </c>
      <c r="AD1277" s="10">
        <f>IF(AND(Q1277&gt;0,Q1277&lt;30,K1277&lt;8),Markniveau!Z1277*'Udvaskning nøgletal'!$I$12/100,IF(AND(Q1277&gt;0,Q1277&lt;30,K1277=216),Markniveau!Z1277*'Udvaskning nøgletal'!$I$34/100,Markniveau!Z1277))</f>
        <v>38.620385460262987</v>
      </c>
      <c r="AE1277" s="10">
        <f t="shared" si="203"/>
        <v>34.758346914236689</v>
      </c>
      <c r="AF1277" s="10">
        <f t="shared" si="198"/>
        <v>1.9310192730131492</v>
      </c>
      <c r="AG1277" s="10">
        <f t="shared" si="204"/>
        <v>1.7379173457118344</v>
      </c>
      <c r="AH1277" s="10" t="str">
        <f>IF(AND(Q1277&gt;0,Q1277&lt;30,K1277=216),'Udvaskning nøgletal'!$C$42,IF(AND(Q1277&gt;0,Q1277&lt;30,K1277&gt;7,K1277&lt;17),'Udvaskning nøgletal'!$C$61,IF(AND(Q1277&gt;0,Q1277&lt;30,K1277&lt;7),'Udvaskning nøgletal'!$C$62,"")))</f>
        <v/>
      </c>
      <c r="AI1277" s="10">
        <f t="shared" si="200"/>
        <v>215</v>
      </c>
      <c r="AJ1277" s="10">
        <f>IF($X1277=1,LOOKUP(AI1277,'Udvaskning nøgletal'!$C$12:$C$62,'Udvaskning nøgletal'!$E$12:$E$62)+Markniveau!$Y1277*Markniveau!$S1277/100,IF($X1277=2,LOOKUP(AI1277,'Udvaskning nøgletal'!$C$12:$C$62,'Udvaskning nøgletal'!$F$12:$F$62)+Markniveau!$Y1277*Markniveau!$S1277/100,IF($X1277=3,LOOKUP(AI1277,'Udvaskning nøgletal'!$C$12:$C$62,'Udvaskning nøgletal'!Q1287:Q1337)+Markniveau!$Y1277*Markniveau!$S1277/100,"")))</f>
        <v>38.620385460262987</v>
      </c>
      <c r="AK1277" s="10">
        <f t="shared" si="199"/>
        <v>34.758346914236689</v>
      </c>
      <c r="AL1277" s="10">
        <f t="shared" si="201"/>
        <v>1.9310192730131492</v>
      </c>
      <c r="AM1277" s="10">
        <f t="shared" si="202"/>
        <v>1.7379173457118344</v>
      </c>
    </row>
    <row r="1278" spans="1:39" x14ac:dyDescent="0.25">
      <c r="A1278" s="15">
        <v>42792314</v>
      </c>
      <c r="B1278" s="15">
        <v>59.02</v>
      </c>
      <c r="C1278" s="15">
        <v>1650</v>
      </c>
      <c r="D1278" s="15">
        <v>41452</v>
      </c>
      <c r="E1278" s="15" t="s">
        <v>600</v>
      </c>
      <c r="F1278" s="15">
        <v>2011</v>
      </c>
      <c r="G1278" s="15">
        <v>20110403</v>
      </c>
      <c r="H1278" s="15">
        <v>42886</v>
      </c>
      <c r="I1278" s="15">
        <v>4.29</v>
      </c>
      <c r="J1278" s="6" t="s">
        <v>36</v>
      </c>
      <c r="K1278" s="15">
        <v>11</v>
      </c>
      <c r="L1278" s="15" t="s">
        <v>102</v>
      </c>
      <c r="M1278" s="15" t="s">
        <v>5</v>
      </c>
      <c r="N1278" s="11" t="s">
        <v>1384</v>
      </c>
      <c r="O1278" s="11" t="s">
        <v>28</v>
      </c>
      <c r="P1278" s="11" t="s">
        <v>29</v>
      </c>
      <c r="Q1278" s="15">
        <v>95</v>
      </c>
      <c r="R1278" s="11" t="s">
        <v>3</v>
      </c>
      <c r="S1278" s="10">
        <v>91.606973659275994</v>
      </c>
      <c r="T1278" s="15">
        <v>80</v>
      </c>
      <c r="U1278" s="15">
        <v>0</v>
      </c>
      <c r="V1278" s="15">
        <v>0</v>
      </c>
      <c r="W1278" s="15">
        <v>0</v>
      </c>
      <c r="X1278" s="15">
        <f>IF(O1278='Udvaskning nøgletal'!$D$65,1,IF(O1278='Udvaskning nøgletal'!$D$66,2,IF(O1278='Udvaskning nøgletal'!$D$67,3,IF(O1278='Udvaskning nøgletal'!$D$68,2,""))))</f>
        <v>1</v>
      </c>
      <c r="Y1278" s="15">
        <f>LOOKUP(K1278,'Udvaskning nøgletal'!$C$12:$C$60,'Udvaskning nøgletal'!$H$12:$H$60)</f>
        <v>5</v>
      </c>
      <c r="Z1278" s="10">
        <f>IF(X1278=1,LOOKUP(K1278,'Udvaskning nøgletal'!$C$12:$C$60,'Udvaskning nøgletal'!$E$12:$E$60)+Markniveau!Y1278*Markniveau!S1278/100,IF(X1278=2,LOOKUP(K1278,'Udvaskning nøgletal'!$C$12:$C$60,'Udvaskning nøgletal'!$F$12:$F$60)+Markniveau!Y1278*Markniveau!S1278/100,IF(X1278=3,LOOKUP(K1278,'Udvaskning nøgletal'!$C$12:$C$60,'Udvaskning nøgletal'!G1288:G1336)+Markniveau!Y1278*Markniveau!S1278/100,"")))</f>
        <v>69.240348682963798</v>
      </c>
      <c r="AA1278" s="10">
        <f t="shared" si="196"/>
        <v>297.04109584991471</v>
      </c>
      <c r="AB1278" s="10">
        <f t="shared" si="195"/>
        <v>3.4620174341481902</v>
      </c>
      <c r="AC1278" s="10">
        <f t="shared" si="197"/>
        <v>14.852054792495736</v>
      </c>
      <c r="AD1278" s="10">
        <f>IF(AND(Q1278&gt;0,Q1278&lt;30,K1278&lt;8),Markniveau!Z1278*'Udvaskning nøgletal'!$I$12/100,IF(AND(Q1278&gt;0,Q1278&lt;30,K1278=216),Markniveau!Z1278*'Udvaskning nøgletal'!$I$34/100,Markniveau!Z1278))</f>
        <v>69.240348682963798</v>
      </c>
      <c r="AE1278" s="10">
        <f t="shared" si="203"/>
        <v>297.04109584991471</v>
      </c>
      <c r="AF1278" s="10">
        <f t="shared" si="198"/>
        <v>3.4620174341481902</v>
      </c>
      <c r="AG1278" s="10">
        <f t="shared" si="204"/>
        <v>14.852054792495736</v>
      </c>
      <c r="AH1278" s="10" t="str">
        <f>IF(AND(Q1278&gt;0,Q1278&lt;30,K1278=216),'Udvaskning nøgletal'!$C$42,IF(AND(Q1278&gt;0,Q1278&lt;30,K1278&gt;7,K1278&lt;17),'Udvaskning nøgletal'!$C$61,IF(AND(Q1278&gt;0,Q1278&lt;30,K1278&lt;7),'Udvaskning nøgletal'!$C$62,"")))</f>
        <v/>
      </c>
      <c r="AI1278" s="10">
        <f t="shared" si="200"/>
        <v>11</v>
      </c>
      <c r="AJ1278" s="10">
        <f>IF($X1278=1,LOOKUP(AI1278,'Udvaskning nøgletal'!$C$12:$C$62,'Udvaskning nøgletal'!$E$12:$E$62)+Markniveau!$Y1278*Markniveau!$S1278/100,IF($X1278=2,LOOKUP(AI1278,'Udvaskning nøgletal'!$C$12:$C$62,'Udvaskning nøgletal'!$F$12:$F$62)+Markniveau!$Y1278*Markniveau!$S1278/100,IF($X1278=3,LOOKUP(AI1278,'Udvaskning nøgletal'!$C$12:$C$62,'Udvaskning nøgletal'!Q1288:Q1338)+Markniveau!$Y1278*Markniveau!$S1278/100,"")))</f>
        <v>69.240348682963798</v>
      </c>
      <c r="AK1278" s="10">
        <f t="shared" si="199"/>
        <v>297.04109584991471</v>
      </c>
      <c r="AL1278" s="10">
        <f t="shared" si="201"/>
        <v>3.4620174341481902</v>
      </c>
      <c r="AM1278" s="10">
        <f t="shared" si="202"/>
        <v>14.852054792495736</v>
      </c>
    </row>
    <row r="1279" spans="1:39" x14ac:dyDescent="0.25">
      <c r="A1279" s="15">
        <v>42792314</v>
      </c>
      <c r="B1279" s="15">
        <v>59.02</v>
      </c>
      <c r="C1279" s="15">
        <v>1651</v>
      </c>
      <c r="D1279" s="15">
        <v>41452</v>
      </c>
      <c r="E1279" s="15" t="s">
        <v>600</v>
      </c>
      <c r="F1279" s="15">
        <v>2011</v>
      </c>
      <c r="G1279" s="15">
        <v>20110403</v>
      </c>
      <c r="H1279" s="15">
        <v>52956</v>
      </c>
      <c r="I1279" s="15">
        <v>5.3</v>
      </c>
      <c r="J1279" s="6" t="s">
        <v>35</v>
      </c>
      <c r="K1279" s="15">
        <v>235</v>
      </c>
      <c r="L1279" s="15" t="s">
        <v>1146</v>
      </c>
      <c r="M1279" s="15" t="s">
        <v>5</v>
      </c>
      <c r="N1279" s="11" t="s">
        <v>1384</v>
      </c>
      <c r="O1279" s="11" t="s">
        <v>28</v>
      </c>
      <c r="P1279" s="11" t="s">
        <v>29</v>
      </c>
      <c r="Q1279" s="15">
        <v>95</v>
      </c>
      <c r="R1279" s="11" t="s">
        <v>3</v>
      </c>
      <c r="S1279" s="10">
        <v>91.606973659275994</v>
      </c>
      <c r="T1279" s="15">
        <v>80</v>
      </c>
      <c r="U1279" s="15">
        <v>0</v>
      </c>
      <c r="V1279" s="15">
        <v>0</v>
      </c>
      <c r="W1279" s="15">
        <v>0</v>
      </c>
      <c r="X1279" s="15">
        <f>IF(O1279='Udvaskning nøgletal'!$D$65,1,IF(O1279='Udvaskning nøgletal'!$D$66,2,IF(O1279='Udvaskning nøgletal'!$D$67,3,IF(O1279='Udvaskning nøgletal'!$D$68,2,""))))</f>
        <v>1</v>
      </c>
      <c r="Y1279" s="15">
        <f>LOOKUP(K1279,'Udvaskning nøgletal'!$C$12:$C$60,'Udvaskning nøgletal'!$H$12:$H$60)</f>
        <v>0</v>
      </c>
      <c r="Z1279" s="10">
        <f>IF(X1279=1,LOOKUP(K1279,'Udvaskning nøgletal'!$C$12:$C$60,'Udvaskning nøgletal'!$E$12:$E$60)+Markniveau!Y1279*Markniveau!S1279/100,IF(X1279=2,LOOKUP(K1279,'Udvaskning nøgletal'!$C$12:$C$60,'Udvaskning nøgletal'!$F$12:$F$60)+Markniveau!Y1279*Markniveau!S1279/100,IF(X1279=3,LOOKUP(K1279,'Udvaskning nøgletal'!$C$12:$C$60,'Udvaskning nøgletal'!G1289:G1337)+Markniveau!Y1279*Markniveau!S1279/100,"")))</f>
        <v>38.620385460262987</v>
      </c>
      <c r="AA1279" s="10">
        <f t="shared" si="196"/>
        <v>204.68804293939382</v>
      </c>
      <c r="AB1279" s="10">
        <f t="shared" si="195"/>
        <v>1.9310192730131492</v>
      </c>
      <c r="AC1279" s="10">
        <f t="shared" si="197"/>
        <v>10.234402146969691</v>
      </c>
      <c r="AD1279" s="10">
        <f>IF(AND(Q1279&gt;0,Q1279&lt;30,K1279&lt;8),Markniveau!Z1279*'Udvaskning nøgletal'!$I$12/100,IF(AND(Q1279&gt;0,Q1279&lt;30,K1279=216),Markniveau!Z1279*'Udvaskning nøgletal'!$I$34/100,Markniveau!Z1279))</f>
        <v>38.620385460262987</v>
      </c>
      <c r="AE1279" s="10">
        <f t="shared" si="203"/>
        <v>204.68804293939382</v>
      </c>
      <c r="AF1279" s="10">
        <f t="shared" si="198"/>
        <v>1.9310192730131492</v>
      </c>
      <c r="AG1279" s="10">
        <f t="shared" si="204"/>
        <v>10.234402146969691</v>
      </c>
      <c r="AH1279" s="10" t="str">
        <f>IF(AND(Q1279&gt;0,Q1279&lt;30,K1279=216),'Udvaskning nøgletal'!$C$42,IF(AND(Q1279&gt;0,Q1279&lt;30,K1279&gt;7,K1279&lt;17),'Udvaskning nøgletal'!$C$61,IF(AND(Q1279&gt;0,Q1279&lt;30,K1279&lt;7),'Udvaskning nøgletal'!$C$62,"")))</f>
        <v/>
      </c>
      <c r="AI1279" s="10">
        <f t="shared" si="200"/>
        <v>235</v>
      </c>
      <c r="AJ1279" s="10">
        <f>IF($X1279=1,LOOKUP(AI1279,'Udvaskning nøgletal'!$C$12:$C$62,'Udvaskning nøgletal'!$E$12:$E$62)+Markniveau!$Y1279*Markniveau!$S1279/100,IF($X1279=2,LOOKUP(AI1279,'Udvaskning nøgletal'!$C$12:$C$62,'Udvaskning nøgletal'!$F$12:$F$62)+Markniveau!$Y1279*Markniveau!$S1279/100,IF($X1279=3,LOOKUP(AI1279,'Udvaskning nøgletal'!$C$12:$C$62,'Udvaskning nøgletal'!Q1289:Q1339)+Markniveau!$Y1279*Markniveau!$S1279/100,"")))</f>
        <v>38.620385460262987</v>
      </c>
      <c r="AK1279" s="10">
        <f t="shared" si="199"/>
        <v>204.68804293939382</v>
      </c>
      <c r="AL1279" s="10">
        <f t="shared" si="201"/>
        <v>1.9310192730131492</v>
      </c>
      <c r="AM1279" s="10">
        <f t="shared" si="202"/>
        <v>10.234402146969691</v>
      </c>
    </row>
    <row r="1280" spans="1:39" x14ac:dyDescent="0.25">
      <c r="A1280" s="15">
        <v>42792314</v>
      </c>
      <c r="B1280" s="15">
        <v>59.02</v>
      </c>
      <c r="C1280" s="15">
        <v>2155</v>
      </c>
      <c r="D1280" s="15">
        <v>41452</v>
      </c>
      <c r="E1280" s="15" t="s">
        <v>600</v>
      </c>
      <c r="F1280" s="15">
        <v>2011</v>
      </c>
      <c r="G1280" s="15">
        <v>20110403</v>
      </c>
      <c r="H1280" s="15">
        <v>49878</v>
      </c>
      <c r="I1280" s="15">
        <v>4.99</v>
      </c>
      <c r="J1280" s="6" t="s">
        <v>1519</v>
      </c>
      <c r="K1280" s="15">
        <v>260</v>
      </c>
      <c r="L1280" s="15" t="s">
        <v>45</v>
      </c>
      <c r="M1280" s="15" t="s">
        <v>5</v>
      </c>
      <c r="N1280" s="11" t="s">
        <v>1384</v>
      </c>
      <c r="O1280" s="11" t="s">
        <v>28</v>
      </c>
      <c r="P1280" s="11" t="s">
        <v>29</v>
      </c>
      <c r="Q1280" s="15">
        <v>95</v>
      </c>
      <c r="R1280" s="11" t="s">
        <v>3</v>
      </c>
      <c r="S1280" s="10">
        <v>91.606973659275994</v>
      </c>
      <c r="T1280" s="15">
        <v>80</v>
      </c>
      <c r="U1280" s="15">
        <v>0</v>
      </c>
      <c r="V1280" s="15">
        <v>0</v>
      </c>
      <c r="W1280" s="15">
        <v>0</v>
      </c>
      <c r="X1280" s="15">
        <f>IF(O1280='Udvaskning nøgletal'!$D$65,1,IF(O1280='Udvaskning nøgletal'!$D$66,2,IF(O1280='Udvaskning nøgletal'!$D$67,3,IF(O1280='Udvaskning nøgletal'!$D$68,2,""))))</f>
        <v>1</v>
      </c>
      <c r="Y1280" s="15">
        <f>LOOKUP(K1280,'Udvaskning nøgletal'!$C$12:$C$60,'Udvaskning nøgletal'!$H$12:$H$60)</f>
        <v>0</v>
      </c>
      <c r="Z1280" s="10">
        <f>IF(X1280=1,LOOKUP(K1280,'Udvaskning nøgletal'!$C$12:$C$60,'Udvaskning nøgletal'!$E$12:$E$60)+Markniveau!Y1280*Markniveau!S1280/100,IF(X1280=2,LOOKUP(K1280,'Udvaskning nøgletal'!$C$12:$C$60,'Udvaskning nøgletal'!$F$12:$F$60)+Markniveau!Y1280*Markniveau!S1280/100,IF(X1280=3,LOOKUP(K1280,'Udvaskning nøgletal'!$C$12:$C$60,'Udvaskning nøgletal'!G1290:G1338)+Markniveau!Y1280*Markniveau!S1280/100,"")))</f>
        <v>33.723295792149436</v>
      </c>
      <c r="AA1280" s="10">
        <f t="shared" si="196"/>
        <v>168.27924600282569</v>
      </c>
      <c r="AB1280" s="10">
        <f t="shared" si="195"/>
        <v>1.6861647896074716</v>
      </c>
      <c r="AC1280" s="10">
        <f t="shared" si="197"/>
        <v>8.413962300141284</v>
      </c>
      <c r="AD1280" s="10">
        <f>IF(AND(Q1280&gt;0,Q1280&lt;30,K1280&lt;8),Markniveau!Z1280*'Udvaskning nøgletal'!$I$12/100,IF(AND(Q1280&gt;0,Q1280&lt;30,K1280=216),Markniveau!Z1280*'Udvaskning nøgletal'!$I$34/100,Markniveau!Z1280))</f>
        <v>33.723295792149436</v>
      </c>
      <c r="AE1280" s="10">
        <f t="shared" si="203"/>
        <v>168.27924600282569</v>
      </c>
      <c r="AF1280" s="10">
        <f t="shared" si="198"/>
        <v>1.6861647896074716</v>
      </c>
      <c r="AG1280" s="10">
        <f t="shared" si="204"/>
        <v>8.413962300141284</v>
      </c>
      <c r="AH1280" s="10" t="str">
        <f>IF(AND(Q1280&gt;0,Q1280&lt;30,K1280=216),'Udvaskning nøgletal'!$C$42,IF(AND(Q1280&gt;0,Q1280&lt;30,K1280&gt;7,K1280&lt;17),'Udvaskning nøgletal'!$C$61,IF(AND(Q1280&gt;0,Q1280&lt;30,K1280&lt;7),'Udvaskning nøgletal'!$C$62,"")))</f>
        <v/>
      </c>
      <c r="AI1280" s="10">
        <f t="shared" si="200"/>
        <v>260</v>
      </c>
      <c r="AJ1280" s="10">
        <f>IF($X1280=1,LOOKUP(AI1280,'Udvaskning nøgletal'!$C$12:$C$62,'Udvaskning nøgletal'!$E$12:$E$62)+Markniveau!$Y1280*Markniveau!$S1280/100,IF($X1280=2,LOOKUP(AI1280,'Udvaskning nøgletal'!$C$12:$C$62,'Udvaskning nøgletal'!$F$12:$F$62)+Markniveau!$Y1280*Markniveau!$S1280/100,IF($X1280=3,LOOKUP(AI1280,'Udvaskning nøgletal'!$C$12:$C$62,'Udvaskning nøgletal'!Q1290:Q1340)+Markniveau!$Y1280*Markniveau!$S1280/100,"")))</f>
        <v>33.723295792149436</v>
      </c>
      <c r="AK1280" s="10">
        <f t="shared" si="199"/>
        <v>168.27924600282569</v>
      </c>
      <c r="AL1280" s="10">
        <f t="shared" si="201"/>
        <v>1.6861647896074716</v>
      </c>
      <c r="AM1280" s="10">
        <f t="shared" si="202"/>
        <v>8.413962300141284</v>
      </c>
    </row>
    <row r="1281" spans="1:39" x14ac:dyDescent="0.25">
      <c r="A1281" s="15">
        <v>42792314</v>
      </c>
      <c r="B1281" s="15">
        <v>59.02</v>
      </c>
      <c r="C1281" s="15">
        <v>49563</v>
      </c>
      <c r="D1281" s="15">
        <v>41452</v>
      </c>
      <c r="E1281" s="15" t="s">
        <v>1148</v>
      </c>
      <c r="F1281" s="15">
        <v>2011</v>
      </c>
      <c r="G1281" s="15">
        <v>20110403</v>
      </c>
      <c r="H1281" s="15">
        <v>60891</v>
      </c>
      <c r="I1281" s="15">
        <v>6.09</v>
      </c>
      <c r="J1281" s="6" t="s">
        <v>61</v>
      </c>
      <c r="K1281" s="15">
        <v>1</v>
      </c>
      <c r="L1281" s="15" t="s">
        <v>32</v>
      </c>
      <c r="M1281" s="15" t="s">
        <v>5</v>
      </c>
      <c r="N1281" s="11" t="s">
        <v>1384</v>
      </c>
      <c r="O1281" s="11" t="s">
        <v>28</v>
      </c>
      <c r="P1281" s="11" t="s">
        <v>29</v>
      </c>
      <c r="Q1281" s="15">
        <v>95</v>
      </c>
      <c r="R1281" s="11" t="s">
        <v>3</v>
      </c>
      <c r="S1281" s="10">
        <v>91.606973659275994</v>
      </c>
      <c r="T1281" s="15">
        <v>80</v>
      </c>
      <c r="U1281" s="15">
        <v>0</v>
      </c>
      <c r="V1281" s="15">
        <v>0</v>
      </c>
      <c r="W1281" s="15">
        <v>0</v>
      </c>
      <c r="X1281" s="15">
        <f>IF(O1281='Udvaskning nøgletal'!$D$65,1,IF(O1281='Udvaskning nøgletal'!$D$66,2,IF(O1281='Udvaskning nøgletal'!$D$67,3,IF(O1281='Udvaskning nøgletal'!$D$68,2,""))))</f>
        <v>1</v>
      </c>
      <c r="Y1281" s="15">
        <f>LOOKUP(K1281,'Udvaskning nøgletal'!$C$12:$C$60,'Udvaskning nøgletal'!$H$12:$H$60)</f>
        <v>5</v>
      </c>
      <c r="Z1281" s="10">
        <f>IF(X1281=1,LOOKUP(K1281,'Udvaskning nøgletal'!$C$12:$C$60,'Udvaskning nøgletal'!$E$12:$E$60)+Markniveau!Y1281*Markniveau!S1281/100,IF(X1281=2,LOOKUP(K1281,'Udvaskning nøgletal'!$C$12:$C$60,'Udvaskning nøgletal'!$F$12:$F$60)+Markniveau!Y1281*Markniveau!S1281/100,IF(X1281=3,LOOKUP(K1281,'Udvaskning nøgletal'!$C$12:$C$60,'Udvaskning nøgletal'!G1291:G1339)+Markniveau!Y1281*Markniveau!S1281/100,"")))</f>
        <v>69.240348682963798</v>
      </c>
      <c r="AA1281" s="10">
        <f t="shared" si="196"/>
        <v>421.67372347924953</v>
      </c>
      <c r="AB1281" s="10">
        <f t="shared" si="195"/>
        <v>3.4620174341481902</v>
      </c>
      <c r="AC1281" s="10">
        <f t="shared" si="197"/>
        <v>21.083686173962477</v>
      </c>
      <c r="AD1281" s="10">
        <f>IF(AND(Q1281&gt;0,Q1281&lt;30,K1281&lt;8),Markniveau!Z1281*'Udvaskning nøgletal'!$I$12/100,IF(AND(Q1281&gt;0,Q1281&lt;30,K1281=216),Markniveau!Z1281*'Udvaskning nøgletal'!$I$34/100,Markniveau!Z1281))</f>
        <v>69.240348682963798</v>
      </c>
      <c r="AE1281" s="10">
        <f t="shared" si="203"/>
        <v>421.67372347924953</v>
      </c>
      <c r="AF1281" s="10">
        <f t="shared" si="198"/>
        <v>3.4620174341481902</v>
      </c>
      <c r="AG1281" s="10">
        <f t="shared" si="204"/>
        <v>21.083686173962477</v>
      </c>
      <c r="AH1281" s="10" t="str">
        <f>IF(AND(Q1281&gt;0,Q1281&lt;30,K1281=216),'Udvaskning nøgletal'!$C$42,IF(AND(Q1281&gt;0,Q1281&lt;30,K1281&gt;7,K1281&lt;17),'Udvaskning nøgletal'!$C$61,IF(AND(Q1281&gt;0,Q1281&lt;30,K1281&lt;7),'Udvaskning nøgletal'!$C$62,"")))</f>
        <v/>
      </c>
      <c r="AI1281" s="10">
        <f t="shared" si="200"/>
        <v>1</v>
      </c>
      <c r="AJ1281" s="10">
        <f>IF($X1281=1,LOOKUP(AI1281,'Udvaskning nøgletal'!$C$12:$C$62,'Udvaskning nøgletal'!$E$12:$E$62)+Markniveau!$Y1281*Markniveau!$S1281/100,IF($X1281=2,LOOKUP(AI1281,'Udvaskning nøgletal'!$C$12:$C$62,'Udvaskning nøgletal'!$F$12:$F$62)+Markniveau!$Y1281*Markniveau!$S1281/100,IF($X1281=3,LOOKUP(AI1281,'Udvaskning nøgletal'!$C$12:$C$62,'Udvaskning nøgletal'!Q1291:Q1341)+Markniveau!$Y1281*Markniveau!$S1281/100,"")))</f>
        <v>69.240348682963798</v>
      </c>
      <c r="AK1281" s="10">
        <f t="shared" si="199"/>
        <v>421.67372347924953</v>
      </c>
      <c r="AL1281" s="10">
        <f t="shared" si="201"/>
        <v>3.4620174341481902</v>
      </c>
      <c r="AM1281" s="10">
        <f t="shared" si="202"/>
        <v>21.083686173962477</v>
      </c>
    </row>
    <row r="1282" spans="1:39" x14ac:dyDescent="0.25">
      <c r="A1282" s="15">
        <v>42792314</v>
      </c>
      <c r="B1282" s="15">
        <v>59.02</v>
      </c>
      <c r="C1282" s="15">
        <v>66497</v>
      </c>
      <c r="D1282" s="15">
        <v>41452</v>
      </c>
      <c r="E1282" s="15" t="s">
        <v>1148</v>
      </c>
      <c r="F1282" s="15">
        <v>2011</v>
      </c>
      <c r="G1282" s="15">
        <v>20110403</v>
      </c>
      <c r="H1282" s="15">
        <v>8493</v>
      </c>
      <c r="I1282" s="15">
        <v>0.85</v>
      </c>
      <c r="J1282" s="6" t="s">
        <v>53</v>
      </c>
      <c r="K1282" s="15">
        <v>252</v>
      </c>
      <c r="L1282" s="15" t="s">
        <v>41</v>
      </c>
      <c r="M1282" s="15" t="s">
        <v>4</v>
      </c>
      <c r="N1282" s="11" t="s">
        <v>1390</v>
      </c>
      <c r="O1282" s="11" t="s">
        <v>42</v>
      </c>
      <c r="P1282" s="11" t="s">
        <v>33</v>
      </c>
      <c r="Q1282" s="15">
        <v>95</v>
      </c>
      <c r="R1282" s="11" t="s">
        <v>3</v>
      </c>
      <c r="S1282" s="10">
        <v>91.606973659275994</v>
      </c>
      <c r="T1282" s="15">
        <v>80</v>
      </c>
      <c r="U1282" s="15">
        <v>0</v>
      </c>
      <c r="V1282" s="15">
        <v>0</v>
      </c>
      <c r="W1282" s="15">
        <v>0</v>
      </c>
      <c r="X1282" s="15">
        <f>IF(O1282='Udvaskning nøgletal'!$D$65,1,IF(O1282='Udvaskning nøgletal'!$D$66,2,IF(O1282='Udvaskning nøgletal'!$D$67,3,IF(O1282='Udvaskning nøgletal'!$D$68,2,""))))</f>
        <v>2</v>
      </c>
      <c r="Y1282" s="15">
        <f>LOOKUP(K1282,'Udvaskning nøgletal'!$C$12:$C$60,'Udvaskning nøgletal'!$H$12:$H$60)</f>
        <v>0</v>
      </c>
      <c r="Z1282" s="10">
        <f>IF(X1282=1,LOOKUP(K1282,'Udvaskning nøgletal'!$C$12:$C$60,'Udvaskning nøgletal'!$E$12:$E$60)+Markniveau!Y1282*Markniveau!S1282/100,IF(X1282=2,LOOKUP(K1282,'Udvaskning nøgletal'!$C$12:$C$60,'Udvaskning nøgletal'!$F$12:$F$60)+Markniveau!Y1282*Markniveau!S1282/100,IF(X1282=3,LOOKUP(K1282,'Udvaskning nøgletal'!$C$12:$C$60,'Udvaskning nøgletal'!G1292:G1340)+Markniveau!Y1282*Markniveau!S1282/100,"")))</f>
        <v>21.2</v>
      </c>
      <c r="AA1282" s="10">
        <f t="shared" si="196"/>
        <v>18.02</v>
      </c>
      <c r="AB1282" s="10">
        <f t="shared" ref="AB1282:AB1345" si="205">IF(Q1282&gt;0,(100-Q1282)*Z1282/100,"")</f>
        <v>1.06</v>
      </c>
      <c r="AC1282" s="10">
        <f t="shared" si="197"/>
        <v>0.90100000000000002</v>
      </c>
      <c r="AD1282" s="10">
        <f>IF(AND(Q1282&gt;0,Q1282&lt;30,K1282&lt;8),Markniveau!Z1282*'Udvaskning nøgletal'!$I$12/100,IF(AND(Q1282&gt;0,Q1282&lt;30,K1282=216),Markniveau!Z1282*'Udvaskning nøgletal'!$I$34/100,Markniveau!Z1282))</f>
        <v>21.2</v>
      </c>
      <c r="AE1282" s="10">
        <f t="shared" si="203"/>
        <v>18.02</v>
      </c>
      <c r="AF1282" s="10">
        <f t="shared" si="198"/>
        <v>1.06</v>
      </c>
      <c r="AG1282" s="10">
        <f t="shared" si="204"/>
        <v>0.90100000000000002</v>
      </c>
      <c r="AH1282" s="10" t="str">
        <f>IF(AND(Q1282&gt;0,Q1282&lt;30,K1282=216),'Udvaskning nøgletal'!$C$42,IF(AND(Q1282&gt;0,Q1282&lt;30,K1282&gt;7,K1282&lt;17),'Udvaskning nøgletal'!$C$61,IF(AND(Q1282&gt;0,Q1282&lt;30,K1282&lt;7),'Udvaskning nøgletal'!$C$62,"")))</f>
        <v/>
      </c>
      <c r="AI1282" s="10">
        <f t="shared" si="200"/>
        <v>252</v>
      </c>
      <c r="AJ1282" s="10">
        <f>IF($X1282=1,LOOKUP(AI1282,'Udvaskning nøgletal'!$C$12:$C$62,'Udvaskning nøgletal'!$E$12:$E$62)+Markniveau!$Y1282*Markniveau!$S1282/100,IF($X1282=2,LOOKUP(AI1282,'Udvaskning nøgletal'!$C$12:$C$62,'Udvaskning nøgletal'!$F$12:$F$62)+Markniveau!$Y1282*Markniveau!$S1282/100,IF($X1282=3,LOOKUP(AI1282,'Udvaskning nøgletal'!$C$12:$C$62,'Udvaskning nøgletal'!Q1292:Q1342)+Markniveau!$Y1282*Markniveau!$S1282/100,"")))</f>
        <v>21.2</v>
      </c>
      <c r="AK1282" s="10">
        <f t="shared" si="199"/>
        <v>18.02</v>
      </c>
      <c r="AL1282" s="10">
        <f t="shared" si="201"/>
        <v>1.06</v>
      </c>
      <c r="AM1282" s="10">
        <f t="shared" si="202"/>
        <v>0.90100000000000002</v>
      </c>
    </row>
    <row r="1283" spans="1:39" x14ac:dyDescent="0.25">
      <c r="A1283" s="15">
        <v>42792314</v>
      </c>
      <c r="B1283" s="15">
        <v>59.02</v>
      </c>
      <c r="C1283" s="15">
        <v>74864</v>
      </c>
      <c r="D1283" s="15">
        <v>41452</v>
      </c>
      <c r="E1283" s="15" t="s">
        <v>1148</v>
      </c>
      <c r="F1283" s="15">
        <v>2011</v>
      </c>
      <c r="G1283" s="15">
        <v>20110403</v>
      </c>
      <c r="H1283" s="15">
        <v>18920</v>
      </c>
      <c r="I1283" s="15">
        <v>1.89</v>
      </c>
      <c r="J1283" s="6" t="s">
        <v>1402</v>
      </c>
      <c r="K1283" s="15">
        <v>1</v>
      </c>
      <c r="L1283" s="15" t="s">
        <v>32</v>
      </c>
      <c r="M1283" s="15" t="s">
        <v>5</v>
      </c>
      <c r="N1283" s="11" t="s">
        <v>1384</v>
      </c>
      <c r="O1283" s="11" t="s">
        <v>28</v>
      </c>
      <c r="P1283" s="11" t="s">
        <v>29</v>
      </c>
      <c r="Q1283" s="15">
        <v>95</v>
      </c>
      <c r="R1283" s="11" t="s">
        <v>3</v>
      </c>
      <c r="S1283" s="10">
        <v>91.606973659275994</v>
      </c>
      <c r="T1283" s="15">
        <v>80</v>
      </c>
      <c r="U1283" s="15">
        <v>0</v>
      </c>
      <c r="V1283" s="15">
        <v>0</v>
      </c>
      <c r="W1283" s="15">
        <v>0</v>
      </c>
      <c r="X1283" s="15">
        <f>IF(O1283='Udvaskning nøgletal'!$D$65,1,IF(O1283='Udvaskning nøgletal'!$D$66,2,IF(O1283='Udvaskning nøgletal'!$D$67,3,IF(O1283='Udvaskning nøgletal'!$D$68,2,""))))</f>
        <v>1</v>
      </c>
      <c r="Y1283" s="15">
        <f>LOOKUP(K1283,'Udvaskning nøgletal'!$C$12:$C$60,'Udvaskning nøgletal'!$H$12:$H$60)</f>
        <v>5</v>
      </c>
      <c r="Z1283" s="10">
        <f>IF(X1283=1,LOOKUP(K1283,'Udvaskning nøgletal'!$C$12:$C$60,'Udvaskning nøgletal'!$E$12:$E$60)+Markniveau!Y1283*Markniveau!S1283/100,IF(X1283=2,LOOKUP(K1283,'Udvaskning nøgletal'!$C$12:$C$60,'Udvaskning nøgletal'!$F$12:$F$60)+Markniveau!Y1283*Markniveau!S1283/100,IF(X1283=3,LOOKUP(K1283,'Udvaskning nøgletal'!$C$12:$C$60,'Udvaskning nøgletal'!G1293:G1341)+Markniveau!Y1283*Markniveau!S1283/100,"")))</f>
        <v>69.240348682963798</v>
      </c>
      <c r="AA1283" s="10">
        <f t="shared" ref="AA1283:AA1346" si="206">Z1283*I1283</f>
        <v>130.86425901080156</v>
      </c>
      <c r="AB1283" s="10">
        <f t="shared" si="205"/>
        <v>3.4620174341481902</v>
      </c>
      <c r="AC1283" s="10">
        <f t="shared" ref="AC1283:AC1346" si="207">IF(Q1283&gt;0,AB1283*I1283,"")</f>
        <v>6.5432129505400791</v>
      </c>
      <c r="AD1283" s="10">
        <f>IF(AND(Q1283&gt;0,Q1283&lt;30,K1283&lt;8),Markniveau!Z1283*'Udvaskning nøgletal'!$I$12/100,IF(AND(Q1283&gt;0,Q1283&lt;30,K1283=216),Markniveau!Z1283*'Udvaskning nøgletal'!$I$34/100,Markniveau!Z1283))</f>
        <v>69.240348682963798</v>
      </c>
      <c r="AE1283" s="10">
        <f t="shared" si="203"/>
        <v>130.86425901080156</v>
      </c>
      <c r="AF1283" s="10">
        <f t="shared" ref="AF1283:AF1346" si="208">IF($Q1283&gt;0,(100-$Q1283)*$AD1283/100,"")</f>
        <v>3.4620174341481902</v>
      </c>
      <c r="AG1283" s="10">
        <f t="shared" si="204"/>
        <v>6.5432129505400791</v>
      </c>
      <c r="AH1283" s="10" t="str">
        <f>IF(AND(Q1283&gt;0,Q1283&lt;30,K1283=216),'Udvaskning nøgletal'!$C$42,IF(AND(Q1283&gt;0,Q1283&lt;30,K1283&gt;7,K1283&lt;17),'Udvaskning nøgletal'!$C$61,IF(AND(Q1283&gt;0,Q1283&lt;30,K1283&lt;7),'Udvaskning nøgletal'!$C$62,"")))</f>
        <v/>
      </c>
      <c r="AI1283" s="10">
        <f t="shared" si="200"/>
        <v>1</v>
      </c>
      <c r="AJ1283" s="10">
        <f>IF($X1283=1,LOOKUP(AI1283,'Udvaskning nøgletal'!$C$12:$C$62,'Udvaskning nøgletal'!$E$12:$E$62)+Markniveau!$Y1283*Markniveau!$S1283/100,IF($X1283=2,LOOKUP(AI1283,'Udvaskning nøgletal'!$C$12:$C$62,'Udvaskning nøgletal'!$F$12:$F$62)+Markniveau!$Y1283*Markniveau!$S1283/100,IF($X1283=3,LOOKUP(AI1283,'Udvaskning nøgletal'!$C$12:$C$62,'Udvaskning nøgletal'!Q1293:Q1343)+Markniveau!$Y1283*Markniveau!$S1283/100,"")))</f>
        <v>69.240348682963798</v>
      </c>
      <c r="AK1283" s="10">
        <f t="shared" ref="AK1283:AK1346" si="209">AJ1283*$I1283</f>
        <v>130.86425901080156</v>
      </c>
      <c r="AL1283" s="10">
        <f t="shared" si="201"/>
        <v>3.4620174341481902</v>
      </c>
      <c r="AM1283" s="10">
        <f t="shared" si="202"/>
        <v>6.5432129505400791</v>
      </c>
    </row>
    <row r="1284" spans="1:39" x14ac:dyDescent="0.25">
      <c r="A1284" s="15">
        <v>42792314</v>
      </c>
      <c r="B1284" s="15">
        <v>59.02</v>
      </c>
      <c r="C1284" s="15">
        <v>83005</v>
      </c>
      <c r="D1284" s="15">
        <v>41452</v>
      </c>
      <c r="E1284" s="15" t="s">
        <v>609</v>
      </c>
      <c r="F1284" s="15">
        <v>2011</v>
      </c>
      <c r="G1284" s="15">
        <v>20110403</v>
      </c>
      <c r="H1284" s="15">
        <v>26812</v>
      </c>
      <c r="I1284" s="15">
        <v>2.68</v>
      </c>
      <c r="J1284" s="6" t="s">
        <v>87</v>
      </c>
      <c r="K1284" s="15">
        <v>252</v>
      </c>
      <c r="L1284" s="15" t="s">
        <v>41</v>
      </c>
      <c r="M1284" s="15" t="s">
        <v>4</v>
      </c>
      <c r="N1284" s="11" t="s">
        <v>1384</v>
      </c>
      <c r="O1284" s="11" t="s">
        <v>28</v>
      </c>
      <c r="P1284" s="11" t="s">
        <v>29</v>
      </c>
      <c r="Q1284" s="15">
        <v>95</v>
      </c>
      <c r="R1284" s="11" t="s">
        <v>3</v>
      </c>
      <c r="S1284" s="10">
        <v>91.606973659275994</v>
      </c>
      <c r="T1284" s="15">
        <v>80</v>
      </c>
      <c r="U1284" s="15">
        <v>0</v>
      </c>
      <c r="V1284" s="15">
        <v>0</v>
      </c>
      <c r="W1284" s="15">
        <v>0</v>
      </c>
      <c r="X1284" s="15">
        <f>IF(O1284='Udvaskning nøgletal'!$D$65,1,IF(O1284='Udvaskning nøgletal'!$D$66,2,IF(O1284='Udvaskning nøgletal'!$D$67,3,IF(O1284='Udvaskning nøgletal'!$D$68,2,""))))</f>
        <v>1</v>
      </c>
      <c r="Y1284" s="15">
        <f>LOOKUP(K1284,'Udvaskning nøgletal'!$C$12:$C$60,'Udvaskning nøgletal'!$H$12:$H$60)</f>
        <v>0</v>
      </c>
      <c r="Z1284" s="10">
        <f>IF(X1284=1,LOOKUP(K1284,'Udvaskning nøgletal'!$C$12:$C$60,'Udvaskning nøgletal'!$E$12:$E$60)+Markniveau!Y1284*Markniveau!S1284/100,IF(X1284=2,LOOKUP(K1284,'Udvaskning nøgletal'!$C$12:$C$60,'Udvaskning nøgletal'!$F$12:$F$60)+Markniveau!Y1284*Markniveau!S1284/100,IF(X1284=3,LOOKUP(K1284,'Udvaskning nøgletal'!$C$12:$C$60,'Udvaskning nøgletal'!G1294:G1342)+Markniveau!Y1284*Markniveau!S1284/100,"")))</f>
        <v>21.2</v>
      </c>
      <c r="AA1284" s="10">
        <f t="shared" si="206"/>
        <v>56.816000000000003</v>
      </c>
      <c r="AB1284" s="10">
        <f t="shared" si="205"/>
        <v>1.06</v>
      </c>
      <c r="AC1284" s="10">
        <f t="shared" si="207"/>
        <v>2.8408000000000002</v>
      </c>
      <c r="AD1284" s="10">
        <f>IF(AND(Q1284&gt;0,Q1284&lt;30,K1284&lt;8),Markniveau!Z1284*'Udvaskning nøgletal'!$I$12/100,IF(AND(Q1284&gt;0,Q1284&lt;30,K1284=216),Markniveau!Z1284*'Udvaskning nøgletal'!$I$34/100,Markniveau!Z1284))</f>
        <v>21.2</v>
      </c>
      <c r="AE1284" s="10">
        <f t="shared" si="203"/>
        <v>56.816000000000003</v>
      </c>
      <c r="AF1284" s="10">
        <f t="shared" si="208"/>
        <v>1.06</v>
      </c>
      <c r="AG1284" s="10">
        <f t="shared" si="204"/>
        <v>2.8408000000000002</v>
      </c>
      <c r="AH1284" s="10" t="str">
        <f>IF(AND(Q1284&gt;0,Q1284&lt;30,K1284=216),'Udvaskning nøgletal'!$C$42,IF(AND(Q1284&gt;0,Q1284&lt;30,K1284&gt;7,K1284&lt;17),'Udvaskning nøgletal'!$C$61,IF(AND(Q1284&gt;0,Q1284&lt;30,K1284&lt;7),'Udvaskning nøgletal'!$C$62,"")))</f>
        <v/>
      </c>
      <c r="AI1284" s="10">
        <f t="shared" si="200"/>
        <v>252</v>
      </c>
      <c r="AJ1284" s="10">
        <f>IF($X1284=1,LOOKUP(AI1284,'Udvaskning nøgletal'!$C$12:$C$62,'Udvaskning nøgletal'!$E$12:$E$62)+Markniveau!$Y1284*Markniveau!$S1284/100,IF($X1284=2,LOOKUP(AI1284,'Udvaskning nøgletal'!$C$12:$C$62,'Udvaskning nøgletal'!$F$12:$F$62)+Markniveau!$Y1284*Markniveau!$S1284/100,IF($X1284=3,LOOKUP(AI1284,'Udvaskning nøgletal'!$C$12:$C$62,'Udvaskning nøgletal'!Q1294:Q1344)+Markniveau!$Y1284*Markniveau!$S1284/100,"")))</f>
        <v>21.2</v>
      </c>
      <c r="AK1284" s="10">
        <f t="shared" si="209"/>
        <v>56.816000000000003</v>
      </c>
      <c r="AL1284" s="10">
        <f t="shared" si="201"/>
        <v>1.06</v>
      </c>
      <c r="AM1284" s="10">
        <f t="shared" si="202"/>
        <v>2.8408000000000002</v>
      </c>
    </row>
    <row r="1285" spans="1:39" x14ac:dyDescent="0.25">
      <c r="A1285" s="15">
        <v>42792314</v>
      </c>
      <c r="B1285" s="15">
        <v>59.02</v>
      </c>
      <c r="C1285" s="15">
        <v>91217</v>
      </c>
      <c r="D1285" s="15">
        <v>41452</v>
      </c>
      <c r="E1285" s="15" t="s">
        <v>609</v>
      </c>
      <c r="F1285" s="15">
        <v>2011</v>
      </c>
      <c r="G1285" s="15">
        <v>20110403</v>
      </c>
      <c r="H1285" s="15">
        <v>35734</v>
      </c>
      <c r="I1285" s="15">
        <v>3.57</v>
      </c>
      <c r="J1285" s="6" t="s">
        <v>1462</v>
      </c>
      <c r="K1285" s="15">
        <v>252</v>
      </c>
      <c r="L1285" s="15" t="s">
        <v>41</v>
      </c>
      <c r="M1285" s="15" t="s">
        <v>4</v>
      </c>
      <c r="N1285" s="11" t="s">
        <v>1384</v>
      </c>
      <c r="O1285" s="11" t="s">
        <v>28</v>
      </c>
      <c r="P1285" s="11" t="s">
        <v>29</v>
      </c>
      <c r="Q1285" s="15">
        <v>1</v>
      </c>
      <c r="R1285" s="11" t="s">
        <v>11</v>
      </c>
      <c r="S1285" s="10">
        <v>91.606973659275994</v>
      </c>
      <c r="T1285" s="15">
        <v>80</v>
      </c>
      <c r="U1285" s="15">
        <v>0</v>
      </c>
      <c r="V1285" s="15">
        <v>0</v>
      </c>
      <c r="W1285" s="15">
        <v>0</v>
      </c>
      <c r="X1285" s="15">
        <f>IF(O1285='Udvaskning nøgletal'!$D$65,1,IF(O1285='Udvaskning nøgletal'!$D$66,2,IF(O1285='Udvaskning nøgletal'!$D$67,3,IF(O1285='Udvaskning nøgletal'!$D$68,2,""))))</f>
        <v>1</v>
      </c>
      <c r="Y1285" s="15">
        <f>LOOKUP(K1285,'Udvaskning nøgletal'!$C$12:$C$60,'Udvaskning nøgletal'!$H$12:$H$60)</f>
        <v>0</v>
      </c>
      <c r="Z1285" s="10">
        <f>IF(X1285=1,LOOKUP(K1285,'Udvaskning nøgletal'!$C$12:$C$60,'Udvaskning nøgletal'!$E$12:$E$60)+Markniveau!Y1285*Markniveau!S1285/100,IF(X1285=2,LOOKUP(K1285,'Udvaskning nøgletal'!$C$12:$C$60,'Udvaskning nøgletal'!$F$12:$F$60)+Markniveau!Y1285*Markniveau!S1285/100,IF(X1285=3,LOOKUP(K1285,'Udvaskning nøgletal'!$C$12:$C$60,'Udvaskning nøgletal'!G1295:G1343)+Markniveau!Y1285*Markniveau!S1285/100,"")))</f>
        <v>21.2</v>
      </c>
      <c r="AA1285" s="10">
        <f t="shared" si="206"/>
        <v>75.683999999999997</v>
      </c>
      <c r="AB1285" s="10">
        <f t="shared" si="205"/>
        <v>20.987999999999996</v>
      </c>
      <c r="AC1285" s="10">
        <f t="shared" si="207"/>
        <v>74.927159999999986</v>
      </c>
      <c r="AD1285" s="10">
        <f>IF(AND(Q1285&gt;0,Q1285&lt;30,K1285&lt;8),Markniveau!Z1285*'Udvaskning nøgletal'!$I$12/100,IF(AND(Q1285&gt;0,Q1285&lt;30,K1285=216),Markniveau!Z1285*'Udvaskning nøgletal'!$I$34/100,Markniveau!Z1285))</f>
        <v>21.2</v>
      </c>
      <c r="AE1285" s="10">
        <f t="shared" si="203"/>
        <v>75.683999999999997</v>
      </c>
      <c r="AF1285" s="10">
        <f t="shared" si="208"/>
        <v>20.987999999999996</v>
      </c>
      <c r="AG1285" s="10">
        <f t="shared" si="204"/>
        <v>74.927159999999986</v>
      </c>
      <c r="AH1285" s="10" t="str">
        <f>IF(AND(Q1285&gt;0,Q1285&lt;30,K1285=216),'Udvaskning nøgletal'!$C$42,IF(AND(Q1285&gt;0,Q1285&lt;30,K1285&gt;7,K1285&lt;17),'Udvaskning nøgletal'!$C$61,IF(AND(Q1285&gt;0,Q1285&lt;30,K1285&lt;7),'Udvaskning nøgletal'!$C$62,"")))</f>
        <v/>
      </c>
      <c r="AI1285" s="10">
        <f t="shared" si="200"/>
        <v>252</v>
      </c>
      <c r="AJ1285" s="10">
        <f>IF($X1285=1,LOOKUP(AI1285,'Udvaskning nøgletal'!$C$12:$C$62,'Udvaskning nøgletal'!$E$12:$E$62)+Markniveau!$Y1285*Markniveau!$S1285/100,IF($X1285=2,LOOKUP(AI1285,'Udvaskning nøgletal'!$C$12:$C$62,'Udvaskning nøgletal'!$F$12:$F$62)+Markniveau!$Y1285*Markniveau!$S1285/100,IF($X1285=3,LOOKUP(AI1285,'Udvaskning nøgletal'!$C$12:$C$62,'Udvaskning nøgletal'!Q1295:Q1345)+Markniveau!$Y1285*Markniveau!$S1285/100,"")))</f>
        <v>21.2</v>
      </c>
      <c r="AK1285" s="10">
        <f t="shared" si="209"/>
        <v>75.683999999999997</v>
      </c>
      <c r="AL1285" s="10">
        <f t="shared" si="201"/>
        <v>20.987999999999996</v>
      </c>
      <c r="AM1285" s="10">
        <f t="shared" si="202"/>
        <v>74.927159999999986</v>
      </c>
    </row>
    <row r="1286" spans="1:39" x14ac:dyDescent="0.25">
      <c r="A1286" s="15">
        <v>42792314</v>
      </c>
      <c r="B1286" s="15">
        <v>59.02</v>
      </c>
      <c r="C1286" s="15">
        <v>98844</v>
      </c>
      <c r="D1286" s="15">
        <v>41452</v>
      </c>
      <c r="E1286" s="15" t="s">
        <v>1148</v>
      </c>
      <c r="F1286" s="15">
        <v>2011</v>
      </c>
      <c r="G1286" s="15">
        <v>20110404</v>
      </c>
      <c r="H1286" s="15">
        <v>79295</v>
      </c>
      <c r="I1286" s="15">
        <v>7.93</v>
      </c>
      <c r="J1286" s="6" t="s">
        <v>97</v>
      </c>
      <c r="K1286" s="15">
        <v>1</v>
      </c>
      <c r="L1286" s="15" t="s">
        <v>32</v>
      </c>
      <c r="M1286" s="15" t="s">
        <v>5</v>
      </c>
      <c r="N1286" s="11" t="s">
        <v>1384</v>
      </c>
      <c r="O1286" s="11" t="s">
        <v>28</v>
      </c>
      <c r="P1286" s="11" t="s">
        <v>29</v>
      </c>
      <c r="Q1286" s="15">
        <v>95</v>
      </c>
      <c r="R1286" s="11" t="s">
        <v>3</v>
      </c>
      <c r="S1286" s="10">
        <v>91.606973659275994</v>
      </c>
      <c r="T1286" s="15">
        <v>80</v>
      </c>
      <c r="U1286" s="15">
        <v>0</v>
      </c>
      <c r="V1286" s="15">
        <v>0</v>
      </c>
      <c r="W1286" s="15">
        <v>0</v>
      </c>
      <c r="X1286" s="15">
        <f>IF(O1286='Udvaskning nøgletal'!$D$65,1,IF(O1286='Udvaskning nøgletal'!$D$66,2,IF(O1286='Udvaskning nøgletal'!$D$67,3,IF(O1286='Udvaskning nøgletal'!$D$68,2,""))))</f>
        <v>1</v>
      </c>
      <c r="Y1286" s="15">
        <f>LOOKUP(K1286,'Udvaskning nøgletal'!$C$12:$C$60,'Udvaskning nøgletal'!$H$12:$H$60)</f>
        <v>5</v>
      </c>
      <c r="Z1286" s="10">
        <f>IF(X1286=1,LOOKUP(K1286,'Udvaskning nøgletal'!$C$12:$C$60,'Udvaskning nøgletal'!$E$12:$E$60)+Markniveau!Y1286*Markniveau!S1286/100,IF(X1286=2,LOOKUP(K1286,'Udvaskning nøgletal'!$C$12:$C$60,'Udvaskning nøgletal'!$F$12:$F$60)+Markniveau!Y1286*Markniveau!S1286/100,IF(X1286=3,LOOKUP(K1286,'Udvaskning nøgletal'!$C$12:$C$60,'Udvaskning nøgletal'!G1296:G1344)+Markniveau!Y1286*Markniveau!S1286/100,"")))</f>
        <v>69.240348682963798</v>
      </c>
      <c r="AA1286" s="10">
        <f t="shared" si="206"/>
        <v>549.07596505590288</v>
      </c>
      <c r="AB1286" s="10">
        <f t="shared" si="205"/>
        <v>3.4620174341481902</v>
      </c>
      <c r="AC1286" s="10">
        <f t="shared" si="207"/>
        <v>27.453798252795146</v>
      </c>
      <c r="AD1286" s="10">
        <f>IF(AND(Q1286&gt;0,Q1286&lt;30,K1286&lt;8),Markniveau!Z1286*'Udvaskning nøgletal'!$I$12/100,IF(AND(Q1286&gt;0,Q1286&lt;30,K1286=216),Markniveau!Z1286*'Udvaskning nøgletal'!$I$34/100,Markniveau!Z1286))</f>
        <v>69.240348682963798</v>
      </c>
      <c r="AE1286" s="10">
        <f t="shared" si="203"/>
        <v>549.07596505590288</v>
      </c>
      <c r="AF1286" s="10">
        <f t="shared" si="208"/>
        <v>3.4620174341481902</v>
      </c>
      <c r="AG1286" s="10">
        <f t="shared" si="204"/>
        <v>27.453798252795146</v>
      </c>
      <c r="AH1286" s="10" t="str">
        <f>IF(AND(Q1286&gt;0,Q1286&lt;30,K1286=216),'Udvaskning nøgletal'!$C$42,IF(AND(Q1286&gt;0,Q1286&lt;30,K1286&gt;7,K1286&lt;17),'Udvaskning nøgletal'!$C$61,IF(AND(Q1286&gt;0,Q1286&lt;30,K1286&lt;7),'Udvaskning nøgletal'!$C$62,"")))</f>
        <v/>
      </c>
      <c r="AI1286" s="10">
        <f t="shared" si="200"/>
        <v>1</v>
      </c>
      <c r="AJ1286" s="10">
        <f>IF($X1286=1,LOOKUP(AI1286,'Udvaskning nøgletal'!$C$12:$C$62,'Udvaskning nøgletal'!$E$12:$E$62)+Markniveau!$Y1286*Markniveau!$S1286/100,IF($X1286=2,LOOKUP(AI1286,'Udvaskning nøgletal'!$C$12:$C$62,'Udvaskning nøgletal'!$F$12:$F$62)+Markniveau!$Y1286*Markniveau!$S1286/100,IF($X1286=3,LOOKUP(AI1286,'Udvaskning nøgletal'!$C$12:$C$62,'Udvaskning nøgletal'!Q1296:Q1346)+Markniveau!$Y1286*Markniveau!$S1286/100,"")))</f>
        <v>69.240348682963798</v>
      </c>
      <c r="AK1286" s="10">
        <f t="shared" si="209"/>
        <v>549.07596505590288</v>
      </c>
      <c r="AL1286" s="10">
        <f t="shared" si="201"/>
        <v>3.4620174341481902</v>
      </c>
      <c r="AM1286" s="10">
        <f t="shared" si="202"/>
        <v>27.453798252795146</v>
      </c>
    </row>
    <row r="1287" spans="1:39" x14ac:dyDescent="0.25">
      <c r="A1287" s="15">
        <v>42792314</v>
      </c>
      <c r="B1287" s="15">
        <v>59.02</v>
      </c>
      <c r="C1287" s="15">
        <v>98847</v>
      </c>
      <c r="D1287" s="15">
        <v>41452</v>
      </c>
      <c r="E1287" s="15" t="s">
        <v>1148</v>
      </c>
      <c r="F1287" s="15">
        <v>2011</v>
      </c>
      <c r="G1287" s="15">
        <v>20110404</v>
      </c>
      <c r="H1287" s="15">
        <v>62387</v>
      </c>
      <c r="I1287" s="15">
        <v>6.24</v>
      </c>
      <c r="J1287" s="6" t="s">
        <v>31</v>
      </c>
      <c r="K1287" s="15">
        <v>22</v>
      </c>
      <c r="L1287" s="15" t="s">
        <v>213</v>
      </c>
      <c r="M1287" s="15" t="s">
        <v>5</v>
      </c>
      <c r="N1287" s="11" t="s">
        <v>1384</v>
      </c>
      <c r="O1287" s="11" t="s">
        <v>28</v>
      </c>
      <c r="P1287" s="11" t="s">
        <v>29</v>
      </c>
      <c r="Q1287" s="15">
        <v>95</v>
      </c>
      <c r="R1287" s="11" t="s">
        <v>3</v>
      </c>
      <c r="S1287" s="10">
        <v>91.606973659275994</v>
      </c>
      <c r="T1287" s="15">
        <v>80</v>
      </c>
      <c r="U1287" s="15">
        <v>0</v>
      </c>
      <c r="V1287" s="15">
        <v>0</v>
      </c>
      <c r="W1287" s="15">
        <v>0</v>
      </c>
      <c r="X1287" s="15">
        <f>IF(O1287='Udvaskning nøgletal'!$D$65,1,IF(O1287='Udvaskning nøgletal'!$D$66,2,IF(O1287='Udvaskning nøgletal'!$D$67,3,IF(O1287='Udvaskning nøgletal'!$D$68,2,""))))</f>
        <v>1</v>
      </c>
      <c r="Y1287" s="15">
        <f>LOOKUP(K1287,'Udvaskning nøgletal'!$C$12:$C$60,'Udvaskning nøgletal'!$H$12:$H$60)</f>
        <v>5</v>
      </c>
      <c r="Z1287" s="10">
        <f>IF(X1287=1,LOOKUP(K1287,'Udvaskning nøgletal'!$C$12:$C$60,'Udvaskning nøgletal'!$E$12:$E$60)+Markniveau!Y1287*Markniveau!S1287/100,IF(X1287=2,LOOKUP(K1287,'Udvaskning nøgletal'!$C$12:$C$60,'Udvaskning nøgletal'!$F$12:$F$60)+Markniveau!Y1287*Markniveau!S1287/100,IF(X1287=3,LOOKUP(K1287,'Udvaskning nøgletal'!$C$12:$C$60,'Udvaskning nøgletal'!G1297:G1345)+Markniveau!Y1287*Markniveau!S1287/100,"")))</f>
        <v>69.240348682963798</v>
      </c>
      <c r="AA1287" s="10">
        <f t="shared" si="206"/>
        <v>432.0597757816941</v>
      </c>
      <c r="AB1287" s="10">
        <f t="shared" si="205"/>
        <v>3.4620174341481902</v>
      </c>
      <c r="AC1287" s="10">
        <f t="shared" si="207"/>
        <v>21.602988789084709</v>
      </c>
      <c r="AD1287" s="10">
        <f>IF(AND(Q1287&gt;0,Q1287&lt;30,K1287&lt;8),Markniveau!Z1287*'Udvaskning nøgletal'!$I$12/100,IF(AND(Q1287&gt;0,Q1287&lt;30,K1287=216),Markniveau!Z1287*'Udvaskning nøgletal'!$I$34/100,Markniveau!Z1287))</f>
        <v>69.240348682963798</v>
      </c>
      <c r="AE1287" s="10">
        <f t="shared" si="203"/>
        <v>432.0597757816941</v>
      </c>
      <c r="AF1287" s="10">
        <f t="shared" si="208"/>
        <v>3.4620174341481902</v>
      </c>
      <c r="AG1287" s="10">
        <f t="shared" si="204"/>
        <v>21.602988789084709</v>
      </c>
      <c r="AH1287" s="10" t="str">
        <f>IF(AND(Q1287&gt;0,Q1287&lt;30,K1287=216),'Udvaskning nøgletal'!$C$42,IF(AND(Q1287&gt;0,Q1287&lt;30,K1287&gt;7,K1287&lt;17),'Udvaskning nøgletal'!$C$61,IF(AND(Q1287&gt;0,Q1287&lt;30,K1287&lt;7),'Udvaskning nøgletal'!$C$62,"")))</f>
        <v/>
      </c>
      <c r="AI1287" s="10">
        <f t="shared" si="200"/>
        <v>22</v>
      </c>
      <c r="AJ1287" s="10">
        <f>IF($X1287=1,LOOKUP(AI1287,'Udvaskning nøgletal'!$C$12:$C$62,'Udvaskning nøgletal'!$E$12:$E$62)+Markniveau!$Y1287*Markniveau!$S1287/100,IF($X1287=2,LOOKUP(AI1287,'Udvaskning nøgletal'!$C$12:$C$62,'Udvaskning nøgletal'!$F$12:$F$62)+Markniveau!$Y1287*Markniveau!$S1287/100,IF($X1287=3,LOOKUP(AI1287,'Udvaskning nøgletal'!$C$12:$C$62,'Udvaskning nøgletal'!Q1297:Q1347)+Markniveau!$Y1287*Markniveau!$S1287/100,"")))</f>
        <v>69.240348682963798</v>
      </c>
      <c r="AK1287" s="10">
        <f t="shared" si="209"/>
        <v>432.0597757816941</v>
      </c>
      <c r="AL1287" s="10">
        <f t="shared" si="201"/>
        <v>3.4620174341481902</v>
      </c>
      <c r="AM1287" s="10">
        <f t="shared" si="202"/>
        <v>21.602988789084709</v>
      </c>
    </row>
    <row r="1288" spans="1:39" x14ac:dyDescent="0.25">
      <c r="A1288" s="15">
        <v>42792314</v>
      </c>
      <c r="B1288" s="15">
        <v>59.02</v>
      </c>
      <c r="C1288" s="15">
        <v>520172</v>
      </c>
      <c r="D1288" s="15">
        <v>41452</v>
      </c>
      <c r="E1288" s="15" t="s">
        <v>1149</v>
      </c>
      <c r="F1288" s="15">
        <v>2011</v>
      </c>
      <c r="G1288" s="15">
        <v>20110403</v>
      </c>
      <c r="H1288" s="15">
        <v>12551</v>
      </c>
      <c r="I1288" s="15">
        <v>1.26</v>
      </c>
      <c r="J1288" s="6" t="s">
        <v>1405</v>
      </c>
      <c r="K1288" s="15">
        <v>252</v>
      </c>
      <c r="L1288" s="15" t="s">
        <v>41</v>
      </c>
      <c r="M1288" s="15" t="s">
        <v>4</v>
      </c>
      <c r="N1288" s="11" t="s">
        <v>1384</v>
      </c>
      <c r="O1288" s="11" t="s">
        <v>28</v>
      </c>
      <c r="P1288" s="11" t="s">
        <v>33</v>
      </c>
      <c r="Q1288" s="15">
        <v>95</v>
      </c>
      <c r="R1288" s="11" t="s">
        <v>3</v>
      </c>
      <c r="S1288" s="10">
        <v>91.606973659275994</v>
      </c>
      <c r="T1288" s="15">
        <v>80</v>
      </c>
      <c r="U1288" s="15">
        <v>0</v>
      </c>
      <c r="V1288" s="15">
        <v>0</v>
      </c>
      <c r="W1288" s="15">
        <v>0</v>
      </c>
      <c r="X1288" s="15">
        <f>IF(O1288='Udvaskning nøgletal'!$D$65,1,IF(O1288='Udvaskning nøgletal'!$D$66,2,IF(O1288='Udvaskning nøgletal'!$D$67,3,IF(O1288='Udvaskning nøgletal'!$D$68,2,""))))</f>
        <v>1</v>
      </c>
      <c r="Y1288" s="15">
        <f>LOOKUP(K1288,'Udvaskning nøgletal'!$C$12:$C$60,'Udvaskning nøgletal'!$H$12:$H$60)</f>
        <v>0</v>
      </c>
      <c r="Z1288" s="10">
        <f>IF(X1288=1,LOOKUP(K1288,'Udvaskning nøgletal'!$C$12:$C$60,'Udvaskning nøgletal'!$E$12:$E$60)+Markniveau!Y1288*Markniveau!S1288/100,IF(X1288=2,LOOKUP(K1288,'Udvaskning nøgletal'!$C$12:$C$60,'Udvaskning nøgletal'!$F$12:$F$60)+Markniveau!Y1288*Markniveau!S1288/100,IF(X1288=3,LOOKUP(K1288,'Udvaskning nøgletal'!$C$12:$C$60,'Udvaskning nøgletal'!G1298:G1346)+Markniveau!Y1288*Markniveau!S1288/100,"")))</f>
        <v>21.2</v>
      </c>
      <c r="AA1288" s="10">
        <f t="shared" si="206"/>
        <v>26.712</v>
      </c>
      <c r="AB1288" s="10">
        <f t="shared" si="205"/>
        <v>1.06</v>
      </c>
      <c r="AC1288" s="10">
        <f t="shared" si="207"/>
        <v>1.3356000000000001</v>
      </c>
      <c r="AD1288" s="10">
        <f>IF(AND(Q1288&gt;0,Q1288&lt;30,K1288&lt;8),Markniveau!Z1288*'Udvaskning nøgletal'!$I$12/100,IF(AND(Q1288&gt;0,Q1288&lt;30,K1288=216),Markniveau!Z1288*'Udvaskning nøgletal'!$I$34/100,Markniveau!Z1288))</f>
        <v>21.2</v>
      </c>
      <c r="AE1288" s="10">
        <f t="shared" si="203"/>
        <v>26.712</v>
      </c>
      <c r="AF1288" s="10">
        <f t="shared" si="208"/>
        <v>1.06</v>
      </c>
      <c r="AG1288" s="10">
        <f t="shared" si="204"/>
        <v>1.3356000000000001</v>
      </c>
      <c r="AH1288" s="10" t="str">
        <f>IF(AND(Q1288&gt;0,Q1288&lt;30,K1288=216),'Udvaskning nøgletal'!$C$42,IF(AND(Q1288&gt;0,Q1288&lt;30,K1288&gt;7,K1288&lt;17),'Udvaskning nøgletal'!$C$61,IF(AND(Q1288&gt;0,Q1288&lt;30,K1288&lt;7),'Udvaskning nøgletal'!$C$62,"")))</f>
        <v/>
      </c>
      <c r="AI1288" s="10">
        <f t="shared" ref="AI1288:AI1351" si="210">IF(SUM(AH1288)&gt;0,AH1288,K1288)</f>
        <v>252</v>
      </c>
      <c r="AJ1288" s="10">
        <f>IF($X1288=1,LOOKUP(AI1288,'Udvaskning nøgletal'!$C$12:$C$62,'Udvaskning nøgletal'!$E$12:$E$62)+Markniveau!$Y1288*Markniveau!$S1288/100,IF($X1288=2,LOOKUP(AI1288,'Udvaskning nøgletal'!$C$12:$C$62,'Udvaskning nøgletal'!$F$12:$F$62)+Markniveau!$Y1288*Markniveau!$S1288/100,IF($X1288=3,LOOKUP(AI1288,'Udvaskning nøgletal'!$C$12:$C$62,'Udvaskning nøgletal'!Q1298:Q1348)+Markniveau!$Y1288*Markniveau!$S1288/100,"")))</f>
        <v>21.2</v>
      </c>
      <c r="AK1288" s="10">
        <f t="shared" si="209"/>
        <v>26.712</v>
      </c>
      <c r="AL1288" s="10">
        <f t="shared" si="201"/>
        <v>1.06</v>
      </c>
      <c r="AM1288" s="10">
        <f t="shared" si="202"/>
        <v>1.3356000000000001</v>
      </c>
    </row>
    <row r="1289" spans="1:39" x14ac:dyDescent="0.25">
      <c r="A1289" s="15">
        <v>42792314</v>
      </c>
      <c r="B1289" s="15">
        <v>59.02</v>
      </c>
      <c r="C1289" s="15">
        <v>613364</v>
      </c>
      <c r="D1289" s="15">
        <v>41452</v>
      </c>
      <c r="E1289" s="15" t="s">
        <v>1148</v>
      </c>
      <c r="F1289" s="15">
        <v>2011</v>
      </c>
      <c r="G1289" s="15">
        <v>20110403</v>
      </c>
      <c r="H1289" s="15">
        <v>69295</v>
      </c>
      <c r="I1289" s="15">
        <v>6.93</v>
      </c>
      <c r="J1289" s="6" t="s">
        <v>37</v>
      </c>
      <c r="K1289" s="15">
        <v>1</v>
      </c>
      <c r="L1289" s="15" t="s">
        <v>32</v>
      </c>
      <c r="M1289" s="15" t="s">
        <v>5</v>
      </c>
      <c r="N1289" s="11" t="s">
        <v>1384</v>
      </c>
      <c r="O1289" s="11" t="s">
        <v>28</v>
      </c>
      <c r="P1289" s="11" t="s">
        <v>29</v>
      </c>
      <c r="Q1289" s="15">
        <v>95</v>
      </c>
      <c r="R1289" s="11" t="s">
        <v>3</v>
      </c>
      <c r="S1289" s="10">
        <v>91.606973659275994</v>
      </c>
      <c r="T1289" s="15">
        <v>80</v>
      </c>
      <c r="U1289" s="15">
        <v>0</v>
      </c>
      <c r="V1289" s="15">
        <v>0</v>
      </c>
      <c r="W1289" s="15">
        <v>0</v>
      </c>
      <c r="X1289" s="15">
        <f>IF(O1289='Udvaskning nøgletal'!$D$65,1,IF(O1289='Udvaskning nøgletal'!$D$66,2,IF(O1289='Udvaskning nøgletal'!$D$67,3,IF(O1289='Udvaskning nøgletal'!$D$68,2,""))))</f>
        <v>1</v>
      </c>
      <c r="Y1289" s="15">
        <f>LOOKUP(K1289,'Udvaskning nøgletal'!$C$12:$C$60,'Udvaskning nøgletal'!$H$12:$H$60)</f>
        <v>5</v>
      </c>
      <c r="Z1289" s="10">
        <f>IF(X1289=1,LOOKUP(K1289,'Udvaskning nøgletal'!$C$12:$C$60,'Udvaskning nøgletal'!$E$12:$E$60)+Markniveau!Y1289*Markniveau!S1289/100,IF(X1289=2,LOOKUP(K1289,'Udvaskning nøgletal'!$C$12:$C$60,'Udvaskning nøgletal'!$F$12:$F$60)+Markniveau!Y1289*Markniveau!S1289/100,IF(X1289=3,LOOKUP(K1289,'Udvaskning nøgletal'!$C$12:$C$60,'Udvaskning nøgletal'!G1299:G1347)+Markniveau!Y1289*Markniveau!S1289/100,"")))</f>
        <v>69.240348682963798</v>
      </c>
      <c r="AA1289" s="10">
        <f t="shared" si="206"/>
        <v>479.83561637293911</v>
      </c>
      <c r="AB1289" s="10">
        <f t="shared" si="205"/>
        <v>3.4620174341481902</v>
      </c>
      <c r="AC1289" s="10">
        <f t="shared" si="207"/>
        <v>23.991780818646959</v>
      </c>
      <c r="AD1289" s="10">
        <f>IF(AND(Q1289&gt;0,Q1289&lt;30,K1289&lt;8),Markniveau!Z1289*'Udvaskning nøgletal'!$I$12/100,IF(AND(Q1289&gt;0,Q1289&lt;30,K1289=216),Markniveau!Z1289*'Udvaskning nøgletal'!$I$34/100,Markniveau!Z1289))</f>
        <v>69.240348682963798</v>
      </c>
      <c r="AE1289" s="10">
        <f t="shared" si="203"/>
        <v>479.83561637293911</v>
      </c>
      <c r="AF1289" s="10">
        <f t="shared" si="208"/>
        <v>3.4620174341481902</v>
      </c>
      <c r="AG1289" s="10">
        <f t="shared" si="204"/>
        <v>23.991780818646959</v>
      </c>
      <c r="AH1289" s="10" t="str">
        <f>IF(AND(Q1289&gt;0,Q1289&lt;30,K1289=216),'Udvaskning nøgletal'!$C$42,IF(AND(Q1289&gt;0,Q1289&lt;30,K1289&gt;7,K1289&lt;17),'Udvaskning nøgletal'!$C$61,IF(AND(Q1289&gt;0,Q1289&lt;30,K1289&lt;7),'Udvaskning nøgletal'!$C$62,"")))</f>
        <v/>
      </c>
      <c r="AI1289" s="10">
        <f t="shared" si="210"/>
        <v>1</v>
      </c>
      <c r="AJ1289" s="10">
        <f>IF($X1289=1,LOOKUP(AI1289,'Udvaskning nøgletal'!$C$12:$C$62,'Udvaskning nøgletal'!$E$12:$E$62)+Markniveau!$Y1289*Markniveau!$S1289/100,IF($X1289=2,LOOKUP(AI1289,'Udvaskning nøgletal'!$C$12:$C$62,'Udvaskning nøgletal'!$F$12:$F$62)+Markniveau!$Y1289*Markniveau!$S1289/100,IF($X1289=3,LOOKUP(AI1289,'Udvaskning nøgletal'!$C$12:$C$62,'Udvaskning nøgletal'!Q1299:Q1349)+Markniveau!$Y1289*Markniveau!$S1289/100,"")))</f>
        <v>69.240348682963798</v>
      </c>
      <c r="AK1289" s="10">
        <f t="shared" si="209"/>
        <v>479.83561637293911</v>
      </c>
      <c r="AL1289" s="10">
        <f t="shared" si="201"/>
        <v>3.4620174341481902</v>
      </c>
      <c r="AM1289" s="10">
        <f t="shared" si="202"/>
        <v>23.991780818646959</v>
      </c>
    </row>
    <row r="1290" spans="1:39" x14ac:dyDescent="0.25">
      <c r="A1290" s="15">
        <v>42792314</v>
      </c>
      <c r="B1290" s="15">
        <v>59.02</v>
      </c>
      <c r="C1290" s="15">
        <v>1648</v>
      </c>
      <c r="D1290" s="15">
        <v>41452</v>
      </c>
      <c r="E1290" s="15" t="s">
        <v>1150</v>
      </c>
      <c r="F1290" s="15">
        <v>2011</v>
      </c>
      <c r="G1290" s="15">
        <v>20110403</v>
      </c>
      <c r="H1290" s="15">
        <v>37370</v>
      </c>
      <c r="I1290" s="15">
        <v>3.74</v>
      </c>
      <c r="J1290" s="6" t="s">
        <v>34</v>
      </c>
      <c r="K1290" s="15">
        <v>11</v>
      </c>
      <c r="L1290" s="15" t="s">
        <v>102</v>
      </c>
      <c r="M1290" s="15" t="s">
        <v>5</v>
      </c>
      <c r="N1290" s="11" t="s">
        <v>1384</v>
      </c>
      <c r="O1290" s="11" t="s">
        <v>28</v>
      </c>
      <c r="P1290" s="11" t="s">
        <v>29</v>
      </c>
      <c r="Q1290" s="15">
        <v>95</v>
      </c>
      <c r="R1290" s="11" t="s">
        <v>3</v>
      </c>
      <c r="S1290" s="10">
        <v>91.606973659275994</v>
      </c>
      <c r="T1290" s="15">
        <v>80</v>
      </c>
      <c r="U1290" s="15">
        <v>0</v>
      </c>
      <c r="V1290" s="15">
        <v>0</v>
      </c>
      <c r="W1290" s="15">
        <v>0</v>
      </c>
      <c r="X1290" s="15">
        <f>IF(O1290='Udvaskning nøgletal'!$D$65,1,IF(O1290='Udvaskning nøgletal'!$D$66,2,IF(O1290='Udvaskning nøgletal'!$D$67,3,IF(O1290='Udvaskning nøgletal'!$D$68,2,""))))</f>
        <v>1</v>
      </c>
      <c r="Y1290" s="15">
        <f>LOOKUP(K1290,'Udvaskning nøgletal'!$C$12:$C$60,'Udvaskning nøgletal'!$H$12:$H$60)</f>
        <v>5</v>
      </c>
      <c r="Z1290" s="10">
        <f>IF(X1290=1,LOOKUP(K1290,'Udvaskning nøgletal'!$C$12:$C$60,'Udvaskning nøgletal'!$E$12:$E$60)+Markniveau!Y1290*Markniveau!S1290/100,IF(X1290=2,LOOKUP(K1290,'Udvaskning nøgletal'!$C$12:$C$60,'Udvaskning nøgletal'!$F$12:$F$60)+Markniveau!Y1290*Markniveau!S1290/100,IF(X1290=3,LOOKUP(K1290,'Udvaskning nøgletal'!$C$12:$C$60,'Udvaskning nøgletal'!G1300:G1348)+Markniveau!Y1290*Markniveau!S1290/100,"")))</f>
        <v>69.240348682963798</v>
      </c>
      <c r="AA1290" s="10">
        <f t="shared" si="206"/>
        <v>258.95890407428465</v>
      </c>
      <c r="AB1290" s="10">
        <f t="shared" si="205"/>
        <v>3.4620174341481902</v>
      </c>
      <c r="AC1290" s="10">
        <f t="shared" si="207"/>
        <v>12.947945203714232</v>
      </c>
      <c r="AD1290" s="10">
        <f>IF(AND(Q1290&gt;0,Q1290&lt;30,K1290&lt;8),Markniveau!Z1290*'Udvaskning nøgletal'!$I$12/100,IF(AND(Q1290&gt;0,Q1290&lt;30,K1290=216),Markniveau!Z1290*'Udvaskning nøgletal'!$I$34/100,Markniveau!Z1290))</f>
        <v>69.240348682963798</v>
      </c>
      <c r="AE1290" s="10">
        <f t="shared" si="203"/>
        <v>258.95890407428465</v>
      </c>
      <c r="AF1290" s="10">
        <f t="shared" si="208"/>
        <v>3.4620174341481902</v>
      </c>
      <c r="AG1290" s="10">
        <f t="shared" si="204"/>
        <v>12.947945203714232</v>
      </c>
      <c r="AH1290" s="10" t="str">
        <f>IF(AND(Q1290&gt;0,Q1290&lt;30,K1290=216),'Udvaskning nøgletal'!$C$42,IF(AND(Q1290&gt;0,Q1290&lt;30,K1290&gt;7,K1290&lt;17),'Udvaskning nøgletal'!$C$61,IF(AND(Q1290&gt;0,Q1290&lt;30,K1290&lt;7),'Udvaskning nøgletal'!$C$62,"")))</f>
        <v/>
      </c>
      <c r="AI1290" s="10">
        <f t="shared" si="210"/>
        <v>11</v>
      </c>
      <c r="AJ1290" s="10">
        <f>IF($X1290=1,LOOKUP(AI1290,'Udvaskning nøgletal'!$C$12:$C$62,'Udvaskning nøgletal'!$E$12:$E$62)+Markniveau!$Y1290*Markniveau!$S1290/100,IF($X1290=2,LOOKUP(AI1290,'Udvaskning nøgletal'!$C$12:$C$62,'Udvaskning nøgletal'!$F$12:$F$62)+Markniveau!$Y1290*Markniveau!$S1290/100,IF($X1290=3,LOOKUP(AI1290,'Udvaskning nøgletal'!$C$12:$C$62,'Udvaskning nøgletal'!Q1300:Q1350)+Markniveau!$Y1290*Markniveau!$S1290/100,"")))</f>
        <v>69.240348682963798</v>
      </c>
      <c r="AK1290" s="10">
        <f t="shared" si="209"/>
        <v>258.95890407428465</v>
      </c>
      <c r="AL1290" s="10">
        <f t="shared" si="201"/>
        <v>3.4620174341481902</v>
      </c>
      <c r="AM1290" s="10">
        <f t="shared" si="202"/>
        <v>12.947945203714232</v>
      </c>
    </row>
    <row r="1291" spans="1:39" x14ac:dyDescent="0.25">
      <c r="A1291" s="15">
        <v>42792314</v>
      </c>
      <c r="B1291" s="15">
        <v>59.02</v>
      </c>
      <c r="C1291" s="15">
        <v>1649</v>
      </c>
      <c r="D1291" s="15">
        <v>41452</v>
      </c>
      <c r="E1291" s="15" t="s">
        <v>600</v>
      </c>
      <c r="F1291" s="15">
        <v>2011</v>
      </c>
      <c r="G1291" s="15">
        <v>20110403</v>
      </c>
      <c r="H1291" s="15">
        <v>53662</v>
      </c>
      <c r="I1291" s="15">
        <v>5.37</v>
      </c>
      <c r="J1291" s="6" t="s">
        <v>69</v>
      </c>
      <c r="K1291" s="15">
        <v>260</v>
      </c>
      <c r="L1291" s="15" t="s">
        <v>45</v>
      </c>
      <c r="M1291" s="15" t="s">
        <v>5</v>
      </c>
      <c r="N1291" s="11" t="s">
        <v>1384</v>
      </c>
      <c r="O1291" s="11" t="s">
        <v>28</v>
      </c>
      <c r="P1291" s="11" t="s">
        <v>29</v>
      </c>
      <c r="Q1291" s="15">
        <v>95</v>
      </c>
      <c r="R1291" s="11" t="s">
        <v>3</v>
      </c>
      <c r="S1291" s="10">
        <v>91.606973659275994</v>
      </c>
      <c r="T1291" s="15">
        <v>80</v>
      </c>
      <c r="U1291" s="15">
        <v>0</v>
      </c>
      <c r="V1291" s="15">
        <v>0</v>
      </c>
      <c r="W1291" s="15">
        <v>0</v>
      </c>
      <c r="X1291" s="15">
        <f>IF(O1291='Udvaskning nøgletal'!$D$65,1,IF(O1291='Udvaskning nøgletal'!$D$66,2,IF(O1291='Udvaskning nøgletal'!$D$67,3,IF(O1291='Udvaskning nøgletal'!$D$68,2,""))))</f>
        <v>1</v>
      </c>
      <c r="Y1291" s="15">
        <f>LOOKUP(K1291,'Udvaskning nøgletal'!$C$12:$C$60,'Udvaskning nøgletal'!$H$12:$H$60)</f>
        <v>0</v>
      </c>
      <c r="Z1291" s="10">
        <f>IF(X1291=1,LOOKUP(K1291,'Udvaskning nøgletal'!$C$12:$C$60,'Udvaskning nøgletal'!$E$12:$E$60)+Markniveau!Y1291*Markniveau!S1291/100,IF(X1291=2,LOOKUP(K1291,'Udvaskning nøgletal'!$C$12:$C$60,'Udvaskning nøgletal'!$F$12:$F$60)+Markniveau!Y1291*Markniveau!S1291/100,IF(X1291=3,LOOKUP(K1291,'Udvaskning nøgletal'!$C$12:$C$60,'Udvaskning nøgletal'!G1301:G1349)+Markniveau!Y1291*Markniveau!S1291/100,"")))</f>
        <v>33.723295792149436</v>
      </c>
      <c r="AA1291" s="10">
        <f t="shared" si="206"/>
        <v>181.09409840384248</v>
      </c>
      <c r="AB1291" s="10">
        <f t="shared" si="205"/>
        <v>1.6861647896074716</v>
      </c>
      <c r="AC1291" s="10">
        <f t="shared" si="207"/>
        <v>9.0547049201921226</v>
      </c>
      <c r="AD1291" s="10">
        <f>IF(AND(Q1291&gt;0,Q1291&lt;30,K1291&lt;8),Markniveau!Z1291*'Udvaskning nøgletal'!$I$12/100,IF(AND(Q1291&gt;0,Q1291&lt;30,K1291=216),Markniveau!Z1291*'Udvaskning nøgletal'!$I$34/100,Markniveau!Z1291))</f>
        <v>33.723295792149436</v>
      </c>
      <c r="AE1291" s="10">
        <f t="shared" si="203"/>
        <v>181.09409840384248</v>
      </c>
      <c r="AF1291" s="10">
        <f t="shared" si="208"/>
        <v>1.6861647896074716</v>
      </c>
      <c r="AG1291" s="10">
        <f t="shared" si="204"/>
        <v>9.0547049201921226</v>
      </c>
      <c r="AH1291" s="10" t="str">
        <f>IF(AND(Q1291&gt;0,Q1291&lt;30,K1291=216),'Udvaskning nøgletal'!$C$42,IF(AND(Q1291&gt;0,Q1291&lt;30,K1291&gt;7,K1291&lt;17),'Udvaskning nøgletal'!$C$61,IF(AND(Q1291&gt;0,Q1291&lt;30,K1291&lt;7),'Udvaskning nøgletal'!$C$62,"")))</f>
        <v/>
      </c>
      <c r="AI1291" s="10">
        <f t="shared" si="210"/>
        <v>260</v>
      </c>
      <c r="AJ1291" s="10">
        <f>IF($X1291=1,LOOKUP(AI1291,'Udvaskning nøgletal'!$C$12:$C$62,'Udvaskning nøgletal'!$E$12:$E$62)+Markniveau!$Y1291*Markniveau!$S1291/100,IF($X1291=2,LOOKUP(AI1291,'Udvaskning nøgletal'!$C$12:$C$62,'Udvaskning nøgletal'!$F$12:$F$62)+Markniveau!$Y1291*Markniveau!$S1291/100,IF($X1291=3,LOOKUP(AI1291,'Udvaskning nøgletal'!$C$12:$C$62,'Udvaskning nøgletal'!Q1301:Q1351)+Markniveau!$Y1291*Markniveau!$S1291/100,"")))</f>
        <v>33.723295792149436</v>
      </c>
      <c r="AK1291" s="10">
        <f t="shared" si="209"/>
        <v>181.09409840384248</v>
      </c>
      <c r="AL1291" s="10">
        <f t="shared" ref="AL1291:AL1354" si="211">IF($Q1291&gt;0,(100-$Q1291)*AJ1291/100,"")</f>
        <v>1.6861647896074716</v>
      </c>
      <c r="AM1291" s="10">
        <f t="shared" ref="AM1291:AM1354" si="212">IF($Q1291&gt;0,(100-$Q1291)*AJ1291/100*I1291,"")</f>
        <v>9.0547049201921226</v>
      </c>
    </row>
    <row r="1292" spans="1:39" x14ac:dyDescent="0.25">
      <c r="A1292" s="15">
        <v>46500350</v>
      </c>
      <c r="B1292" s="15">
        <v>48.44</v>
      </c>
      <c r="C1292" s="15">
        <v>375657</v>
      </c>
      <c r="D1292" s="15">
        <v>143136</v>
      </c>
      <c r="E1292" s="15" t="s">
        <v>1151</v>
      </c>
      <c r="F1292" s="15">
        <v>2011</v>
      </c>
      <c r="G1292" s="15">
        <v>20110310</v>
      </c>
      <c r="H1292" s="15">
        <v>34675</v>
      </c>
      <c r="I1292" s="15">
        <v>3.47</v>
      </c>
      <c r="J1292" s="6" t="s">
        <v>92</v>
      </c>
      <c r="K1292" s="15">
        <v>583</v>
      </c>
      <c r="L1292" s="15" t="s">
        <v>154</v>
      </c>
      <c r="M1292" s="15" t="s">
        <v>155</v>
      </c>
      <c r="N1292" s="11" t="s">
        <v>1384</v>
      </c>
      <c r="O1292" s="11" t="s">
        <v>28</v>
      </c>
      <c r="P1292" s="11" t="s">
        <v>33</v>
      </c>
      <c r="Q1292" s="15">
        <v>0</v>
      </c>
      <c r="R1292" s="11" t="s">
        <v>1386</v>
      </c>
      <c r="S1292" s="10">
        <v>0</v>
      </c>
      <c r="T1292" s="15">
        <v>80</v>
      </c>
      <c r="U1292" s="15">
        <v>0</v>
      </c>
      <c r="V1292" s="15">
        <v>0</v>
      </c>
      <c r="W1292" s="15">
        <v>0</v>
      </c>
      <c r="X1292" s="15">
        <f>IF(O1292='Udvaskning nøgletal'!$D$65,1,IF(O1292='Udvaskning nøgletal'!$D$66,2,IF(O1292='Udvaskning nøgletal'!$D$67,3,IF(O1292='Udvaskning nøgletal'!$D$68,2,""))))</f>
        <v>1</v>
      </c>
      <c r="Y1292" s="15">
        <f>LOOKUP(K1292,'Udvaskning nøgletal'!$C$12:$C$60,'Udvaskning nøgletal'!$H$12:$H$60)</f>
        <v>0</v>
      </c>
      <c r="Z1292" s="10">
        <f>IF(X1292=1,LOOKUP(K1292,'Udvaskning nøgletal'!$C$12:$C$60,'Udvaskning nøgletal'!$E$12:$E$60)+Markniveau!Y1292*Markniveau!S1292/100,IF(X1292=2,LOOKUP(K1292,'Udvaskning nøgletal'!$C$12:$C$60,'Udvaskning nøgletal'!$F$12:$F$60)+Markniveau!Y1292*Markniveau!S1292/100,IF(X1292=3,LOOKUP(K1292,'Udvaskning nøgletal'!$C$12:$C$60,'Udvaskning nøgletal'!G1302:G1350)+Markniveau!Y1292*Markniveau!S1292/100,"")))</f>
        <v>10</v>
      </c>
      <c r="AA1292" s="10">
        <f t="shared" si="206"/>
        <v>34.700000000000003</v>
      </c>
      <c r="AB1292" s="10" t="str">
        <f t="shared" si="205"/>
        <v/>
      </c>
      <c r="AC1292" s="10" t="str">
        <f t="shared" si="207"/>
        <v/>
      </c>
      <c r="AD1292" s="10">
        <f>IF(AND(Q1292&gt;0,Q1292&lt;30,K1292&lt;8),Markniveau!Z1292*'Udvaskning nøgletal'!$I$12/100,IF(AND(Q1292&gt;0,Q1292&lt;30,K1292=216),Markniveau!Z1292*'Udvaskning nøgletal'!$I$34/100,Markniveau!Z1292))</f>
        <v>10</v>
      </c>
      <c r="AE1292" s="10">
        <f t="shared" si="203"/>
        <v>34.700000000000003</v>
      </c>
      <c r="AF1292" s="10" t="str">
        <f t="shared" si="208"/>
        <v/>
      </c>
      <c r="AG1292" s="10" t="str">
        <f t="shared" si="204"/>
        <v/>
      </c>
      <c r="AH1292" s="10" t="str">
        <f>IF(AND(Q1292&gt;0,Q1292&lt;30,K1292=216),'Udvaskning nøgletal'!$C$42,IF(AND(Q1292&gt;0,Q1292&lt;30,K1292&gt;7,K1292&lt;17),'Udvaskning nøgletal'!$C$61,IF(AND(Q1292&gt;0,Q1292&lt;30,K1292&lt;7),'Udvaskning nøgletal'!$C$62,"")))</f>
        <v/>
      </c>
      <c r="AI1292" s="10">
        <f t="shared" si="210"/>
        <v>583</v>
      </c>
      <c r="AJ1292" s="10">
        <f>IF($X1292=1,LOOKUP(AI1292,'Udvaskning nøgletal'!$C$12:$C$62,'Udvaskning nøgletal'!$E$12:$E$62)+Markniveau!$Y1292*Markniveau!$S1292/100,IF($X1292=2,LOOKUP(AI1292,'Udvaskning nøgletal'!$C$12:$C$62,'Udvaskning nøgletal'!$F$12:$F$62)+Markniveau!$Y1292*Markniveau!$S1292/100,IF($X1292=3,LOOKUP(AI1292,'Udvaskning nøgletal'!$C$12:$C$62,'Udvaskning nøgletal'!Q1302:Q1352)+Markniveau!$Y1292*Markniveau!$S1292/100,"")))</f>
        <v>10</v>
      </c>
      <c r="AK1292" s="10">
        <f t="shared" si="209"/>
        <v>34.700000000000003</v>
      </c>
      <c r="AL1292" s="10" t="str">
        <f t="shared" si="211"/>
        <v/>
      </c>
      <c r="AM1292" s="10" t="str">
        <f t="shared" si="212"/>
        <v/>
      </c>
    </row>
    <row r="1293" spans="1:39" x14ac:dyDescent="0.25">
      <c r="A1293" s="15">
        <v>46500350</v>
      </c>
      <c r="B1293" s="15">
        <v>48.44</v>
      </c>
      <c r="C1293" s="15">
        <v>379680</v>
      </c>
      <c r="D1293" s="15">
        <v>143136</v>
      </c>
      <c r="E1293" s="15" t="s">
        <v>1152</v>
      </c>
      <c r="F1293" s="15">
        <v>2011</v>
      </c>
      <c r="G1293" s="15">
        <v>20110310</v>
      </c>
      <c r="H1293" s="15">
        <v>27509</v>
      </c>
      <c r="I1293" s="15">
        <v>2.75</v>
      </c>
      <c r="J1293" s="6" t="s">
        <v>31</v>
      </c>
      <c r="K1293" s="15">
        <v>583</v>
      </c>
      <c r="L1293" s="15" t="s">
        <v>154</v>
      </c>
      <c r="M1293" s="15" t="s">
        <v>155</v>
      </c>
      <c r="N1293" s="11" t="s">
        <v>1406</v>
      </c>
      <c r="O1293" s="11" t="s">
        <v>46</v>
      </c>
      <c r="P1293" s="11" t="s">
        <v>29</v>
      </c>
      <c r="Q1293" s="15">
        <v>95</v>
      </c>
      <c r="R1293" s="11" t="s">
        <v>3</v>
      </c>
      <c r="S1293" s="10">
        <v>0</v>
      </c>
      <c r="T1293" s="15">
        <v>80</v>
      </c>
      <c r="U1293" s="15">
        <v>0</v>
      </c>
      <c r="V1293" s="15">
        <v>0</v>
      </c>
      <c r="W1293" s="15">
        <v>0</v>
      </c>
      <c r="X1293" s="15">
        <f>IF(O1293='Udvaskning nøgletal'!$D$65,1,IF(O1293='Udvaskning nøgletal'!$D$66,2,IF(O1293='Udvaskning nøgletal'!$D$67,3,IF(O1293='Udvaskning nøgletal'!$D$68,2,""))))</f>
        <v>2</v>
      </c>
      <c r="Y1293" s="15">
        <f>LOOKUP(K1293,'Udvaskning nøgletal'!$C$12:$C$60,'Udvaskning nøgletal'!$H$12:$H$60)</f>
        <v>0</v>
      </c>
      <c r="Z1293" s="10">
        <f>IF(X1293=1,LOOKUP(K1293,'Udvaskning nøgletal'!$C$12:$C$60,'Udvaskning nøgletal'!$E$12:$E$60)+Markniveau!Y1293*Markniveau!S1293/100,IF(X1293=2,LOOKUP(K1293,'Udvaskning nøgletal'!$C$12:$C$60,'Udvaskning nøgletal'!$F$12:$F$60)+Markniveau!Y1293*Markniveau!S1293/100,IF(X1293=3,LOOKUP(K1293,'Udvaskning nøgletal'!$C$12:$C$60,'Udvaskning nøgletal'!G1303:G1351)+Markniveau!Y1293*Markniveau!S1293/100,"")))</f>
        <v>10</v>
      </c>
      <c r="AA1293" s="10">
        <f t="shared" si="206"/>
        <v>27.5</v>
      </c>
      <c r="AB1293" s="10">
        <f t="shared" si="205"/>
        <v>0.5</v>
      </c>
      <c r="AC1293" s="10">
        <f t="shared" si="207"/>
        <v>1.375</v>
      </c>
      <c r="AD1293" s="10">
        <f>IF(AND(Q1293&gt;0,Q1293&lt;30,K1293&lt;8),Markniveau!Z1293*'Udvaskning nøgletal'!$I$12/100,IF(AND(Q1293&gt;0,Q1293&lt;30,K1293=216),Markniveau!Z1293*'Udvaskning nøgletal'!$I$34/100,Markniveau!Z1293))</f>
        <v>10</v>
      </c>
      <c r="AE1293" s="10">
        <f t="shared" si="203"/>
        <v>27.5</v>
      </c>
      <c r="AF1293" s="10">
        <f t="shared" si="208"/>
        <v>0.5</v>
      </c>
      <c r="AG1293" s="10">
        <f t="shared" si="204"/>
        <v>1.375</v>
      </c>
      <c r="AH1293" s="10" t="str">
        <f>IF(AND(Q1293&gt;0,Q1293&lt;30,K1293=216),'Udvaskning nøgletal'!$C$42,IF(AND(Q1293&gt;0,Q1293&lt;30,K1293&gt;7,K1293&lt;17),'Udvaskning nøgletal'!$C$61,IF(AND(Q1293&gt;0,Q1293&lt;30,K1293&lt;7),'Udvaskning nøgletal'!$C$62,"")))</f>
        <v/>
      </c>
      <c r="AI1293" s="10">
        <f t="shared" si="210"/>
        <v>583</v>
      </c>
      <c r="AJ1293" s="10">
        <f>IF($X1293=1,LOOKUP(AI1293,'Udvaskning nøgletal'!$C$12:$C$62,'Udvaskning nøgletal'!$E$12:$E$62)+Markniveau!$Y1293*Markniveau!$S1293/100,IF($X1293=2,LOOKUP(AI1293,'Udvaskning nøgletal'!$C$12:$C$62,'Udvaskning nøgletal'!$F$12:$F$62)+Markniveau!$Y1293*Markniveau!$S1293/100,IF($X1293=3,LOOKUP(AI1293,'Udvaskning nøgletal'!$C$12:$C$62,'Udvaskning nøgletal'!Q1303:Q1353)+Markniveau!$Y1293*Markniveau!$S1293/100,"")))</f>
        <v>10</v>
      </c>
      <c r="AK1293" s="10">
        <f t="shared" si="209"/>
        <v>27.5</v>
      </c>
      <c r="AL1293" s="10">
        <f t="shared" si="211"/>
        <v>0.5</v>
      </c>
      <c r="AM1293" s="10">
        <f t="shared" si="212"/>
        <v>1.375</v>
      </c>
    </row>
    <row r="1294" spans="1:39" x14ac:dyDescent="0.25">
      <c r="A1294" s="15">
        <v>46500350</v>
      </c>
      <c r="B1294" s="15">
        <v>48.44</v>
      </c>
      <c r="C1294" s="15">
        <v>389146</v>
      </c>
      <c r="D1294" s="15">
        <v>143136</v>
      </c>
      <c r="E1294" s="15" t="s">
        <v>1153</v>
      </c>
      <c r="F1294" s="15">
        <v>2011</v>
      </c>
      <c r="G1294" s="15">
        <v>20110310</v>
      </c>
      <c r="H1294" s="15">
        <v>38963</v>
      </c>
      <c r="I1294" s="15">
        <v>3.9</v>
      </c>
      <c r="J1294" s="6" t="s">
        <v>34</v>
      </c>
      <c r="K1294" s="15">
        <v>583</v>
      </c>
      <c r="L1294" s="15" t="s">
        <v>154</v>
      </c>
      <c r="M1294" s="15" t="s">
        <v>155</v>
      </c>
      <c r="N1294" s="11" t="s">
        <v>1406</v>
      </c>
      <c r="O1294" s="11" t="s">
        <v>46</v>
      </c>
      <c r="P1294" s="11" t="s">
        <v>29</v>
      </c>
      <c r="Q1294" s="15">
        <v>95</v>
      </c>
      <c r="R1294" s="11" t="s">
        <v>3</v>
      </c>
      <c r="S1294" s="10">
        <v>0</v>
      </c>
      <c r="T1294" s="15">
        <v>80</v>
      </c>
      <c r="U1294" s="15">
        <v>0</v>
      </c>
      <c r="V1294" s="15">
        <v>0</v>
      </c>
      <c r="W1294" s="15">
        <v>0</v>
      </c>
      <c r="X1294" s="15">
        <f>IF(O1294='Udvaskning nøgletal'!$D$65,1,IF(O1294='Udvaskning nøgletal'!$D$66,2,IF(O1294='Udvaskning nøgletal'!$D$67,3,IF(O1294='Udvaskning nøgletal'!$D$68,2,""))))</f>
        <v>2</v>
      </c>
      <c r="Y1294" s="15">
        <f>LOOKUP(K1294,'Udvaskning nøgletal'!$C$12:$C$60,'Udvaskning nøgletal'!$H$12:$H$60)</f>
        <v>0</v>
      </c>
      <c r="Z1294" s="10">
        <f>IF(X1294=1,LOOKUP(K1294,'Udvaskning nøgletal'!$C$12:$C$60,'Udvaskning nøgletal'!$E$12:$E$60)+Markniveau!Y1294*Markniveau!S1294/100,IF(X1294=2,LOOKUP(K1294,'Udvaskning nøgletal'!$C$12:$C$60,'Udvaskning nøgletal'!$F$12:$F$60)+Markniveau!Y1294*Markniveau!S1294/100,IF(X1294=3,LOOKUP(K1294,'Udvaskning nøgletal'!$C$12:$C$60,'Udvaskning nøgletal'!G1304:G1352)+Markniveau!Y1294*Markniveau!S1294/100,"")))</f>
        <v>10</v>
      </c>
      <c r="AA1294" s="10">
        <f t="shared" si="206"/>
        <v>39</v>
      </c>
      <c r="AB1294" s="10">
        <f t="shared" si="205"/>
        <v>0.5</v>
      </c>
      <c r="AC1294" s="10">
        <f t="shared" si="207"/>
        <v>1.95</v>
      </c>
      <c r="AD1294" s="10">
        <f>IF(AND(Q1294&gt;0,Q1294&lt;30,K1294&lt;8),Markniveau!Z1294*'Udvaskning nøgletal'!$I$12/100,IF(AND(Q1294&gt;0,Q1294&lt;30,K1294=216),Markniveau!Z1294*'Udvaskning nøgletal'!$I$34/100,Markniveau!Z1294))</f>
        <v>10</v>
      </c>
      <c r="AE1294" s="10">
        <f t="shared" si="203"/>
        <v>39</v>
      </c>
      <c r="AF1294" s="10">
        <f t="shared" si="208"/>
        <v>0.5</v>
      </c>
      <c r="AG1294" s="10">
        <f t="shared" si="204"/>
        <v>1.95</v>
      </c>
      <c r="AH1294" s="10" t="str">
        <f>IF(AND(Q1294&gt;0,Q1294&lt;30,K1294=216),'Udvaskning nøgletal'!$C$42,IF(AND(Q1294&gt;0,Q1294&lt;30,K1294&gt;7,K1294&lt;17),'Udvaskning nøgletal'!$C$61,IF(AND(Q1294&gt;0,Q1294&lt;30,K1294&lt;7),'Udvaskning nøgletal'!$C$62,"")))</f>
        <v/>
      </c>
      <c r="AI1294" s="10">
        <f t="shared" si="210"/>
        <v>583</v>
      </c>
      <c r="AJ1294" s="10">
        <f>IF($X1294=1,LOOKUP(AI1294,'Udvaskning nøgletal'!$C$12:$C$62,'Udvaskning nøgletal'!$E$12:$E$62)+Markniveau!$Y1294*Markniveau!$S1294/100,IF($X1294=2,LOOKUP(AI1294,'Udvaskning nøgletal'!$C$12:$C$62,'Udvaskning nøgletal'!$F$12:$F$62)+Markniveau!$Y1294*Markniveau!$S1294/100,IF($X1294=3,LOOKUP(AI1294,'Udvaskning nøgletal'!$C$12:$C$62,'Udvaskning nøgletal'!Q1304:Q1354)+Markniveau!$Y1294*Markniveau!$S1294/100,"")))</f>
        <v>10</v>
      </c>
      <c r="AK1294" s="10">
        <f t="shared" si="209"/>
        <v>39</v>
      </c>
      <c r="AL1294" s="10">
        <f t="shared" si="211"/>
        <v>0.5</v>
      </c>
      <c r="AM1294" s="10">
        <f t="shared" si="212"/>
        <v>1.95</v>
      </c>
    </row>
    <row r="1295" spans="1:39" x14ac:dyDescent="0.25">
      <c r="A1295" s="15">
        <v>46500350</v>
      </c>
      <c r="B1295" s="15">
        <v>48.44</v>
      </c>
      <c r="C1295" s="15">
        <v>389150</v>
      </c>
      <c r="D1295" s="15">
        <v>143136</v>
      </c>
      <c r="E1295" s="15" t="s">
        <v>1154</v>
      </c>
      <c r="F1295" s="15">
        <v>2011</v>
      </c>
      <c r="G1295" s="15">
        <v>20110310</v>
      </c>
      <c r="H1295" s="15">
        <v>61688</v>
      </c>
      <c r="I1295" s="15">
        <v>6.17</v>
      </c>
      <c r="J1295" s="6" t="s">
        <v>53</v>
      </c>
      <c r="K1295" s="15">
        <v>276</v>
      </c>
      <c r="L1295" s="15" t="s">
        <v>146</v>
      </c>
      <c r="M1295" s="15" t="s">
        <v>4</v>
      </c>
      <c r="N1295" s="11" t="s">
        <v>1384</v>
      </c>
      <c r="O1295" s="11" t="s">
        <v>28</v>
      </c>
      <c r="P1295" s="11" t="s">
        <v>29</v>
      </c>
      <c r="Q1295" s="15">
        <v>1</v>
      </c>
      <c r="R1295" s="11" t="s">
        <v>11</v>
      </c>
      <c r="S1295" s="10">
        <v>0</v>
      </c>
      <c r="T1295" s="15">
        <v>80</v>
      </c>
      <c r="U1295" s="15">
        <v>0</v>
      </c>
      <c r="V1295" s="15">
        <v>0</v>
      </c>
      <c r="W1295" s="15">
        <v>0</v>
      </c>
      <c r="X1295" s="15">
        <f>IF(O1295='Udvaskning nøgletal'!$D$65,1,IF(O1295='Udvaskning nøgletal'!$D$66,2,IF(O1295='Udvaskning nøgletal'!$D$67,3,IF(O1295='Udvaskning nøgletal'!$D$68,2,""))))</f>
        <v>1</v>
      </c>
      <c r="Y1295" s="15">
        <f>LOOKUP(K1295,'Udvaskning nøgletal'!$C$12:$C$60,'Udvaskning nøgletal'!$H$12:$H$60)</f>
        <v>0</v>
      </c>
      <c r="Z1295" s="10">
        <f>IF(X1295=1,LOOKUP(K1295,'Udvaskning nøgletal'!$C$12:$C$60,'Udvaskning nøgletal'!$E$12:$E$60)+Markniveau!Y1295*Markniveau!S1295/100,IF(X1295=2,LOOKUP(K1295,'Udvaskning nøgletal'!$C$12:$C$60,'Udvaskning nøgletal'!$F$12:$F$60)+Markniveau!Y1295*Markniveau!S1295/100,IF(X1295=3,LOOKUP(K1295,'Udvaskning nøgletal'!$C$12:$C$60,'Udvaskning nøgletal'!G1305:G1353)+Markniveau!Y1295*Markniveau!S1295/100,"")))</f>
        <v>10.6</v>
      </c>
      <c r="AA1295" s="10">
        <f t="shared" si="206"/>
        <v>65.402000000000001</v>
      </c>
      <c r="AB1295" s="10">
        <f t="shared" si="205"/>
        <v>10.493999999999998</v>
      </c>
      <c r="AC1295" s="10">
        <f t="shared" si="207"/>
        <v>64.747979999999984</v>
      </c>
      <c r="AD1295" s="10">
        <f>IF(AND(Q1295&gt;0,Q1295&lt;30,K1295&lt;8),Markniveau!Z1295*'Udvaskning nøgletal'!$I$12/100,IF(AND(Q1295&gt;0,Q1295&lt;30,K1295=216),Markniveau!Z1295*'Udvaskning nøgletal'!$I$34/100,Markniveau!Z1295))</f>
        <v>10.6</v>
      </c>
      <c r="AE1295" s="10">
        <f t="shared" si="203"/>
        <v>65.402000000000001</v>
      </c>
      <c r="AF1295" s="10">
        <f t="shared" si="208"/>
        <v>10.493999999999998</v>
      </c>
      <c r="AG1295" s="10">
        <f t="shared" si="204"/>
        <v>64.747979999999984</v>
      </c>
      <c r="AH1295" s="10" t="str">
        <f>IF(AND(Q1295&gt;0,Q1295&lt;30,K1295=216),'Udvaskning nøgletal'!$C$42,IF(AND(Q1295&gt;0,Q1295&lt;30,K1295&gt;7,K1295&lt;17),'Udvaskning nøgletal'!$C$61,IF(AND(Q1295&gt;0,Q1295&lt;30,K1295&lt;7),'Udvaskning nøgletal'!$C$62,"")))</f>
        <v/>
      </c>
      <c r="AI1295" s="10">
        <f t="shared" si="210"/>
        <v>276</v>
      </c>
      <c r="AJ1295" s="10">
        <f>IF($X1295=1,LOOKUP(AI1295,'Udvaskning nøgletal'!$C$12:$C$62,'Udvaskning nøgletal'!$E$12:$E$62)+Markniveau!$Y1295*Markniveau!$S1295/100,IF($X1295=2,LOOKUP(AI1295,'Udvaskning nøgletal'!$C$12:$C$62,'Udvaskning nøgletal'!$F$12:$F$62)+Markniveau!$Y1295*Markniveau!$S1295/100,IF($X1295=3,LOOKUP(AI1295,'Udvaskning nøgletal'!$C$12:$C$62,'Udvaskning nøgletal'!Q1305:Q1355)+Markniveau!$Y1295*Markniveau!$S1295/100,"")))</f>
        <v>10.6</v>
      </c>
      <c r="AK1295" s="10">
        <f t="shared" si="209"/>
        <v>65.402000000000001</v>
      </c>
      <c r="AL1295" s="10">
        <f t="shared" si="211"/>
        <v>10.493999999999998</v>
      </c>
      <c r="AM1295" s="10">
        <f t="shared" si="212"/>
        <v>64.747979999999984</v>
      </c>
    </row>
    <row r="1296" spans="1:39" x14ac:dyDescent="0.25">
      <c r="A1296" s="15">
        <v>46500350</v>
      </c>
      <c r="B1296" s="15">
        <v>48.44</v>
      </c>
      <c r="C1296" s="15">
        <v>389151</v>
      </c>
      <c r="D1296" s="15">
        <v>143136</v>
      </c>
      <c r="E1296" s="15" t="s">
        <v>1155</v>
      </c>
      <c r="F1296" s="15">
        <v>2011</v>
      </c>
      <c r="G1296" s="15">
        <v>20110310</v>
      </c>
      <c r="H1296" s="15">
        <v>6298</v>
      </c>
      <c r="I1296" s="15">
        <v>0.63</v>
      </c>
      <c r="J1296" s="6" t="s">
        <v>1523</v>
      </c>
      <c r="K1296" s="15">
        <v>583</v>
      </c>
      <c r="L1296" s="15" t="s">
        <v>154</v>
      </c>
      <c r="M1296" s="15" t="s">
        <v>155</v>
      </c>
      <c r="N1296" s="11" t="s">
        <v>1384</v>
      </c>
      <c r="O1296" s="11" t="s">
        <v>28</v>
      </c>
      <c r="P1296" s="11" t="s">
        <v>29</v>
      </c>
      <c r="Q1296" s="15">
        <v>95</v>
      </c>
      <c r="R1296" s="11" t="s">
        <v>3</v>
      </c>
      <c r="S1296" s="10">
        <v>0</v>
      </c>
      <c r="T1296" s="15">
        <v>80</v>
      </c>
      <c r="U1296" s="15">
        <v>0</v>
      </c>
      <c r="V1296" s="15">
        <v>0</v>
      </c>
      <c r="W1296" s="15">
        <v>0</v>
      </c>
      <c r="X1296" s="15">
        <f>IF(O1296='Udvaskning nøgletal'!$D$65,1,IF(O1296='Udvaskning nøgletal'!$D$66,2,IF(O1296='Udvaskning nøgletal'!$D$67,3,IF(O1296='Udvaskning nøgletal'!$D$68,2,""))))</f>
        <v>1</v>
      </c>
      <c r="Y1296" s="15">
        <f>LOOKUP(K1296,'Udvaskning nøgletal'!$C$12:$C$60,'Udvaskning nøgletal'!$H$12:$H$60)</f>
        <v>0</v>
      </c>
      <c r="Z1296" s="10">
        <f>IF(X1296=1,LOOKUP(K1296,'Udvaskning nøgletal'!$C$12:$C$60,'Udvaskning nøgletal'!$E$12:$E$60)+Markniveau!Y1296*Markniveau!S1296/100,IF(X1296=2,LOOKUP(K1296,'Udvaskning nøgletal'!$C$12:$C$60,'Udvaskning nøgletal'!$F$12:$F$60)+Markniveau!Y1296*Markniveau!S1296/100,IF(X1296=3,LOOKUP(K1296,'Udvaskning nøgletal'!$C$12:$C$60,'Udvaskning nøgletal'!G1306:G1354)+Markniveau!Y1296*Markniveau!S1296/100,"")))</f>
        <v>10</v>
      </c>
      <c r="AA1296" s="10">
        <f t="shared" si="206"/>
        <v>6.3</v>
      </c>
      <c r="AB1296" s="10">
        <f t="shared" si="205"/>
        <v>0.5</v>
      </c>
      <c r="AC1296" s="10">
        <f t="shared" si="207"/>
        <v>0.315</v>
      </c>
      <c r="AD1296" s="10">
        <f>IF(AND(Q1296&gt;0,Q1296&lt;30,K1296&lt;8),Markniveau!Z1296*'Udvaskning nøgletal'!$I$12/100,IF(AND(Q1296&gt;0,Q1296&lt;30,K1296=216),Markniveau!Z1296*'Udvaskning nøgletal'!$I$34/100,Markniveau!Z1296))</f>
        <v>10</v>
      </c>
      <c r="AE1296" s="10">
        <f t="shared" si="203"/>
        <v>6.3</v>
      </c>
      <c r="AF1296" s="10">
        <f t="shared" si="208"/>
        <v>0.5</v>
      </c>
      <c r="AG1296" s="10">
        <f t="shared" si="204"/>
        <v>0.315</v>
      </c>
      <c r="AH1296" s="10" t="str">
        <f>IF(AND(Q1296&gt;0,Q1296&lt;30,K1296=216),'Udvaskning nøgletal'!$C$42,IF(AND(Q1296&gt;0,Q1296&lt;30,K1296&gt;7,K1296&lt;17),'Udvaskning nøgletal'!$C$61,IF(AND(Q1296&gt;0,Q1296&lt;30,K1296&lt;7),'Udvaskning nøgletal'!$C$62,"")))</f>
        <v/>
      </c>
      <c r="AI1296" s="10">
        <f t="shared" si="210"/>
        <v>583</v>
      </c>
      <c r="AJ1296" s="10">
        <f>IF($X1296=1,LOOKUP(AI1296,'Udvaskning nøgletal'!$C$12:$C$62,'Udvaskning nøgletal'!$E$12:$E$62)+Markniveau!$Y1296*Markniveau!$S1296/100,IF($X1296=2,LOOKUP(AI1296,'Udvaskning nøgletal'!$C$12:$C$62,'Udvaskning nøgletal'!$F$12:$F$62)+Markniveau!$Y1296*Markniveau!$S1296/100,IF($X1296=3,LOOKUP(AI1296,'Udvaskning nøgletal'!$C$12:$C$62,'Udvaskning nøgletal'!Q1306:Q1356)+Markniveau!$Y1296*Markniveau!$S1296/100,"")))</f>
        <v>10</v>
      </c>
      <c r="AK1296" s="10">
        <f t="shared" si="209"/>
        <v>6.3</v>
      </c>
      <c r="AL1296" s="10">
        <f t="shared" si="211"/>
        <v>0.5</v>
      </c>
      <c r="AM1296" s="10">
        <f t="shared" si="212"/>
        <v>0.315</v>
      </c>
    </row>
    <row r="1297" spans="1:39" x14ac:dyDescent="0.25">
      <c r="A1297" s="15">
        <v>46500350</v>
      </c>
      <c r="B1297" s="15">
        <v>48.44</v>
      </c>
      <c r="C1297" s="15">
        <v>389152</v>
      </c>
      <c r="D1297" s="15">
        <v>143136</v>
      </c>
      <c r="E1297" s="15" t="s">
        <v>1156</v>
      </c>
      <c r="F1297" s="15">
        <v>2011</v>
      </c>
      <c r="G1297" s="15">
        <v>20110310</v>
      </c>
      <c r="H1297" s="15">
        <v>15943</v>
      </c>
      <c r="I1297" s="15">
        <v>1.59</v>
      </c>
      <c r="J1297" s="6" t="s">
        <v>97</v>
      </c>
      <c r="K1297" s="15">
        <v>583</v>
      </c>
      <c r="L1297" s="15" t="s">
        <v>154</v>
      </c>
      <c r="M1297" s="15" t="s">
        <v>155</v>
      </c>
      <c r="N1297" s="11" t="s">
        <v>1406</v>
      </c>
      <c r="O1297" s="11" t="s">
        <v>46</v>
      </c>
      <c r="P1297" s="11" t="s">
        <v>29</v>
      </c>
      <c r="Q1297" s="15">
        <v>95</v>
      </c>
      <c r="R1297" s="11" t="s">
        <v>3</v>
      </c>
      <c r="S1297" s="10">
        <v>0</v>
      </c>
      <c r="T1297" s="15">
        <v>80</v>
      </c>
      <c r="U1297" s="15">
        <v>0</v>
      </c>
      <c r="V1297" s="15">
        <v>0</v>
      </c>
      <c r="W1297" s="15">
        <v>0</v>
      </c>
      <c r="X1297" s="15">
        <f>IF(O1297='Udvaskning nøgletal'!$D$65,1,IF(O1297='Udvaskning nøgletal'!$D$66,2,IF(O1297='Udvaskning nøgletal'!$D$67,3,IF(O1297='Udvaskning nøgletal'!$D$68,2,""))))</f>
        <v>2</v>
      </c>
      <c r="Y1297" s="15">
        <f>LOOKUP(K1297,'Udvaskning nøgletal'!$C$12:$C$60,'Udvaskning nøgletal'!$H$12:$H$60)</f>
        <v>0</v>
      </c>
      <c r="Z1297" s="10">
        <f>IF(X1297=1,LOOKUP(K1297,'Udvaskning nøgletal'!$C$12:$C$60,'Udvaskning nøgletal'!$E$12:$E$60)+Markniveau!Y1297*Markniveau!S1297/100,IF(X1297=2,LOOKUP(K1297,'Udvaskning nøgletal'!$C$12:$C$60,'Udvaskning nøgletal'!$F$12:$F$60)+Markniveau!Y1297*Markniveau!S1297/100,IF(X1297=3,LOOKUP(K1297,'Udvaskning nøgletal'!$C$12:$C$60,'Udvaskning nøgletal'!G1307:G1355)+Markniveau!Y1297*Markniveau!S1297/100,"")))</f>
        <v>10</v>
      </c>
      <c r="AA1297" s="10">
        <f t="shared" si="206"/>
        <v>15.9</v>
      </c>
      <c r="AB1297" s="10">
        <f t="shared" si="205"/>
        <v>0.5</v>
      </c>
      <c r="AC1297" s="10">
        <f t="shared" si="207"/>
        <v>0.79500000000000004</v>
      </c>
      <c r="AD1297" s="10">
        <f>IF(AND(Q1297&gt;0,Q1297&lt;30,K1297&lt;8),Markniveau!Z1297*'Udvaskning nøgletal'!$I$12/100,IF(AND(Q1297&gt;0,Q1297&lt;30,K1297=216),Markniveau!Z1297*'Udvaskning nøgletal'!$I$34/100,Markniveau!Z1297))</f>
        <v>10</v>
      </c>
      <c r="AE1297" s="10">
        <f t="shared" ref="AE1297:AE1360" si="213">AD1297*I1297</f>
        <v>15.9</v>
      </c>
      <c r="AF1297" s="10">
        <f t="shared" si="208"/>
        <v>0.5</v>
      </c>
      <c r="AG1297" s="10">
        <f t="shared" ref="AG1297:AG1360" si="214">IF($Q1297&gt;0,(100-$Q1297)*$AD1297/100*I1297,"")</f>
        <v>0.79500000000000004</v>
      </c>
      <c r="AH1297" s="10" t="str">
        <f>IF(AND(Q1297&gt;0,Q1297&lt;30,K1297=216),'Udvaskning nøgletal'!$C$42,IF(AND(Q1297&gt;0,Q1297&lt;30,K1297&gt;7,K1297&lt;17),'Udvaskning nøgletal'!$C$61,IF(AND(Q1297&gt;0,Q1297&lt;30,K1297&lt;7),'Udvaskning nøgletal'!$C$62,"")))</f>
        <v/>
      </c>
      <c r="AI1297" s="10">
        <f t="shared" si="210"/>
        <v>583</v>
      </c>
      <c r="AJ1297" s="10">
        <f>IF($X1297=1,LOOKUP(AI1297,'Udvaskning nøgletal'!$C$12:$C$62,'Udvaskning nøgletal'!$E$12:$E$62)+Markniveau!$Y1297*Markniveau!$S1297/100,IF($X1297=2,LOOKUP(AI1297,'Udvaskning nøgletal'!$C$12:$C$62,'Udvaskning nøgletal'!$F$12:$F$62)+Markniveau!$Y1297*Markniveau!$S1297/100,IF($X1297=3,LOOKUP(AI1297,'Udvaskning nøgletal'!$C$12:$C$62,'Udvaskning nøgletal'!Q1307:Q1357)+Markniveau!$Y1297*Markniveau!$S1297/100,"")))</f>
        <v>10</v>
      </c>
      <c r="AK1297" s="10">
        <f t="shared" si="209"/>
        <v>15.9</v>
      </c>
      <c r="AL1297" s="10">
        <f t="shared" si="211"/>
        <v>0.5</v>
      </c>
      <c r="AM1297" s="10">
        <f t="shared" si="212"/>
        <v>0.79500000000000004</v>
      </c>
    </row>
    <row r="1298" spans="1:39" x14ac:dyDescent="0.25">
      <c r="A1298" s="15">
        <v>46500350</v>
      </c>
      <c r="B1298" s="15">
        <v>48.44</v>
      </c>
      <c r="C1298" s="15">
        <v>389153</v>
      </c>
      <c r="D1298" s="15">
        <v>143136</v>
      </c>
      <c r="E1298" s="15" t="s">
        <v>1157</v>
      </c>
      <c r="F1298" s="15">
        <v>2011</v>
      </c>
      <c r="G1298" s="15">
        <v>20110310</v>
      </c>
      <c r="H1298" s="15">
        <v>22777</v>
      </c>
      <c r="I1298" s="15">
        <v>2.2799999999999998</v>
      </c>
      <c r="J1298" s="6" t="s">
        <v>37</v>
      </c>
      <c r="K1298" s="15">
        <v>583</v>
      </c>
      <c r="L1298" s="15" t="s">
        <v>154</v>
      </c>
      <c r="M1298" s="15" t="s">
        <v>155</v>
      </c>
      <c r="N1298" s="11" t="s">
        <v>1406</v>
      </c>
      <c r="O1298" s="11" t="s">
        <v>46</v>
      </c>
      <c r="P1298" s="11" t="s">
        <v>29</v>
      </c>
      <c r="Q1298" s="15">
        <v>95</v>
      </c>
      <c r="R1298" s="11" t="s">
        <v>3</v>
      </c>
      <c r="S1298" s="10">
        <v>0</v>
      </c>
      <c r="T1298" s="15">
        <v>80</v>
      </c>
      <c r="U1298" s="15">
        <v>0</v>
      </c>
      <c r="V1298" s="15">
        <v>0</v>
      </c>
      <c r="W1298" s="15">
        <v>0</v>
      </c>
      <c r="X1298" s="15">
        <f>IF(O1298='Udvaskning nøgletal'!$D$65,1,IF(O1298='Udvaskning nøgletal'!$D$66,2,IF(O1298='Udvaskning nøgletal'!$D$67,3,IF(O1298='Udvaskning nøgletal'!$D$68,2,""))))</f>
        <v>2</v>
      </c>
      <c r="Y1298" s="15">
        <f>LOOKUP(K1298,'Udvaskning nøgletal'!$C$12:$C$60,'Udvaskning nøgletal'!$H$12:$H$60)</f>
        <v>0</v>
      </c>
      <c r="Z1298" s="10">
        <f>IF(X1298=1,LOOKUP(K1298,'Udvaskning nøgletal'!$C$12:$C$60,'Udvaskning nøgletal'!$E$12:$E$60)+Markniveau!Y1298*Markniveau!S1298/100,IF(X1298=2,LOOKUP(K1298,'Udvaskning nøgletal'!$C$12:$C$60,'Udvaskning nøgletal'!$F$12:$F$60)+Markniveau!Y1298*Markniveau!S1298/100,IF(X1298=3,LOOKUP(K1298,'Udvaskning nøgletal'!$C$12:$C$60,'Udvaskning nøgletal'!G1308:G1356)+Markniveau!Y1298*Markniveau!S1298/100,"")))</f>
        <v>10</v>
      </c>
      <c r="AA1298" s="10">
        <f t="shared" si="206"/>
        <v>22.799999999999997</v>
      </c>
      <c r="AB1298" s="10">
        <f t="shared" si="205"/>
        <v>0.5</v>
      </c>
      <c r="AC1298" s="10">
        <f t="shared" si="207"/>
        <v>1.1399999999999999</v>
      </c>
      <c r="AD1298" s="10">
        <f>IF(AND(Q1298&gt;0,Q1298&lt;30,K1298&lt;8),Markniveau!Z1298*'Udvaskning nøgletal'!$I$12/100,IF(AND(Q1298&gt;0,Q1298&lt;30,K1298=216),Markniveau!Z1298*'Udvaskning nøgletal'!$I$34/100,Markniveau!Z1298))</f>
        <v>10</v>
      </c>
      <c r="AE1298" s="10">
        <f t="shared" si="213"/>
        <v>22.799999999999997</v>
      </c>
      <c r="AF1298" s="10">
        <f t="shared" si="208"/>
        <v>0.5</v>
      </c>
      <c r="AG1298" s="10">
        <f t="shared" si="214"/>
        <v>1.1399999999999999</v>
      </c>
      <c r="AH1298" s="10" t="str">
        <f>IF(AND(Q1298&gt;0,Q1298&lt;30,K1298=216),'Udvaskning nøgletal'!$C$42,IF(AND(Q1298&gt;0,Q1298&lt;30,K1298&gt;7,K1298&lt;17),'Udvaskning nøgletal'!$C$61,IF(AND(Q1298&gt;0,Q1298&lt;30,K1298&lt;7),'Udvaskning nøgletal'!$C$62,"")))</f>
        <v/>
      </c>
      <c r="AI1298" s="10">
        <f t="shared" si="210"/>
        <v>583</v>
      </c>
      <c r="AJ1298" s="10">
        <f>IF($X1298=1,LOOKUP(AI1298,'Udvaskning nøgletal'!$C$12:$C$62,'Udvaskning nøgletal'!$E$12:$E$62)+Markniveau!$Y1298*Markniveau!$S1298/100,IF($X1298=2,LOOKUP(AI1298,'Udvaskning nøgletal'!$C$12:$C$62,'Udvaskning nøgletal'!$F$12:$F$62)+Markniveau!$Y1298*Markniveau!$S1298/100,IF($X1298=3,LOOKUP(AI1298,'Udvaskning nøgletal'!$C$12:$C$62,'Udvaskning nøgletal'!Q1308:Q1358)+Markniveau!$Y1298*Markniveau!$S1298/100,"")))</f>
        <v>10</v>
      </c>
      <c r="AK1298" s="10">
        <f t="shared" si="209"/>
        <v>22.799999999999997</v>
      </c>
      <c r="AL1298" s="10">
        <f t="shared" si="211"/>
        <v>0.5</v>
      </c>
      <c r="AM1298" s="10">
        <f t="shared" si="212"/>
        <v>1.1399999999999999</v>
      </c>
    </row>
    <row r="1299" spans="1:39" x14ac:dyDescent="0.25">
      <c r="A1299" s="15">
        <v>46500350</v>
      </c>
      <c r="B1299" s="15">
        <v>48.44</v>
      </c>
      <c r="C1299" s="15">
        <v>389155</v>
      </c>
      <c r="D1299" s="15">
        <v>143136</v>
      </c>
      <c r="E1299" s="15" t="s">
        <v>1158</v>
      </c>
      <c r="F1299" s="15">
        <v>2011</v>
      </c>
      <c r="G1299" s="15">
        <v>20110310</v>
      </c>
      <c r="H1299" s="15">
        <v>38926</v>
      </c>
      <c r="I1299" s="15">
        <v>3.89</v>
      </c>
      <c r="J1299" s="6" t="s">
        <v>35</v>
      </c>
      <c r="K1299" s="15">
        <v>583</v>
      </c>
      <c r="L1299" s="15" t="s">
        <v>154</v>
      </c>
      <c r="M1299" s="15" t="s">
        <v>155</v>
      </c>
      <c r="N1299" s="11" t="s">
        <v>1406</v>
      </c>
      <c r="O1299" s="11" t="s">
        <v>46</v>
      </c>
      <c r="P1299" s="11" t="s">
        <v>29</v>
      </c>
      <c r="Q1299" s="15">
        <v>95</v>
      </c>
      <c r="R1299" s="11" t="s">
        <v>3</v>
      </c>
      <c r="S1299" s="10">
        <v>0</v>
      </c>
      <c r="T1299" s="15">
        <v>80</v>
      </c>
      <c r="U1299" s="15">
        <v>0</v>
      </c>
      <c r="V1299" s="15">
        <v>0</v>
      </c>
      <c r="W1299" s="15">
        <v>0</v>
      </c>
      <c r="X1299" s="15">
        <f>IF(O1299='Udvaskning nøgletal'!$D$65,1,IF(O1299='Udvaskning nøgletal'!$D$66,2,IF(O1299='Udvaskning nøgletal'!$D$67,3,IF(O1299='Udvaskning nøgletal'!$D$68,2,""))))</f>
        <v>2</v>
      </c>
      <c r="Y1299" s="15">
        <f>LOOKUP(K1299,'Udvaskning nøgletal'!$C$12:$C$60,'Udvaskning nøgletal'!$H$12:$H$60)</f>
        <v>0</v>
      </c>
      <c r="Z1299" s="10">
        <f>IF(X1299=1,LOOKUP(K1299,'Udvaskning nøgletal'!$C$12:$C$60,'Udvaskning nøgletal'!$E$12:$E$60)+Markniveau!Y1299*Markniveau!S1299/100,IF(X1299=2,LOOKUP(K1299,'Udvaskning nøgletal'!$C$12:$C$60,'Udvaskning nøgletal'!$F$12:$F$60)+Markniveau!Y1299*Markniveau!S1299/100,IF(X1299=3,LOOKUP(K1299,'Udvaskning nøgletal'!$C$12:$C$60,'Udvaskning nøgletal'!G1309:G1357)+Markniveau!Y1299*Markniveau!S1299/100,"")))</f>
        <v>10</v>
      </c>
      <c r="AA1299" s="10">
        <f t="shared" si="206"/>
        <v>38.9</v>
      </c>
      <c r="AB1299" s="10">
        <f t="shared" si="205"/>
        <v>0.5</v>
      </c>
      <c r="AC1299" s="10">
        <f t="shared" si="207"/>
        <v>1.9450000000000001</v>
      </c>
      <c r="AD1299" s="10">
        <f>IF(AND(Q1299&gt;0,Q1299&lt;30,K1299&lt;8),Markniveau!Z1299*'Udvaskning nøgletal'!$I$12/100,IF(AND(Q1299&gt;0,Q1299&lt;30,K1299=216),Markniveau!Z1299*'Udvaskning nøgletal'!$I$34/100,Markniveau!Z1299))</f>
        <v>10</v>
      </c>
      <c r="AE1299" s="10">
        <f t="shared" si="213"/>
        <v>38.9</v>
      </c>
      <c r="AF1299" s="10">
        <f t="shared" si="208"/>
        <v>0.5</v>
      </c>
      <c r="AG1299" s="10">
        <f t="shared" si="214"/>
        <v>1.9450000000000001</v>
      </c>
      <c r="AH1299" s="10" t="str">
        <f>IF(AND(Q1299&gt;0,Q1299&lt;30,K1299=216),'Udvaskning nøgletal'!$C$42,IF(AND(Q1299&gt;0,Q1299&lt;30,K1299&gt;7,K1299&lt;17),'Udvaskning nøgletal'!$C$61,IF(AND(Q1299&gt;0,Q1299&lt;30,K1299&lt;7),'Udvaskning nøgletal'!$C$62,"")))</f>
        <v/>
      </c>
      <c r="AI1299" s="10">
        <f t="shared" si="210"/>
        <v>583</v>
      </c>
      <c r="AJ1299" s="10">
        <f>IF($X1299=1,LOOKUP(AI1299,'Udvaskning nøgletal'!$C$12:$C$62,'Udvaskning nøgletal'!$E$12:$E$62)+Markniveau!$Y1299*Markniveau!$S1299/100,IF($X1299=2,LOOKUP(AI1299,'Udvaskning nøgletal'!$C$12:$C$62,'Udvaskning nøgletal'!$F$12:$F$62)+Markniveau!$Y1299*Markniveau!$S1299/100,IF($X1299=3,LOOKUP(AI1299,'Udvaskning nøgletal'!$C$12:$C$62,'Udvaskning nøgletal'!Q1309:Q1359)+Markniveau!$Y1299*Markniveau!$S1299/100,"")))</f>
        <v>10</v>
      </c>
      <c r="AK1299" s="10">
        <f t="shared" si="209"/>
        <v>38.9</v>
      </c>
      <c r="AL1299" s="10">
        <f t="shared" si="211"/>
        <v>0.5</v>
      </c>
      <c r="AM1299" s="10">
        <f t="shared" si="212"/>
        <v>1.9450000000000001</v>
      </c>
    </row>
    <row r="1300" spans="1:39" x14ac:dyDescent="0.25">
      <c r="A1300" s="15">
        <v>46500350</v>
      </c>
      <c r="B1300" s="15">
        <v>48.44</v>
      </c>
      <c r="C1300" s="15">
        <v>389156</v>
      </c>
      <c r="D1300" s="15">
        <v>143136</v>
      </c>
      <c r="E1300" s="15" t="s">
        <v>1159</v>
      </c>
      <c r="F1300" s="15">
        <v>2011</v>
      </c>
      <c r="G1300" s="15">
        <v>20110310</v>
      </c>
      <c r="H1300" s="15">
        <v>21325</v>
      </c>
      <c r="I1300" s="15">
        <v>2.13</v>
      </c>
      <c r="J1300" s="6" t="s">
        <v>69</v>
      </c>
      <c r="K1300" s="15">
        <v>583</v>
      </c>
      <c r="L1300" s="15" t="s">
        <v>154</v>
      </c>
      <c r="M1300" s="15" t="s">
        <v>155</v>
      </c>
      <c r="N1300" s="11" t="s">
        <v>1406</v>
      </c>
      <c r="O1300" s="11" t="s">
        <v>46</v>
      </c>
      <c r="P1300" s="11" t="s">
        <v>29</v>
      </c>
      <c r="Q1300" s="15">
        <v>75</v>
      </c>
      <c r="R1300" s="11" t="s">
        <v>10</v>
      </c>
      <c r="S1300" s="10">
        <v>0</v>
      </c>
      <c r="T1300" s="15">
        <v>80</v>
      </c>
      <c r="U1300" s="15">
        <v>0</v>
      </c>
      <c r="V1300" s="15">
        <v>0</v>
      </c>
      <c r="W1300" s="15">
        <v>0</v>
      </c>
      <c r="X1300" s="15">
        <f>IF(O1300='Udvaskning nøgletal'!$D$65,1,IF(O1300='Udvaskning nøgletal'!$D$66,2,IF(O1300='Udvaskning nøgletal'!$D$67,3,IF(O1300='Udvaskning nøgletal'!$D$68,2,""))))</f>
        <v>2</v>
      </c>
      <c r="Y1300" s="15">
        <f>LOOKUP(K1300,'Udvaskning nøgletal'!$C$12:$C$60,'Udvaskning nøgletal'!$H$12:$H$60)</f>
        <v>0</v>
      </c>
      <c r="Z1300" s="10">
        <f>IF(X1300=1,LOOKUP(K1300,'Udvaskning nøgletal'!$C$12:$C$60,'Udvaskning nøgletal'!$E$12:$E$60)+Markniveau!Y1300*Markniveau!S1300/100,IF(X1300=2,LOOKUP(K1300,'Udvaskning nøgletal'!$C$12:$C$60,'Udvaskning nøgletal'!$F$12:$F$60)+Markniveau!Y1300*Markniveau!S1300/100,IF(X1300=3,LOOKUP(K1300,'Udvaskning nøgletal'!$C$12:$C$60,'Udvaskning nøgletal'!G1310:G1358)+Markniveau!Y1300*Markniveau!S1300/100,"")))</f>
        <v>10</v>
      </c>
      <c r="AA1300" s="10">
        <f t="shared" si="206"/>
        <v>21.299999999999997</v>
      </c>
      <c r="AB1300" s="10">
        <f t="shared" si="205"/>
        <v>2.5</v>
      </c>
      <c r="AC1300" s="10">
        <f t="shared" si="207"/>
        <v>5.3249999999999993</v>
      </c>
      <c r="AD1300" s="10">
        <f>IF(AND(Q1300&gt;0,Q1300&lt;30,K1300&lt;8),Markniveau!Z1300*'Udvaskning nøgletal'!$I$12/100,IF(AND(Q1300&gt;0,Q1300&lt;30,K1300=216),Markniveau!Z1300*'Udvaskning nøgletal'!$I$34/100,Markniveau!Z1300))</f>
        <v>10</v>
      </c>
      <c r="AE1300" s="10">
        <f t="shared" si="213"/>
        <v>21.299999999999997</v>
      </c>
      <c r="AF1300" s="10">
        <f t="shared" si="208"/>
        <v>2.5</v>
      </c>
      <c r="AG1300" s="10">
        <f t="shared" si="214"/>
        <v>5.3249999999999993</v>
      </c>
      <c r="AH1300" s="10" t="str">
        <f>IF(AND(Q1300&gt;0,Q1300&lt;30,K1300=216),'Udvaskning nøgletal'!$C$42,IF(AND(Q1300&gt;0,Q1300&lt;30,K1300&gt;7,K1300&lt;17),'Udvaskning nøgletal'!$C$61,IF(AND(Q1300&gt;0,Q1300&lt;30,K1300&lt;7),'Udvaskning nøgletal'!$C$62,"")))</f>
        <v/>
      </c>
      <c r="AI1300" s="10">
        <f t="shared" si="210"/>
        <v>583</v>
      </c>
      <c r="AJ1300" s="10">
        <f>IF($X1300=1,LOOKUP(AI1300,'Udvaskning nøgletal'!$C$12:$C$62,'Udvaskning nøgletal'!$E$12:$E$62)+Markniveau!$Y1300*Markniveau!$S1300/100,IF($X1300=2,LOOKUP(AI1300,'Udvaskning nøgletal'!$C$12:$C$62,'Udvaskning nøgletal'!$F$12:$F$62)+Markniveau!$Y1300*Markniveau!$S1300/100,IF($X1300=3,LOOKUP(AI1300,'Udvaskning nøgletal'!$C$12:$C$62,'Udvaskning nøgletal'!Q1310:Q1360)+Markniveau!$Y1300*Markniveau!$S1300/100,"")))</f>
        <v>10</v>
      </c>
      <c r="AK1300" s="10">
        <f t="shared" si="209"/>
        <v>21.299999999999997</v>
      </c>
      <c r="AL1300" s="10">
        <f t="shared" si="211"/>
        <v>2.5</v>
      </c>
      <c r="AM1300" s="10">
        <f t="shared" si="212"/>
        <v>5.3249999999999993</v>
      </c>
    </row>
    <row r="1301" spans="1:39" x14ac:dyDescent="0.25">
      <c r="A1301" s="15">
        <v>46500350</v>
      </c>
      <c r="B1301" s="15">
        <v>48.44</v>
      </c>
      <c r="C1301" s="15">
        <v>397499</v>
      </c>
      <c r="D1301" s="15">
        <v>143136</v>
      </c>
      <c r="E1301" s="15" t="s">
        <v>268</v>
      </c>
      <c r="F1301" s="15">
        <v>2011</v>
      </c>
      <c r="G1301" s="15">
        <v>20110310</v>
      </c>
      <c r="H1301" s="15">
        <v>13841</v>
      </c>
      <c r="I1301" s="15">
        <v>1.38</v>
      </c>
      <c r="J1301" s="6" t="s">
        <v>38</v>
      </c>
      <c r="K1301" s="15">
        <v>583</v>
      </c>
      <c r="L1301" s="15" t="s">
        <v>154</v>
      </c>
      <c r="M1301" s="15" t="s">
        <v>155</v>
      </c>
      <c r="N1301" s="11" t="s">
        <v>1406</v>
      </c>
      <c r="O1301" s="11" t="s">
        <v>46</v>
      </c>
      <c r="P1301" s="11" t="s">
        <v>33</v>
      </c>
      <c r="Q1301" s="15">
        <v>1</v>
      </c>
      <c r="R1301" s="11" t="s">
        <v>11</v>
      </c>
      <c r="S1301" s="10">
        <v>0</v>
      </c>
      <c r="T1301" s="15">
        <v>80</v>
      </c>
      <c r="U1301" s="15">
        <v>0</v>
      </c>
      <c r="V1301" s="15">
        <v>0</v>
      </c>
      <c r="W1301" s="15">
        <v>0</v>
      </c>
      <c r="X1301" s="15">
        <f>IF(O1301='Udvaskning nøgletal'!$D$65,1,IF(O1301='Udvaskning nøgletal'!$D$66,2,IF(O1301='Udvaskning nøgletal'!$D$67,3,IF(O1301='Udvaskning nøgletal'!$D$68,2,""))))</f>
        <v>2</v>
      </c>
      <c r="Y1301" s="15">
        <f>LOOKUP(K1301,'Udvaskning nøgletal'!$C$12:$C$60,'Udvaskning nøgletal'!$H$12:$H$60)</f>
        <v>0</v>
      </c>
      <c r="Z1301" s="10">
        <f>IF(X1301=1,LOOKUP(K1301,'Udvaskning nøgletal'!$C$12:$C$60,'Udvaskning nøgletal'!$E$12:$E$60)+Markniveau!Y1301*Markniveau!S1301/100,IF(X1301=2,LOOKUP(K1301,'Udvaskning nøgletal'!$C$12:$C$60,'Udvaskning nøgletal'!$F$12:$F$60)+Markniveau!Y1301*Markniveau!S1301/100,IF(X1301=3,LOOKUP(K1301,'Udvaskning nøgletal'!$C$12:$C$60,'Udvaskning nøgletal'!G1311:G1359)+Markniveau!Y1301*Markniveau!S1301/100,"")))</f>
        <v>10</v>
      </c>
      <c r="AA1301" s="10">
        <f t="shared" si="206"/>
        <v>13.799999999999999</v>
      </c>
      <c r="AB1301" s="10">
        <f t="shared" si="205"/>
        <v>9.9</v>
      </c>
      <c r="AC1301" s="10">
        <f t="shared" si="207"/>
        <v>13.661999999999999</v>
      </c>
      <c r="AD1301" s="10">
        <f>IF(AND(Q1301&gt;0,Q1301&lt;30,K1301&lt;8),Markniveau!Z1301*'Udvaskning nøgletal'!$I$12/100,IF(AND(Q1301&gt;0,Q1301&lt;30,K1301=216),Markniveau!Z1301*'Udvaskning nøgletal'!$I$34/100,Markniveau!Z1301))</f>
        <v>10</v>
      </c>
      <c r="AE1301" s="10">
        <f t="shared" si="213"/>
        <v>13.799999999999999</v>
      </c>
      <c r="AF1301" s="10">
        <f t="shared" si="208"/>
        <v>9.9</v>
      </c>
      <c r="AG1301" s="10">
        <f t="shared" si="214"/>
        <v>13.661999999999999</v>
      </c>
      <c r="AH1301" s="10" t="str">
        <f>IF(AND(Q1301&gt;0,Q1301&lt;30,K1301=216),'Udvaskning nøgletal'!$C$42,IF(AND(Q1301&gt;0,Q1301&lt;30,K1301&gt;7,K1301&lt;17),'Udvaskning nøgletal'!$C$61,IF(AND(Q1301&gt;0,Q1301&lt;30,K1301&lt;7),'Udvaskning nøgletal'!$C$62,"")))</f>
        <v/>
      </c>
      <c r="AI1301" s="10">
        <f t="shared" si="210"/>
        <v>583</v>
      </c>
      <c r="AJ1301" s="10">
        <f>IF($X1301=1,LOOKUP(AI1301,'Udvaskning nøgletal'!$C$12:$C$62,'Udvaskning nøgletal'!$E$12:$E$62)+Markniveau!$Y1301*Markniveau!$S1301/100,IF($X1301=2,LOOKUP(AI1301,'Udvaskning nøgletal'!$C$12:$C$62,'Udvaskning nøgletal'!$F$12:$F$62)+Markniveau!$Y1301*Markniveau!$S1301/100,IF($X1301=3,LOOKUP(AI1301,'Udvaskning nøgletal'!$C$12:$C$62,'Udvaskning nøgletal'!Q1311:Q1361)+Markniveau!$Y1301*Markniveau!$S1301/100,"")))</f>
        <v>10</v>
      </c>
      <c r="AK1301" s="10">
        <f t="shared" si="209"/>
        <v>13.799999999999999</v>
      </c>
      <c r="AL1301" s="10">
        <f t="shared" si="211"/>
        <v>9.9</v>
      </c>
      <c r="AM1301" s="10">
        <f t="shared" si="212"/>
        <v>13.661999999999999</v>
      </c>
    </row>
    <row r="1302" spans="1:39" x14ac:dyDescent="0.25">
      <c r="A1302" s="15">
        <v>46500350</v>
      </c>
      <c r="B1302" s="15">
        <v>48.44</v>
      </c>
      <c r="C1302" s="15">
        <v>400601</v>
      </c>
      <c r="D1302" s="15">
        <v>143136</v>
      </c>
      <c r="E1302" s="15" t="s">
        <v>1160</v>
      </c>
      <c r="F1302" s="15">
        <v>2011</v>
      </c>
      <c r="G1302" s="15">
        <v>20110310</v>
      </c>
      <c r="H1302" s="15">
        <v>32727</v>
      </c>
      <c r="I1302" s="15">
        <v>3.27</v>
      </c>
      <c r="J1302" s="6" t="s">
        <v>1524</v>
      </c>
      <c r="K1302" s="15">
        <v>583</v>
      </c>
      <c r="L1302" s="15" t="s">
        <v>154</v>
      </c>
      <c r="M1302" s="15" t="s">
        <v>155</v>
      </c>
      <c r="N1302" s="11" t="s">
        <v>1391</v>
      </c>
      <c r="O1302" s="11" t="s">
        <v>46</v>
      </c>
      <c r="P1302" s="11" t="s">
        <v>33</v>
      </c>
      <c r="Q1302" s="15">
        <v>0</v>
      </c>
      <c r="R1302" s="11" t="s">
        <v>1386</v>
      </c>
      <c r="S1302" s="10">
        <v>0</v>
      </c>
      <c r="T1302" s="15">
        <v>80</v>
      </c>
      <c r="U1302" s="15">
        <v>0</v>
      </c>
      <c r="V1302" s="15">
        <v>0</v>
      </c>
      <c r="W1302" s="15">
        <v>0</v>
      </c>
      <c r="X1302" s="15">
        <f>IF(O1302='Udvaskning nøgletal'!$D$65,1,IF(O1302='Udvaskning nøgletal'!$D$66,2,IF(O1302='Udvaskning nøgletal'!$D$67,3,IF(O1302='Udvaskning nøgletal'!$D$68,2,""))))</f>
        <v>2</v>
      </c>
      <c r="Y1302" s="15">
        <f>LOOKUP(K1302,'Udvaskning nøgletal'!$C$12:$C$60,'Udvaskning nøgletal'!$H$12:$H$60)</f>
        <v>0</v>
      </c>
      <c r="Z1302" s="10">
        <f>IF(X1302=1,LOOKUP(K1302,'Udvaskning nøgletal'!$C$12:$C$60,'Udvaskning nøgletal'!$E$12:$E$60)+Markniveau!Y1302*Markniveau!S1302/100,IF(X1302=2,LOOKUP(K1302,'Udvaskning nøgletal'!$C$12:$C$60,'Udvaskning nøgletal'!$F$12:$F$60)+Markniveau!Y1302*Markniveau!S1302/100,IF(X1302=3,LOOKUP(K1302,'Udvaskning nøgletal'!$C$12:$C$60,'Udvaskning nøgletal'!G1312:G1360)+Markniveau!Y1302*Markniveau!S1302/100,"")))</f>
        <v>10</v>
      </c>
      <c r="AA1302" s="10">
        <f t="shared" si="206"/>
        <v>32.700000000000003</v>
      </c>
      <c r="AB1302" s="10" t="str">
        <f t="shared" si="205"/>
        <v/>
      </c>
      <c r="AC1302" s="10" t="str">
        <f t="shared" si="207"/>
        <v/>
      </c>
      <c r="AD1302" s="10">
        <f>IF(AND(Q1302&gt;0,Q1302&lt;30,K1302&lt;8),Markniveau!Z1302*'Udvaskning nøgletal'!$I$12/100,IF(AND(Q1302&gt;0,Q1302&lt;30,K1302=216),Markniveau!Z1302*'Udvaskning nøgletal'!$I$34/100,Markniveau!Z1302))</f>
        <v>10</v>
      </c>
      <c r="AE1302" s="10">
        <f t="shared" si="213"/>
        <v>32.700000000000003</v>
      </c>
      <c r="AF1302" s="10" t="str">
        <f t="shared" si="208"/>
        <v/>
      </c>
      <c r="AG1302" s="10" t="str">
        <f t="shared" si="214"/>
        <v/>
      </c>
      <c r="AH1302" s="10" t="str">
        <f>IF(AND(Q1302&gt;0,Q1302&lt;30,K1302=216),'Udvaskning nøgletal'!$C$42,IF(AND(Q1302&gt;0,Q1302&lt;30,K1302&gt;7,K1302&lt;17),'Udvaskning nøgletal'!$C$61,IF(AND(Q1302&gt;0,Q1302&lt;30,K1302&lt;7),'Udvaskning nøgletal'!$C$62,"")))</f>
        <v/>
      </c>
      <c r="AI1302" s="10">
        <f t="shared" si="210"/>
        <v>583</v>
      </c>
      <c r="AJ1302" s="10">
        <f>IF($X1302=1,LOOKUP(AI1302,'Udvaskning nøgletal'!$C$12:$C$62,'Udvaskning nøgletal'!$E$12:$E$62)+Markniveau!$Y1302*Markniveau!$S1302/100,IF($X1302=2,LOOKUP(AI1302,'Udvaskning nøgletal'!$C$12:$C$62,'Udvaskning nøgletal'!$F$12:$F$62)+Markniveau!$Y1302*Markniveau!$S1302/100,IF($X1302=3,LOOKUP(AI1302,'Udvaskning nøgletal'!$C$12:$C$62,'Udvaskning nøgletal'!Q1312:Q1362)+Markniveau!$Y1302*Markniveau!$S1302/100,"")))</f>
        <v>10</v>
      </c>
      <c r="AK1302" s="10">
        <f t="shared" si="209"/>
        <v>32.700000000000003</v>
      </c>
      <c r="AL1302" s="10" t="str">
        <f t="shared" si="211"/>
        <v/>
      </c>
      <c r="AM1302" s="10" t="str">
        <f t="shared" si="212"/>
        <v/>
      </c>
    </row>
    <row r="1303" spans="1:39" x14ac:dyDescent="0.25">
      <c r="A1303" s="15">
        <v>46500350</v>
      </c>
      <c r="B1303" s="15">
        <v>48.44</v>
      </c>
      <c r="C1303" s="15">
        <v>413456</v>
      </c>
      <c r="D1303" s="15">
        <v>143136</v>
      </c>
      <c r="E1303" s="15" t="s">
        <v>1161</v>
      </c>
      <c r="F1303" s="15">
        <v>2011</v>
      </c>
      <c r="G1303" s="15">
        <v>20110310</v>
      </c>
      <c r="H1303" s="15">
        <v>33439</v>
      </c>
      <c r="I1303" s="15">
        <v>3.34</v>
      </c>
      <c r="J1303" s="6" t="s">
        <v>36</v>
      </c>
      <c r="K1303" s="15">
        <v>583</v>
      </c>
      <c r="L1303" s="15" t="s">
        <v>154</v>
      </c>
      <c r="M1303" s="15" t="s">
        <v>155</v>
      </c>
      <c r="N1303" s="11" t="s">
        <v>1406</v>
      </c>
      <c r="O1303" s="11" t="s">
        <v>46</v>
      </c>
      <c r="P1303" s="11" t="s">
        <v>29</v>
      </c>
      <c r="Q1303" s="15">
        <v>95</v>
      </c>
      <c r="R1303" s="11" t="s">
        <v>3</v>
      </c>
      <c r="S1303" s="10">
        <v>0</v>
      </c>
      <c r="T1303" s="15">
        <v>80</v>
      </c>
      <c r="U1303" s="15">
        <v>0</v>
      </c>
      <c r="V1303" s="15">
        <v>0</v>
      </c>
      <c r="W1303" s="15">
        <v>0</v>
      </c>
      <c r="X1303" s="15">
        <f>IF(O1303='Udvaskning nøgletal'!$D$65,1,IF(O1303='Udvaskning nøgletal'!$D$66,2,IF(O1303='Udvaskning nøgletal'!$D$67,3,IF(O1303='Udvaskning nøgletal'!$D$68,2,""))))</f>
        <v>2</v>
      </c>
      <c r="Y1303" s="15">
        <f>LOOKUP(K1303,'Udvaskning nøgletal'!$C$12:$C$60,'Udvaskning nøgletal'!$H$12:$H$60)</f>
        <v>0</v>
      </c>
      <c r="Z1303" s="10">
        <f>IF(X1303=1,LOOKUP(K1303,'Udvaskning nøgletal'!$C$12:$C$60,'Udvaskning nøgletal'!$E$12:$E$60)+Markniveau!Y1303*Markniveau!S1303/100,IF(X1303=2,LOOKUP(K1303,'Udvaskning nøgletal'!$C$12:$C$60,'Udvaskning nøgletal'!$F$12:$F$60)+Markniveau!Y1303*Markniveau!S1303/100,IF(X1303=3,LOOKUP(K1303,'Udvaskning nøgletal'!$C$12:$C$60,'Udvaskning nøgletal'!G1313:G1361)+Markniveau!Y1303*Markniveau!S1303/100,"")))</f>
        <v>10</v>
      </c>
      <c r="AA1303" s="10">
        <f t="shared" si="206"/>
        <v>33.4</v>
      </c>
      <c r="AB1303" s="10">
        <f t="shared" si="205"/>
        <v>0.5</v>
      </c>
      <c r="AC1303" s="10">
        <f t="shared" si="207"/>
        <v>1.67</v>
      </c>
      <c r="AD1303" s="10">
        <f>IF(AND(Q1303&gt;0,Q1303&lt;30,K1303&lt;8),Markniveau!Z1303*'Udvaskning nøgletal'!$I$12/100,IF(AND(Q1303&gt;0,Q1303&lt;30,K1303=216),Markniveau!Z1303*'Udvaskning nøgletal'!$I$34/100,Markniveau!Z1303))</f>
        <v>10</v>
      </c>
      <c r="AE1303" s="10">
        <f t="shared" si="213"/>
        <v>33.4</v>
      </c>
      <c r="AF1303" s="10">
        <f t="shared" si="208"/>
        <v>0.5</v>
      </c>
      <c r="AG1303" s="10">
        <f t="shared" si="214"/>
        <v>1.67</v>
      </c>
      <c r="AH1303" s="10" t="str">
        <f>IF(AND(Q1303&gt;0,Q1303&lt;30,K1303=216),'Udvaskning nøgletal'!$C$42,IF(AND(Q1303&gt;0,Q1303&lt;30,K1303&gt;7,K1303&lt;17),'Udvaskning nøgletal'!$C$61,IF(AND(Q1303&gt;0,Q1303&lt;30,K1303&lt;7),'Udvaskning nøgletal'!$C$62,"")))</f>
        <v/>
      </c>
      <c r="AI1303" s="10">
        <f t="shared" si="210"/>
        <v>583</v>
      </c>
      <c r="AJ1303" s="10">
        <f>IF($X1303=1,LOOKUP(AI1303,'Udvaskning nøgletal'!$C$12:$C$62,'Udvaskning nøgletal'!$E$12:$E$62)+Markniveau!$Y1303*Markniveau!$S1303/100,IF($X1303=2,LOOKUP(AI1303,'Udvaskning nøgletal'!$C$12:$C$62,'Udvaskning nøgletal'!$F$12:$F$62)+Markniveau!$Y1303*Markniveau!$S1303/100,IF($X1303=3,LOOKUP(AI1303,'Udvaskning nøgletal'!$C$12:$C$62,'Udvaskning nøgletal'!Q1313:Q1363)+Markniveau!$Y1303*Markniveau!$S1303/100,"")))</f>
        <v>10</v>
      </c>
      <c r="AK1303" s="10">
        <f t="shared" si="209"/>
        <v>33.4</v>
      </c>
      <c r="AL1303" s="10">
        <f t="shared" si="211"/>
        <v>0.5</v>
      </c>
      <c r="AM1303" s="10">
        <f t="shared" si="212"/>
        <v>1.67</v>
      </c>
    </row>
    <row r="1304" spans="1:39" x14ac:dyDescent="0.25">
      <c r="A1304" s="15">
        <v>46500350</v>
      </c>
      <c r="B1304" s="15">
        <v>48.44</v>
      </c>
      <c r="C1304" s="15">
        <v>416502</v>
      </c>
      <c r="D1304" s="15">
        <v>143136</v>
      </c>
      <c r="E1304" s="15" t="s">
        <v>1162</v>
      </c>
      <c r="F1304" s="15">
        <v>2011</v>
      </c>
      <c r="G1304" s="15">
        <v>20110310</v>
      </c>
      <c r="H1304" s="15">
        <v>9367</v>
      </c>
      <c r="I1304" s="15">
        <v>0.94</v>
      </c>
      <c r="J1304" s="6" t="s">
        <v>86</v>
      </c>
      <c r="K1304" s="15">
        <v>583</v>
      </c>
      <c r="L1304" s="15" t="s">
        <v>154</v>
      </c>
      <c r="M1304" s="15" t="s">
        <v>155</v>
      </c>
      <c r="N1304" s="11" t="s">
        <v>1391</v>
      </c>
      <c r="O1304" s="11" t="s">
        <v>46</v>
      </c>
      <c r="P1304" s="11" t="s">
        <v>29</v>
      </c>
      <c r="Q1304" s="15">
        <v>95</v>
      </c>
      <c r="R1304" s="11" t="s">
        <v>3</v>
      </c>
      <c r="S1304" s="10">
        <v>0</v>
      </c>
      <c r="T1304" s="15">
        <v>80</v>
      </c>
      <c r="U1304" s="15">
        <v>0</v>
      </c>
      <c r="V1304" s="15">
        <v>0</v>
      </c>
      <c r="W1304" s="15">
        <v>0</v>
      </c>
      <c r="X1304" s="15">
        <f>IF(O1304='Udvaskning nøgletal'!$D$65,1,IF(O1304='Udvaskning nøgletal'!$D$66,2,IF(O1304='Udvaskning nøgletal'!$D$67,3,IF(O1304='Udvaskning nøgletal'!$D$68,2,""))))</f>
        <v>2</v>
      </c>
      <c r="Y1304" s="15">
        <f>LOOKUP(K1304,'Udvaskning nøgletal'!$C$12:$C$60,'Udvaskning nøgletal'!$H$12:$H$60)</f>
        <v>0</v>
      </c>
      <c r="Z1304" s="10">
        <f>IF(X1304=1,LOOKUP(K1304,'Udvaskning nøgletal'!$C$12:$C$60,'Udvaskning nøgletal'!$E$12:$E$60)+Markniveau!Y1304*Markniveau!S1304/100,IF(X1304=2,LOOKUP(K1304,'Udvaskning nøgletal'!$C$12:$C$60,'Udvaskning nøgletal'!$F$12:$F$60)+Markniveau!Y1304*Markniveau!S1304/100,IF(X1304=3,LOOKUP(K1304,'Udvaskning nøgletal'!$C$12:$C$60,'Udvaskning nøgletal'!G1314:G1362)+Markniveau!Y1304*Markniveau!S1304/100,"")))</f>
        <v>10</v>
      </c>
      <c r="AA1304" s="10">
        <f t="shared" si="206"/>
        <v>9.3999999999999986</v>
      </c>
      <c r="AB1304" s="10">
        <f t="shared" si="205"/>
        <v>0.5</v>
      </c>
      <c r="AC1304" s="10">
        <f t="shared" si="207"/>
        <v>0.47</v>
      </c>
      <c r="AD1304" s="10">
        <f>IF(AND(Q1304&gt;0,Q1304&lt;30,K1304&lt;8),Markniveau!Z1304*'Udvaskning nøgletal'!$I$12/100,IF(AND(Q1304&gt;0,Q1304&lt;30,K1304=216),Markniveau!Z1304*'Udvaskning nøgletal'!$I$34/100,Markniveau!Z1304))</f>
        <v>10</v>
      </c>
      <c r="AE1304" s="10">
        <f t="shared" si="213"/>
        <v>9.3999999999999986</v>
      </c>
      <c r="AF1304" s="10">
        <f t="shared" si="208"/>
        <v>0.5</v>
      </c>
      <c r="AG1304" s="10">
        <f t="shared" si="214"/>
        <v>0.47</v>
      </c>
      <c r="AH1304" s="10" t="str">
        <f>IF(AND(Q1304&gt;0,Q1304&lt;30,K1304=216),'Udvaskning nøgletal'!$C$42,IF(AND(Q1304&gt;0,Q1304&lt;30,K1304&gt;7,K1304&lt;17),'Udvaskning nøgletal'!$C$61,IF(AND(Q1304&gt;0,Q1304&lt;30,K1304&lt;7),'Udvaskning nøgletal'!$C$62,"")))</f>
        <v/>
      </c>
      <c r="AI1304" s="10">
        <f t="shared" si="210"/>
        <v>583</v>
      </c>
      <c r="AJ1304" s="10">
        <f>IF($X1304=1,LOOKUP(AI1304,'Udvaskning nøgletal'!$C$12:$C$62,'Udvaskning nøgletal'!$E$12:$E$62)+Markniveau!$Y1304*Markniveau!$S1304/100,IF($X1304=2,LOOKUP(AI1304,'Udvaskning nøgletal'!$C$12:$C$62,'Udvaskning nøgletal'!$F$12:$F$62)+Markniveau!$Y1304*Markniveau!$S1304/100,IF($X1304=3,LOOKUP(AI1304,'Udvaskning nøgletal'!$C$12:$C$62,'Udvaskning nøgletal'!Q1314:Q1364)+Markniveau!$Y1304*Markniveau!$S1304/100,"")))</f>
        <v>10</v>
      </c>
      <c r="AK1304" s="10">
        <f t="shared" si="209"/>
        <v>9.3999999999999986</v>
      </c>
      <c r="AL1304" s="10">
        <f t="shared" si="211"/>
        <v>0.5</v>
      </c>
      <c r="AM1304" s="10">
        <f t="shared" si="212"/>
        <v>0.47</v>
      </c>
    </row>
    <row r="1305" spans="1:39" x14ac:dyDescent="0.25">
      <c r="A1305" s="15">
        <v>46500350</v>
      </c>
      <c r="B1305" s="15">
        <v>48.44</v>
      </c>
      <c r="C1305" s="15">
        <v>423177</v>
      </c>
      <c r="D1305" s="15">
        <v>143136</v>
      </c>
      <c r="E1305" s="15" t="s">
        <v>1162</v>
      </c>
      <c r="F1305" s="15">
        <v>2011</v>
      </c>
      <c r="G1305" s="15">
        <v>20110310</v>
      </c>
      <c r="H1305" s="15">
        <v>2440</v>
      </c>
      <c r="I1305" s="15">
        <v>0.24</v>
      </c>
      <c r="J1305" s="6" t="s">
        <v>1437</v>
      </c>
      <c r="K1305" s="15">
        <v>583</v>
      </c>
      <c r="L1305" s="15" t="s">
        <v>154</v>
      </c>
      <c r="M1305" s="15" t="s">
        <v>155</v>
      </c>
      <c r="N1305" s="11" t="s">
        <v>1391</v>
      </c>
      <c r="O1305" s="11" t="s">
        <v>46</v>
      </c>
      <c r="P1305" s="11" t="s">
        <v>29</v>
      </c>
      <c r="Q1305" s="15">
        <v>95</v>
      </c>
      <c r="R1305" s="11" t="s">
        <v>3</v>
      </c>
      <c r="S1305" s="10">
        <v>0</v>
      </c>
      <c r="T1305" s="15">
        <v>80</v>
      </c>
      <c r="U1305" s="15">
        <v>0</v>
      </c>
      <c r="V1305" s="15">
        <v>0</v>
      </c>
      <c r="W1305" s="15">
        <v>0</v>
      </c>
      <c r="X1305" s="15">
        <f>IF(O1305='Udvaskning nøgletal'!$D$65,1,IF(O1305='Udvaskning nøgletal'!$D$66,2,IF(O1305='Udvaskning nøgletal'!$D$67,3,IF(O1305='Udvaskning nøgletal'!$D$68,2,""))))</f>
        <v>2</v>
      </c>
      <c r="Y1305" s="15">
        <f>LOOKUP(K1305,'Udvaskning nøgletal'!$C$12:$C$60,'Udvaskning nøgletal'!$H$12:$H$60)</f>
        <v>0</v>
      </c>
      <c r="Z1305" s="10">
        <f>IF(X1305=1,LOOKUP(K1305,'Udvaskning nøgletal'!$C$12:$C$60,'Udvaskning nøgletal'!$E$12:$E$60)+Markniveau!Y1305*Markniveau!S1305/100,IF(X1305=2,LOOKUP(K1305,'Udvaskning nøgletal'!$C$12:$C$60,'Udvaskning nøgletal'!$F$12:$F$60)+Markniveau!Y1305*Markniveau!S1305/100,IF(X1305=3,LOOKUP(K1305,'Udvaskning nøgletal'!$C$12:$C$60,'Udvaskning nøgletal'!G1315:G1363)+Markniveau!Y1305*Markniveau!S1305/100,"")))</f>
        <v>10</v>
      </c>
      <c r="AA1305" s="10">
        <f t="shared" si="206"/>
        <v>2.4</v>
      </c>
      <c r="AB1305" s="10">
        <f t="shared" si="205"/>
        <v>0.5</v>
      </c>
      <c r="AC1305" s="10">
        <f t="shared" si="207"/>
        <v>0.12</v>
      </c>
      <c r="AD1305" s="10">
        <f>IF(AND(Q1305&gt;0,Q1305&lt;30,K1305&lt;8),Markniveau!Z1305*'Udvaskning nøgletal'!$I$12/100,IF(AND(Q1305&gt;0,Q1305&lt;30,K1305=216),Markniveau!Z1305*'Udvaskning nøgletal'!$I$34/100,Markniveau!Z1305))</f>
        <v>10</v>
      </c>
      <c r="AE1305" s="10">
        <f t="shared" si="213"/>
        <v>2.4</v>
      </c>
      <c r="AF1305" s="10">
        <f t="shared" si="208"/>
        <v>0.5</v>
      </c>
      <c r="AG1305" s="10">
        <f t="shared" si="214"/>
        <v>0.12</v>
      </c>
      <c r="AH1305" s="10" t="str">
        <f>IF(AND(Q1305&gt;0,Q1305&lt;30,K1305=216),'Udvaskning nøgletal'!$C$42,IF(AND(Q1305&gt;0,Q1305&lt;30,K1305&gt;7,K1305&lt;17),'Udvaskning nøgletal'!$C$61,IF(AND(Q1305&gt;0,Q1305&lt;30,K1305&lt;7),'Udvaskning nøgletal'!$C$62,"")))</f>
        <v/>
      </c>
      <c r="AI1305" s="10">
        <f t="shared" si="210"/>
        <v>583</v>
      </c>
      <c r="AJ1305" s="10">
        <f>IF($X1305=1,LOOKUP(AI1305,'Udvaskning nøgletal'!$C$12:$C$62,'Udvaskning nøgletal'!$E$12:$E$62)+Markniveau!$Y1305*Markniveau!$S1305/100,IF($X1305=2,LOOKUP(AI1305,'Udvaskning nøgletal'!$C$12:$C$62,'Udvaskning nøgletal'!$F$12:$F$62)+Markniveau!$Y1305*Markniveau!$S1305/100,IF($X1305=3,LOOKUP(AI1305,'Udvaskning nøgletal'!$C$12:$C$62,'Udvaskning nøgletal'!Q1315:Q1365)+Markniveau!$Y1305*Markniveau!$S1305/100,"")))</f>
        <v>10</v>
      </c>
      <c r="AK1305" s="10">
        <f t="shared" si="209"/>
        <v>2.4</v>
      </c>
      <c r="AL1305" s="10">
        <f t="shared" si="211"/>
        <v>0.5</v>
      </c>
      <c r="AM1305" s="10">
        <f t="shared" si="212"/>
        <v>0.12</v>
      </c>
    </row>
    <row r="1306" spans="1:39" x14ac:dyDescent="0.25">
      <c r="A1306" s="15">
        <v>46500350</v>
      </c>
      <c r="B1306" s="15">
        <v>48.44</v>
      </c>
      <c r="C1306" s="15">
        <v>425859</v>
      </c>
      <c r="D1306" s="15">
        <v>143136</v>
      </c>
      <c r="E1306" s="15" t="s">
        <v>1162</v>
      </c>
      <c r="F1306" s="15">
        <v>2011</v>
      </c>
      <c r="G1306" s="15">
        <v>20110310</v>
      </c>
      <c r="H1306" s="15">
        <v>20668</v>
      </c>
      <c r="I1306" s="15">
        <v>2.0699999999999998</v>
      </c>
      <c r="J1306" s="6" t="s">
        <v>1415</v>
      </c>
      <c r="K1306" s="15">
        <v>583</v>
      </c>
      <c r="L1306" s="15" t="s">
        <v>154</v>
      </c>
      <c r="M1306" s="15" t="s">
        <v>155</v>
      </c>
      <c r="N1306" s="11" t="s">
        <v>1391</v>
      </c>
      <c r="O1306" s="11" t="s">
        <v>46</v>
      </c>
      <c r="P1306" s="11" t="s">
        <v>29</v>
      </c>
      <c r="Q1306" s="15">
        <v>95</v>
      </c>
      <c r="R1306" s="11" t="s">
        <v>3</v>
      </c>
      <c r="S1306" s="10">
        <v>0</v>
      </c>
      <c r="T1306" s="15">
        <v>80</v>
      </c>
      <c r="U1306" s="15">
        <v>0</v>
      </c>
      <c r="V1306" s="15">
        <v>0</v>
      </c>
      <c r="W1306" s="15">
        <v>0</v>
      </c>
      <c r="X1306" s="15">
        <f>IF(O1306='Udvaskning nøgletal'!$D$65,1,IF(O1306='Udvaskning nøgletal'!$D$66,2,IF(O1306='Udvaskning nøgletal'!$D$67,3,IF(O1306='Udvaskning nøgletal'!$D$68,2,""))))</f>
        <v>2</v>
      </c>
      <c r="Y1306" s="15">
        <f>LOOKUP(K1306,'Udvaskning nøgletal'!$C$12:$C$60,'Udvaskning nøgletal'!$H$12:$H$60)</f>
        <v>0</v>
      </c>
      <c r="Z1306" s="10">
        <f>IF(X1306=1,LOOKUP(K1306,'Udvaskning nøgletal'!$C$12:$C$60,'Udvaskning nøgletal'!$E$12:$E$60)+Markniveau!Y1306*Markniveau!S1306/100,IF(X1306=2,LOOKUP(K1306,'Udvaskning nøgletal'!$C$12:$C$60,'Udvaskning nøgletal'!$F$12:$F$60)+Markniveau!Y1306*Markniveau!S1306/100,IF(X1306=3,LOOKUP(K1306,'Udvaskning nøgletal'!$C$12:$C$60,'Udvaskning nøgletal'!G1316:G1364)+Markniveau!Y1306*Markniveau!S1306/100,"")))</f>
        <v>10</v>
      </c>
      <c r="AA1306" s="10">
        <f t="shared" si="206"/>
        <v>20.7</v>
      </c>
      <c r="AB1306" s="10">
        <f t="shared" si="205"/>
        <v>0.5</v>
      </c>
      <c r="AC1306" s="10">
        <f t="shared" si="207"/>
        <v>1.0349999999999999</v>
      </c>
      <c r="AD1306" s="10">
        <f>IF(AND(Q1306&gt;0,Q1306&lt;30,K1306&lt;8),Markniveau!Z1306*'Udvaskning nøgletal'!$I$12/100,IF(AND(Q1306&gt;0,Q1306&lt;30,K1306=216),Markniveau!Z1306*'Udvaskning nøgletal'!$I$34/100,Markniveau!Z1306))</f>
        <v>10</v>
      </c>
      <c r="AE1306" s="10">
        <f t="shared" si="213"/>
        <v>20.7</v>
      </c>
      <c r="AF1306" s="10">
        <f t="shared" si="208"/>
        <v>0.5</v>
      </c>
      <c r="AG1306" s="10">
        <f t="shared" si="214"/>
        <v>1.0349999999999999</v>
      </c>
      <c r="AH1306" s="10" t="str">
        <f>IF(AND(Q1306&gt;0,Q1306&lt;30,K1306=216),'Udvaskning nøgletal'!$C$42,IF(AND(Q1306&gt;0,Q1306&lt;30,K1306&gt;7,K1306&lt;17),'Udvaskning nøgletal'!$C$61,IF(AND(Q1306&gt;0,Q1306&lt;30,K1306&lt;7),'Udvaskning nøgletal'!$C$62,"")))</f>
        <v/>
      </c>
      <c r="AI1306" s="10">
        <f t="shared" si="210"/>
        <v>583</v>
      </c>
      <c r="AJ1306" s="10">
        <f>IF($X1306=1,LOOKUP(AI1306,'Udvaskning nøgletal'!$C$12:$C$62,'Udvaskning nøgletal'!$E$12:$E$62)+Markniveau!$Y1306*Markniveau!$S1306/100,IF($X1306=2,LOOKUP(AI1306,'Udvaskning nøgletal'!$C$12:$C$62,'Udvaskning nøgletal'!$F$12:$F$62)+Markniveau!$Y1306*Markniveau!$S1306/100,IF($X1306=3,LOOKUP(AI1306,'Udvaskning nøgletal'!$C$12:$C$62,'Udvaskning nøgletal'!Q1316:Q1366)+Markniveau!$Y1306*Markniveau!$S1306/100,"")))</f>
        <v>10</v>
      </c>
      <c r="AK1306" s="10">
        <f t="shared" si="209"/>
        <v>20.7</v>
      </c>
      <c r="AL1306" s="10">
        <f t="shared" si="211"/>
        <v>0.5</v>
      </c>
      <c r="AM1306" s="10">
        <f t="shared" si="212"/>
        <v>1.0349999999999999</v>
      </c>
    </row>
    <row r="1307" spans="1:39" x14ac:dyDescent="0.25">
      <c r="A1307" s="15">
        <v>46500350</v>
      </c>
      <c r="B1307" s="15">
        <v>48.44</v>
      </c>
      <c r="C1307" s="15">
        <v>433508</v>
      </c>
      <c r="D1307" s="15">
        <v>143136</v>
      </c>
      <c r="E1307" s="15" t="s">
        <v>1163</v>
      </c>
      <c r="F1307" s="15">
        <v>2011</v>
      </c>
      <c r="G1307" s="15">
        <v>20110310</v>
      </c>
      <c r="H1307" s="15">
        <v>20534</v>
      </c>
      <c r="I1307" s="15">
        <v>2.0499999999999998</v>
      </c>
      <c r="J1307" s="6" t="s">
        <v>61</v>
      </c>
      <c r="K1307" s="15">
        <v>583</v>
      </c>
      <c r="L1307" s="15" t="s">
        <v>154</v>
      </c>
      <c r="M1307" s="15" t="s">
        <v>155</v>
      </c>
      <c r="N1307" s="11" t="s">
        <v>1406</v>
      </c>
      <c r="O1307" s="11" t="s">
        <v>46</v>
      </c>
      <c r="P1307" s="11" t="s">
        <v>29</v>
      </c>
      <c r="Q1307" s="15">
        <v>95</v>
      </c>
      <c r="R1307" s="11" t="s">
        <v>3</v>
      </c>
      <c r="S1307" s="10">
        <v>0</v>
      </c>
      <c r="T1307" s="15">
        <v>80</v>
      </c>
      <c r="U1307" s="15">
        <v>0</v>
      </c>
      <c r="V1307" s="15">
        <v>0</v>
      </c>
      <c r="W1307" s="15">
        <v>0</v>
      </c>
      <c r="X1307" s="15">
        <f>IF(O1307='Udvaskning nøgletal'!$D$65,1,IF(O1307='Udvaskning nøgletal'!$D$66,2,IF(O1307='Udvaskning nøgletal'!$D$67,3,IF(O1307='Udvaskning nøgletal'!$D$68,2,""))))</f>
        <v>2</v>
      </c>
      <c r="Y1307" s="15">
        <f>LOOKUP(K1307,'Udvaskning nøgletal'!$C$12:$C$60,'Udvaskning nøgletal'!$H$12:$H$60)</f>
        <v>0</v>
      </c>
      <c r="Z1307" s="10">
        <f>IF(X1307=1,LOOKUP(K1307,'Udvaskning nøgletal'!$C$12:$C$60,'Udvaskning nøgletal'!$E$12:$E$60)+Markniveau!Y1307*Markniveau!S1307/100,IF(X1307=2,LOOKUP(K1307,'Udvaskning nøgletal'!$C$12:$C$60,'Udvaskning nøgletal'!$F$12:$F$60)+Markniveau!Y1307*Markniveau!S1307/100,IF(X1307=3,LOOKUP(K1307,'Udvaskning nøgletal'!$C$12:$C$60,'Udvaskning nøgletal'!G1317:G1365)+Markniveau!Y1307*Markniveau!S1307/100,"")))</f>
        <v>10</v>
      </c>
      <c r="AA1307" s="10">
        <f t="shared" si="206"/>
        <v>20.5</v>
      </c>
      <c r="AB1307" s="10">
        <f t="shared" si="205"/>
        <v>0.5</v>
      </c>
      <c r="AC1307" s="10">
        <f t="shared" si="207"/>
        <v>1.0249999999999999</v>
      </c>
      <c r="AD1307" s="10">
        <f>IF(AND(Q1307&gt;0,Q1307&lt;30,K1307&lt;8),Markniveau!Z1307*'Udvaskning nøgletal'!$I$12/100,IF(AND(Q1307&gt;0,Q1307&lt;30,K1307=216),Markniveau!Z1307*'Udvaskning nøgletal'!$I$34/100,Markniveau!Z1307))</f>
        <v>10</v>
      </c>
      <c r="AE1307" s="10">
        <f t="shared" si="213"/>
        <v>20.5</v>
      </c>
      <c r="AF1307" s="10">
        <f t="shared" si="208"/>
        <v>0.5</v>
      </c>
      <c r="AG1307" s="10">
        <f t="shared" si="214"/>
        <v>1.0249999999999999</v>
      </c>
      <c r="AH1307" s="10" t="str">
        <f>IF(AND(Q1307&gt;0,Q1307&lt;30,K1307=216),'Udvaskning nøgletal'!$C$42,IF(AND(Q1307&gt;0,Q1307&lt;30,K1307&gt;7,K1307&lt;17),'Udvaskning nøgletal'!$C$61,IF(AND(Q1307&gt;0,Q1307&lt;30,K1307&lt;7),'Udvaskning nøgletal'!$C$62,"")))</f>
        <v/>
      </c>
      <c r="AI1307" s="10">
        <f t="shared" si="210"/>
        <v>583</v>
      </c>
      <c r="AJ1307" s="10">
        <f>IF($X1307=1,LOOKUP(AI1307,'Udvaskning nøgletal'!$C$12:$C$62,'Udvaskning nøgletal'!$E$12:$E$62)+Markniveau!$Y1307*Markniveau!$S1307/100,IF($X1307=2,LOOKUP(AI1307,'Udvaskning nøgletal'!$C$12:$C$62,'Udvaskning nøgletal'!$F$12:$F$62)+Markniveau!$Y1307*Markniveau!$S1307/100,IF($X1307=3,LOOKUP(AI1307,'Udvaskning nøgletal'!$C$12:$C$62,'Udvaskning nøgletal'!Q1317:Q1367)+Markniveau!$Y1307*Markniveau!$S1307/100,"")))</f>
        <v>10</v>
      </c>
      <c r="AK1307" s="10">
        <f t="shared" si="209"/>
        <v>20.5</v>
      </c>
      <c r="AL1307" s="10">
        <f t="shared" si="211"/>
        <v>0.5</v>
      </c>
      <c r="AM1307" s="10">
        <f t="shared" si="212"/>
        <v>1.0249999999999999</v>
      </c>
    </row>
    <row r="1308" spans="1:39" x14ac:dyDescent="0.25">
      <c r="A1308" s="15">
        <v>46500350</v>
      </c>
      <c r="B1308" s="15">
        <v>48.44</v>
      </c>
      <c r="C1308" s="15">
        <v>437275</v>
      </c>
      <c r="D1308" s="15">
        <v>143136</v>
      </c>
      <c r="E1308" s="15" t="s">
        <v>185</v>
      </c>
      <c r="F1308" s="15">
        <v>2011</v>
      </c>
      <c r="G1308" s="15">
        <v>20110310</v>
      </c>
      <c r="H1308" s="15">
        <v>78045</v>
      </c>
      <c r="I1308" s="15">
        <v>7.8</v>
      </c>
      <c r="J1308" s="6" t="s">
        <v>87</v>
      </c>
      <c r="K1308" s="15">
        <v>583</v>
      </c>
      <c r="L1308" s="15" t="s">
        <v>154</v>
      </c>
      <c r="M1308" s="15" t="s">
        <v>155</v>
      </c>
      <c r="N1308" s="11" t="s">
        <v>1384</v>
      </c>
      <c r="O1308" s="11" t="s">
        <v>28</v>
      </c>
      <c r="P1308" s="11" t="s">
        <v>29</v>
      </c>
      <c r="Q1308" s="15">
        <v>1</v>
      </c>
      <c r="R1308" s="11" t="s">
        <v>11</v>
      </c>
      <c r="S1308" s="10">
        <v>0</v>
      </c>
      <c r="T1308" s="15">
        <v>80</v>
      </c>
      <c r="U1308" s="15">
        <v>0</v>
      </c>
      <c r="V1308" s="15">
        <v>0</v>
      </c>
      <c r="W1308" s="15">
        <v>0</v>
      </c>
      <c r="X1308" s="15">
        <f>IF(O1308='Udvaskning nøgletal'!$D$65,1,IF(O1308='Udvaskning nøgletal'!$D$66,2,IF(O1308='Udvaskning nøgletal'!$D$67,3,IF(O1308='Udvaskning nøgletal'!$D$68,2,""))))</f>
        <v>1</v>
      </c>
      <c r="Y1308" s="15">
        <f>LOOKUP(K1308,'Udvaskning nøgletal'!$C$12:$C$60,'Udvaskning nøgletal'!$H$12:$H$60)</f>
        <v>0</v>
      </c>
      <c r="Z1308" s="10">
        <f>IF(X1308=1,LOOKUP(K1308,'Udvaskning nøgletal'!$C$12:$C$60,'Udvaskning nøgletal'!$E$12:$E$60)+Markniveau!Y1308*Markniveau!S1308/100,IF(X1308=2,LOOKUP(K1308,'Udvaskning nøgletal'!$C$12:$C$60,'Udvaskning nøgletal'!$F$12:$F$60)+Markniveau!Y1308*Markniveau!S1308/100,IF(X1308=3,LOOKUP(K1308,'Udvaskning nøgletal'!$C$12:$C$60,'Udvaskning nøgletal'!G1318:G1366)+Markniveau!Y1308*Markniveau!S1308/100,"")))</f>
        <v>10</v>
      </c>
      <c r="AA1308" s="10">
        <f t="shared" si="206"/>
        <v>78</v>
      </c>
      <c r="AB1308" s="10">
        <f t="shared" si="205"/>
        <v>9.9</v>
      </c>
      <c r="AC1308" s="10">
        <f t="shared" si="207"/>
        <v>77.22</v>
      </c>
      <c r="AD1308" s="10">
        <f>IF(AND(Q1308&gt;0,Q1308&lt;30,K1308&lt;8),Markniveau!Z1308*'Udvaskning nøgletal'!$I$12/100,IF(AND(Q1308&gt;0,Q1308&lt;30,K1308=216),Markniveau!Z1308*'Udvaskning nøgletal'!$I$34/100,Markniveau!Z1308))</f>
        <v>10</v>
      </c>
      <c r="AE1308" s="10">
        <f t="shared" si="213"/>
        <v>78</v>
      </c>
      <c r="AF1308" s="10">
        <f t="shared" si="208"/>
        <v>9.9</v>
      </c>
      <c r="AG1308" s="10">
        <f t="shared" si="214"/>
        <v>77.22</v>
      </c>
      <c r="AH1308" s="10" t="str">
        <f>IF(AND(Q1308&gt;0,Q1308&lt;30,K1308=216),'Udvaskning nøgletal'!$C$42,IF(AND(Q1308&gt;0,Q1308&lt;30,K1308&gt;7,K1308&lt;17),'Udvaskning nøgletal'!$C$61,IF(AND(Q1308&gt;0,Q1308&lt;30,K1308&lt;7),'Udvaskning nøgletal'!$C$62,"")))</f>
        <v/>
      </c>
      <c r="AI1308" s="10">
        <f t="shared" si="210"/>
        <v>583</v>
      </c>
      <c r="AJ1308" s="10">
        <f>IF($X1308=1,LOOKUP(AI1308,'Udvaskning nøgletal'!$C$12:$C$62,'Udvaskning nøgletal'!$E$12:$E$62)+Markniveau!$Y1308*Markniveau!$S1308/100,IF($X1308=2,LOOKUP(AI1308,'Udvaskning nøgletal'!$C$12:$C$62,'Udvaskning nøgletal'!$F$12:$F$62)+Markniveau!$Y1308*Markniveau!$S1308/100,IF($X1308=3,LOOKUP(AI1308,'Udvaskning nøgletal'!$C$12:$C$62,'Udvaskning nøgletal'!Q1318:Q1368)+Markniveau!$Y1308*Markniveau!$S1308/100,"")))</f>
        <v>10</v>
      </c>
      <c r="AK1308" s="10">
        <f t="shared" si="209"/>
        <v>78</v>
      </c>
      <c r="AL1308" s="10">
        <f t="shared" si="211"/>
        <v>9.9</v>
      </c>
      <c r="AM1308" s="10">
        <f t="shared" si="212"/>
        <v>77.22</v>
      </c>
    </row>
    <row r="1309" spans="1:39" x14ac:dyDescent="0.25">
      <c r="A1309" s="15">
        <v>46500350</v>
      </c>
      <c r="B1309" s="15">
        <v>48.44</v>
      </c>
      <c r="C1309" s="15">
        <v>462517</v>
      </c>
      <c r="D1309" s="15">
        <v>143136</v>
      </c>
      <c r="E1309" s="15" t="s">
        <v>1164</v>
      </c>
      <c r="F1309" s="15">
        <v>2011</v>
      </c>
      <c r="G1309" s="15">
        <v>20110310</v>
      </c>
      <c r="H1309" s="15">
        <v>27361</v>
      </c>
      <c r="I1309" s="15">
        <v>2.74</v>
      </c>
      <c r="J1309" s="6" t="s">
        <v>91</v>
      </c>
      <c r="K1309" s="15">
        <v>583</v>
      </c>
      <c r="L1309" s="15" t="s">
        <v>154</v>
      </c>
      <c r="M1309" s="15" t="s">
        <v>155</v>
      </c>
      <c r="N1309" s="11" t="s">
        <v>1384</v>
      </c>
      <c r="O1309" s="11" t="s">
        <v>28</v>
      </c>
      <c r="P1309" s="11" t="s">
        <v>33</v>
      </c>
      <c r="Q1309" s="15">
        <v>1</v>
      </c>
      <c r="R1309" s="11" t="s">
        <v>11</v>
      </c>
      <c r="S1309" s="10">
        <v>0</v>
      </c>
      <c r="T1309" s="15">
        <v>80</v>
      </c>
      <c r="U1309" s="15">
        <v>0</v>
      </c>
      <c r="V1309" s="15">
        <v>0</v>
      </c>
      <c r="W1309" s="15">
        <v>0</v>
      </c>
      <c r="X1309" s="15">
        <f>IF(O1309='Udvaskning nøgletal'!$D$65,1,IF(O1309='Udvaskning nøgletal'!$D$66,2,IF(O1309='Udvaskning nøgletal'!$D$67,3,IF(O1309='Udvaskning nøgletal'!$D$68,2,""))))</f>
        <v>1</v>
      </c>
      <c r="Y1309" s="15">
        <f>LOOKUP(K1309,'Udvaskning nøgletal'!$C$12:$C$60,'Udvaskning nøgletal'!$H$12:$H$60)</f>
        <v>0</v>
      </c>
      <c r="Z1309" s="10">
        <f>IF(X1309=1,LOOKUP(K1309,'Udvaskning nøgletal'!$C$12:$C$60,'Udvaskning nøgletal'!$E$12:$E$60)+Markniveau!Y1309*Markniveau!S1309/100,IF(X1309=2,LOOKUP(K1309,'Udvaskning nøgletal'!$C$12:$C$60,'Udvaskning nøgletal'!$F$12:$F$60)+Markniveau!Y1309*Markniveau!S1309/100,IF(X1309=3,LOOKUP(K1309,'Udvaskning nøgletal'!$C$12:$C$60,'Udvaskning nøgletal'!G1319:G1367)+Markniveau!Y1309*Markniveau!S1309/100,"")))</f>
        <v>10</v>
      </c>
      <c r="AA1309" s="10">
        <f t="shared" si="206"/>
        <v>27.400000000000002</v>
      </c>
      <c r="AB1309" s="10">
        <f t="shared" si="205"/>
        <v>9.9</v>
      </c>
      <c r="AC1309" s="10">
        <f t="shared" si="207"/>
        <v>27.126000000000005</v>
      </c>
      <c r="AD1309" s="10">
        <f>IF(AND(Q1309&gt;0,Q1309&lt;30,K1309&lt;8),Markniveau!Z1309*'Udvaskning nøgletal'!$I$12/100,IF(AND(Q1309&gt;0,Q1309&lt;30,K1309=216),Markniveau!Z1309*'Udvaskning nøgletal'!$I$34/100,Markniveau!Z1309))</f>
        <v>10</v>
      </c>
      <c r="AE1309" s="10">
        <f t="shared" si="213"/>
        <v>27.400000000000002</v>
      </c>
      <c r="AF1309" s="10">
        <f t="shared" si="208"/>
        <v>9.9</v>
      </c>
      <c r="AG1309" s="10">
        <f t="shared" si="214"/>
        <v>27.126000000000005</v>
      </c>
      <c r="AH1309" s="10" t="str">
        <f>IF(AND(Q1309&gt;0,Q1309&lt;30,K1309=216),'Udvaskning nøgletal'!$C$42,IF(AND(Q1309&gt;0,Q1309&lt;30,K1309&gt;7,K1309&lt;17),'Udvaskning nøgletal'!$C$61,IF(AND(Q1309&gt;0,Q1309&lt;30,K1309&lt;7),'Udvaskning nøgletal'!$C$62,"")))</f>
        <v/>
      </c>
      <c r="AI1309" s="10">
        <f t="shared" si="210"/>
        <v>583</v>
      </c>
      <c r="AJ1309" s="10">
        <f>IF($X1309=1,LOOKUP(AI1309,'Udvaskning nøgletal'!$C$12:$C$62,'Udvaskning nøgletal'!$E$12:$E$62)+Markniveau!$Y1309*Markniveau!$S1309/100,IF($X1309=2,LOOKUP(AI1309,'Udvaskning nøgletal'!$C$12:$C$62,'Udvaskning nøgletal'!$F$12:$F$62)+Markniveau!$Y1309*Markniveau!$S1309/100,IF($X1309=3,LOOKUP(AI1309,'Udvaskning nøgletal'!$C$12:$C$62,'Udvaskning nøgletal'!Q1319:Q1369)+Markniveau!$Y1309*Markniveau!$S1309/100,"")))</f>
        <v>10</v>
      </c>
      <c r="AK1309" s="10">
        <f t="shared" si="209"/>
        <v>27.400000000000002</v>
      </c>
      <c r="AL1309" s="10">
        <f t="shared" si="211"/>
        <v>9.9</v>
      </c>
      <c r="AM1309" s="10">
        <f t="shared" si="212"/>
        <v>27.126000000000005</v>
      </c>
    </row>
    <row r="1310" spans="1:39" x14ac:dyDescent="0.25">
      <c r="A1310" s="15">
        <v>46500350</v>
      </c>
      <c r="B1310" s="15">
        <v>48.44</v>
      </c>
      <c r="C1310" s="15">
        <v>472695</v>
      </c>
      <c r="D1310" s="15">
        <v>143136</v>
      </c>
      <c r="E1310" s="15" t="s">
        <v>185</v>
      </c>
      <c r="F1310" s="15">
        <v>2011</v>
      </c>
      <c r="G1310" s="15">
        <v>20110310</v>
      </c>
      <c r="H1310" s="15">
        <v>57571</v>
      </c>
      <c r="I1310" s="15">
        <v>5.76</v>
      </c>
      <c r="J1310" s="6" t="s">
        <v>1462</v>
      </c>
      <c r="K1310" s="15">
        <v>583</v>
      </c>
      <c r="L1310" s="15" t="s">
        <v>154</v>
      </c>
      <c r="M1310" s="15" t="s">
        <v>155</v>
      </c>
      <c r="N1310" s="11" t="s">
        <v>1384</v>
      </c>
      <c r="O1310" s="11" t="s">
        <v>28</v>
      </c>
      <c r="P1310" s="11" t="s">
        <v>29</v>
      </c>
      <c r="Q1310" s="15">
        <v>1</v>
      </c>
      <c r="R1310" s="11" t="s">
        <v>11</v>
      </c>
      <c r="S1310" s="10">
        <v>0</v>
      </c>
      <c r="T1310" s="15">
        <v>80</v>
      </c>
      <c r="U1310" s="15">
        <v>0</v>
      </c>
      <c r="V1310" s="15">
        <v>0</v>
      </c>
      <c r="W1310" s="15">
        <v>0</v>
      </c>
      <c r="X1310" s="15">
        <f>IF(O1310='Udvaskning nøgletal'!$D$65,1,IF(O1310='Udvaskning nøgletal'!$D$66,2,IF(O1310='Udvaskning nøgletal'!$D$67,3,IF(O1310='Udvaskning nøgletal'!$D$68,2,""))))</f>
        <v>1</v>
      </c>
      <c r="Y1310" s="15">
        <f>LOOKUP(K1310,'Udvaskning nøgletal'!$C$12:$C$60,'Udvaskning nøgletal'!$H$12:$H$60)</f>
        <v>0</v>
      </c>
      <c r="Z1310" s="10">
        <f>IF(X1310=1,LOOKUP(K1310,'Udvaskning nøgletal'!$C$12:$C$60,'Udvaskning nøgletal'!$E$12:$E$60)+Markniveau!Y1310*Markniveau!S1310/100,IF(X1310=2,LOOKUP(K1310,'Udvaskning nøgletal'!$C$12:$C$60,'Udvaskning nøgletal'!$F$12:$F$60)+Markniveau!Y1310*Markniveau!S1310/100,IF(X1310=3,LOOKUP(K1310,'Udvaskning nøgletal'!$C$12:$C$60,'Udvaskning nøgletal'!G1320:G1368)+Markniveau!Y1310*Markniveau!S1310/100,"")))</f>
        <v>10</v>
      </c>
      <c r="AA1310" s="10">
        <f t="shared" si="206"/>
        <v>57.599999999999994</v>
      </c>
      <c r="AB1310" s="10">
        <f t="shared" si="205"/>
        <v>9.9</v>
      </c>
      <c r="AC1310" s="10">
        <f t="shared" si="207"/>
        <v>57.024000000000001</v>
      </c>
      <c r="AD1310" s="10">
        <f>IF(AND(Q1310&gt;0,Q1310&lt;30,K1310&lt;8),Markniveau!Z1310*'Udvaskning nøgletal'!$I$12/100,IF(AND(Q1310&gt;0,Q1310&lt;30,K1310=216),Markniveau!Z1310*'Udvaskning nøgletal'!$I$34/100,Markniveau!Z1310))</f>
        <v>10</v>
      </c>
      <c r="AE1310" s="10">
        <f t="shared" si="213"/>
        <v>57.599999999999994</v>
      </c>
      <c r="AF1310" s="10">
        <f t="shared" si="208"/>
        <v>9.9</v>
      </c>
      <c r="AG1310" s="10">
        <f t="shared" si="214"/>
        <v>57.024000000000001</v>
      </c>
      <c r="AH1310" s="10" t="str">
        <f>IF(AND(Q1310&gt;0,Q1310&lt;30,K1310=216),'Udvaskning nøgletal'!$C$42,IF(AND(Q1310&gt;0,Q1310&lt;30,K1310&gt;7,K1310&lt;17),'Udvaskning nøgletal'!$C$61,IF(AND(Q1310&gt;0,Q1310&lt;30,K1310&lt;7),'Udvaskning nøgletal'!$C$62,"")))</f>
        <v/>
      </c>
      <c r="AI1310" s="10">
        <f t="shared" si="210"/>
        <v>583</v>
      </c>
      <c r="AJ1310" s="10">
        <f>IF($X1310=1,LOOKUP(AI1310,'Udvaskning nøgletal'!$C$12:$C$62,'Udvaskning nøgletal'!$E$12:$E$62)+Markniveau!$Y1310*Markniveau!$S1310/100,IF($X1310=2,LOOKUP(AI1310,'Udvaskning nøgletal'!$C$12:$C$62,'Udvaskning nøgletal'!$F$12:$F$62)+Markniveau!$Y1310*Markniveau!$S1310/100,IF($X1310=3,LOOKUP(AI1310,'Udvaskning nøgletal'!$C$12:$C$62,'Udvaskning nøgletal'!Q1320:Q1370)+Markniveau!$Y1310*Markniveau!$S1310/100,"")))</f>
        <v>10</v>
      </c>
      <c r="AK1310" s="10">
        <f t="shared" si="209"/>
        <v>57.599999999999994</v>
      </c>
      <c r="AL1310" s="10">
        <f t="shared" si="211"/>
        <v>9.9</v>
      </c>
      <c r="AM1310" s="10">
        <f t="shared" si="212"/>
        <v>57.024000000000001</v>
      </c>
    </row>
    <row r="1311" spans="1:39" x14ac:dyDescent="0.25">
      <c r="A1311" s="15">
        <v>46500350</v>
      </c>
      <c r="B1311" s="15">
        <v>48.44</v>
      </c>
      <c r="C1311" s="15">
        <v>477529</v>
      </c>
      <c r="D1311" s="15">
        <v>143136</v>
      </c>
      <c r="E1311" s="15" t="s">
        <v>1164</v>
      </c>
      <c r="F1311" s="15">
        <v>2011</v>
      </c>
      <c r="G1311" s="15">
        <v>20110310</v>
      </c>
      <c r="H1311" s="15">
        <v>11914</v>
      </c>
      <c r="I1311" s="15">
        <v>1.19</v>
      </c>
      <c r="J1311" s="6" t="s">
        <v>1394</v>
      </c>
      <c r="K1311" s="15">
        <v>583</v>
      </c>
      <c r="L1311" s="15" t="s">
        <v>154</v>
      </c>
      <c r="M1311" s="15" t="s">
        <v>155</v>
      </c>
      <c r="N1311" s="11" t="s">
        <v>1384</v>
      </c>
      <c r="O1311" s="11" t="s">
        <v>28</v>
      </c>
      <c r="P1311" s="11" t="s">
        <v>33</v>
      </c>
      <c r="Q1311" s="15">
        <v>1</v>
      </c>
      <c r="R1311" s="11" t="s">
        <v>11</v>
      </c>
      <c r="S1311" s="10">
        <v>0</v>
      </c>
      <c r="T1311" s="15">
        <v>80</v>
      </c>
      <c r="U1311" s="15">
        <v>0</v>
      </c>
      <c r="V1311" s="15">
        <v>0</v>
      </c>
      <c r="W1311" s="15">
        <v>0</v>
      </c>
      <c r="X1311" s="15">
        <f>IF(O1311='Udvaskning nøgletal'!$D$65,1,IF(O1311='Udvaskning nøgletal'!$D$66,2,IF(O1311='Udvaskning nøgletal'!$D$67,3,IF(O1311='Udvaskning nøgletal'!$D$68,2,""))))</f>
        <v>1</v>
      </c>
      <c r="Y1311" s="15">
        <f>LOOKUP(K1311,'Udvaskning nøgletal'!$C$12:$C$60,'Udvaskning nøgletal'!$H$12:$H$60)</f>
        <v>0</v>
      </c>
      <c r="Z1311" s="10">
        <f>IF(X1311=1,LOOKUP(K1311,'Udvaskning nøgletal'!$C$12:$C$60,'Udvaskning nøgletal'!$E$12:$E$60)+Markniveau!Y1311*Markniveau!S1311/100,IF(X1311=2,LOOKUP(K1311,'Udvaskning nøgletal'!$C$12:$C$60,'Udvaskning nøgletal'!$F$12:$F$60)+Markniveau!Y1311*Markniveau!S1311/100,IF(X1311=3,LOOKUP(K1311,'Udvaskning nøgletal'!$C$12:$C$60,'Udvaskning nøgletal'!G1321:G1369)+Markniveau!Y1311*Markniveau!S1311/100,"")))</f>
        <v>10</v>
      </c>
      <c r="AA1311" s="10">
        <f t="shared" si="206"/>
        <v>11.899999999999999</v>
      </c>
      <c r="AB1311" s="10">
        <f t="shared" si="205"/>
        <v>9.9</v>
      </c>
      <c r="AC1311" s="10">
        <f t="shared" si="207"/>
        <v>11.781000000000001</v>
      </c>
      <c r="AD1311" s="10">
        <f>IF(AND(Q1311&gt;0,Q1311&lt;30,K1311&lt;8),Markniveau!Z1311*'Udvaskning nøgletal'!$I$12/100,IF(AND(Q1311&gt;0,Q1311&lt;30,K1311=216),Markniveau!Z1311*'Udvaskning nøgletal'!$I$34/100,Markniveau!Z1311))</f>
        <v>10</v>
      </c>
      <c r="AE1311" s="10">
        <f t="shared" si="213"/>
        <v>11.899999999999999</v>
      </c>
      <c r="AF1311" s="10">
        <f t="shared" si="208"/>
        <v>9.9</v>
      </c>
      <c r="AG1311" s="10">
        <f t="shared" si="214"/>
        <v>11.781000000000001</v>
      </c>
      <c r="AH1311" s="10" t="str">
        <f>IF(AND(Q1311&gt;0,Q1311&lt;30,K1311=216),'Udvaskning nøgletal'!$C$42,IF(AND(Q1311&gt;0,Q1311&lt;30,K1311&gt;7,K1311&lt;17),'Udvaskning nøgletal'!$C$61,IF(AND(Q1311&gt;0,Q1311&lt;30,K1311&lt;7),'Udvaskning nøgletal'!$C$62,"")))</f>
        <v/>
      </c>
      <c r="AI1311" s="10">
        <f t="shared" si="210"/>
        <v>583</v>
      </c>
      <c r="AJ1311" s="10">
        <f>IF($X1311=1,LOOKUP(AI1311,'Udvaskning nøgletal'!$C$12:$C$62,'Udvaskning nøgletal'!$E$12:$E$62)+Markniveau!$Y1311*Markniveau!$S1311/100,IF($X1311=2,LOOKUP(AI1311,'Udvaskning nøgletal'!$C$12:$C$62,'Udvaskning nøgletal'!$F$12:$F$62)+Markniveau!$Y1311*Markniveau!$S1311/100,IF($X1311=3,LOOKUP(AI1311,'Udvaskning nøgletal'!$C$12:$C$62,'Udvaskning nøgletal'!Q1321:Q1371)+Markniveau!$Y1311*Markniveau!$S1311/100,"")))</f>
        <v>10</v>
      </c>
      <c r="AK1311" s="10">
        <f t="shared" si="209"/>
        <v>11.899999999999999</v>
      </c>
      <c r="AL1311" s="10">
        <f t="shared" si="211"/>
        <v>9.9</v>
      </c>
      <c r="AM1311" s="10">
        <f t="shared" si="212"/>
        <v>11.781000000000001</v>
      </c>
    </row>
    <row r="1312" spans="1:39" x14ac:dyDescent="0.25">
      <c r="A1312" s="15">
        <v>46500350</v>
      </c>
      <c r="B1312" s="15">
        <v>48.44</v>
      </c>
      <c r="C1312" s="15">
        <v>290329</v>
      </c>
      <c r="D1312" s="15">
        <v>143136</v>
      </c>
      <c r="E1312" s="15" t="s">
        <v>1164</v>
      </c>
      <c r="F1312" s="15">
        <v>2011</v>
      </c>
      <c r="G1312" s="15">
        <v>20110310</v>
      </c>
      <c r="H1312" s="15">
        <v>6389</v>
      </c>
      <c r="I1312" s="15">
        <v>0.64</v>
      </c>
      <c r="J1312" s="6" t="s">
        <v>1392</v>
      </c>
      <c r="K1312" s="15">
        <v>583</v>
      </c>
      <c r="L1312" s="15" t="s">
        <v>154</v>
      </c>
      <c r="M1312" s="15" t="s">
        <v>155</v>
      </c>
      <c r="N1312" s="11" t="s">
        <v>1384</v>
      </c>
      <c r="O1312" s="11" t="s">
        <v>28</v>
      </c>
      <c r="P1312" s="11" t="s">
        <v>33</v>
      </c>
      <c r="Q1312" s="15">
        <v>1</v>
      </c>
      <c r="R1312" s="11" t="s">
        <v>11</v>
      </c>
      <c r="S1312" s="10">
        <v>0</v>
      </c>
      <c r="T1312" s="15">
        <v>80</v>
      </c>
      <c r="U1312" s="15">
        <v>0</v>
      </c>
      <c r="V1312" s="15">
        <v>0</v>
      </c>
      <c r="W1312" s="15">
        <v>0</v>
      </c>
      <c r="X1312" s="15">
        <f>IF(O1312='Udvaskning nøgletal'!$D$65,1,IF(O1312='Udvaskning nøgletal'!$D$66,2,IF(O1312='Udvaskning nøgletal'!$D$67,3,IF(O1312='Udvaskning nøgletal'!$D$68,2,""))))</f>
        <v>1</v>
      </c>
      <c r="Y1312" s="15">
        <f>LOOKUP(K1312,'Udvaskning nøgletal'!$C$12:$C$60,'Udvaskning nøgletal'!$H$12:$H$60)</f>
        <v>0</v>
      </c>
      <c r="Z1312" s="10">
        <f>IF(X1312=1,LOOKUP(K1312,'Udvaskning nøgletal'!$C$12:$C$60,'Udvaskning nøgletal'!$E$12:$E$60)+Markniveau!Y1312*Markniveau!S1312/100,IF(X1312=2,LOOKUP(K1312,'Udvaskning nøgletal'!$C$12:$C$60,'Udvaskning nøgletal'!$F$12:$F$60)+Markniveau!Y1312*Markniveau!S1312/100,IF(X1312=3,LOOKUP(K1312,'Udvaskning nøgletal'!$C$12:$C$60,'Udvaskning nøgletal'!G1322:G1370)+Markniveau!Y1312*Markniveau!S1312/100,"")))</f>
        <v>10</v>
      </c>
      <c r="AA1312" s="10">
        <f t="shared" si="206"/>
        <v>6.4</v>
      </c>
      <c r="AB1312" s="10">
        <f t="shared" si="205"/>
        <v>9.9</v>
      </c>
      <c r="AC1312" s="10">
        <f t="shared" si="207"/>
        <v>6.3360000000000003</v>
      </c>
      <c r="AD1312" s="10">
        <f>IF(AND(Q1312&gt;0,Q1312&lt;30,K1312&lt;8),Markniveau!Z1312*'Udvaskning nøgletal'!$I$12/100,IF(AND(Q1312&gt;0,Q1312&lt;30,K1312=216),Markniveau!Z1312*'Udvaskning nøgletal'!$I$34/100,Markniveau!Z1312))</f>
        <v>10</v>
      </c>
      <c r="AE1312" s="10">
        <f t="shared" si="213"/>
        <v>6.4</v>
      </c>
      <c r="AF1312" s="10">
        <f t="shared" si="208"/>
        <v>9.9</v>
      </c>
      <c r="AG1312" s="10">
        <f t="shared" si="214"/>
        <v>6.3360000000000003</v>
      </c>
      <c r="AH1312" s="10" t="str">
        <f>IF(AND(Q1312&gt;0,Q1312&lt;30,K1312=216),'Udvaskning nøgletal'!$C$42,IF(AND(Q1312&gt;0,Q1312&lt;30,K1312&gt;7,K1312&lt;17),'Udvaskning nøgletal'!$C$61,IF(AND(Q1312&gt;0,Q1312&lt;30,K1312&lt;7),'Udvaskning nøgletal'!$C$62,"")))</f>
        <v/>
      </c>
      <c r="AI1312" s="10">
        <f t="shared" si="210"/>
        <v>583</v>
      </c>
      <c r="AJ1312" s="10">
        <f>IF($X1312=1,LOOKUP(AI1312,'Udvaskning nøgletal'!$C$12:$C$62,'Udvaskning nøgletal'!$E$12:$E$62)+Markniveau!$Y1312*Markniveau!$S1312/100,IF($X1312=2,LOOKUP(AI1312,'Udvaskning nøgletal'!$C$12:$C$62,'Udvaskning nøgletal'!$F$12:$F$62)+Markniveau!$Y1312*Markniveau!$S1312/100,IF($X1312=3,LOOKUP(AI1312,'Udvaskning nøgletal'!$C$12:$C$62,'Udvaskning nøgletal'!Q1322:Q1372)+Markniveau!$Y1312*Markniveau!$S1312/100,"")))</f>
        <v>10</v>
      </c>
      <c r="AK1312" s="10">
        <f t="shared" si="209"/>
        <v>6.4</v>
      </c>
      <c r="AL1312" s="10">
        <f t="shared" si="211"/>
        <v>9.9</v>
      </c>
      <c r="AM1312" s="10">
        <f t="shared" si="212"/>
        <v>6.3360000000000003</v>
      </c>
    </row>
    <row r="1313" spans="1:39" x14ac:dyDescent="0.25">
      <c r="A1313" s="15">
        <v>46500350</v>
      </c>
      <c r="B1313" s="15">
        <v>48.44</v>
      </c>
      <c r="C1313" s="15">
        <v>353711</v>
      </c>
      <c r="D1313" s="15">
        <v>143136</v>
      </c>
      <c r="E1313" s="15" t="s">
        <v>1165</v>
      </c>
      <c r="F1313" s="15">
        <v>2011</v>
      </c>
      <c r="G1313" s="15">
        <v>20110310</v>
      </c>
      <c r="H1313" s="15">
        <v>29039</v>
      </c>
      <c r="I1313" s="15">
        <v>2.9</v>
      </c>
      <c r="J1313" s="6" t="s">
        <v>1409</v>
      </c>
      <c r="K1313" s="15">
        <v>583</v>
      </c>
      <c r="L1313" s="15" t="s">
        <v>154</v>
      </c>
      <c r="M1313" s="15" t="s">
        <v>155</v>
      </c>
      <c r="N1313" s="11" t="s">
        <v>1406</v>
      </c>
      <c r="O1313" s="11" t="s">
        <v>46</v>
      </c>
      <c r="P1313" s="11" t="s">
        <v>29</v>
      </c>
      <c r="Q1313" s="15">
        <v>95</v>
      </c>
      <c r="R1313" s="11" t="s">
        <v>3</v>
      </c>
      <c r="S1313" s="10">
        <v>0</v>
      </c>
      <c r="T1313" s="15">
        <v>80</v>
      </c>
      <c r="U1313" s="15">
        <v>0</v>
      </c>
      <c r="V1313" s="15">
        <v>0</v>
      </c>
      <c r="W1313" s="15">
        <v>0</v>
      </c>
      <c r="X1313" s="15">
        <f>IF(O1313='Udvaskning nøgletal'!$D$65,1,IF(O1313='Udvaskning nøgletal'!$D$66,2,IF(O1313='Udvaskning nøgletal'!$D$67,3,IF(O1313='Udvaskning nøgletal'!$D$68,2,""))))</f>
        <v>2</v>
      </c>
      <c r="Y1313" s="15">
        <f>LOOKUP(K1313,'Udvaskning nøgletal'!$C$12:$C$60,'Udvaskning nøgletal'!$H$12:$H$60)</f>
        <v>0</v>
      </c>
      <c r="Z1313" s="10">
        <f>IF(X1313=1,LOOKUP(K1313,'Udvaskning nøgletal'!$C$12:$C$60,'Udvaskning nøgletal'!$E$12:$E$60)+Markniveau!Y1313*Markniveau!S1313/100,IF(X1313=2,LOOKUP(K1313,'Udvaskning nøgletal'!$C$12:$C$60,'Udvaskning nøgletal'!$F$12:$F$60)+Markniveau!Y1313*Markniveau!S1313/100,IF(X1313=3,LOOKUP(K1313,'Udvaskning nøgletal'!$C$12:$C$60,'Udvaskning nøgletal'!G1323:G1371)+Markniveau!Y1313*Markniveau!S1313/100,"")))</f>
        <v>10</v>
      </c>
      <c r="AA1313" s="10">
        <f t="shared" si="206"/>
        <v>29</v>
      </c>
      <c r="AB1313" s="10">
        <f t="shared" si="205"/>
        <v>0.5</v>
      </c>
      <c r="AC1313" s="10">
        <f t="shared" si="207"/>
        <v>1.45</v>
      </c>
      <c r="AD1313" s="10">
        <f>IF(AND(Q1313&gt;0,Q1313&lt;30,K1313&lt;8),Markniveau!Z1313*'Udvaskning nøgletal'!$I$12/100,IF(AND(Q1313&gt;0,Q1313&lt;30,K1313=216),Markniveau!Z1313*'Udvaskning nøgletal'!$I$34/100,Markniveau!Z1313))</f>
        <v>10</v>
      </c>
      <c r="AE1313" s="10">
        <f t="shared" si="213"/>
        <v>29</v>
      </c>
      <c r="AF1313" s="10">
        <f t="shared" si="208"/>
        <v>0.5</v>
      </c>
      <c r="AG1313" s="10">
        <f t="shared" si="214"/>
        <v>1.45</v>
      </c>
      <c r="AH1313" s="10" t="str">
        <f>IF(AND(Q1313&gt;0,Q1313&lt;30,K1313=216),'Udvaskning nøgletal'!$C$42,IF(AND(Q1313&gt;0,Q1313&lt;30,K1313&gt;7,K1313&lt;17),'Udvaskning nøgletal'!$C$61,IF(AND(Q1313&gt;0,Q1313&lt;30,K1313&lt;7),'Udvaskning nøgletal'!$C$62,"")))</f>
        <v/>
      </c>
      <c r="AI1313" s="10">
        <f t="shared" si="210"/>
        <v>583</v>
      </c>
      <c r="AJ1313" s="10">
        <f>IF($X1313=1,LOOKUP(AI1313,'Udvaskning nøgletal'!$C$12:$C$62,'Udvaskning nøgletal'!$E$12:$E$62)+Markniveau!$Y1313*Markniveau!$S1313/100,IF($X1313=2,LOOKUP(AI1313,'Udvaskning nøgletal'!$C$12:$C$62,'Udvaskning nøgletal'!$F$12:$F$62)+Markniveau!$Y1313*Markniveau!$S1313/100,IF($X1313=3,LOOKUP(AI1313,'Udvaskning nøgletal'!$C$12:$C$62,'Udvaskning nøgletal'!Q1323:Q1373)+Markniveau!$Y1313*Markniveau!$S1313/100,"")))</f>
        <v>10</v>
      </c>
      <c r="AK1313" s="10">
        <f t="shared" si="209"/>
        <v>29</v>
      </c>
      <c r="AL1313" s="10">
        <f t="shared" si="211"/>
        <v>0.5</v>
      </c>
      <c r="AM1313" s="10">
        <f t="shared" si="212"/>
        <v>1.45</v>
      </c>
    </row>
    <row r="1314" spans="1:39" x14ac:dyDescent="0.25">
      <c r="A1314" s="15">
        <v>46981456</v>
      </c>
      <c r="B1314" s="15">
        <v>5.44</v>
      </c>
      <c r="C1314" s="15">
        <v>545110</v>
      </c>
      <c r="D1314" s="15">
        <v>76633</v>
      </c>
      <c r="E1314" s="15" t="s">
        <v>487</v>
      </c>
      <c r="F1314" s="15">
        <v>2011</v>
      </c>
      <c r="G1314" s="15">
        <v>20110317</v>
      </c>
      <c r="H1314" s="15">
        <v>28226</v>
      </c>
      <c r="I1314" s="15">
        <v>2.82</v>
      </c>
      <c r="J1314" s="6" t="s">
        <v>97</v>
      </c>
      <c r="K1314" s="15">
        <v>263</v>
      </c>
      <c r="L1314" s="15" t="s">
        <v>39</v>
      </c>
      <c r="M1314" s="15" t="s">
        <v>5</v>
      </c>
      <c r="N1314" s="11" t="s">
        <v>1391</v>
      </c>
      <c r="O1314" s="11" t="s">
        <v>46</v>
      </c>
      <c r="P1314" s="11" t="s">
        <v>33</v>
      </c>
      <c r="Q1314" s="15">
        <v>95</v>
      </c>
      <c r="R1314" s="11" t="s">
        <v>3</v>
      </c>
      <c r="S1314" s="10">
        <v>169.25373134328001</v>
      </c>
      <c r="T1314" s="15">
        <v>80</v>
      </c>
      <c r="U1314" s="15">
        <v>0</v>
      </c>
      <c r="V1314" s="15">
        <v>0</v>
      </c>
      <c r="W1314" s="15">
        <v>0</v>
      </c>
      <c r="X1314" s="15">
        <f>IF(O1314='Udvaskning nøgletal'!$D$65,1,IF(O1314='Udvaskning nøgletal'!$D$66,2,IF(O1314='Udvaskning nøgletal'!$D$67,3,IF(O1314='Udvaskning nøgletal'!$D$68,2,""))))</f>
        <v>2</v>
      </c>
      <c r="Y1314" s="15">
        <f>LOOKUP(K1314,'Udvaskning nøgletal'!$C$12:$C$60,'Udvaskning nøgletal'!$H$12:$H$60)</f>
        <v>0</v>
      </c>
      <c r="Z1314" s="10">
        <f>IF(X1314=1,LOOKUP(K1314,'Udvaskning nøgletal'!$C$12:$C$60,'Udvaskning nøgletal'!$E$12:$E$60)+Markniveau!Y1314*Markniveau!S1314/100,IF(X1314=2,LOOKUP(K1314,'Udvaskning nøgletal'!$C$12:$C$60,'Udvaskning nøgletal'!$F$12:$F$60)+Markniveau!Y1314*Markniveau!S1314/100,IF(X1314=3,LOOKUP(K1314,'Udvaskning nøgletal'!$C$12:$C$60,'Udvaskning nøgletal'!G1324:G1372)+Markniveau!Y1314*Markniveau!S1314/100,"")))</f>
        <v>27.331185321443094</v>
      </c>
      <c r="AA1314" s="10">
        <f t="shared" si="206"/>
        <v>77.073942606469515</v>
      </c>
      <c r="AB1314" s="10">
        <f t="shared" si="205"/>
        <v>1.3665592660721546</v>
      </c>
      <c r="AC1314" s="10">
        <f t="shared" si="207"/>
        <v>3.8536971303234759</v>
      </c>
      <c r="AD1314" s="10">
        <f>IF(AND(Q1314&gt;0,Q1314&lt;30,K1314&lt;8),Markniveau!Z1314*'Udvaskning nøgletal'!$I$12/100,IF(AND(Q1314&gt;0,Q1314&lt;30,K1314=216),Markniveau!Z1314*'Udvaskning nøgletal'!$I$34/100,Markniveau!Z1314))</f>
        <v>27.331185321443094</v>
      </c>
      <c r="AE1314" s="10">
        <f t="shared" si="213"/>
        <v>77.073942606469515</v>
      </c>
      <c r="AF1314" s="10">
        <f t="shared" si="208"/>
        <v>1.3665592660721546</v>
      </c>
      <c r="AG1314" s="10">
        <f t="shared" si="214"/>
        <v>3.8536971303234759</v>
      </c>
      <c r="AH1314" s="10" t="str">
        <f>IF(AND(Q1314&gt;0,Q1314&lt;30,K1314=216),'Udvaskning nøgletal'!$C$42,IF(AND(Q1314&gt;0,Q1314&lt;30,K1314&gt;7,K1314&lt;17),'Udvaskning nøgletal'!$C$61,IF(AND(Q1314&gt;0,Q1314&lt;30,K1314&lt;7),'Udvaskning nøgletal'!$C$62,"")))</f>
        <v/>
      </c>
      <c r="AI1314" s="10">
        <f t="shared" si="210"/>
        <v>263</v>
      </c>
      <c r="AJ1314" s="10">
        <f>IF($X1314=1,LOOKUP(AI1314,'Udvaskning nøgletal'!$C$12:$C$62,'Udvaskning nøgletal'!$E$12:$E$62)+Markniveau!$Y1314*Markniveau!$S1314/100,IF($X1314=2,LOOKUP(AI1314,'Udvaskning nøgletal'!$C$12:$C$62,'Udvaskning nøgletal'!$F$12:$F$62)+Markniveau!$Y1314*Markniveau!$S1314/100,IF($X1314=3,LOOKUP(AI1314,'Udvaskning nøgletal'!$C$12:$C$62,'Udvaskning nøgletal'!Q1324:Q1374)+Markniveau!$Y1314*Markniveau!$S1314/100,"")))</f>
        <v>27.331185321443094</v>
      </c>
      <c r="AK1314" s="10">
        <f t="shared" si="209"/>
        <v>77.073942606469515</v>
      </c>
      <c r="AL1314" s="10">
        <f t="shared" si="211"/>
        <v>1.3665592660721546</v>
      </c>
      <c r="AM1314" s="10">
        <f t="shared" si="212"/>
        <v>3.8536971303234759</v>
      </c>
    </row>
    <row r="1315" spans="1:39" x14ac:dyDescent="0.25">
      <c r="A1315" s="15">
        <v>46981456</v>
      </c>
      <c r="B1315" s="15">
        <v>5.44</v>
      </c>
      <c r="C1315" s="15">
        <v>545111</v>
      </c>
      <c r="D1315" s="15">
        <v>76633</v>
      </c>
      <c r="E1315" s="15" t="s">
        <v>487</v>
      </c>
      <c r="F1315" s="15">
        <v>2011</v>
      </c>
      <c r="G1315" s="15">
        <v>20110317</v>
      </c>
      <c r="H1315" s="15">
        <v>37974</v>
      </c>
      <c r="I1315" s="15">
        <v>3.8</v>
      </c>
      <c r="J1315" s="6" t="s">
        <v>31</v>
      </c>
      <c r="K1315" s="15">
        <v>11</v>
      </c>
      <c r="L1315" s="15" t="s">
        <v>102</v>
      </c>
      <c r="M1315" s="15" t="s">
        <v>5</v>
      </c>
      <c r="N1315" s="11" t="s">
        <v>1391</v>
      </c>
      <c r="O1315" s="11" t="s">
        <v>46</v>
      </c>
      <c r="P1315" s="11" t="s">
        <v>33</v>
      </c>
      <c r="Q1315" s="15">
        <v>95</v>
      </c>
      <c r="R1315" s="11" t="s">
        <v>3</v>
      </c>
      <c r="S1315" s="10">
        <v>169.25373134328001</v>
      </c>
      <c r="T1315" s="15">
        <v>80</v>
      </c>
      <c r="U1315" s="15">
        <v>0</v>
      </c>
      <c r="V1315" s="15">
        <v>0</v>
      </c>
      <c r="W1315" s="15">
        <v>0</v>
      </c>
      <c r="X1315" s="15">
        <f>IF(O1315='Udvaskning nøgletal'!$D$65,1,IF(O1315='Udvaskning nøgletal'!$D$66,2,IF(O1315='Udvaskning nøgletal'!$D$67,3,IF(O1315='Udvaskning nøgletal'!$D$68,2,""))))</f>
        <v>2</v>
      </c>
      <c r="Y1315" s="15">
        <f>LOOKUP(K1315,'Udvaskning nøgletal'!$C$12:$C$60,'Udvaskning nøgletal'!$H$12:$H$60)</f>
        <v>5</v>
      </c>
      <c r="Z1315" s="10">
        <f>IF(X1315=1,LOOKUP(K1315,'Udvaskning nøgletal'!$C$12:$C$60,'Udvaskning nøgletal'!$E$12:$E$60)+Markniveau!Y1315*Markniveau!S1315/100,IF(X1315=2,LOOKUP(K1315,'Udvaskning nøgletal'!$C$12:$C$60,'Udvaskning nøgletal'!$F$12:$F$60)+Markniveau!Y1315*Markniveau!S1315/100,IF(X1315=3,LOOKUP(K1315,'Udvaskning nøgletal'!$C$12:$C$60,'Udvaskning nøgletal'!G1325:G1373)+Markniveau!Y1315*Markniveau!S1315/100,"")))</f>
        <v>59.342686567164002</v>
      </c>
      <c r="AA1315" s="10">
        <f t="shared" si="206"/>
        <v>225.50220895522318</v>
      </c>
      <c r="AB1315" s="10">
        <f t="shared" si="205"/>
        <v>2.9671343283582003</v>
      </c>
      <c r="AC1315" s="10">
        <f t="shared" si="207"/>
        <v>11.275110447761161</v>
      </c>
      <c r="AD1315" s="10">
        <f>IF(AND(Q1315&gt;0,Q1315&lt;30,K1315&lt;8),Markniveau!Z1315*'Udvaskning nøgletal'!$I$12/100,IF(AND(Q1315&gt;0,Q1315&lt;30,K1315=216),Markniveau!Z1315*'Udvaskning nøgletal'!$I$34/100,Markniveau!Z1315))</f>
        <v>59.342686567164002</v>
      </c>
      <c r="AE1315" s="10">
        <f t="shared" si="213"/>
        <v>225.50220895522318</v>
      </c>
      <c r="AF1315" s="10">
        <f t="shared" si="208"/>
        <v>2.9671343283582003</v>
      </c>
      <c r="AG1315" s="10">
        <f t="shared" si="214"/>
        <v>11.275110447761161</v>
      </c>
      <c r="AH1315" s="10" t="str">
        <f>IF(AND(Q1315&gt;0,Q1315&lt;30,K1315=216),'Udvaskning nøgletal'!$C$42,IF(AND(Q1315&gt;0,Q1315&lt;30,K1315&gt;7,K1315&lt;17),'Udvaskning nøgletal'!$C$61,IF(AND(Q1315&gt;0,Q1315&lt;30,K1315&lt;7),'Udvaskning nøgletal'!$C$62,"")))</f>
        <v/>
      </c>
      <c r="AI1315" s="10">
        <f t="shared" si="210"/>
        <v>11</v>
      </c>
      <c r="AJ1315" s="10">
        <f>IF($X1315=1,LOOKUP(AI1315,'Udvaskning nøgletal'!$C$12:$C$62,'Udvaskning nøgletal'!$E$12:$E$62)+Markniveau!$Y1315*Markniveau!$S1315/100,IF($X1315=2,LOOKUP(AI1315,'Udvaskning nøgletal'!$C$12:$C$62,'Udvaskning nøgletal'!$F$12:$F$62)+Markniveau!$Y1315*Markniveau!$S1315/100,IF($X1315=3,LOOKUP(AI1315,'Udvaskning nøgletal'!$C$12:$C$62,'Udvaskning nøgletal'!Q1325:Q1375)+Markniveau!$Y1315*Markniveau!$S1315/100,"")))</f>
        <v>59.342686567164002</v>
      </c>
      <c r="AK1315" s="10">
        <f t="shared" si="209"/>
        <v>225.50220895522318</v>
      </c>
      <c r="AL1315" s="10">
        <f t="shared" si="211"/>
        <v>2.9671343283582003</v>
      </c>
      <c r="AM1315" s="10">
        <f t="shared" si="212"/>
        <v>11.275110447761161</v>
      </c>
    </row>
    <row r="1316" spans="1:39" x14ac:dyDescent="0.25">
      <c r="A1316" s="15">
        <v>46981456</v>
      </c>
      <c r="B1316" s="15">
        <v>5.44</v>
      </c>
      <c r="C1316" s="15">
        <v>545107</v>
      </c>
      <c r="D1316" s="15">
        <v>76633</v>
      </c>
      <c r="E1316" s="15" t="s">
        <v>487</v>
      </c>
      <c r="F1316" s="15">
        <v>2011</v>
      </c>
      <c r="G1316" s="15">
        <v>20110317</v>
      </c>
      <c r="H1316" s="15">
        <v>26993</v>
      </c>
      <c r="I1316" s="15">
        <v>2.7</v>
      </c>
      <c r="J1316" s="6" t="s">
        <v>37</v>
      </c>
      <c r="K1316" s="15">
        <v>210</v>
      </c>
      <c r="L1316" s="15" t="s">
        <v>262</v>
      </c>
      <c r="M1316" s="15" t="s">
        <v>5</v>
      </c>
      <c r="N1316" s="11" t="s">
        <v>1391</v>
      </c>
      <c r="O1316" s="11" t="s">
        <v>46</v>
      </c>
      <c r="P1316" s="11" t="s">
        <v>29</v>
      </c>
      <c r="Q1316" s="15">
        <v>95</v>
      </c>
      <c r="R1316" s="11" t="s">
        <v>3</v>
      </c>
      <c r="S1316" s="10">
        <v>169.25373134328001</v>
      </c>
      <c r="T1316" s="15">
        <v>80</v>
      </c>
      <c r="U1316" s="15">
        <v>0</v>
      </c>
      <c r="V1316" s="15">
        <v>0</v>
      </c>
      <c r="W1316" s="15">
        <v>0</v>
      </c>
      <c r="X1316" s="15">
        <f>IF(O1316='Udvaskning nøgletal'!$D$65,1,IF(O1316='Udvaskning nøgletal'!$D$66,2,IF(O1316='Udvaskning nøgletal'!$D$67,3,IF(O1316='Udvaskning nøgletal'!$D$68,2,""))))</f>
        <v>2</v>
      </c>
      <c r="Y1316" s="15">
        <f>LOOKUP(K1316,'Udvaskning nøgletal'!$C$12:$C$60,'Udvaskning nøgletal'!$H$12:$H$60)</f>
        <v>0</v>
      </c>
      <c r="Z1316" s="10">
        <f>IF(X1316=1,LOOKUP(K1316,'Udvaskning nøgletal'!$C$12:$C$60,'Udvaskning nøgletal'!$E$12:$E$60)+Markniveau!Y1316*Markniveau!S1316/100,IF(X1316=2,LOOKUP(K1316,'Udvaskning nøgletal'!$C$12:$C$60,'Udvaskning nøgletal'!$F$12:$F$60)+Markniveau!Y1316*Markniveau!S1316/100,IF(X1316=3,LOOKUP(K1316,'Udvaskning nøgletal'!$C$12:$C$60,'Udvaskning nøgletal'!G1326:G1374)+Markniveau!Y1316*Markniveau!S1316/100,"")))</f>
        <v>31.161328188970323</v>
      </c>
      <c r="AA1316" s="10">
        <f t="shared" si="206"/>
        <v>84.135586110219876</v>
      </c>
      <c r="AB1316" s="10">
        <f t="shared" si="205"/>
        <v>1.5580664094485162</v>
      </c>
      <c r="AC1316" s="10">
        <f t="shared" si="207"/>
        <v>4.2067793055109943</v>
      </c>
      <c r="AD1316" s="10">
        <f>IF(AND(Q1316&gt;0,Q1316&lt;30,K1316&lt;8),Markniveau!Z1316*'Udvaskning nøgletal'!$I$12/100,IF(AND(Q1316&gt;0,Q1316&lt;30,K1316=216),Markniveau!Z1316*'Udvaskning nøgletal'!$I$34/100,Markniveau!Z1316))</f>
        <v>31.161328188970323</v>
      </c>
      <c r="AE1316" s="10">
        <f t="shared" si="213"/>
        <v>84.135586110219876</v>
      </c>
      <c r="AF1316" s="10">
        <f t="shared" si="208"/>
        <v>1.5580664094485162</v>
      </c>
      <c r="AG1316" s="10">
        <f t="shared" si="214"/>
        <v>4.2067793055109943</v>
      </c>
      <c r="AH1316" s="10" t="str">
        <f>IF(AND(Q1316&gt;0,Q1316&lt;30,K1316=216),'Udvaskning nøgletal'!$C$42,IF(AND(Q1316&gt;0,Q1316&lt;30,K1316&gt;7,K1316&lt;17),'Udvaskning nøgletal'!$C$61,IF(AND(Q1316&gt;0,Q1316&lt;30,K1316&lt;7),'Udvaskning nøgletal'!$C$62,"")))</f>
        <v/>
      </c>
      <c r="AI1316" s="10">
        <f t="shared" si="210"/>
        <v>210</v>
      </c>
      <c r="AJ1316" s="10">
        <f>IF($X1316=1,LOOKUP(AI1316,'Udvaskning nøgletal'!$C$12:$C$62,'Udvaskning nøgletal'!$E$12:$E$62)+Markniveau!$Y1316*Markniveau!$S1316/100,IF($X1316=2,LOOKUP(AI1316,'Udvaskning nøgletal'!$C$12:$C$62,'Udvaskning nøgletal'!$F$12:$F$62)+Markniveau!$Y1316*Markniveau!$S1316/100,IF($X1316=3,LOOKUP(AI1316,'Udvaskning nøgletal'!$C$12:$C$62,'Udvaskning nøgletal'!Q1326:Q1376)+Markniveau!$Y1316*Markniveau!$S1316/100,"")))</f>
        <v>31.161328188970323</v>
      </c>
      <c r="AK1316" s="10">
        <f t="shared" si="209"/>
        <v>84.135586110219876</v>
      </c>
      <c r="AL1316" s="10">
        <f t="shared" si="211"/>
        <v>1.5580664094485162</v>
      </c>
      <c r="AM1316" s="10">
        <f t="shared" si="212"/>
        <v>4.2067793055109943</v>
      </c>
    </row>
    <row r="1317" spans="1:39" x14ac:dyDescent="0.25">
      <c r="A1317" s="15">
        <v>46981456</v>
      </c>
      <c r="B1317" s="15">
        <v>5.44</v>
      </c>
      <c r="C1317" s="15">
        <v>545109</v>
      </c>
      <c r="D1317" s="15">
        <v>76633</v>
      </c>
      <c r="E1317" s="15" t="s">
        <v>487</v>
      </c>
      <c r="F1317" s="15">
        <v>2011</v>
      </c>
      <c r="G1317" s="15">
        <v>20110317</v>
      </c>
      <c r="H1317" s="15">
        <v>27379</v>
      </c>
      <c r="I1317" s="15">
        <v>2.74</v>
      </c>
      <c r="J1317" s="6" t="s">
        <v>61</v>
      </c>
      <c r="K1317" s="15">
        <v>263</v>
      </c>
      <c r="L1317" s="15" t="s">
        <v>39</v>
      </c>
      <c r="M1317" s="15" t="s">
        <v>5</v>
      </c>
      <c r="N1317" s="11" t="s">
        <v>1391</v>
      </c>
      <c r="O1317" s="11" t="s">
        <v>46</v>
      </c>
      <c r="P1317" s="11" t="s">
        <v>29</v>
      </c>
      <c r="Q1317" s="15">
        <v>95</v>
      </c>
      <c r="R1317" s="11" t="s">
        <v>3</v>
      </c>
      <c r="S1317" s="10">
        <v>169.25373134328001</v>
      </c>
      <c r="T1317" s="15">
        <v>80</v>
      </c>
      <c r="U1317" s="15">
        <v>0</v>
      </c>
      <c r="V1317" s="15">
        <v>0</v>
      </c>
      <c r="W1317" s="15">
        <v>0</v>
      </c>
      <c r="X1317" s="15">
        <f>IF(O1317='Udvaskning nøgletal'!$D$65,1,IF(O1317='Udvaskning nøgletal'!$D$66,2,IF(O1317='Udvaskning nøgletal'!$D$67,3,IF(O1317='Udvaskning nøgletal'!$D$68,2,""))))</f>
        <v>2</v>
      </c>
      <c r="Y1317" s="15">
        <f>LOOKUP(K1317,'Udvaskning nøgletal'!$C$12:$C$60,'Udvaskning nøgletal'!$H$12:$H$60)</f>
        <v>0</v>
      </c>
      <c r="Z1317" s="10">
        <f>IF(X1317=1,LOOKUP(K1317,'Udvaskning nøgletal'!$C$12:$C$60,'Udvaskning nøgletal'!$E$12:$E$60)+Markniveau!Y1317*Markniveau!S1317/100,IF(X1317=2,LOOKUP(K1317,'Udvaskning nøgletal'!$C$12:$C$60,'Udvaskning nøgletal'!$F$12:$F$60)+Markniveau!Y1317*Markniveau!S1317/100,IF(X1317=3,LOOKUP(K1317,'Udvaskning nøgletal'!$C$12:$C$60,'Udvaskning nøgletal'!G1327:G1375)+Markniveau!Y1317*Markniveau!S1317/100,"")))</f>
        <v>27.331185321443094</v>
      </c>
      <c r="AA1317" s="10">
        <f t="shared" si="206"/>
        <v>74.887447780754087</v>
      </c>
      <c r="AB1317" s="10">
        <f t="shared" si="205"/>
        <v>1.3665592660721546</v>
      </c>
      <c r="AC1317" s="10">
        <f t="shared" si="207"/>
        <v>3.7443723890377041</v>
      </c>
      <c r="AD1317" s="10">
        <f>IF(AND(Q1317&gt;0,Q1317&lt;30,K1317&lt;8),Markniveau!Z1317*'Udvaskning nøgletal'!$I$12/100,IF(AND(Q1317&gt;0,Q1317&lt;30,K1317=216),Markniveau!Z1317*'Udvaskning nøgletal'!$I$34/100,Markniveau!Z1317))</f>
        <v>27.331185321443094</v>
      </c>
      <c r="AE1317" s="10">
        <f t="shared" si="213"/>
        <v>74.887447780754087</v>
      </c>
      <c r="AF1317" s="10">
        <f t="shared" si="208"/>
        <v>1.3665592660721546</v>
      </c>
      <c r="AG1317" s="10">
        <f t="shared" si="214"/>
        <v>3.7443723890377041</v>
      </c>
      <c r="AH1317" s="10" t="str">
        <f>IF(AND(Q1317&gt;0,Q1317&lt;30,K1317=216),'Udvaskning nøgletal'!$C$42,IF(AND(Q1317&gt;0,Q1317&lt;30,K1317&gt;7,K1317&lt;17),'Udvaskning nøgletal'!$C$61,IF(AND(Q1317&gt;0,Q1317&lt;30,K1317&lt;7),'Udvaskning nøgletal'!$C$62,"")))</f>
        <v/>
      </c>
      <c r="AI1317" s="10">
        <f t="shared" si="210"/>
        <v>263</v>
      </c>
      <c r="AJ1317" s="10">
        <f>IF($X1317=1,LOOKUP(AI1317,'Udvaskning nøgletal'!$C$12:$C$62,'Udvaskning nøgletal'!$E$12:$E$62)+Markniveau!$Y1317*Markniveau!$S1317/100,IF($X1317=2,LOOKUP(AI1317,'Udvaskning nøgletal'!$C$12:$C$62,'Udvaskning nøgletal'!$F$12:$F$62)+Markniveau!$Y1317*Markniveau!$S1317/100,IF($X1317=3,LOOKUP(AI1317,'Udvaskning nøgletal'!$C$12:$C$62,'Udvaskning nøgletal'!Q1327:Q1377)+Markniveau!$Y1317*Markniveau!$S1317/100,"")))</f>
        <v>27.331185321443094</v>
      </c>
      <c r="AK1317" s="10">
        <f t="shared" si="209"/>
        <v>74.887447780754087</v>
      </c>
      <c r="AL1317" s="10">
        <f t="shared" si="211"/>
        <v>1.3665592660721546</v>
      </c>
      <c r="AM1317" s="10">
        <f t="shared" si="212"/>
        <v>3.7443723890377041</v>
      </c>
    </row>
    <row r="1318" spans="1:39" x14ac:dyDescent="0.25">
      <c r="A1318" s="15">
        <v>48880010</v>
      </c>
      <c r="B1318" s="15">
        <v>31.32</v>
      </c>
      <c r="C1318" s="15">
        <v>316187</v>
      </c>
      <c r="D1318" s="15">
        <v>62796</v>
      </c>
      <c r="E1318" s="15" t="s">
        <v>1166</v>
      </c>
      <c r="F1318" s="15">
        <v>2011</v>
      </c>
      <c r="G1318" s="15">
        <v>20110309</v>
      </c>
      <c r="H1318" s="15">
        <v>8394</v>
      </c>
      <c r="I1318" s="15">
        <v>0.84</v>
      </c>
      <c r="J1318" s="6" t="s">
        <v>1409</v>
      </c>
      <c r="K1318" s="15">
        <v>260</v>
      </c>
      <c r="L1318" s="15" t="s">
        <v>45</v>
      </c>
      <c r="M1318" s="15" t="s">
        <v>5</v>
      </c>
      <c r="N1318" s="11" t="s">
        <v>1406</v>
      </c>
      <c r="O1318" s="11" t="s">
        <v>46</v>
      </c>
      <c r="P1318" s="11" t="s">
        <v>29</v>
      </c>
      <c r="Q1318" s="15">
        <v>95</v>
      </c>
      <c r="R1318" s="11" t="s">
        <v>3</v>
      </c>
      <c r="S1318" s="10">
        <v>62.797718886280002</v>
      </c>
      <c r="T1318" s="15">
        <v>80</v>
      </c>
      <c r="U1318" s="15">
        <v>0</v>
      </c>
      <c r="V1318" s="15">
        <v>0</v>
      </c>
      <c r="W1318" s="15">
        <v>0</v>
      </c>
      <c r="X1318" s="15">
        <f>IF(O1318='Udvaskning nøgletal'!$D$65,1,IF(O1318='Udvaskning nøgletal'!$D$66,2,IF(O1318='Udvaskning nøgletal'!$D$67,3,IF(O1318='Udvaskning nøgletal'!$D$68,2,""))))</f>
        <v>2</v>
      </c>
      <c r="Y1318" s="15">
        <f>LOOKUP(K1318,'Udvaskning nøgletal'!$C$12:$C$60,'Udvaskning nøgletal'!$H$12:$H$60)</f>
        <v>0</v>
      </c>
      <c r="Z1318" s="10">
        <f>IF(X1318=1,LOOKUP(K1318,'Udvaskning nøgletal'!$C$12:$C$60,'Udvaskning nøgletal'!$E$12:$E$60)+Markniveau!Y1318*Markniveau!S1318/100,IF(X1318=2,LOOKUP(K1318,'Udvaskning nøgletal'!$C$12:$C$60,'Udvaskning nøgletal'!$F$12:$F$60)+Markniveau!Y1318*Markniveau!S1318/100,IF(X1318=3,LOOKUP(K1318,'Udvaskning nøgletal'!$C$12:$C$60,'Udvaskning nøgletal'!G1328:G1376)+Markniveau!Y1318*Markniveau!S1318/100,"")))</f>
        <v>27.331185321443094</v>
      </c>
      <c r="AA1318" s="10">
        <f t="shared" si="206"/>
        <v>22.958195670012199</v>
      </c>
      <c r="AB1318" s="10">
        <f t="shared" si="205"/>
        <v>1.3665592660721546</v>
      </c>
      <c r="AC1318" s="10">
        <f t="shared" si="207"/>
        <v>1.1479097835006098</v>
      </c>
      <c r="AD1318" s="10">
        <f>IF(AND(Q1318&gt;0,Q1318&lt;30,K1318&lt;8),Markniveau!Z1318*'Udvaskning nøgletal'!$I$12/100,IF(AND(Q1318&gt;0,Q1318&lt;30,K1318=216),Markniveau!Z1318*'Udvaskning nøgletal'!$I$34/100,Markniveau!Z1318))</f>
        <v>27.331185321443094</v>
      </c>
      <c r="AE1318" s="10">
        <f t="shared" si="213"/>
        <v>22.958195670012199</v>
      </c>
      <c r="AF1318" s="10">
        <f t="shared" si="208"/>
        <v>1.3665592660721546</v>
      </c>
      <c r="AG1318" s="10">
        <f t="shared" si="214"/>
        <v>1.1479097835006098</v>
      </c>
      <c r="AH1318" s="10" t="str">
        <f>IF(AND(Q1318&gt;0,Q1318&lt;30,K1318=216),'Udvaskning nøgletal'!$C$42,IF(AND(Q1318&gt;0,Q1318&lt;30,K1318&gt;7,K1318&lt;17),'Udvaskning nøgletal'!$C$61,IF(AND(Q1318&gt;0,Q1318&lt;30,K1318&lt;7),'Udvaskning nøgletal'!$C$62,"")))</f>
        <v/>
      </c>
      <c r="AI1318" s="10">
        <f t="shared" si="210"/>
        <v>260</v>
      </c>
      <c r="AJ1318" s="10">
        <f>IF($X1318=1,LOOKUP(AI1318,'Udvaskning nøgletal'!$C$12:$C$62,'Udvaskning nøgletal'!$E$12:$E$62)+Markniveau!$Y1318*Markniveau!$S1318/100,IF($X1318=2,LOOKUP(AI1318,'Udvaskning nøgletal'!$C$12:$C$62,'Udvaskning nøgletal'!$F$12:$F$62)+Markniveau!$Y1318*Markniveau!$S1318/100,IF($X1318=3,LOOKUP(AI1318,'Udvaskning nøgletal'!$C$12:$C$62,'Udvaskning nøgletal'!Q1328:Q1378)+Markniveau!$Y1318*Markniveau!$S1318/100,"")))</f>
        <v>27.331185321443094</v>
      </c>
      <c r="AK1318" s="10">
        <f t="shared" si="209"/>
        <v>22.958195670012199</v>
      </c>
      <c r="AL1318" s="10">
        <f t="shared" si="211"/>
        <v>1.3665592660721546</v>
      </c>
      <c r="AM1318" s="10">
        <f t="shared" si="212"/>
        <v>1.1479097835006098</v>
      </c>
    </row>
    <row r="1319" spans="1:39" x14ac:dyDescent="0.25">
      <c r="A1319" s="15">
        <v>48880010</v>
      </c>
      <c r="B1319" s="15">
        <v>31.32</v>
      </c>
      <c r="C1319" s="15">
        <v>371519</v>
      </c>
      <c r="D1319" s="15">
        <v>62796</v>
      </c>
      <c r="E1319" s="15" t="s">
        <v>1166</v>
      </c>
      <c r="F1319" s="15">
        <v>2011</v>
      </c>
      <c r="G1319" s="15">
        <v>20110309</v>
      </c>
      <c r="H1319" s="15">
        <v>28902</v>
      </c>
      <c r="I1319" s="15">
        <v>2.89</v>
      </c>
      <c r="J1319" s="6" t="s">
        <v>87</v>
      </c>
      <c r="K1319" s="15">
        <v>260</v>
      </c>
      <c r="L1319" s="15" t="s">
        <v>45</v>
      </c>
      <c r="M1319" s="15" t="s">
        <v>5</v>
      </c>
      <c r="N1319" s="11" t="s">
        <v>1406</v>
      </c>
      <c r="O1319" s="11" t="s">
        <v>46</v>
      </c>
      <c r="P1319" s="11" t="s">
        <v>29</v>
      </c>
      <c r="Q1319" s="15">
        <v>95</v>
      </c>
      <c r="R1319" s="11" t="s">
        <v>3</v>
      </c>
      <c r="S1319" s="10">
        <v>62.797718886280002</v>
      </c>
      <c r="T1319" s="15">
        <v>80</v>
      </c>
      <c r="U1319" s="15">
        <v>0</v>
      </c>
      <c r="V1319" s="15">
        <v>0</v>
      </c>
      <c r="W1319" s="15">
        <v>0</v>
      </c>
      <c r="X1319" s="15">
        <f>IF(O1319='Udvaskning nøgletal'!$D$65,1,IF(O1319='Udvaskning nøgletal'!$D$66,2,IF(O1319='Udvaskning nøgletal'!$D$67,3,IF(O1319='Udvaskning nøgletal'!$D$68,2,""))))</f>
        <v>2</v>
      </c>
      <c r="Y1319" s="15">
        <f>LOOKUP(K1319,'Udvaskning nøgletal'!$C$12:$C$60,'Udvaskning nøgletal'!$H$12:$H$60)</f>
        <v>0</v>
      </c>
      <c r="Z1319" s="10">
        <f>IF(X1319=1,LOOKUP(K1319,'Udvaskning nøgletal'!$C$12:$C$60,'Udvaskning nøgletal'!$E$12:$E$60)+Markniveau!Y1319*Markniveau!S1319/100,IF(X1319=2,LOOKUP(K1319,'Udvaskning nøgletal'!$C$12:$C$60,'Udvaskning nøgletal'!$F$12:$F$60)+Markniveau!Y1319*Markniveau!S1319/100,IF(X1319=3,LOOKUP(K1319,'Udvaskning nøgletal'!$C$12:$C$60,'Udvaskning nøgletal'!G1329:G1377)+Markniveau!Y1319*Markniveau!S1319/100,"")))</f>
        <v>27.331185321443094</v>
      </c>
      <c r="AA1319" s="10">
        <f t="shared" si="206"/>
        <v>78.987125578970549</v>
      </c>
      <c r="AB1319" s="10">
        <f t="shared" si="205"/>
        <v>1.3665592660721546</v>
      </c>
      <c r="AC1319" s="10">
        <f t="shared" si="207"/>
        <v>3.9493562789485268</v>
      </c>
      <c r="AD1319" s="10">
        <f>IF(AND(Q1319&gt;0,Q1319&lt;30,K1319&lt;8),Markniveau!Z1319*'Udvaskning nøgletal'!$I$12/100,IF(AND(Q1319&gt;0,Q1319&lt;30,K1319=216),Markniveau!Z1319*'Udvaskning nøgletal'!$I$34/100,Markniveau!Z1319))</f>
        <v>27.331185321443094</v>
      </c>
      <c r="AE1319" s="10">
        <f t="shared" si="213"/>
        <v>78.987125578970549</v>
      </c>
      <c r="AF1319" s="10">
        <f t="shared" si="208"/>
        <v>1.3665592660721546</v>
      </c>
      <c r="AG1319" s="10">
        <f t="shared" si="214"/>
        <v>3.9493562789485268</v>
      </c>
      <c r="AH1319" s="10" t="str">
        <f>IF(AND(Q1319&gt;0,Q1319&lt;30,K1319=216),'Udvaskning nøgletal'!$C$42,IF(AND(Q1319&gt;0,Q1319&lt;30,K1319&gt;7,K1319&lt;17),'Udvaskning nøgletal'!$C$61,IF(AND(Q1319&gt;0,Q1319&lt;30,K1319&lt;7),'Udvaskning nøgletal'!$C$62,"")))</f>
        <v/>
      </c>
      <c r="AI1319" s="10">
        <f t="shared" si="210"/>
        <v>260</v>
      </c>
      <c r="AJ1319" s="10">
        <f>IF($X1319=1,LOOKUP(AI1319,'Udvaskning nøgletal'!$C$12:$C$62,'Udvaskning nøgletal'!$E$12:$E$62)+Markniveau!$Y1319*Markniveau!$S1319/100,IF($X1319=2,LOOKUP(AI1319,'Udvaskning nøgletal'!$C$12:$C$62,'Udvaskning nøgletal'!$F$12:$F$62)+Markniveau!$Y1319*Markniveau!$S1319/100,IF($X1319=3,LOOKUP(AI1319,'Udvaskning nøgletal'!$C$12:$C$62,'Udvaskning nøgletal'!Q1329:Q1379)+Markniveau!$Y1319*Markniveau!$S1319/100,"")))</f>
        <v>27.331185321443094</v>
      </c>
      <c r="AK1319" s="10">
        <f t="shared" si="209"/>
        <v>78.987125578970549</v>
      </c>
      <c r="AL1319" s="10">
        <f t="shared" si="211"/>
        <v>1.3665592660721546</v>
      </c>
      <c r="AM1319" s="10">
        <f t="shared" si="212"/>
        <v>3.9493562789485268</v>
      </c>
    </row>
    <row r="1320" spans="1:39" x14ac:dyDescent="0.25">
      <c r="A1320" s="15">
        <v>48880010</v>
      </c>
      <c r="B1320" s="15">
        <v>31.32</v>
      </c>
      <c r="C1320" s="15">
        <v>396905</v>
      </c>
      <c r="D1320" s="15">
        <v>62796</v>
      </c>
      <c r="E1320" s="15" t="s">
        <v>1167</v>
      </c>
      <c r="F1320" s="15">
        <v>2011</v>
      </c>
      <c r="G1320" s="15">
        <v>20110309</v>
      </c>
      <c r="H1320" s="15">
        <v>29815</v>
      </c>
      <c r="I1320" s="15">
        <v>2.98</v>
      </c>
      <c r="J1320" s="6" t="s">
        <v>1405</v>
      </c>
      <c r="K1320" s="15">
        <v>1</v>
      </c>
      <c r="L1320" s="15" t="s">
        <v>32</v>
      </c>
      <c r="M1320" s="15" t="s">
        <v>5</v>
      </c>
      <c r="N1320" s="11" t="s">
        <v>1406</v>
      </c>
      <c r="O1320" s="11" t="s">
        <v>46</v>
      </c>
      <c r="P1320" s="11" t="s">
        <v>29</v>
      </c>
      <c r="Q1320" s="15">
        <v>95</v>
      </c>
      <c r="R1320" s="11" t="s">
        <v>3</v>
      </c>
      <c r="S1320" s="10">
        <v>62.797718886280002</v>
      </c>
      <c r="T1320" s="15">
        <v>80</v>
      </c>
      <c r="U1320" s="15">
        <v>0</v>
      </c>
      <c r="V1320" s="15">
        <v>0</v>
      </c>
      <c r="W1320" s="15">
        <v>0</v>
      </c>
      <c r="X1320" s="15">
        <f>IF(O1320='Udvaskning nøgletal'!$D$65,1,IF(O1320='Udvaskning nøgletal'!$D$66,2,IF(O1320='Udvaskning nøgletal'!$D$67,3,IF(O1320='Udvaskning nøgletal'!$D$68,2,""))))</f>
        <v>2</v>
      </c>
      <c r="Y1320" s="15">
        <f>LOOKUP(K1320,'Udvaskning nøgletal'!$C$12:$C$60,'Udvaskning nøgletal'!$H$12:$H$60)</f>
        <v>5</v>
      </c>
      <c r="Z1320" s="10">
        <f>IF(X1320=1,LOOKUP(K1320,'Udvaskning nøgletal'!$C$12:$C$60,'Udvaskning nøgletal'!$E$12:$E$60)+Markniveau!Y1320*Markniveau!S1320/100,IF(X1320=2,LOOKUP(K1320,'Udvaskning nøgletal'!$C$12:$C$60,'Udvaskning nøgletal'!$F$12:$F$60)+Markniveau!Y1320*Markniveau!S1320/100,IF(X1320=3,LOOKUP(K1320,'Udvaskning nøgletal'!$C$12:$C$60,'Udvaskning nøgletal'!G1330:G1378)+Markniveau!Y1320*Markniveau!S1320/100,"")))</f>
        <v>54.019885944314005</v>
      </c>
      <c r="AA1320" s="10">
        <f t="shared" si="206"/>
        <v>160.97926011405573</v>
      </c>
      <c r="AB1320" s="10">
        <f t="shared" si="205"/>
        <v>2.7009942972157002</v>
      </c>
      <c r="AC1320" s="10">
        <f t="shared" si="207"/>
        <v>8.0489630057027863</v>
      </c>
      <c r="AD1320" s="10">
        <f>IF(AND(Q1320&gt;0,Q1320&lt;30,K1320&lt;8),Markniveau!Z1320*'Udvaskning nøgletal'!$I$12/100,IF(AND(Q1320&gt;0,Q1320&lt;30,K1320=216),Markniveau!Z1320*'Udvaskning nøgletal'!$I$34/100,Markniveau!Z1320))</f>
        <v>54.019885944314005</v>
      </c>
      <c r="AE1320" s="10">
        <f t="shared" si="213"/>
        <v>160.97926011405573</v>
      </c>
      <c r="AF1320" s="10">
        <f t="shared" si="208"/>
        <v>2.7009942972157002</v>
      </c>
      <c r="AG1320" s="10">
        <f t="shared" si="214"/>
        <v>8.0489630057027863</v>
      </c>
      <c r="AH1320" s="10" t="str">
        <f>IF(AND(Q1320&gt;0,Q1320&lt;30,K1320=216),'Udvaskning nøgletal'!$C$42,IF(AND(Q1320&gt;0,Q1320&lt;30,K1320&gt;7,K1320&lt;17),'Udvaskning nøgletal'!$C$61,IF(AND(Q1320&gt;0,Q1320&lt;30,K1320&lt;7),'Udvaskning nøgletal'!$C$62,"")))</f>
        <v/>
      </c>
      <c r="AI1320" s="10">
        <f t="shared" si="210"/>
        <v>1</v>
      </c>
      <c r="AJ1320" s="10">
        <f>IF($X1320=1,LOOKUP(AI1320,'Udvaskning nøgletal'!$C$12:$C$62,'Udvaskning nøgletal'!$E$12:$E$62)+Markniveau!$Y1320*Markniveau!$S1320/100,IF($X1320=2,LOOKUP(AI1320,'Udvaskning nøgletal'!$C$12:$C$62,'Udvaskning nøgletal'!$F$12:$F$62)+Markniveau!$Y1320*Markniveau!$S1320/100,IF($X1320=3,LOOKUP(AI1320,'Udvaskning nøgletal'!$C$12:$C$62,'Udvaskning nøgletal'!Q1330:Q1380)+Markniveau!$Y1320*Markniveau!$S1320/100,"")))</f>
        <v>54.019885944314005</v>
      </c>
      <c r="AK1320" s="10">
        <f t="shared" si="209"/>
        <v>160.97926011405573</v>
      </c>
      <c r="AL1320" s="10">
        <f t="shared" si="211"/>
        <v>2.7009942972157002</v>
      </c>
      <c r="AM1320" s="10">
        <f t="shared" si="212"/>
        <v>8.0489630057027863</v>
      </c>
    </row>
    <row r="1321" spans="1:39" x14ac:dyDescent="0.25">
      <c r="A1321" s="15">
        <v>48880010</v>
      </c>
      <c r="B1321" s="15">
        <v>31.32</v>
      </c>
      <c r="C1321" s="15">
        <v>409617</v>
      </c>
      <c r="D1321" s="15">
        <v>62796</v>
      </c>
      <c r="E1321" s="15" t="s">
        <v>489</v>
      </c>
      <c r="F1321" s="15">
        <v>2011</v>
      </c>
      <c r="G1321" s="15">
        <v>20110309</v>
      </c>
      <c r="H1321" s="15">
        <v>40481</v>
      </c>
      <c r="I1321" s="15">
        <v>4.05</v>
      </c>
      <c r="J1321" s="6" t="s">
        <v>97</v>
      </c>
      <c r="K1321" s="15">
        <v>1</v>
      </c>
      <c r="L1321" s="15" t="s">
        <v>32</v>
      </c>
      <c r="M1321" s="15" t="s">
        <v>5</v>
      </c>
      <c r="N1321" s="11" t="s">
        <v>1391</v>
      </c>
      <c r="O1321" s="11" t="s">
        <v>46</v>
      </c>
      <c r="P1321" s="11" t="s">
        <v>29</v>
      </c>
      <c r="Q1321" s="15">
        <v>95</v>
      </c>
      <c r="R1321" s="11" t="s">
        <v>3</v>
      </c>
      <c r="S1321" s="10">
        <v>62.797718886280002</v>
      </c>
      <c r="T1321" s="15">
        <v>80</v>
      </c>
      <c r="U1321" s="15">
        <v>0</v>
      </c>
      <c r="V1321" s="15">
        <v>0</v>
      </c>
      <c r="W1321" s="15">
        <v>0</v>
      </c>
      <c r="X1321" s="15">
        <f>IF(O1321='Udvaskning nøgletal'!$D$65,1,IF(O1321='Udvaskning nøgletal'!$D$66,2,IF(O1321='Udvaskning nøgletal'!$D$67,3,IF(O1321='Udvaskning nøgletal'!$D$68,2,""))))</f>
        <v>2</v>
      </c>
      <c r="Y1321" s="15">
        <f>LOOKUP(K1321,'Udvaskning nøgletal'!$C$12:$C$60,'Udvaskning nøgletal'!$H$12:$H$60)</f>
        <v>5</v>
      </c>
      <c r="Z1321" s="10">
        <f>IF(X1321=1,LOOKUP(K1321,'Udvaskning nøgletal'!$C$12:$C$60,'Udvaskning nøgletal'!$E$12:$E$60)+Markniveau!Y1321*Markniveau!S1321/100,IF(X1321=2,LOOKUP(K1321,'Udvaskning nøgletal'!$C$12:$C$60,'Udvaskning nøgletal'!$F$12:$F$60)+Markniveau!Y1321*Markniveau!S1321/100,IF(X1321=3,LOOKUP(K1321,'Udvaskning nøgletal'!$C$12:$C$60,'Udvaskning nøgletal'!G1331:G1379)+Markniveau!Y1321*Markniveau!S1321/100,"")))</f>
        <v>54.019885944314005</v>
      </c>
      <c r="AA1321" s="10">
        <f t="shared" si="206"/>
        <v>218.78053807447171</v>
      </c>
      <c r="AB1321" s="10">
        <f t="shared" si="205"/>
        <v>2.7009942972157002</v>
      </c>
      <c r="AC1321" s="10">
        <f t="shared" si="207"/>
        <v>10.939026903723585</v>
      </c>
      <c r="AD1321" s="10">
        <f>IF(AND(Q1321&gt;0,Q1321&lt;30,K1321&lt;8),Markniveau!Z1321*'Udvaskning nøgletal'!$I$12/100,IF(AND(Q1321&gt;0,Q1321&lt;30,K1321=216),Markniveau!Z1321*'Udvaskning nøgletal'!$I$34/100,Markniveau!Z1321))</f>
        <v>54.019885944314005</v>
      </c>
      <c r="AE1321" s="10">
        <f t="shared" si="213"/>
        <v>218.78053807447171</v>
      </c>
      <c r="AF1321" s="10">
        <f t="shared" si="208"/>
        <v>2.7009942972157002</v>
      </c>
      <c r="AG1321" s="10">
        <f t="shared" si="214"/>
        <v>10.939026903723585</v>
      </c>
      <c r="AH1321" s="10" t="str">
        <f>IF(AND(Q1321&gt;0,Q1321&lt;30,K1321=216),'Udvaskning nøgletal'!$C$42,IF(AND(Q1321&gt;0,Q1321&lt;30,K1321&gt;7,K1321&lt;17),'Udvaskning nøgletal'!$C$61,IF(AND(Q1321&gt;0,Q1321&lt;30,K1321&lt;7),'Udvaskning nøgletal'!$C$62,"")))</f>
        <v/>
      </c>
      <c r="AI1321" s="10">
        <f t="shared" si="210"/>
        <v>1</v>
      </c>
      <c r="AJ1321" s="10">
        <f>IF($X1321=1,LOOKUP(AI1321,'Udvaskning nøgletal'!$C$12:$C$62,'Udvaskning nøgletal'!$E$12:$E$62)+Markniveau!$Y1321*Markniveau!$S1321/100,IF($X1321=2,LOOKUP(AI1321,'Udvaskning nøgletal'!$C$12:$C$62,'Udvaskning nøgletal'!$F$12:$F$62)+Markniveau!$Y1321*Markniveau!$S1321/100,IF($X1321=3,LOOKUP(AI1321,'Udvaskning nøgletal'!$C$12:$C$62,'Udvaskning nøgletal'!Q1331:Q1381)+Markniveau!$Y1321*Markniveau!$S1321/100,"")))</f>
        <v>54.019885944314005</v>
      </c>
      <c r="AK1321" s="10">
        <f t="shared" si="209"/>
        <v>218.78053807447171</v>
      </c>
      <c r="AL1321" s="10">
        <f t="shared" si="211"/>
        <v>2.7009942972157002</v>
      </c>
      <c r="AM1321" s="10">
        <f t="shared" si="212"/>
        <v>10.939026903723585</v>
      </c>
    </row>
    <row r="1322" spans="1:39" x14ac:dyDescent="0.25">
      <c r="A1322" s="15">
        <v>48880010</v>
      </c>
      <c r="B1322" s="15">
        <v>31.32</v>
      </c>
      <c r="C1322" s="15">
        <v>444042</v>
      </c>
      <c r="D1322" s="15">
        <v>62796</v>
      </c>
      <c r="E1322" s="15" t="s">
        <v>1166</v>
      </c>
      <c r="F1322" s="15">
        <v>2011</v>
      </c>
      <c r="G1322" s="15">
        <v>20110309</v>
      </c>
      <c r="H1322" s="15">
        <v>26464</v>
      </c>
      <c r="I1322" s="15">
        <v>2.65</v>
      </c>
      <c r="J1322" s="6" t="s">
        <v>37</v>
      </c>
      <c r="K1322" s="15">
        <v>260</v>
      </c>
      <c r="L1322" s="15" t="s">
        <v>45</v>
      </c>
      <c r="M1322" s="15" t="s">
        <v>5</v>
      </c>
      <c r="N1322" s="11" t="s">
        <v>1406</v>
      </c>
      <c r="O1322" s="11" t="s">
        <v>46</v>
      </c>
      <c r="P1322" s="11" t="s">
        <v>29</v>
      </c>
      <c r="Q1322" s="15">
        <v>95</v>
      </c>
      <c r="R1322" s="11" t="s">
        <v>3</v>
      </c>
      <c r="S1322" s="10">
        <v>62.797718886280002</v>
      </c>
      <c r="T1322" s="15">
        <v>80</v>
      </c>
      <c r="U1322" s="15">
        <v>0</v>
      </c>
      <c r="V1322" s="15">
        <v>0</v>
      </c>
      <c r="W1322" s="15">
        <v>0</v>
      </c>
      <c r="X1322" s="15">
        <f>IF(O1322='Udvaskning nøgletal'!$D$65,1,IF(O1322='Udvaskning nøgletal'!$D$66,2,IF(O1322='Udvaskning nøgletal'!$D$67,3,IF(O1322='Udvaskning nøgletal'!$D$68,2,""))))</f>
        <v>2</v>
      </c>
      <c r="Y1322" s="15">
        <f>LOOKUP(K1322,'Udvaskning nøgletal'!$C$12:$C$60,'Udvaskning nøgletal'!$H$12:$H$60)</f>
        <v>0</v>
      </c>
      <c r="Z1322" s="10">
        <f>IF(X1322=1,LOOKUP(K1322,'Udvaskning nøgletal'!$C$12:$C$60,'Udvaskning nøgletal'!$E$12:$E$60)+Markniveau!Y1322*Markniveau!S1322/100,IF(X1322=2,LOOKUP(K1322,'Udvaskning nøgletal'!$C$12:$C$60,'Udvaskning nøgletal'!$F$12:$F$60)+Markniveau!Y1322*Markniveau!S1322/100,IF(X1322=3,LOOKUP(K1322,'Udvaskning nøgletal'!$C$12:$C$60,'Udvaskning nøgletal'!G1332:G1380)+Markniveau!Y1322*Markniveau!S1322/100,"")))</f>
        <v>27.331185321443094</v>
      </c>
      <c r="AA1322" s="10">
        <f t="shared" si="206"/>
        <v>72.427641101824193</v>
      </c>
      <c r="AB1322" s="10">
        <f t="shared" si="205"/>
        <v>1.3665592660721546</v>
      </c>
      <c r="AC1322" s="10">
        <f t="shared" si="207"/>
        <v>3.6213820550912095</v>
      </c>
      <c r="AD1322" s="10">
        <f>IF(AND(Q1322&gt;0,Q1322&lt;30,K1322&lt;8),Markniveau!Z1322*'Udvaskning nøgletal'!$I$12/100,IF(AND(Q1322&gt;0,Q1322&lt;30,K1322=216),Markniveau!Z1322*'Udvaskning nøgletal'!$I$34/100,Markniveau!Z1322))</f>
        <v>27.331185321443094</v>
      </c>
      <c r="AE1322" s="10">
        <f t="shared" si="213"/>
        <v>72.427641101824193</v>
      </c>
      <c r="AF1322" s="10">
        <f t="shared" si="208"/>
        <v>1.3665592660721546</v>
      </c>
      <c r="AG1322" s="10">
        <f t="shared" si="214"/>
        <v>3.6213820550912095</v>
      </c>
      <c r="AH1322" s="10" t="str">
        <f>IF(AND(Q1322&gt;0,Q1322&lt;30,K1322=216),'Udvaskning nøgletal'!$C$42,IF(AND(Q1322&gt;0,Q1322&lt;30,K1322&gt;7,K1322&lt;17),'Udvaskning nøgletal'!$C$61,IF(AND(Q1322&gt;0,Q1322&lt;30,K1322&lt;7),'Udvaskning nøgletal'!$C$62,"")))</f>
        <v/>
      </c>
      <c r="AI1322" s="10">
        <f t="shared" si="210"/>
        <v>260</v>
      </c>
      <c r="AJ1322" s="10">
        <f>IF($X1322=1,LOOKUP(AI1322,'Udvaskning nøgletal'!$C$12:$C$62,'Udvaskning nøgletal'!$E$12:$E$62)+Markniveau!$Y1322*Markniveau!$S1322/100,IF($X1322=2,LOOKUP(AI1322,'Udvaskning nøgletal'!$C$12:$C$62,'Udvaskning nøgletal'!$F$12:$F$62)+Markniveau!$Y1322*Markniveau!$S1322/100,IF($X1322=3,LOOKUP(AI1322,'Udvaskning nøgletal'!$C$12:$C$62,'Udvaskning nøgletal'!Q1332:Q1382)+Markniveau!$Y1322*Markniveau!$S1322/100,"")))</f>
        <v>27.331185321443094</v>
      </c>
      <c r="AK1322" s="10">
        <f t="shared" si="209"/>
        <v>72.427641101824193</v>
      </c>
      <c r="AL1322" s="10">
        <f t="shared" si="211"/>
        <v>1.3665592660721546</v>
      </c>
      <c r="AM1322" s="10">
        <f t="shared" si="212"/>
        <v>3.6213820550912095</v>
      </c>
    </row>
    <row r="1323" spans="1:39" x14ac:dyDescent="0.25">
      <c r="A1323" s="15">
        <v>48880010</v>
      </c>
      <c r="B1323" s="15">
        <v>31.32</v>
      </c>
      <c r="C1323" s="15">
        <v>457024</v>
      </c>
      <c r="D1323" s="15">
        <v>62796</v>
      </c>
      <c r="E1323" s="15" t="s">
        <v>1167</v>
      </c>
      <c r="F1323" s="15">
        <v>2011</v>
      </c>
      <c r="G1323" s="15">
        <v>20110309</v>
      </c>
      <c r="H1323" s="15">
        <v>28715</v>
      </c>
      <c r="I1323" s="15">
        <v>2.87</v>
      </c>
      <c r="J1323" s="6" t="s">
        <v>1404</v>
      </c>
      <c r="K1323" s="15">
        <v>260</v>
      </c>
      <c r="L1323" s="15" t="s">
        <v>45</v>
      </c>
      <c r="M1323" s="15" t="s">
        <v>5</v>
      </c>
      <c r="N1323" s="11" t="s">
        <v>1406</v>
      </c>
      <c r="O1323" s="11" t="s">
        <v>46</v>
      </c>
      <c r="P1323" s="11" t="s">
        <v>29</v>
      </c>
      <c r="Q1323" s="15">
        <v>95</v>
      </c>
      <c r="R1323" s="11" t="s">
        <v>3</v>
      </c>
      <c r="S1323" s="10">
        <v>62.797718886280002</v>
      </c>
      <c r="T1323" s="15">
        <v>80</v>
      </c>
      <c r="U1323" s="15">
        <v>0</v>
      </c>
      <c r="V1323" s="15">
        <v>0</v>
      </c>
      <c r="W1323" s="15">
        <v>0</v>
      </c>
      <c r="X1323" s="15">
        <f>IF(O1323='Udvaskning nøgletal'!$D$65,1,IF(O1323='Udvaskning nøgletal'!$D$66,2,IF(O1323='Udvaskning nøgletal'!$D$67,3,IF(O1323='Udvaskning nøgletal'!$D$68,2,""))))</f>
        <v>2</v>
      </c>
      <c r="Y1323" s="15">
        <f>LOOKUP(K1323,'Udvaskning nøgletal'!$C$12:$C$60,'Udvaskning nøgletal'!$H$12:$H$60)</f>
        <v>0</v>
      </c>
      <c r="Z1323" s="10">
        <f>IF(X1323=1,LOOKUP(K1323,'Udvaskning nøgletal'!$C$12:$C$60,'Udvaskning nøgletal'!$E$12:$E$60)+Markniveau!Y1323*Markniveau!S1323/100,IF(X1323=2,LOOKUP(K1323,'Udvaskning nøgletal'!$C$12:$C$60,'Udvaskning nøgletal'!$F$12:$F$60)+Markniveau!Y1323*Markniveau!S1323/100,IF(X1323=3,LOOKUP(K1323,'Udvaskning nøgletal'!$C$12:$C$60,'Udvaskning nøgletal'!G1333:G1381)+Markniveau!Y1323*Markniveau!S1323/100,"")))</f>
        <v>27.331185321443094</v>
      </c>
      <c r="AA1323" s="10">
        <f t="shared" si="206"/>
        <v>78.440501872541688</v>
      </c>
      <c r="AB1323" s="10">
        <f t="shared" si="205"/>
        <v>1.3665592660721546</v>
      </c>
      <c r="AC1323" s="10">
        <f t="shared" si="207"/>
        <v>3.922025093627084</v>
      </c>
      <c r="AD1323" s="10">
        <f>IF(AND(Q1323&gt;0,Q1323&lt;30,K1323&lt;8),Markniveau!Z1323*'Udvaskning nøgletal'!$I$12/100,IF(AND(Q1323&gt;0,Q1323&lt;30,K1323=216),Markniveau!Z1323*'Udvaskning nøgletal'!$I$34/100,Markniveau!Z1323))</f>
        <v>27.331185321443094</v>
      </c>
      <c r="AE1323" s="10">
        <f t="shared" si="213"/>
        <v>78.440501872541688</v>
      </c>
      <c r="AF1323" s="10">
        <f t="shared" si="208"/>
        <v>1.3665592660721546</v>
      </c>
      <c r="AG1323" s="10">
        <f t="shared" si="214"/>
        <v>3.922025093627084</v>
      </c>
      <c r="AH1323" s="10" t="str">
        <f>IF(AND(Q1323&gt;0,Q1323&lt;30,K1323=216),'Udvaskning nøgletal'!$C$42,IF(AND(Q1323&gt;0,Q1323&lt;30,K1323&gt;7,K1323&lt;17),'Udvaskning nøgletal'!$C$61,IF(AND(Q1323&gt;0,Q1323&lt;30,K1323&lt;7),'Udvaskning nøgletal'!$C$62,"")))</f>
        <v/>
      </c>
      <c r="AI1323" s="10">
        <f t="shared" si="210"/>
        <v>260</v>
      </c>
      <c r="AJ1323" s="10">
        <f>IF($X1323=1,LOOKUP(AI1323,'Udvaskning nøgletal'!$C$12:$C$62,'Udvaskning nøgletal'!$E$12:$E$62)+Markniveau!$Y1323*Markniveau!$S1323/100,IF($X1323=2,LOOKUP(AI1323,'Udvaskning nøgletal'!$C$12:$C$62,'Udvaskning nøgletal'!$F$12:$F$62)+Markniveau!$Y1323*Markniveau!$S1323/100,IF($X1323=3,LOOKUP(AI1323,'Udvaskning nøgletal'!$C$12:$C$62,'Udvaskning nøgletal'!Q1333:Q1383)+Markniveau!$Y1323*Markniveau!$S1323/100,"")))</f>
        <v>27.331185321443094</v>
      </c>
      <c r="AK1323" s="10">
        <f t="shared" si="209"/>
        <v>78.440501872541688</v>
      </c>
      <c r="AL1323" s="10">
        <f t="shared" si="211"/>
        <v>1.3665592660721546</v>
      </c>
      <c r="AM1323" s="10">
        <f t="shared" si="212"/>
        <v>3.922025093627084</v>
      </c>
    </row>
    <row r="1324" spans="1:39" x14ac:dyDescent="0.25">
      <c r="A1324" s="15">
        <v>48880010</v>
      </c>
      <c r="B1324" s="15">
        <v>31.32</v>
      </c>
      <c r="C1324" s="15">
        <v>461581</v>
      </c>
      <c r="D1324" s="15">
        <v>62796</v>
      </c>
      <c r="E1324" s="15" t="s">
        <v>1166</v>
      </c>
      <c r="F1324" s="15">
        <v>2011</v>
      </c>
      <c r="G1324" s="15">
        <v>20110309</v>
      </c>
      <c r="H1324" s="15">
        <v>4799</v>
      </c>
      <c r="I1324" s="15">
        <v>0.48</v>
      </c>
      <c r="J1324" s="6" t="s">
        <v>35</v>
      </c>
      <c r="K1324" s="15">
        <v>252</v>
      </c>
      <c r="L1324" s="15" t="s">
        <v>41</v>
      </c>
      <c r="M1324" s="15" t="s">
        <v>4</v>
      </c>
      <c r="N1324" s="11" t="s">
        <v>1391</v>
      </c>
      <c r="O1324" s="11" t="s">
        <v>46</v>
      </c>
      <c r="P1324" s="11" t="s">
        <v>29</v>
      </c>
      <c r="Q1324" s="15">
        <v>95</v>
      </c>
      <c r="R1324" s="11" t="s">
        <v>3</v>
      </c>
      <c r="S1324" s="10">
        <v>62.797718886280002</v>
      </c>
      <c r="T1324" s="15">
        <v>80</v>
      </c>
      <c r="U1324" s="15">
        <v>0</v>
      </c>
      <c r="V1324" s="15">
        <v>0</v>
      </c>
      <c r="W1324" s="15">
        <v>0</v>
      </c>
      <c r="X1324" s="15">
        <f>IF(O1324='Udvaskning nøgletal'!$D$65,1,IF(O1324='Udvaskning nøgletal'!$D$66,2,IF(O1324='Udvaskning nøgletal'!$D$67,3,IF(O1324='Udvaskning nøgletal'!$D$68,2,""))))</f>
        <v>2</v>
      </c>
      <c r="Y1324" s="15">
        <f>LOOKUP(K1324,'Udvaskning nøgletal'!$C$12:$C$60,'Udvaskning nøgletal'!$H$12:$H$60)</f>
        <v>0</v>
      </c>
      <c r="Z1324" s="10">
        <f>IF(X1324=1,LOOKUP(K1324,'Udvaskning nøgletal'!$C$12:$C$60,'Udvaskning nøgletal'!$E$12:$E$60)+Markniveau!Y1324*Markniveau!S1324/100,IF(X1324=2,LOOKUP(K1324,'Udvaskning nøgletal'!$C$12:$C$60,'Udvaskning nøgletal'!$F$12:$F$60)+Markniveau!Y1324*Markniveau!S1324/100,IF(X1324=3,LOOKUP(K1324,'Udvaskning nøgletal'!$C$12:$C$60,'Udvaskning nøgletal'!G1334:G1382)+Markniveau!Y1324*Markniveau!S1324/100,"")))</f>
        <v>21.2</v>
      </c>
      <c r="AA1324" s="10">
        <f t="shared" si="206"/>
        <v>10.176</v>
      </c>
      <c r="AB1324" s="10">
        <f t="shared" si="205"/>
        <v>1.06</v>
      </c>
      <c r="AC1324" s="10">
        <f t="shared" si="207"/>
        <v>0.50880000000000003</v>
      </c>
      <c r="AD1324" s="10">
        <f>IF(AND(Q1324&gt;0,Q1324&lt;30,K1324&lt;8),Markniveau!Z1324*'Udvaskning nøgletal'!$I$12/100,IF(AND(Q1324&gt;0,Q1324&lt;30,K1324=216),Markniveau!Z1324*'Udvaskning nøgletal'!$I$34/100,Markniveau!Z1324))</f>
        <v>21.2</v>
      </c>
      <c r="AE1324" s="10">
        <f t="shared" si="213"/>
        <v>10.176</v>
      </c>
      <c r="AF1324" s="10">
        <f t="shared" si="208"/>
        <v>1.06</v>
      </c>
      <c r="AG1324" s="10">
        <f t="shared" si="214"/>
        <v>0.50880000000000003</v>
      </c>
      <c r="AH1324" s="10" t="str">
        <f>IF(AND(Q1324&gt;0,Q1324&lt;30,K1324=216),'Udvaskning nøgletal'!$C$42,IF(AND(Q1324&gt;0,Q1324&lt;30,K1324&gt;7,K1324&lt;17),'Udvaskning nøgletal'!$C$61,IF(AND(Q1324&gt;0,Q1324&lt;30,K1324&lt;7),'Udvaskning nøgletal'!$C$62,"")))</f>
        <v/>
      </c>
      <c r="AI1324" s="10">
        <f t="shared" si="210"/>
        <v>252</v>
      </c>
      <c r="AJ1324" s="10">
        <f>IF($X1324=1,LOOKUP(AI1324,'Udvaskning nøgletal'!$C$12:$C$62,'Udvaskning nøgletal'!$E$12:$E$62)+Markniveau!$Y1324*Markniveau!$S1324/100,IF($X1324=2,LOOKUP(AI1324,'Udvaskning nøgletal'!$C$12:$C$62,'Udvaskning nøgletal'!$F$12:$F$62)+Markniveau!$Y1324*Markniveau!$S1324/100,IF($X1324=3,LOOKUP(AI1324,'Udvaskning nøgletal'!$C$12:$C$62,'Udvaskning nøgletal'!Q1334:Q1384)+Markniveau!$Y1324*Markniveau!$S1324/100,"")))</f>
        <v>21.2</v>
      </c>
      <c r="AK1324" s="10">
        <f t="shared" si="209"/>
        <v>10.176</v>
      </c>
      <c r="AL1324" s="10">
        <f t="shared" si="211"/>
        <v>1.06</v>
      </c>
      <c r="AM1324" s="10">
        <f t="shared" si="212"/>
        <v>0.50880000000000003</v>
      </c>
    </row>
    <row r="1325" spans="1:39" x14ac:dyDescent="0.25">
      <c r="A1325" s="15">
        <v>48880010</v>
      </c>
      <c r="B1325" s="15">
        <v>31.32</v>
      </c>
      <c r="C1325" s="15">
        <v>470190</v>
      </c>
      <c r="D1325" s="15">
        <v>62796</v>
      </c>
      <c r="E1325" s="15" t="s">
        <v>1167</v>
      </c>
      <c r="F1325" s="15">
        <v>2011</v>
      </c>
      <c r="G1325" s="15">
        <v>20110309</v>
      </c>
      <c r="H1325" s="15">
        <v>20187</v>
      </c>
      <c r="I1325" s="15">
        <v>2.02</v>
      </c>
      <c r="J1325" s="6" t="s">
        <v>53</v>
      </c>
      <c r="K1325" s="15">
        <v>260</v>
      </c>
      <c r="L1325" s="15" t="s">
        <v>45</v>
      </c>
      <c r="M1325" s="15" t="s">
        <v>5</v>
      </c>
      <c r="N1325" s="11" t="s">
        <v>1406</v>
      </c>
      <c r="O1325" s="11" t="s">
        <v>46</v>
      </c>
      <c r="P1325" s="11" t="s">
        <v>29</v>
      </c>
      <c r="Q1325" s="15">
        <v>95</v>
      </c>
      <c r="R1325" s="11" t="s">
        <v>3</v>
      </c>
      <c r="S1325" s="10">
        <v>62.797718886280002</v>
      </c>
      <c r="T1325" s="15">
        <v>80</v>
      </c>
      <c r="U1325" s="15">
        <v>0</v>
      </c>
      <c r="V1325" s="15">
        <v>0</v>
      </c>
      <c r="W1325" s="15">
        <v>0</v>
      </c>
      <c r="X1325" s="15">
        <f>IF(O1325='Udvaskning nøgletal'!$D$65,1,IF(O1325='Udvaskning nøgletal'!$D$66,2,IF(O1325='Udvaskning nøgletal'!$D$67,3,IF(O1325='Udvaskning nøgletal'!$D$68,2,""))))</f>
        <v>2</v>
      </c>
      <c r="Y1325" s="15">
        <f>LOOKUP(K1325,'Udvaskning nøgletal'!$C$12:$C$60,'Udvaskning nøgletal'!$H$12:$H$60)</f>
        <v>0</v>
      </c>
      <c r="Z1325" s="10">
        <f>IF(X1325=1,LOOKUP(K1325,'Udvaskning nøgletal'!$C$12:$C$60,'Udvaskning nøgletal'!$E$12:$E$60)+Markniveau!Y1325*Markniveau!S1325/100,IF(X1325=2,LOOKUP(K1325,'Udvaskning nøgletal'!$C$12:$C$60,'Udvaskning nøgletal'!$F$12:$F$60)+Markniveau!Y1325*Markniveau!S1325/100,IF(X1325=3,LOOKUP(K1325,'Udvaskning nøgletal'!$C$12:$C$60,'Udvaskning nøgletal'!G1335:G1383)+Markniveau!Y1325*Markniveau!S1325/100,"")))</f>
        <v>27.331185321443094</v>
      </c>
      <c r="AA1325" s="10">
        <f t="shared" si="206"/>
        <v>55.208994349315049</v>
      </c>
      <c r="AB1325" s="10">
        <f t="shared" si="205"/>
        <v>1.3665592660721546</v>
      </c>
      <c r="AC1325" s="10">
        <f t="shared" si="207"/>
        <v>2.7604497174657525</v>
      </c>
      <c r="AD1325" s="10">
        <f>IF(AND(Q1325&gt;0,Q1325&lt;30,K1325&lt;8),Markniveau!Z1325*'Udvaskning nøgletal'!$I$12/100,IF(AND(Q1325&gt;0,Q1325&lt;30,K1325=216),Markniveau!Z1325*'Udvaskning nøgletal'!$I$34/100,Markniveau!Z1325))</f>
        <v>27.331185321443094</v>
      </c>
      <c r="AE1325" s="10">
        <f t="shared" si="213"/>
        <v>55.208994349315049</v>
      </c>
      <c r="AF1325" s="10">
        <f t="shared" si="208"/>
        <v>1.3665592660721546</v>
      </c>
      <c r="AG1325" s="10">
        <f t="shared" si="214"/>
        <v>2.7604497174657525</v>
      </c>
      <c r="AH1325" s="10" t="str">
        <f>IF(AND(Q1325&gt;0,Q1325&lt;30,K1325=216),'Udvaskning nøgletal'!$C$42,IF(AND(Q1325&gt;0,Q1325&lt;30,K1325&gt;7,K1325&lt;17),'Udvaskning nøgletal'!$C$61,IF(AND(Q1325&gt;0,Q1325&lt;30,K1325&lt;7),'Udvaskning nøgletal'!$C$62,"")))</f>
        <v/>
      </c>
      <c r="AI1325" s="10">
        <f t="shared" si="210"/>
        <v>260</v>
      </c>
      <c r="AJ1325" s="10">
        <f>IF($X1325=1,LOOKUP(AI1325,'Udvaskning nøgletal'!$C$12:$C$62,'Udvaskning nøgletal'!$E$12:$E$62)+Markniveau!$Y1325*Markniveau!$S1325/100,IF($X1325=2,LOOKUP(AI1325,'Udvaskning nøgletal'!$C$12:$C$62,'Udvaskning nøgletal'!$F$12:$F$62)+Markniveau!$Y1325*Markniveau!$S1325/100,IF($X1325=3,LOOKUP(AI1325,'Udvaskning nøgletal'!$C$12:$C$62,'Udvaskning nøgletal'!Q1335:Q1385)+Markniveau!$Y1325*Markniveau!$S1325/100,"")))</f>
        <v>27.331185321443094</v>
      </c>
      <c r="AK1325" s="10">
        <f t="shared" si="209"/>
        <v>55.208994349315049</v>
      </c>
      <c r="AL1325" s="10">
        <f t="shared" si="211"/>
        <v>1.3665592660721546</v>
      </c>
      <c r="AM1325" s="10">
        <f t="shared" si="212"/>
        <v>2.7604497174657525</v>
      </c>
    </row>
    <row r="1326" spans="1:39" x14ac:dyDescent="0.25">
      <c r="A1326" s="15">
        <v>48880010</v>
      </c>
      <c r="B1326" s="15">
        <v>31.32</v>
      </c>
      <c r="C1326" s="15">
        <v>470191</v>
      </c>
      <c r="D1326" s="15">
        <v>62796</v>
      </c>
      <c r="E1326" s="15" t="s">
        <v>371</v>
      </c>
      <c r="F1326" s="15">
        <v>2011</v>
      </c>
      <c r="G1326" s="15">
        <v>20110309</v>
      </c>
      <c r="H1326" s="15">
        <v>35081</v>
      </c>
      <c r="I1326" s="15">
        <v>3.51</v>
      </c>
      <c r="J1326" s="6" t="s">
        <v>61</v>
      </c>
      <c r="K1326" s="15">
        <v>260</v>
      </c>
      <c r="L1326" s="15" t="s">
        <v>45</v>
      </c>
      <c r="M1326" s="15" t="s">
        <v>5</v>
      </c>
      <c r="N1326" s="11" t="s">
        <v>1391</v>
      </c>
      <c r="O1326" s="11" t="s">
        <v>46</v>
      </c>
      <c r="P1326" s="11" t="s">
        <v>29</v>
      </c>
      <c r="Q1326" s="15">
        <v>95</v>
      </c>
      <c r="R1326" s="11" t="s">
        <v>3</v>
      </c>
      <c r="S1326" s="10">
        <v>62.797718886280002</v>
      </c>
      <c r="T1326" s="15">
        <v>80</v>
      </c>
      <c r="U1326" s="15">
        <v>0</v>
      </c>
      <c r="V1326" s="15">
        <v>0</v>
      </c>
      <c r="W1326" s="15">
        <v>0</v>
      </c>
      <c r="X1326" s="15">
        <f>IF(O1326='Udvaskning nøgletal'!$D$65,1,IF(O1326='Udvaskning nøgletal'!$D$66,2,IF(O1326='Udvaskning nøgletal'!$D$67,3,IF(O1326='Udvaskning nøgletal'!$D$68,2,""))))</f>
        <v>2</v>
      </c>
      <c r="Y1326" s="15">
        <f>LOOKUP(K1326,'Udvaskning nøgletal'!$C$12:$C$60,'Udvaskning nøgletal'!$H$12:$H$60)</f>
        <v>0</v>
      </c>
      <c r="Z1326" s="10">
        <f>IF(X1326=1,LOOKUP(K1326,'Udvaskning nøgletal'!$C$12:$C$60,'Udvaskning nøgletal'!$E$12:$E$60)+Markniveau!Y1326*Markniveau!S1326/100,IF(X1326=2,LOOKUP(K1326,'Udvaskning nøgletal'!$C$12:$C$60,'Udvaskning nøgletal'!$F$12:$F$60)+Markniveau!Y1326*Markniveau!S1326/100,IF(X1326=3,LOOKUP(K1326,'Udvaskning nøgletal'!$C$12:$C$60,'Udvaskning nøgletal'!G1336:G1384)+Markniveau!Y1326*Markniveau!S1326/100,"")))</f>
        <v>27.331185321443094</v>
      </c>
      <c r="AA1326" s="10">
        <f t="shared" si="206"/>
        <v>95.932460478265256</v>
      </c>
      <c r="AB1326" s="10">
        <f t="shared" si="205"/>
        <v>1.3665592660721546</v>
      </c>
      <c r="AC1326" s="10">
        <f t="shared" si="207"/>
        <v>4.7966230239132628</v>
      </c>
      <c r="AD1326" s="10">
        <f>IF(AND(Q1326&gt;0,Q1326&lt;30,K1326&lt;8),Markniveau!Z1326*'Udvaskning nøgletal'!$I$12/100,IF(AND(Q1326&gt;0,Q1326&lt;30,K1326=216),Markniveau!Z1326*'Udvaskning nøgletal'!$I$34/100,Markniveau!Z1326))</f>
        <v>27.331185321443094</v>
      </c>
      <c r="AE1326" s="10">
        <f t="shared" si="213"/>
        <v>95.932460478265256</v>
      </c>
      <c r="AF1326" s="10">
        <f t="shared" si="208"/>
        <v>1.3665592660721546</v>
      </c>
      <c r="AG1326" s="10">
        <f t="shared" si="214"/>
        <v>4.7966230239132628</v>
      </c>
      <c r="AH1326" s="10" t="str">
        <f>IF(AND(Q1326&gt;0,Q1326&lt;30,K1326=216),'Udvaskning nøgletal'!$C$42,IF(AND(Q1326&gt;0,Q1326&lt;30,K1326&gt;7,K1326&lt;17),'Udvaskning nøgletal'!$C$61,IF(AND(Q1326&gt;0,Q1326&lt;30,K1326&lt;7),'Udvaskning nøgletal'!$C$62,"")))</f>
        <v/>
      </c>
      <c r="AI1326" s="10">
        <f t="shared" si="210"/>
        <v>260</v>
      </c>
      <c r="AJ1326" s="10">
        <f>IF($X1326=1,LOOKUP(AI1326,'Udvaskning nøgletal'!$C$12:$C$62,'Udvaskning nøgletal'!$E$12:$E$62)+Markniveau!$Y1326*Markniveau!$S1326/100,IF($X1326=2,LOOKUP(AI1326,'Udvaskning nøgletal'!$C$12:$C$62,'Udvaskning nøgletal'!$F$12:$F$62)+Markniveau!$Y1326*Markniveau!$S1326/100,IF($X1326=3,LOOKUP(AI1326,'Udvaskning nøgletal'!$C$12:$C$62,'Udvaskning nøgletal'!Q1336:Q1386)+Markniveau!$Y1326*Markniveau!$S1326/100,"")))</f>
        <v>27.331185321443094</v>
      </c>
      <c r="AK1326" s="10">
        <f t="shared" si="209"/>
        <v>95.932460478265256</v>
      </c>
      <c r="AL1326" s="10">
        <f t="shared" si="211"/>
        <v>1.3665592660721546</v>
      </c>
      <c r="AM1326" s="10">
        <f t="shared" si="212"/>
        <v>4.7966230239132628</v>
      </c>
    </row>
    <row r="1327" spans="1:39" x14ac:dyDescent="0.25">
      <c r="A1327" s="15">
        <v>48880010</v>
      </c>
      <c r="B1327" s="15">
        <v>31.32</v>
      </c>
      <c r="C1327" s="15">
        <v>470723</v>
      </c>
      <c r="D1327" s="15">
        <v>62796</v>
      </c>
      <c r="E1327" s="15" t="s">
        <v>1168</v>
      </c>
      <c r="F1327" s="15">
        <v>2011</v>
      </c>
      <c r="G1327" s="15">
        <v>20110309</v>
      </c>
      <c r="H1327" s="15">
        <v>29417</v>
      </c>
      <c r="I1327" s="15">
        <v>2.94</v>
      </c>
      <c r="J1327" s="6" t="s">
        <v>1389</v>
      </c>
      <c r="K1327" s="15">
        <v>260</v>
      </c>
      <c r="L1327" s="15" t="s">
        <v>45</v>
      </c>
      <c r="M1327" s="15" t="s">
        <v>5</v>
      </c>
      <c r="N1327" s="11" t="s">
        <v>1384</v>
      </c>
      <c r="O1327" s="11" t="s">
        <v>28</v>
      </c>
      <c r="P1327" s="11" t="s">
        <v>29</v>
      </c>
      <c r="Q1327" s="15">
        <v>95</v>
      </c>
      <c r="R1327" s="11" t="s">
        <v>3</v>
      </c>
      <c r="S1327" s="10">
        <v>62.797718886280002</v>
      </c>
      <c r="T1327" s="15">
        <v>80</v>
      </c>
      <c r="U1327" s="15">
        <v>0</v>
      </c>
      <c r="V1327" s="15">
        <v>0</v>
      </c>
      <c r="W1327" s="15">
        <v>0</v>
      </c>
      <c r="X1327" s="15">
        <f>IF(O1327='Udvaskning nøgletal'!$D$65,1,IF(O1327='Udvaskning nøgletal'!$D$66,2,IF(O1327='Udvaskning nøgletal'!$D$67,3,IF(O1327='Udvaskning nøgletal'!$D$68,2,""))))</f>
        <v>1</v>
      </c>
      <c r="Y1327" s="15">
        <f>LOOKUP(K1327,'Udvaskning nøgletal'!$C$12:$C$60,'Udvaskning nøgletal'!$H$12:$H$60)</f>
        <v>0</v>
      </c>
      <c r="Z1327" s="10">
        <f>IF(X1327=1,LOOKUP(K1327,'Udvaskning nøgletal'!$C$12:$C$60,'Udvaskning nøgletal'!$E$12:$E$60)+Markniveau!Y1327*Markniveau!S1327/100,IF(X1327=2,LOOKUP(K1327,'Udvaskning nøgletal'!$C$12:$C$60,'Udvaskning nøgletal'!$F$12:$F$60)+Markniveau!Y1327*Markniveau!S1327/100,IF(X1327=3,LOOKUP(K1327,'Udvaskning nøgletal'!$C$12:$C$60,'Udvaskning nøgletal'!G1337:G1385)+Markniveau!Y1327*Markniveau!S1327/100,"")))</f>
        <v>33.723295792149436</v>
      </c>
      <c r="AA1327" s="10">
        <f t="shared" si="206"/>
        <v>99.14648962891934</v>
      </c>
      <c r="AB1327" s="10">
        <f t="shared" si="205"/>
        <v>1.6861647896074716</v>
      </c>
      <c r="AC1327" s="10">
        <f t="shared" si="207"/>
        <v>4.9573244814459665</v>
      </c>
      <c r="AD1327" s="10">
        <f>IF(AND(Q1327&gt;0,Q1327&lt;30,K1327&lt;8),Markniveau!Z1327*'Udvaskning nøgletal'!$I$12/100,IF(AND(Q1327&gt;0,Q1327&lt;30,K1327=216),Markniveau!Z1327*'Udvaskning nøgletal'!$I$34/100,Markniveau!Z1327))</f>
        <v>33.723295792149436</v>
      </c>
      <c r="AE1327" s="10">
        <f t="shared" si="213"/>
        <v>99.14648962891934</v>
      </c>
      <c r="AF1327" s="10">
        <f t="shared" si="208"/>
        <v>1.6861647896074716</v>
      </c>
      <c r="AG1327" s="10">
        <f t="shared" si="214"/>
        <v>4.9573244814459665</v>
      </c>
      <c r="AH1327" s="10" t="str">
        <f>IF(AND(Q1327&gt;0,Q1327&lt;30,K1327=216),'Udvaskning nøgletal'!$C$42,IF(AND(Q1327&gt;0,Q1327&lt;30,K1327&gt;7,K1327&lt;17),'Udvaskning nøgletal'!$C$61,IF(AND(Q1327&gt;0,Q1327&lt;30,K1327&lt;7),'Udvaskning nøgletal'!$C$62,"")))</f>
        <v/>
      </c>
      <c r="AI1327" s="10">
        <f t="shared" si="210"/>
        <v>260</v>
      </c>
      <c r="AJ1327" s="10">
        <f>IF($X1327=1,LOOKUP(AI1327,'Udvaskning nøgletal'!$C$12:$C$62,'Udvaskning nøgletal'!$E$12:$E$62)+Markniveau!$Y1327*Markniveau!$S1327/100,IF($X1327=2,LOOKUP(AI1327,'Udvaskning nøgletal'!$C$12:$C$62,'Udvaskning nøgletal'!$F$12:$F$62)+Markniveau!$Y1327*Markniveau!$S1327/100,IF($X1327=3,LOOKUP(AI1327,'Udvaskning nøgletal'!$C$12:$C$62,'Udvaskning nøgletal'!Q1337:Q1387)+Markniveau!$Y1327*Markniveau!$S1327/100,"")))</f>
        <v>33.723295792149436</v>
      </c>
      <c r="AK1327" s="10">
        <f t="shared" si="209"/>
        <v>99.14648962891934</v>
      </c>
      <c r="AL1327" s="10">
        <f t="shared" si="211"/>
        <v>1.6861647896074716</v>
      </c>
      <c r="AM1327" s="10">
        <f t="shared" si="212"/>
        <v>4.9573244814459665</v>
      </c>
    </row>
    <row r="1328" spans="1:39" x14ac:dyDescent="0.25">
      <c r="A1328" s="15">
        <v>48880010</v>
      </c>
      <c r="B1328" s="15">
        <v>31.32</v>
      </c>
      <c r="C1328" s="15">
        <v>470724</v>
      </c>
      <c r="D1328" s="15">
        <v>62796</v>
      </c>
      <c r="E1328" s="15" t="s">
        <v>1168</v>
      </c>
      <c r="F1328" s="15">
        <v>2011</v>
      </c>
      <c r="G1328" s="15">
        <v>20110309</v>
      </c>
      <c r="H1328" s="15">
        <v>33973</v>
      </c>
      <c r="I1328" s="15">
        <v>3.4</v>
      </c>
      <c r="J1328" s="6" t="s">
        <v>38</v>
      </c>
      <c r="K1328" s="15">
        <v>260</v>
      </c>
      <c r="L1328" s="15" t="s">
        <v>45</v>
      </c>
      <c r="M1328" s="15" t="s">
        <v>5</v>
      </c>
      <c r="N1328" s="11" t="s">
        <v>1384</v>
      </c>
      <c r="O1328" s="11" t="s">
        <v>28</v>
      </c>
      <c r="P1328" s="11" t="s">
        <v>29</v>
      </c>
      <c r="Q1328" s="15">
        <v>95</v>
      </c>
      <c r="R1328" s="11" t="s">
        <v>3</v>
      </c>
      <c r="S1328" s="10">
        <v>62.797718886280002</v>
      </c>
      <c r="T1328" s="15">
        <v>80</v>
      </c>
      <c r="U1328" s="15">
        <v>0</v>
      </c>
      <c r="V1328" s="15">
        <v>0</v>
      </c>
      <c r="W1328" s="15">
        <v>0</v>
      </c>
      <c r="X1328" s="15">
        <f>IF(O1328='Udvaskning nøgletal'!$D$65,1,IF(O1328='Udvaskning nøgletal'!$D$66,2,IF(O1328='Udvaskning nøgletal'!$D$67,3,IF(O1328='Udvaskning nøgletal'!$D$68,2,""))))</f>
        <v>1</v>
      </c>
      <c r="Y1328" s="15">
        <f>LOOKUP(K1328,'Udvaskning nøgletal'!$C$12:$C$60,'Udvaskning nøgletal'!$H$12:$H$60)</f>
        <v>0</v>
      </c>
      <c r="Z1328" s="10">
        <f>IF(X1328=1,LOOKUP(K1328,'Udvaskning nøgletal'!$C$12:$C$60,'Udvaskning nøgletal'!$E$12:$E$60)+Markniveau!Y1328*Markniveau!S1328/100,IF(X1328=2,LOOKUP(K1328,'Udvaskning nøgletal'!$C$12:$C$60,'Udvaskning nøgletal'!$F$12:$F$60)+Markniveau!Y1328*Markniveau!S1328/100,IF(X1328=3,LOOKUP(K1328,'Udvaskning nøgletal'!$C$12:$C$60,'Udvaskning nøgletal'!G1338:G1386)+Markniveau!Y1328*Markniveau!S1328/100,"")))</f>
        <v>33.723295792149436</v>
      </c>
      <c r="AA1328" s="10">
        <f t="shared" si="206"/>
        <v>114.65920569330808</v>
      </c>
      <c r="AB1328" s="10">
        <f t="shared" si="205"/>
        <v>1.6861647896074716</v>
      </c>
      <c r="AC1328" s="10">
        <f t="shared" si="207"/>
        <v>5.7329602846654035</v>
      </c>
      <c r="AD1328" s="10">
        <f>IF(AND(Q1328&gt;0,Q1328&lt;30,K1328&lt;8),Markniveau!Z1328*'Udvaskning nøgletal'!$I$12/100,IF(AND(Q1328&gt;0,Q1328&lt;30,K1328=216),Markniveau!Z1328*'Udvaskning nøgletal'!$I$34/100,Markniveau!Z1328))</f>
        <v>33.723295792149436</v>
      </c>
      <c r="AE1328" s="10">
        <f t="shared" si="213"/>
        <v>114.65920569330808</v>
      </c>
      <c r="AF1328" s="10">
        <f t="shared" si="208"/>
        <v>1.6861647896074716</v>
      </c>
      <c r="AG1328" s="10">
        <f t="shared" si="214"/>
        <v>5.7329602846654035</v>
      </c>
      <c r="AH1328" s="10" t="str">
        <f>IF(AND(Q1328&gt;0,Q1328&lt;30,K1328=216),'Udvaskning nøgletal'!$C$42,IF(AND(Q1328&gt;0,Q1328&lt;30,K1328&gt;7,K1328&lt;17),'Udvaskning nøgletal'!$C$61,IF(AND(Q1328&gt;0,Q1328&lt;30,K1328&lt;7),'Udvaskning nøgletal'!$C$62,"")))</f>
        <v/>
      </c>
      <c r="AI1328" s="10">
        <f t="shared" si="210"/>
        <v>260</v>
      </c>
      <c r="AJ1328" s="10">
        <f>IF($X1328=1,LOOKUP(AI1328,'Udvaskning nøgletal'!$C$12:$C$62,'Udvaskning nøgletal'!$E$12:$E$62)+Markniveau!$Y1328*Markniveau!$S1328/100,IF($X1328=2,LOOKUP(AI1328,'Udvaskning nøgletal'!$C$12:$C$62,'Udvaskning nøgletal'!$F$12:$F$62)+Markniveau!$Y1328*Markniveau!$S1328/100,IF($X1328=3,LOOKUP(AI1328,'Udvaskning nøgletal'!$C$12:$C$62,'Udvaskning nøgletal'!Q1338:Q1388)+Markniveau!$Y1328*Markniveau!$S1328/100,"")))</f>
        <v>33.723295792149436</v>
      </c>
      <c r="AK1328" s="10">
        <f t="shared" si="209"/>
        <v>114.65920569330808</v>
      </c>
      <c r="AL1328" s="10">
        <f t="shared" si="211"/>
        <v>1.6861647896074716</v>
      </c>
      <c r="AM1328" s="10">
        <f t="shared" si="212"/>
        <v>5.7329602846654035</v>
      </c>
    </row>
    <row r="1329" spans="1:39" x14ac:dyDescent="0.25">
      <c r="A1329" s="15">
        <v>48880010</v>
      </c>
      <c r="B1329" s="15">
        <v>31.32</v>
      </c>
      <c r="C1329" s="15">
        <v>299148</v>
      </c>
      <c r="D1329" s="15">
        <v>62796</v>
      </c>
      <c r="E1329" s="15" t="s">
        <v>1166</v>
      </c>
      <c r="F1329" s="15">
        <v>2011</v>
      </c>
      <c r="G1329" s="15">
        <v>20110309</v>
      </c>
      <c r="H1329" s="15">
        <v>16639</v>
      </c>
      <c r="I1329" s="15">
        <v>1.66</v>
      </c>
      <c r="J1329" s="6" t="s">
        <v>1398</v>
      </c>
      <c r="K1329" s="15">
        <v>260</v>
      </c>
      <c r="L1329" s="15" t="s">
        <v>45</v>
      </c>
      <c r="M1329" s="15" t="s">
        <v>5</v>
      </c>
      <c r="N1329" s="11" t="s">
        <v>1406</v>
      </c>
      <c r="O1329" s="11" t="s">
        <v>46</v>
      </c>
      <c r="P1329" s="11" t="s">
        <v>29</v>
      </c>
      <c r="Q1329" s="15">
        <v>95</v>
      </c>
      <c r="R1329" s="11" t="s">
        <v>3</v>
      </c>
      <c r="S1329" s="10">
        <v>62.797718886280002</v>
      </c>
      <c r="T1329" s="15">
        <v>80</v>
      </c>
      <c r="U1329" s="15">
        <v>0</v>
      </c>
      <c r="V1329" s="15">
        <v>0</v>
      </c>
      <c r="W1329" s="15">
        <v>0</v>
      </c>
      <c r="X1329" s="15">
        <f>IF(O1329='Udvaskning nøgletal'!$D$65,1,IF(O1329='Udvaskning nøgletal'!$D$66,2,IF(O1329='Udvaskning nøgletal'!$D$67,3,IF(O1329='Udvaskning nøgletal'!$D$68,2,""))))</f>
        <v>2</v>
      </c>
      <c r="Y1329" s="15">
        <f>LOOKUP(K1329,'Udvaskning nøgletal'!$C$12:$C$60,'Udvaskning nøgletal'!$H$12:$H$60)</f>
        <v>0</v>
      </c>
      <c r="Z1329" s="10">
        <f>IF(X1329=1,LOOKUP(K1329,'Udvaskning nøgletal'!$C$12:$C$60,'Udvaskning nøgletal'!$E$12:$E$60)+Markniveau!Y1329*Markniveau!S1329/100,IF(X1329=2,LOOKUP(K1329,'Udvaskning nøgletal'!$C$12:$C$60,'Udvaskning nøgletal'!$F$12:$F$60)+Markniveau!Y1329*Markniveau!S1329/100,IF(X1329=3,LOOKUP(K1329,'Udvaskning nøgletal'!$C$12:$C$60,'Udvaskning nøgletal'!G1339:G1387)+Markniveau!Y1329*Markniveau!S1329/100,"")))</f>
        <v>27.331185321443094</v>
      </c>
      <c r="AA1329" s="10">
        <f t="shared" si="206"/>
        <v>45.369767633595536</v>
      </c>
      <c r="AB1329" s="10">
        <f t="shared" si="205"/>
        <v>1.3665592660721546</v>
      </c>
      <c r="AC1329" s="10">
        <f t="shared" si="207"/>
        <v>2.2684883816797767</v>
      </c>
      <c r="AD1329" s="10">
        <f>IF(AND(Q1329&gt;0,Q1329&lt;30,K1329&lt;8),Markniveau!Z1329*'Udvaskning nøgletal'!$I$12/100,IF(AND(Q1329&gt;0,Q1329&lt;30,K1329=216),Markniveau!Z1329*'Udvaskning nøgletal'!$I$34/100,Markniveau!Z1329))</f>
        <v>27.331185321443094</v>
      </c>
      <c r="AE1329" s="10">
        <f t="shared" si="213"/>
        <v>45.369767633595536</v>
      </c>
      <c r="AF1329" s="10">
        <f t="shared" si="208"/>
        <v>1.3665592660721546</v>
      </c>
      <c r="AG1329" s="10">
        <f t="shared" si="214"/>
        <v>2.2684883816797767</v>
      </c>
      <c r="AH1329" s="10" t="str">
        <f>IF(AND(Q1329&gt;0,Q1329&lt;30,K1329=216),'Udvaskning nøgletal'!$C$42,IF(AND(Q1329&gt;0,Q1329&lt;30,K1329&gt;7,K1329&lt;17),'Udvaskning nøgletal'!$C$61,IF(AND(Q1329&gt;0,Q1329&lt;30,K1329&lt;7),'Udvaskning nøgletal'!$C$62,"")))</f>
        <v/>
      </c>
      <c r="AI1329" s="10">
        <f t="shared" si="210"/>
        <v>260</v>
      </c>
      <c r="AJ1329" s="10">
        <f>IF($X1329=1,LOOKUP(AI1329,'Udvaskning nøgletal'!$C$12:$C$62,'Udvaskning nøgletal'!$E$12:$E$62)+Markniveau!$Y1329*Markniveau!$S1329/100,IF($X1329=2,LOOKUP(AI1329,'Udvaskning nøgletal'!$C$12:$C$62,'Udvaskning nøgletal'!$F$12:$F$62)+Markniveau!$Y1329*Markniveau!$S1329/100,IF($X1329=3,LOOKUP(AI1329,'Udvaskning nøgletal'!$C$12:$C$62,'Udvaskning nøgletal'!Q1339:Q1389)+Markniveau!$Y1329*Markniveau!$S1329/100,"")))</f>
        <v>27.331185321443094</v>
      </c>
      <c r="AK1329" s="10">
        <f t="shared" si="209"/>
        <v>45.369767633595536</v>
      </c>
      <c r="AL1329" s="10">
        <f t="shared" si="211"/>
        <v>1.3665592660721546</v>
      </c>
      <c r="AM1329" s="10">
        <f t="shared" si="212"/>
        <v>2.2684883816797767</v>
      </c>
    </row>
    <row r="1330" spans="1:39" x14ac:dyDescent="0.25">
      <c r="A1330" s="15">
        <v>48880010</v>
      </c>
      <c r="B1330" s="15">
        <v>31.32</v>
      </c>
      <c r="C1330" s="15">
        <v>316185</v>
      </c>
      <c r="D1330" s="15">
        <v>62796</v>
      </c>
      <c r="E1330" s="15" t="s">
        <v>1166</v>
      </c>
      <c r="F1330" s="15">
        <v>2011</v>
      </c>
      <c r="G1330" s="15">
        <v>20110309</v>
      </c>
      <c r="H1330" s="15">
        <v>10251</v>
      </c>
      <c r="I1330" s="15">
        <v>1.03</v>
      </c>
      <c r="J1330" s="6" t="s">
        <v>69</v>
      </c>
      <c r="K1330" s="15">
        <v>252</v>
      </c>
      <c r="L1330" s="15" t="s">
        <v>41</v>
      </c>
      <c r="M1330" s="15" t="s">
        <v>4</v>
      </c>
      <c r="N1330" s="11" t="s">
        <v>1406</v>
      </c>
      <c r="O1330" s="11" t="s">
        <v>46</v>
      </c>
      <c r="P1330" s="11" t="s">
        <v>29</v>
      </c>
      <c r="Q1330" s="15">
        <v>95</v>
      </c>
      <c r="R1330" s="11" t="s">
        <v>3</v>
      </c>
      <c r="S1330" s="10">
        <v>62.797718886280002</v>
      </c>
      <c r="T1330" s="15">
        <v>80</v>
      </c>
      <c r="U1330" s="15">
        <v>0</v>
      </c>
      <c r="V1330" s="15">
        <v>0</v>
      </c>
      <c r="W1330" s="15">
        <v>0</v>
      </c>
      <c r="X1330" s="15">
        <f>IF(O1330='Udvaskning nøgletal'!$D$65,1,IF(O1330='Udvaskning nøgletal'!$D$66,2,IF(O1330='Udvaskning nøgletal'!$D$67,3,IF(O1330='Udvaskning nøgletal'!$D$68,2,""))))</f>
        <v>2</v>
      </c>
      <c r="Y1330" s="15">
        <f>LOOKUP(K1330,'Udvaskning nøgletal'!$C$12:$C$60,'Udvaskning nøgletal'!$H$12:$H$60)</f>
        <v>0</v>
      </c>
      <c r="Z1330" s="10">
        <f>IF(X1330=1,LOOKUP(K1330,'Udvaskning nøgletal'!$C$12:$C$60,'Udvaskning nøgletal'!$E$12:$E$60)+Markniveau!Y1330*Markniveau!S1330/100,IF(X1330=2,LOOKUP(K1330,'Udvaskning nøgletal'!$C$12:$C$60,'Udvaskning nøgletal'!$F$12:$F$60)+Markniveau!Y1330*Markniveau!S1330/100,IF(X1330=3,LOOKUP(K1330,'Udvaskning nøgletal'!$C$12:$C$60,'Udvaskning nøgletal'!G1340:G1388)+Markniveau!Y1330*Markniveau!S1330/100,"")))</f>
        <v>21.2</v>
      </c>
      <c r="AA1330" s="10">
        <f t="shared" si="206"/>
        <v>21.835999999999999</v>
      </c>
      <c r="AB1330" s="10">
        <f t="shared" si="205"/>
        <v>1.06</v>
      </c>
      <c r="AC1330" s="10">
        <f t="shared" si="207"/>
        <v>1.0918000000000001</v>
      </c>
      <c r="AD1330" s="10">
        <f>IF(AND(Q1330&gt;0,Q1330&lt;30,K1330&lt;8),Markniveau!Z1330*'Udvaskning nøgletal'!$I$12/100,IF(AND(Q1330&gt;0,Q1330&lt;30,K1330=216),Markniveau!Z1330*'Udvaskning nøgletal'!$I$34/100,Markniveau!Z1330))</f>
        <v>21.2</v>
      </c>
      <c r="AE1330" s="10">
        <f t="shared" si="213"/>
        <v>21.835999999999999</v>
      </c>
      <c r="AF1330" s="10">
        <f t="shared" si="208"/>
        <v>1.06</v>
      </c>
      <c r="AG1330" s="10">
        <f t="shared" si="214"/>
        <v>1.0918000000000001</v>
      </c>
      <c r="AH1330" s="10" t="str">
        <f>IF(AND(Q1330&gt;0,Q1330&lt;30,K1330=216),'Udvaskning nøgletal'!$C$42,IF(AND(Q1330&gt;0,Q1330&lt;30,K1330&gt;7,K1330&lt;17),'Udvaskning nøgletal'!$C$61,IF(AND(Q1330&gt;0,Q1330&lt;30,K1330&lt;7),'Udvaskning nøgletal'!$C$62,"")))</f>
        <v/>
      </c>
      <c r="AI1330" s="10">
        <f t="shared" si="210"/>
        <v>252</v>
      </c>
      <c r="AJ1330" s="10">
        <f>IF($X1330=1,LOOKUP(AI1330,'Udvaskning nøgletal'!$C$12:$C$62,'Udvaskning nøgletal'!$E$12:$E$62)+Markniveau!$Y1330*Markniveau!$S1330/100,IF($X1330=2,LOOKUP(AI1330,'Udvaskning nøgletal'!$C$12:$C$62,'Udvaskning nøgletal'!$F$12:$F$62)+Markniveau!$Y1330*Markniveau!$S1330/100,IF($X1330=3,LOOKUP(AI1330,'Udvaskning nøgletal'!$C$12:$C$62,'Udvaskning nøgletal'!Q1340:Q1390)+Markniveau!$Y1330*Markniveau!$S1330/100,"")))</f>
        <v>21.2</v>
      </c>
      <c r="AK1330" s="10">
        <f t="shared" si="209"/>
        <v>21.835999999999999</v>
      </c>
      <c r="AL1330" s="10">
        <f t="shared" si="211"/>
        <v>1.06</v>
      </c>
      <c r="AM1330" s="10">
        <f t="shared" si="212"/>
        <v>1.0918000000000001</v>
      </c>
    </row>
    <row r="1331" spans="1:39" x14ac:dyDescent="0.25">
      <c r="A1331" s="15">
        <v>49299915</v>
      </c>
      <c r="B1331" s="15">
        <v>17.62</v>
      </c>
      <c r="C1331" s="15">
        <v>145733</v>
      </c>
      <c r="D1331" s="15">
        <v>41608</v>
      </c>
      <c r="E1331" s="15" t="s">
        <v>801</v>
      </c>
      <c r="F1331" s="15">
        <v>2011</v>
      </c>
      <c r="G1331" s="15">
        <v>20110420</v>
      </c>
      <c r="H1331" s="15">
        <v>13443</v>
      </c>
      <c r="I1331" s="15">
        <v>1.34</v>
      </c>
      <c r="J1331" s="6" t="s">
        <v>31</v>
      </c>
      <c r="K1331" s="15">
        <v>254</v>
      </c>
      <c r="L1331" s="15" t="s">
        <v>27</v>
      </c>
      <c r="M1331" s="15" t="s">
        <v>4</v>
      </c>
      <c r="N1331" s="11" t="s">
        <v>1406</v>
      </c>
      <c r="O1331" s="11" t="s">
        <v>46</v>
      </c>
      <c r="P1331" s="11" t="s">
        <v>29</v>
      </c>
      <c r="Q1331" s="15">
        <v>75</v>
      </c>
      <c r="R1331" s="11" t="s">
        <v>10</v>
      </c>
      <c r="S1331" s="10">
        <v>0</v>
      </c>
      <c r="T1331" s="15">
        <v>80</v>
      </c>
      <c r="U1331" s="15">
        <v>0</v>
      </c>
      <c r="V1331" s="15">
        <v>0</v>
      </c>
      <c r="W1331" s="15">
        <v>0</v>
      </c>
      <c r="X1331" s="15">
        <f>IF(O1331='Udvaskning nøgletal'!$D$65,1,IF(O1331='Udvaskning nøgletal'!$D$66,2,IF(O1331='Udvaskning nøgletal'!$D$67,3,IF(O1331='Udvaskning nøgletal'!$D$68,2,""))))</f>
        <v>2</v>
      </c>
      <c r="Y1331" s="15">
        <f>LOOKUP(K1331,'Udvaskning nøgletal'!$C$12:$C$60,'Udvaskning nøgletal'!$H$12:$H$60)</f>
        <v>0</v>
      </c>
      <c r="Z1331" s="10">
        <f>IF(X1331=1,LOOKUP(K1331,'Udvaskning nøgletal'!$C$12:$C$60,'Udvaskning nøgletal'!$E$12:$E$60)+Markniveau!Y1331*Markniveau!S1331/100,IF(X1331=2,LOOKUP(K1331,'Udvaskning nøgletal'!$C$12:$C$60,'Udvaskning nøgletal'!$F$12:$F$60)+Markniveau!Y1331*Markniveau!S1331/100,IF(X1331=3,LOOKUP(K1331,'Udvaskning nøgletal'!$C$12:$C$60,'Udvaskning nøgletal'!G1341:G1389)+Markniveau!Y1331*Markniveau!S1331/100,"")))</f>
        <v>21.2</v>
      </c>
      <c r="AA1331" s="10">
        <f t="shared" si="206"/>
        <v>28.408000000000001</v>
      </c>
      <c r="AB1331" s="10">
        <f t="shared" si="205"/>
        <v>5.3</v>
      </c>
      <c r="AC1331" s="10">
        <f t="shared" si="207"/>
        <v>7.1020000000000003</v>
      </c>
      <c r="AD1331" s="10">
        <f>IF(AND(Q1331&gt;0,Q1331&lt;30,K1331&lt;8),Markniveau!Z1331*'Udvaskning nøgletal'!$I$12/100,IF(AND(Q1331&gt;0,Q1331&lt;30,K1331=216),Markniveau!Z1331*'Udvaskning nøgletal'!$I$34/100,Markniveau!Z1331))</f>
        <v>21.2</v>
      </c>
      <c r="AE1331" s="10">
        <f t="shared" si="213"/>
        <v>28.408000000000001</v>
      </c>
      <c r="AF1331" s="10">
        <f t="shared" si="208"/>
        <v>5.3</v>
      </c>
      <c r="AG1331" s="10">
        <f t="shared" si="214"/>
        <v>7.1020000000000003</v>
      </c>
      <c r="AH1331" s="10" t="str">
        <f>IF(AND(Q1331&gt;0,Q1331&lt;30,K1331=216),'Udvaskning nøgletal'!$C$42,IF(AND(Q1331&gt;0,Q1331&lt;30,K1331&gt;7,K1331&lt;17),'Udvaskning nøgletal'!$C$61,IF(AND(Q1331&gt;0,Q1331&lt;30,K1331&lt;7),'Udvaskning nøgletal'!$C$62,"")))</f>
        <v/>
      </c>
      <c r="AI1331" s="10">
        <f t="shared" si="210"/>
        <v>254</v>
      </c>
      <c r="AJ1331" s="10">
        <f>IF($X1331=1,LOOKUP(AI1331,'Udvaskning nøgletal'!$C$12:$C$62,'Udvaskning nøgletal'!$E$12:$E$62)+Markniveau!$Y1331*Markniveau!$S1331/100,IF($X1331=2,LOOKUP(AI1331,'Udvaskning nøgletal'!$C$12:$C$62,'Udvaskning nøgletal'!$F$12:$F$62)+Markniveau!$Y1331*Markniveau!$S1331/100,IF($X1331=3,LOOKUP(AI1331,'Udvaskning nøgletal'!$C$12:$C$62,'Udvaskning nøgletal'!Q1341:Q1391)+Markniveau!$Y1331*Markniveau!$S1331/100,"")))</f>
        <v>21.2</v>
      </c>
      <c r="AK1331" s="10">
        <f t="shared" si="209"/>
        <v>28.408000000000001</v>
      </c>
      <c r="AL1331" s="10">
        <f t="shared" si="211"/>
        <v>5.3</v>
      </c>
      <c r="AM1331" s="10">
        <f t="shared" si="212"/>
        <v>7.1020000000000003</v>
      </c>
    </row>
    <row r="1332" spans="1:39" x14ac:dyDescent="0.25">
      <c r="A1332" s="15">
        <v>49299915</v>
      </c>
      <c r="B1332" s="15">
        <v>17.62</v>
      </c>
      <c r="C1332" s="15">
        <v>160351</v>
      </c>
      <c r="D1332" s="15">
        <v>41608</v>
      </c>
      <c r="E1332" s="15" t="s">
        <v>1169</v>
      </c>
      <c r="F1332" s="15">
        <v>2011</v>
      </c>
      <c r="G1332" s="15">
        <v>20110420</v>
      </c>
      <c r="H1332" s="15">
        <v>20311</v>
      </c>
      <c r="I1332" s="15">
        <v>2.0299999999999998</v>
      </c>
      <c r="J1332" s="6" t="s">
        <v>86</v>
      </c>
      <c r="K1332" s="15">
        <v>583</v>
      </c>
      <c r="L1332" s="15" t="s">
        <v>154</v>
      </c>
      <c r="M1332" s="15" t="s">
        <v>155</v>
      </c>
      <c r="N1332" s="11" t="s">
        <v>1406</v>
      </c>
      <c r="O1332" s="11" t="s">
        <v>46</v>
      </c>
      <c r="P1332" s="11" t="s">
        <v>29</v>
      </c>
      <c r="Q1332" s="15">
        <v>95</v>
      </c>
      <c r="R1332" s="11" t="s">
        <v>3</v>
      </c>
      <c r="S1332" s="10">
        <v>0</v>
      </c>
      <c r="T1332" s="15">
        <v>80</v>
      </c>
      <c r="U1332" s="15">
        <v>0</v>
      </c>
      <c r="V1332" s="15">
        <v>0</v>
      </c>
      <c r="W1332" s="15">
        <v>0</v>
      </c>
      <c r="X1332" s="15">
        <f>IF(O1332='Udvaskning nøgletal'!$D$65,1,IF(O1332='Udvaskning nøgletal'!$D$66,2,IF(O1332='Udvaskning nøgletal'!$D$67,3,IF(O1332='Udvaskning nøgletal'!$D$68,2,""))))</f>
        <v>2</v>
      </c>
      <c r="Y1332" s="15">
        <f>LOOKUP(K1332,'Udvaskning nøgletal'!$C$12:$C$60,'Udvaskning nøgletal'!$H$12:$H$60)</f>
        <v>0</v>
      </c>
      <c r="Z1332" s="10">
        <f>IF(X1332=1,LOOKUP(K1332,'Udvaskning nøgletal'!$C$12:$C$60,'Udvaskning nøgletal'!$E$12:$E$60)+Markniveau!Y1332*Markniveau!S1332/100,IF(X1332=2,LOOKUP(K1332,'Udvaskning nøgletal'!$C$12:$C$60,'Udvaskning nøgletal'!$F$12:$F$60)+Markniveau!Y1332*Markniveau!S1332/100,IF(X1332=3,LOOKUP(K1332,'Udvaskning nøgletal'!$C$12:$C$60,'Udvaskning nøgletal'!G1342:G1390)+Markniveau!Y1332*Markniveau!S1332/100,"")))</f>
        <v>10</v>
      </c>
      <c r="AA1332" s="10">
        <f t="shared" si="206"/>
        <v>20.299999999999997</v>
      </c>
      <c r="AB1332" s="10">
        <f t="shared" si="205"/>
        <v>0.5</v>
      </c>
      <c r="AC1332" s="10">
        <f t="shared" si="207"/>
        <v>1.0149999999999999</v>
      </c>
      <c r="AD1332" s="10">
        <f>IF(AND(Q1332&gt;0,Q1332&lt;30,K1332&lt;8),Markniveau!Z1332*'Udvaskning nøgletal'!$I$12/100,IF(AND(Q1332&gt;0,Q1332&lt;30,K1332=216),Markniveau!Z1332*'Udvaskning nøgletal'!$I$34/100,Markniveau!Z1332))</f>
        <v>10</v>
      </c>
      <c r="AE1332" s="10">
        <f t="shared" si="213"/>
        <v>20.299999999999997</v>
      </c>
      <c r="AF1332" s="10">
        <f t="shared" si="208"/>
        <v>0.5</v>
      </c>
      <c r="AG1332" s="10">
        <f t="shared" si="214"/>
        <v>1.0149999999999999</v>
      </c>
      <c r="AH1332" s="10" t="str">
        <f>IF(AND(Q1332&gt;0,Q1332&lt;30,K1332=216),'Udvaskning nøgletal'!$C$42,IF(AND(Q1332&gt;0,Q1332&lt;30,K1332&gt;7,K1332&lt;17),'Udvaskning nøgletal'!$C$61,IF(AND(Q1332&gt;0,Q1332&lt;30,K1332&lt;7),'Udvaskning nøgletal'!$C$62,"")))</f>
        <v/>
      </c>
      <c r="AI1332" s="10">
        <f t="shared" si="210"/>
        <v>583</v>
      </c>
      <c r="AJ1332" s="10">
        <f>IF($X1332=1,LOOKUP(AI1332,'Udvaskning nøgletal'!$C$12:$C$62,'Udvaskning nøgletal'!$E$12:$E$62)+Markniveau!$Y1332*Markniveau!$S1332/100,IF($X1332=2,LOOKUP(AI1332,'Udvaskning nøgletal'!$C$12:$C$62,'Udvaskning nøgletal'!$F$12:$F$62)+Markniveau!$Y1332*Markniveau!$S1332/100,IF($X1332=3,LOOKUP(AI1332,'Udvaskning nøgletal'!$C$12:$C$62,'Udvaskning nøgletal'!Q1342:Q1392)+Markniveau!$Y1332*Markniveau!$S1332/100,"")))</f>
        <v>10</v>
      </c>
      <c r="AK1332" s="10">
        <f t="shared" si="209"/>
        <v>20.299999999999997</v>
      </c>
      <c r="AL1332" s="10">
        <f t="shared" si="211"/>
        <v>0.5</v>
      </c>
      <c r="AM1332" s="10">
        <f t="shared" si="212"/>
        <v>1.0149999999999999</v>
      </c>
    </row>
    <row r="1333" spans="1:39" x14ac:dyDescent="0.25">
      <c r="A1333" s="15">
        <v>49299915</v>
      </c>
      <c r="B1333" s="15">
        <v>17.62</v>
      </c>
      <c r="C1333" s="15">
        <v>179720</v>
      </c>
      <c r="D1333" s="15">
        <v>41608</v>
      </c>
      <c r="E1333" s="15" t="s">
        <v>1170</v>
      </c>
      <c r="F1333" s="15">
        <v>2011</v>
      </c>
      <c r="G1333" s="15">
        <v>20110420</v>
      </c>
      <c r="H1333" s="15">
        <v>23916</v>
      </c>
      <c r="I1333" s="15">
        <v>2.39</v>
      </c>
      <c r="J1333" s="6" t="s">
        <v>37</v>
      </c>
      <c r="K1333" s="15">
        <v>583</v>
      </c>
      <c r="L1333" s="15" t="s">
        <v>154</v>
      </c>
      <c r="M1333" s="15" t="s">
        <v>155</v>
      </c>
      <c r="N1333" s="11" t="s">
        <v>1406</v>
      </c>
      <c r="O1333" s="11" t="s">
        <v>46</v>
      </c>
      <c r="P1333" s="11" t="s">
        <v>29</v>
      </c>
      <c r="Q1333" s="15">
        <v>75</v>
      </c>
      <c r="R1333" s="11" t="s">
        <v>10</v>
      </c>
      <c r="S1333" s="10">
        <v>0</v>
      </c>
      <c r="T1333" s="15">
        <v>80</v>
      </c>
      <c r="U1333" s="15">
        <v>0</v>
      </c>
      <c r="V1333" s="15">
        <v>0</v>
      </c>
      <c r="W1333" s="15">
        <v>0</v>
      </c>
      <c r="X1333" s="15">
        <f>IF(O1333='Udvaskning nøgletal'!$D$65,1,IF(O1333='Udvaskning nøgletal'!$D$66,2,IF(O1333='Udvaskning nøgletal'!$D$67,3,IF(O1333='Udvaskning nøgletal'!$D$68,2,""))))</f>
        <v>2</v>
      </c>
      <c r="Y1333" s="15">
        <f>LOOKUP(K1333,'Udvaskning nøgletal'!$C$12:$C$60,'Udvaskning nøgletal'!$H$12:$H$60)</f>
        <v>0</v>
      </c>
      <c r="Z1333" s="10">
        <f>IF(X1333=1,LOOKUP(K1333,'Udvaskning nøgletal'!$C$12:$C$60,'Udvaskning nøgletal'!$E$12:$E$60)+Markniveau!Y1333*Markniveau!S1333/100,IF(X1333=2,LOOKUP(K1333,'Udvaskning nøgletal'!$C$12:$C$60,'Udvaskning nøgletal'!$F$12:$F$60)+Markniveau!Y1333*Markniveau!S1333/100,IF(X1333=3,LOOKUP(K1333,'Udvaskning nøgletal'!$C$12:$C$60,'Udvaskning nøgletal'!G1343:G1391)+Markniveau!Y1333*Markniveau!S1333/100,"")))</f>
        <v>10</v>
      </c>
      <c r="AA1333" s="10">
        <f t="shared" si="206"/>
        <v>23.900000000000002</v>
      </c>
      <c r="AB1333" s="10">
        <f t="shared" si="205"/>
        <v>2.5</v>
      </c>
      <c r="AC1333" s="10">
        <f t="shared" si="207"/>
        <v>5.9750000000000005</v>
      </c>
      <c r="AD1333" s="10">
        <f>IF(AND(Q1333&gt;0,Q1333&lt;30,K1333&lt;8),Markniveau!Z1333*'Udvaskning nøgletal'!$I$12/100,IF(AND(Q1333&gt;0,Q1333&lt;30,K1333=216),Markniveau!Z1333*'Udvaskning nøgletal'!$I$34/100,Markniveau!Z1333))</f>
        <v>10</v>
      </c>
      <c r="AE1333" s="10">
        <f t="shared" si="213"/>
        <v>23.900000000000002</v>
      </c>
      <c r="AF1333" s="10">
        <f t="shared" si="208"/>
        <v>2.5</v>
      </c>
      <c r="AG1333" s="10">
        <f t="shared" si="214"/>
        <v>5.9750000000000005</v>
      </c>
      <c r="AH1333" s="10" t="str">
        <f>IF(AND(Q1333&gt;0,Q1333&lt;30,K1333=216),'Udvaskning nøgletal'!$C$42,IF(AND(Q1333&gt;0,Q1333&lt;30,K1333&gt;7,K1333&lt;17),'Udvaskning nøgletal'!$C$61,IF(AND(Q1333&gt;0,Q1333&lt;30,K1333&lt;7),'Udvaskning nøgletal'!$C$62,"")))</f>
        <v/>
      </c>
      <c r="AI1333" s="10">
        <f t="shared" si="210"/>
        <v>583</v>
      </c>
      <c r="AJ1333" s="10">
        <f>IF($X1333=1,LOOKUP(AI1333,'Udvaskning nøgletal'!$C$12:$C$62,'Udvaskning nøgletal'!$E$12:$E$62)+Markniveau!$Y1333*Markniveau!$S1333/100,IF($X1333=2,LOOKUP(AI1333,'Udvaskning nøgletal'!$C$12:$C$62,'Udvaskning nøgletal'!$F$12:$F$62)+Markniveau!$Y1333*Markniveau!$S1333/100,IF($X1333=3,LOOKUP(AI1333,'Udvaskning nøgletal'!$C$12:$C$62,'Udvaskning nøgletal'!Q1343:Q1393)+Markniveau!$Y1333*Markniveau!$S1333/100,"")))</f>
        <v>10</v>
      </c>
      <c r="AK1333" s="10">
        <f t="shared" si="209"/>
        <v>23.900000000000002</v>
      </c>
      <c r="AL1333" s="10">
        <f t="shared" si="211"/>
        <v>2.5</v>
      </c>
      <c r="AM1333" s="10">
        <f t="shared" si="212"/>
        <v>5.9750000000000005</v>
      </c>
    </row>
    <row r="1334" spans="1:39" x14ac:dyDescent="0.25">
      <c r="A1334" s="15">
        <v>49299915</v>
      </c>
      <c r="B1334" s="15">
        <v>17.62</v>
      </c>
      <c r="C1334" s="15">
        <v>195088</v>
      </c>
      <c r="D1334" s="15">
        <v>41608</v>
      </c>
      <c r="E1334" s="15" t="s">
        <v>1170</v>
      </c>
      <c r="F1334" s="15">
        <v>2011</v>
      </c>
      <c r="G1334" s="15">
        <v>20110420</v>
      </c>
      <c r="H1334" s="15">
        <v>40718</v>
      </c>
      <c r="I1334" s="15">
        <v>4.07</v>
      </c>
      <c r="J1334" s="6" t="s">
        <v>61</v>
      </c>
      <c r="K1334" s="15">
        <v>583</v>
      </c>
      <c r="L1334" s="15" t="s">
        <v>154</v>
      </c>
      <c r="M1334" s="15" t="s">
        <v>155</v>
      </c>
      <c r="N1334" s="11" t="s">
        <v>1406</v>
      </c>
      <c r="O1334" s="11" t="s">
        <v>46</v>
      </c>
      <c r="P1334" s="11" t="s">
        <v>29</v>
      </c>
      <c r="Q1334" s="15">
        <v>75</v>
      </c>
      <c r="R1334" s="11" t="s">
        <v>10</v>
      </c>
      <c r="S1334" s="10">
        <v>0</v>
      </c>
      <c r="T1334" s="15">
        <v>80</v>
      </c>
      <c r="U1334" s="15">
        <v>0</v>
      </c>
      <c r="V1334" s="15">
        <v>0</v>
      </c>
      <c r="W1334" s="15">
        <v>0</v>
      </c>
      <c r="X1334" s="15">
        <f>IF(O1334='Udvaskning nøgletal'!$D$65,1,IF(O1334='Udvaskning nøgletal'!$D$66,2,IF(O1334='Udvaskning nøgletal'!$D$67,3,IF(O1334='Udvaskning nøgletal'!$D$68,2,""))))</f>
        <v>2</v>
      </c>
      <c r="Y1334" s="15">
        <f>LOOKUP(K1334,'Udvaskning nøgletal'!$C$12:$C$60,'Udvaskning nøgletal'!$H$12:$H$60)</f>
        <v>0</v>
      </c>
      <c r="Z1334" s="10">
        <f>IF(X1334=1,LOOKUP(K1334,'Udvaskning nøgletal'!$C$12:$C$60,'Udvaskning nøgletal'!$E$12:$E$60)+Markniveau!Y1334*Markniveau!S1334/100,IF(X1334=2,LOOKUP(K1334,'Udvaskning nøgletal'!$C$12:$C$60,'Udvaskning nøgletal'!$F$12:$F$60)+Markniveau!Y1334*Markniveau!S1334/100,IF(X1334=3,LOOKUP(K1334,'Udvaskning nøgletal'!$C$12:$C$60,'Udvaskning nøgletal'!G1344:G1392)+Markniveau!Y1334*Markniveau!S1334/100,"")))</f>
        <v>10</v>
      </c>
      <c r="AA1334" s="10">
        <f t="shared" si="206"/>
        <v>40.700000000000003</v>
      </c>
      <c r="AB1334" s="10">
        <f t="shared" si="205"/>
        <v>2.5</v>
      </c>
      <c r="AC1334" s="10">
        <f t="shared" si="207"/>
        <v>10.175000000000001</v>
      </c>
      <c r="AD1334" s="10">
        <f>IF(AND(Q1334&gt;0,Q1334&lt;30,K1334&lt;8),Markniveau!Z1334*'Udvaskning nøgletal'!$I$12/100,IF(AND(Q1334&gt;0,Q1334&lt;30,K1334=216),Markniveau!Z1334*'Udvaskning nøgletal'!$I$34/100,Markniveau!Z1334))</f>
        <v>10</v>
      </c>
      <c r="AE1334" s="10">
        <f t="shared" si="213"/>
        <v>40.700000000000003</v>
      </c>
      <c r="AF1334" s="10">
        <f t="shared" si="208"/>
        <v>2.5</v>
      </c>
      <c r="AG1334" s="10">
        <f t="shared" si="214"/>
        <v>10.175000000000001</v>
      </c>
      <c r="AH1334" s="10" t="str">
        <f>IF(AND(Q1334&gt;0,Q1334&lt;30,K1334=216),'Udvaskning nøgletal'!$C$42,IF(AND(Q1334&gt;0,Q1334&lt;30,K1334&gt;7,K1334&lt;17),'Udvaskning nøgletal'!$C$61,IF(AND(Q1334&gt;0,Q1334&lt;30,K1334&lt;7),'Udvaskning nøgletal'!$C$62,"")))</f>
        <v/>
      </c>
      <c r="AI1334" s="10">
        <f t="shared" si="210"/>
        <v>583</v>
      </c>
      <c r="AJ1334" s="10">
        <f>IF($X1334=1,LOOKUP(AI1334,'Udvaskning nøgletal'!$C$12:$C$62,'Udvaskning nøgletal'!$E$12:$E$62)+Markniveau!$Y1334*Markniveau!$S1334/100,IF($X1334=2,LOOKUP(AI1334,'Udvaskning nøgletal'!$C$12:$C$62,'Udvaskning nøgletal'!$F$12:$F$62)+Markniveau!$Y1334*Markniveau!$S1334/100,IF($X1334=3,LOOKUP(AI1334,'Udvaskning nøgletal'!$C$12:$C$62,'Udvaskning nøgletal'!Q1344:Q1394)+Markniveau!$Y1334*Markniveau!$S1334/100,"")))</f>
        <v>10</v>
      </c>
      <c r="AK1334" s="10">
        <f t="shared" si="209"/>
        <v>40.700000000000003</v>
      </c>
      <c r="AL1334" s="10">
        <f t="shared" si="211"/>
        <v>2.5</v>
      </c>
      <c r="AM1334" s="10">
        <f t="shared" si="212"/>
        <v>10.175000000000001</v>
      </c>
    </row>
    <row r="1335" spans="1:39" x14ac:dyDescent="0.25">
      <c r="A1335" s="15">
        <v>49299915</v>
      </c>
      <c r="B1335" s="15">
        <v>17.62</v>
      </c>
      <c r="C1335" s="15">
        <v>198538</v>
      </c>
      <c r="D1335" s="15">
        <v>41608</v>
      </c>
      <c r="E1335" s="15" t="s">
        <v>440</v>
      </c>
      <c r="F1335" s="15">
        <v>2011</v>
      </c>
      <c r="G1335" s="15">
        <v>20110420</v>
      </c>
      <c r="H1335" s="15">
        <v>27051</v>
      </c>
      <c r="I1335" s="15">
        <v>2.71</v>
      </c>
      <c r="J1335" s="6" t="s">
        <v>1405</v>
      </c>
      <c r="K1335" s="15">
        <v>254</v>
      </c>
      <c r="L1335" s="15" t="s">
        <v>27</v>
      </c>
      <c r="M1335" s="15" t="s">
        <v>4</v>
      </c>
      <c r="N1335" s="11" t="s">
        <v>1406</v>
      </c>
      <c r="O1335" s="11" t="s">
        <v>46</v>
      </c>
      <c r="P1335" s="11" t="s">
        <v>29</v>
      </c>
      <c r="Q1335" s="15">
        <v>75</v>
      </c>
      <c r="R1335" s="11" t="s">
        <v>10</v>
      </c>
      <c r="S1335" s="10">
        <v>0</v>
      </c>
      <c r="T1335" s="15">
        <v>80</v>
      </c>
      <c r="U1335" s="15">
        <v>0</v>
      </c>
      <c r="V1335" s="15">
        <v>0</v>
      </c>
      <c r="W1335" s="15">
        <v>0</v>
      </c>
      <c r="X1335" s="15">
        <f>IF(O1335='Udvaskning nøgletal'!$D$65,1,IF(O1335='Udvaskning nøgletal'!$D$66,2,IF(O1335='Udvaskning nøgletal'!$D$67,3,IF(O1335='Udvaskning nøgletal'!$D$68,2,""))))</f>
        <v>2</v>
      </c>
      <c r="Y1335" s="15">
        <f>LOOKUP(K1335,'Udvaskning nøgletal'!$C$12:$C$60,'Udvaskning nøgletal'!$H$12:$H$60)</f>
        <v>0</v>
      </c>
      <c r="Z1335" s="10">
        <f>IF(X1335=1,LOOKUP(K1335,'Udvaskning nøgletal'!$C$12:$C$60,'Udvaskning nøgletal'!$E$12:$E$60)+Markniveau!Y1335*Markniveau!S1335/100,IF(X1335=2,LOOKUP(K1335,'Udvaskning nøgletal'!$C$12:$C$60,'Udvaskning nøgletal'!$F$12:$F$60)+Markniveau!Y1335*Markniveau!S1335/100,IF(X1335=3,LOOKUP(K1335,'Udvaskning nøgletal'!$C$12:$C$60,'Udvaskning nøgletal'!G1345:G1393)+Markniveau!Y1335*Markniveau!S1335/100,"")))</f>
        <v>21.2</v>
      </c>
      <c r="AA1335" s="10">
        <f t="shared" si="206"/>
        <v>57.451999999999998</v>
      </c>
      <c r="AB1335" s="10">
        <f t="shared" si="205"/>
        <v>5.3</v>
      </c>
      <c r="AC1335" s="10">
        <f t="shared" si="207"/>
        <v>14.363</v>
      </c>
      <c r="AD1335" s="10">
        <f>IF(AND(Q1335&gt;0,Q1335&lt;30,K1335&lt;8),Markniveau!Z1335*'Udvaskning nøgletal'!$I$12/100,IF(AND(Q1335&gt;0,Q1335&lt;30,K1335=216),Markniveau!Z1335*'Udvaskning nøgletal'!$I$34/100,Markniveau!Z1335))</f>
        <v>21.2</v>
      </c>
      <c r="AE1335" s="10">
        <f t="shared" si="213"/>
        <v>57.451999999999998</v>
      </c>
      <c r="AF1335" s="10">
        <f t="shared" si="208"/>
        <v>5.3</v>
      </c>
      <c r="AG1335" s="10">
        <f t="shared" si="214"/>
        <v>14.363</v>
      </c>
      <c r="AH1335" s="10" t="str">
        <f>IF(AND(Q1335&gt;0,Q1335&lt;30,K1335=216),'Udvaskning nøgletal'!$C$42,IF(AND(Q1335&gt;0,Q1335&lt;30,K1335&gt;7,K1335&lt;17),'Udvaskning nøgletal'!$C$61,IF(AND(Q1335&gt;0,Q1335&lt;30,K1335&lt;7),'Udvaskning nøgletal'!$C$62,"")))</f>
        <v/>
      </c>
      <c r="AI1335" s="10">
        <f t="shared" si="210"/>
        <v>254</v>
      </c>
      <c r="AJ1335" s="10">
        <f>IF($X1335=1,LOOKUP(AI1335,'Udvaskning nøgletal'!$C$12:$C$62,'Udvaskning nøgletal'!$E$12:$E$62)+Markniveau!$Y1335*Markniveau!$S1335/100,IF($X1335=2,LOOKUP(AI1335,'Udvaskning nøgletal'!$C$12:$C$62,'Udvaskning nøgletal'!$F$12:$F$62)+Markniveau!$Y1335*Markniveau!$S1335/100,IF($X1335=3,LOOKUP(AI1335,'Udvaskning nøgletal'!$C$12:$C$62,'Udvaskning nøgletal'!Q1345:Q1395)+Markniveau!$Y1335*Markniveau!$S1335/100,"")))</f>
        <v>21.2</v>
      </c>
      <c r="AK1335" s="10">
        <f t="shared" si="209"/>
        <v>57.451999999999998</v>
      </c>
      <c r="AL1335" s="10">
        <f t="shared" si="211"/>
        <v>5.3</v>
      </c>
      <c r="AM1335" s="10">
        <f t="shared" si="212"/>
        <v>14.363</v>
      </c>
    </row>
    <row r="1336" spans="1:39" x14ac:dyDescent="0.25">
      <c r="A1336" s="15">
        <v>49299915</v>
      </c>
      <c r="B1336" s="15">
        <v>17.62</v>
      </c>
      <c r="C1336" s="15">
        <v>204442</v>
      </c>
      <c r="D1336" s="15">
        <v>41608</v>
      </c>
      <c r="E1336" s="15" t="s">
        <v>801</v>
      </c>
      <c r="F1336" s="15">
        <v>2011</v>
      </c>
      <c r="G1336" s="15">
        <v>20110420</v>
      </c>
      <c r="H1336" s="15">
        <v>11818</v>
      </c>
      <c r="I1336" s="15">
        <v>1.18</v>
      </c>
      <c r="J1336" s="6" t="s">
        <v>53</v>
      </c>
      <c r="K1336" s="15">
        <v>254</v>
      </c>
      <c r="L1336" s="15" t="s">
        <v>27</v>
      </c>
      <c r="M1336" s="15" t="s">
        <v>4</v>
      </c>
      <c r="N1336" s="11" t="s">
        <v>1406</v>
      </c>
      <c r="O1336" s="11" t="s">
        <v>46</v>
      </c>
      <c r="P1336" s="11" t="s">
        <v>29</v>
      </c>
      <c r="Q1336" s="15">
        <v>75</v>
      </c>
      <c r="R1336" s="11" t="s">
        <v>10</v>
      </c>
      <c r="S1336" s="10">
        <v>0</v>
      </c>
      <c r="T1336" s="15">
        <v>80</v>
      </c>
      <c r="U1336" s="15">
        <v>0</v>
      </c>
      <c r="V1336" s="15">
        <v>0</v>
      </c>
      <c r="W1336" s="15">
        <v>0</v>
      </c>
      <c r="X1336" s="15">
        <f>IF(O1336='Udvaskning nøgletal'!$D$65,1,IF(O1336='Udvaskning nøgletal'!$D$66,2,IF(O1336='Udvaskning nøgletal'!$D$67,3,IF(O1336='Udvaskning nøgletal'!$D$68,2,""))))</f>
        <v>2</v>
      </c>
      <c r="Y1336" s="15">
        <f>LOOKUP(K1336,'Udvaskning nøgletal'!$C$12:$C$60,'Udvaskning nøgletal'!$H$12:$H$60)</f>
        <v>0</v>
      </c>
      <c r="Z1336" s="10">
        <f>IF(X1336=1,LOOKUP(K1336,'Udvaskning nøgletal'!$C$12:$C$60,'Udvaskning nøgletal'!$E$12:$E$60)+Markniveau!Y1336*Markniveau!S1336/100,IF(X1336=2,LOOKUP(K1336,'Udvaskning nøgletal'!$C$12:$C$60,'Udvaskning nøgletal'!$F$12:$F$60)+Markniveau!Y1336*Markniveau!S1336/100,IF(X1336=3,LOOKUP(K1336,'Udvaskning nøgletal'!$C$12:$C$60,'Udvaskning nøgletal'!G1346:G1394)+Markniveau!Y1336*Markniveau!S1336/100,"")))</f>
        <v>21.2</v>
      </c>
      <c r="AA1336" s="10">
        <f t="shared" si="206"/>
        <v>25.015999999999998</v>
      </c>
      <c r="AB1336" s="10">
        <f t="shared" si="205"/>
        <v>5.3</v>
      </c>
      <c r="AC1336" s="10">
        <f t="shared" si="207"/>
        <v>6.2539999999999996</v>
      </c>
      <c r="AD1336" s="10">
        <f>IF(AND(Q1336&gt;0,Q1336&lt;30,K1336&lt;8),Markniveau!Z1336*'Udvaskning nøgletal'!$I$12/100,IF(AND(Q1336&gt;0,Q1336&lt;30,K1336=216),Markniveau!Z1336*'Udvaskning nøgletal'!$I$34/100,Markniveau!Z1336))</f>
        <v>21.2</v>
      </c>
      <c r="AE1336" s="10">
        <f t="shared" si="213"/>
        <v>25.015999999999998</v>
      </c>
      <c r="AF1336" s="10">
        <f t="shared" si="208"/>
        <v>5.3</v>
      </c>
      <c r="AG1336" s="10">
        <f t="shared" si="214"/>
        <v>6.2539999999999996</v>
      </c>
      <c r="AH1336" s="10" t="str">
        <f>IF(AND(Q1336&gt;0,Q1336&lt;30,K1336=216),'Udvaskning nøgletal'!$C$42,IF(AND(Q1336&gt;0,Q1336&lt;30,K1336&gt;7,K1336&lt;17),'Udvaskning nøgletal'!$C$61,IF(AND(Q1336&gt;0,Q1336&lt;30,K1336&lt;7),'Udvaskning nøgletal'!$C$62,"")))</f>
        <v/>
      </c>
      <c r="AI1336" s="10">
        <f t="shared" si="210"/>
        <v>254</v>
      </c>
      <c r="AJ1336" s="10">
        <f>IF($X1336=1,LOOKUP(AI1336,'Udvaskning nøgletal'!$C$12:$C$62,'Udvaskning nøgletal'!$E$12:$E$62)+Markniveau!$Y1336*Markniveau!$S1336/100,IF($X1336=2,LOOKUP(AI1336,'Udvaskning nøgletal'!$C$12:$C$62,'Udvaskning nøgletal'!$F$12:$F$62)+Markniveau!$Y1336*Markniveau!$S1336/100,IF($X1336=3,LOOKUP(AI1336,'Udvaskning nøgletal'!$C$12:$C$62,'Udvaskning nøgletal'!Q1346:Q1396)+Markniveau!$Y1336*Markniveau!$S1336/100,"")))</f>
        <v>21.2</v>
      </c>
      <c r="AK1336" s="10">
        <f t="shared" si="209"/>
        <v>25.015999999999998</v>
      </c>
      <c r="AL1336" s="10">
        <f t="shared" si="211"/>
        <v>5.3</v>
      </c>
      <c r="AM1336" s="10">
        <f t="shared" si="212"/>
        <v>6.2539999999999996</v>
      </c>
    </row>
    <row r="1337" spans="1:39" x14ac:dyDescent="0.25">
      <c r="A1337" s="15">
        <v>49299915</v>
      </c>
      <c r="B1337" s="15">
        <v>17.62</v>
      </c>
      <c r="C1337" s="15">
        <v>227902</v>
      </c>
      <c r="D1337" s="15">
        <v>41608</v>
      </c>
      <c r="E1337" s="15" t="s">
        <v>801</v>
      </c>
      <c r="F1337" s="15">
        <v>2011</v>
      </c>
      <c r="G1337" s="15">
        <v>20110420</v>
      </c>
      <c r="H1337" s="15">
        <v>4039</v>
      </c>
      <c r="I1337" s="15">
        <v>0.4</v>
      </c>
      <c r="J1337" s="6" t="s">
        <v>1410</v>
      </c>
      <c r="K1337" s="15">
        <v>254</v>
      </c>
      <c r="L1337" s="15" t="s">
        <v>27</v>
      </c>
      <c r="M1337" s="15" t="s">
        <v>4</v>
      </c>
      <c r="N1337" s="11" t="s">
        <v>1406</v>
      </c>
      <c r="O1337" s="11" t="s">
        <v>46</v>
      </c>
      <c r="P1337" s="11" t="s">
        <v>29</v>
      </c>
      <c r="Q1337" s="15">
        <v>75</v>
      </c>
      <c r="R1337" s="11" t="s">
        <v>10</v>
      </c>
      <c r="S1337" s="10">
        <v>0</v>
      </c>
      <c r="T1337" s="15">
        <v>80</v>
      </c>
      <c r="U1337" s="15">
        <v>0</v>
      </c>
      <c r="V1337" s="15">
        <v>0</v>
      </c>
      <c r="W1337" s="15">
        <v>0</v>
      </c>
      <c r="X1337" s="15">
        <f>IF(O1337='Udvaskning nøgletal'!$D$65,1,IF(O1337='Udvaskning nøgletal'!$D$66,2,IF(O1337='Udvaskning nøgletal'!$D$67,3,IF(O1337='Udvaskning nøgletal'!$D$68,2,""))))</f>
        <v>2</v>
      </c>
      <c r="Y1337" s="15">
        <f>LOOKUP(K1337,'Udvaskning nøgletal'!$C$12:$C$60,'Udvaskning nøgletal'!$H$12:$H$60)</f>
        <v>0</v>
      </c>
      <c r="Z1337" s="10">
        <f>IF(X1337=1,LOOKUP(K1337,'Udvaskning nøgletal'!$C$12:$C$60,'Udvaskning nøgletal'!$E$12:$E$60)+Markniveau!Y1337*Markniveau!S1337/100,IF(X1337=2,LOOKUP(K1337,'Udvaskning nøgletal'!$C$12:$C$60,'Udvaskning nøgletal'!$F$12:$F$60)+Markniveau!Y1337*Markniveau!S1337/100,IF(X1337=3,LOOKUP(K1337,'Udvaskning nøgletal'!$C$12:$C$60,'Udvaskning nøgletal'!G1347:G1395)+Markniveau!Y1337*Markniveau!S1337/100,"")))</f>
        <v>21.2</v>
      </c>
      <c r="AA1337" s="10">
        <f t="shared" si="206"/>
        <v>8.48</v>
      </c>
      <c r="AB1337" s="10">
        <f t="shared" si="205"/>
        <v>5.3</v>
      </c>
      <c r="AC1337" s="10">
        <f t="shared" si="207"/>
        <v>2.12</v>
      </c>
      <c r="AD1337" s="10">
        <f>IF(AND(Q1337&gt;0,Q1337&lt;30,K1337&lt;8),Markniveau!Z1337*'Udvaskning nøgletal'!$I$12/100,IF(AND(Q1337&gt;0,Q1337&lt;30,K1337=216),Markniveau!Z1337*'Udvaskning nøgletal'!$I$34/100,Markniveau!Z1337))</f>
        <v>21.2</v>
      </c>
      <c r="AE1337" s="10">
        <f t="shared" si="213"/>
        <v>8.48</v>
      </c>
      <c r="AF1337" s="10">
        <f t="shared" si="208"/>
        <v>5.3</v>
      </c>
      <c r="AG1337" s="10">
        <f t="shared" si="214"/>
        <v>2.12</v>
      </c>
      <c r="AH1337" s="10" t="str">
        <f>IF(AND(Q1337&gt;0,Q1337&lt;30,K1337=216),'Udvaskning nøgletal'!$C$42,IF(AND(Q1337&gt;0,Q1337&lt;30,K1337&gt;7,K1337&lt;17),'Udvaskning nøgletal'!$C$61,IF(AND(Q1337&gt;0,Q1337&lt;30,K1337&lt;7),'Udvaskning nøgletal'!$C$62,"")))</f>
        <v/>
      </c>
      <c r="AI1337" s="10">
        <f t="shared" si="210"/>
        <v>254</v>
      </c>
      <c r="AJ1337" s="10">
        <f>IF($X1337=1,LOOKUP(AI1337,'Udvaskning nøgletal'!$C$12:$C$62,'Udvaskning nøgletal'!$E$12:$E$62)+Markniveau!$Y1337*Markniveau!$S1337/100,IF($X1337=2,LOOKUP(AI1337,'Udvaskning nøgletal'!$C$12:$C$62,'Udvaskning nøgletal'!$F$12:$F$62)+Markniveau!$Y1337*Markniveau!$S1337/100,IF($X1337=3,LOOKUP(AI1337,'Udvaskning nøgletal'!$C$12:$C$62,'Udvaskning nøgletal'!Q1347:Q1397)+Markniveau!$Y1337*Markniveau!$S1337/100,"")))</f>
        <v>21.2</v>
      </c>
      <c r="AK1337" s="10">
        <f t="shared" si="209"/>
        <v>8.48</v>
      </c>
      <c r="AL1337" s="10">
        <f t="shared" si="211"/>
        <v>5.3</v>
      </c>
      <c r="AM1337" s="10">
        <f t="shared" si="212"/>
        <v>2.12</v>
      </c>
    </row>
    <row r="1338" spans="1:39" x14ac:dyDescent="0.25">
      <c r="A1338" s="15">
        <v>49299915</v>
      </c>
      <c r="B1338" s="15">
        <v>17.62</v>
      </c>
      <c r="C1338" s="15">
        <v>299013</v>
      </c>
      <c r="D1338" s="15">
        <v>41608</v>
      </c>
      <c r="E1338" s="15" t="s">
        <v>440</v>
      </c>
      <c r="F1338" s="15">
        <v>2011</v>
      </c>
      <c r="G1338" s="15">
        <v>20110420</v>
      </c>
      <c r="H1338" s="15">
        <v>1620</v>
      </c>
      <c r="I1338" s="15">
        <v>0.16</v>
      </c>
      <c r="J1338" s="6" t="s">
        <v>1404</v>
      </c>
      <c r="K1338" s="15">
        <v>276</v>
      </c>
      <c r="L1338" s="15" t="s">
        <v>146</v>
      </c>
      <c r="M1338" s="15" t="s">
        <v>4</v>
      </c>
      <c r="N1338" s="11" t="s">
        <v>1406</v>
      </c>
      <c r="O1338" s="11" t="s">
        <v>46</v>
      </c>
      <c r="P1338" s="11" t="s">
        <v>29</v>
      </c>
      <c r="Q1338" s="15">
        <v>75</v>
      </c>
      <c r="R1338" s="11" t="s">
        <v>10</v>
      </c>
      <c r="S1338" s="10">
        <v>0</v>
      </c>
      <c r="T1338" s="15">
        <v>80</v>
      </c>
      <c r="U1338" s="15">
        <v>0</v>
      </c>
      <c r="V1338" s="15">
        <v>0</v>
      </c>
      <c r="W1338" s="15">
        <v>0</v>
      </c>
      <c r="X1338" s="15">
        <f>IF(O1338='Udvaskning nøgletal'!$D$65,1,IF(O1338='Udvaskning nøgletal'!$D$66,2,IF(O1338='Udvaskning nøgletal'!$D$67,3,IF(O1338='Udvaskning nøgletal'!$D$68,2,""))))</f>
        <v>2</v>
      </c>
      <c r="Y1338" s="15">
        <f>LOOKUP(K1338,'Udvaskning nøgletal'!$C$12:$C$60,'Udvaskning nøgletal'!$H$12:$H$60)</f>
        <v>0</v>
      </c>
      <c r="Z1338" s="10">
        <f>IF(X1338=1,LOOKUP(K1338,'Udvaskning nøgletal'!$C$12:$C$60,'Udvaskning nøgletal'!$E$12:$E$60)+Markniveau!Y1338*Markniveau!S1338/100,IF(X1338=2,LOOKUP(K1338,'Udvaskning nøgletal'!$C$12:$C$60,'Udvaskning nøgletal'!$F$12:$F$60)+Markniveau!Y1338*Markniveau!S1338/100,IF(X1338=3,LOOKUP(K1338,'Udvaskning nøgletal'!$C$12:$C$60,'Udvaskning nøgletal'!G1348:G1396)+Markniveau!Y1338*Markniveau!S1338/100,"")))</f>
        <v>10.6</v>
      </c>
      <c r="AA1338" s="10">
        <f t="shared" si="206"/>
        <v>1.696</v>
      </c>
      <c r="AB1338" s="10">
        <f t="shared" si="205"/>
        <v>2.65</v>
      </c>
      <c r="AC1338" s="10">
        <f t="shared" si="207"/>
        <v>0.42399999999999999</v>
      </c>
      <c r="AD1338" s="10">
        <f>IF(AND(Q1338&gt;0,Q1338&lt;30,K1338&lt;8),Markniveau!Z1338*'Udvaskning nøgletal'!$I$12/100,IF(AND(Q1338&gt;0,Q1338&lt;30,K1338=216),Markniveau!Z1338*'Udvaskning nøgletal'!$I$34/100,Markniveau!Z1338))</f>
        <v>10.6</v>
      </c>
      <c r="AE1338" s="10">
        <f t="shared" si="213"/>
        <v>1.696</v>
      </c>
      <c r="AF1338" s="10">
        <f t="shared" si="208"/>
        <v>2.65</v>
      </c>
      <c r="AG1338" s="10">
        <f t="shared" si="214"/>
        <v>0.42399999999999999</v>
      </c>
      <c r="AH1338" s="10" t="str">
        <f>IF(AND(Q1338&gt;0,Q1338&lt;30,K1338=216),'Udvaskning nøgletal'!$C$42,IF(AND(Q1338&gt;0,Q1338&lt;30,K1338&gt;7,K1338&lt;17),'Udvaskning nøgletal'!$C$61,IF(AND(Q1338&gt;0,Q1338&lt;30,K1338&lt;7),'Udvaskning nøgletal'!$C$62,"")))</f>
        <v/>
      </c>
      <c r="AI1338" s="10">
        <f t="shared" si="210"/>
        <v>276</v>
      </c>
      <c r="AJ1338" s="10">
        <f>IF($X1338=1,LOOKUP(AI1338,'Udvaskning nøgletal'!$C$12:$C$62,'Udvaskning nøgletal'!$E$12:$E$62)+Markniveau!$Y1338*Markniveau!$S1338/100,IF($X1338=2,LOOKUP(AI1338,'Udvaskning nøgletal'!$C$12:$C$62,'Udvaskning nøgletal'!$F$12:$F$62)+Markniveau!$Y1338*Markniveau!$S1338/100,IF($X1338=3,LOOKUP(AI1338,'Udvaskning nøgletal'!$C$12:$C$62,'Udvaskning nøgletal'!Q1348:Q1398)+Markniveau!$Y1338*Markniveau!$S1338/100,"")))</f>
        <v>10.6</v>
      </c>
      <c r="AK1338" s="10">
        <f t="shared" si="209"/>
        <v>1.696</v>
      </c>
      <c r="AL1338" s="10">
        <f t="shared" si="211"/>
        <v>2.65</v>
      </c>
      <c r="AM1338" s="10">
        <f t="shared" si="212"/>
        <v>0.42399999999999999</v>
      </c>
    </row>
    <row r="1339" spans="1:39" x14ac:dyDescent="0.25">
      <c r="A1339" s="15">
        <v>49299915</v>
      </c>
      <c r="B1339" s="15">
        <v>17.62</v>
      </c>
      <c r="C1339" s="15">
        <v>143246</v>
      </c>
      <c r="D1339" s="15">
        <v>41608</v>
      </c>
      <c r="E1339" s="15" t="s">
        <v>1171</v>
      </c>
      <c r="F1339" s="15">
        <v>2011</v>
      </c>
      <c r="G1339" s="15">
        <v>20110420</v>
      </c>
      <c r="H1339" s="15">
        <v>26483</v>
      </c>
      <c r="I1339" s="15">
        <v>2.65</v>
      </c>
      <c r="J1339" s="6" t="s">
        <v>35</v>
      </c>
      <c r="K1339" s="15">
        <v>583</v>
      </c>
      <c r="L1339" s="15" t="s">
        <v>154</v>
      </c>
      <c r="M1339" s="15" t="s">
        <v>155</v>
      </c>
      <c r="N1339" s="11" t="s">
        <v>1406</v>
      </c>
      <c r="O1339" s="11" t="s">
        <v>46</v>
      </c>
      <c r="P1339" s="11" t="s">
        <v>29</v>
      </c>
      <c r="Q1339" s="15">
        <v>95</v>
      </c>
      <c r="R1339" s="11" t="s">
        <v>3</v>
      </c>
      <c r="S1339" s="10">
        <v>0</v>
      </c>
      <c r="T1339" s="15">
        <v>80</v>
      </c>
      <c r="U1339" s="15">
        <v>0</v>
      </c>
      <c r="V1339" s="15">
        <v>0</v>
      </c>
      <c r="W1339" s="15">
        <v>0</v>
      </c>
      <c r="X1339" s="15">
        <f>IF(O1339='Udvaskning nøgletal'!$D$65,1,IF(O1339='Udvaskning nøgletal'!$D$66,2,IF(O1339='Udvaskning nøgletal'!$D$67,3,IF(O1339='Udvaskning nøgletal'!$D$68,2,""))))</f>
        <v>2</v>
      </c>
      <c r="Y1339" s="15">
        <f>LOOKUP(K1339,'Udvaskning nøgletal'!$C$12:$C$60,'Udvaskning nøgletal'!$H$12:$H$60)</f>
        <v>0</v>
      </c>
      <c r="Z1339" s="10">
        <f>IF(X1339=1,LOOKUP(K1339,'Udvaskning nøgletal'!$C$12:$C$60,'Udvaskning nøgletal'!$E$12:$E$60)+Markniveau!Y1339*Markniveau!S1339/100,IF(X1339=2,LOOKUP(K1339,'Udvaskning nøgletal'!$C$12:$C$60,'Udvaskning nøgletal'!$F$12:$F$60)+Markniveau!Y1339*Markniveau!S1339/100,IF(X1339=3,LOOKUP(K1339,'Udvaskning nøgletal'!$C$12:$C$60,'Udvaskning nøgletal'!G1349:G1397)+Markniveau!Y1339*Markniveau!S1339/100,"")))</f>
        <v>10</v>
      </c>
      <c r="AA1339" s="10">
        <f t="shared" si="206"/>
        <v>26.5</v>
      </c>
      <c r="AB1339" s="10">
        <f t="shared" si="205"/>
        <v>0.5</v>
      </c>
      <c r="AC1339" s="10">
        <f t="shared" si="207"/>
        <v>1.325</v>
      </c>
      <c r="AD1339" s="10">
        <f>IF(AND(Q1339&gt;0,Q1339&lt;30,K1339&lt;8),Markniveau!Z1339*'Udvaskning nøgletal'!$I$12/100,IF(AND(Q1339&gt;0,Q1339&lt;30,K1339=216),Markniveau!Z1339*'Udvaskning nøgletal'!$I$34/100,Markniveau!Z1339))</f>
        <v>10</v>
      </c>
      <c r="AE1339" s="10">
        <f t="shared" si="213"/>
        <v>26.5</v>
      </c>
      <c r="AF1339" s="10">
        <f t="shared" si="208"/>
        <v>0.5</v>
      </c>
      <c r="AG1339" s="10">
        <f t="shared" si="214"/>
        <v>1.325</v>
      </c>
      <c r="AH1339" s="10" t="str">
        <f>IF(AND(Q1339&gt;0,Q1339&lt;30,K1339=216),'Udvaskning nøgletal'!$C$42,IF(AND(Q1339&gt;0,Q1339&lt;30,K1339&gt;7,K1339&lt;17),'Udvaskning nøgletal'!$C$61,IF(AND(Q1339&gt;0,Q1339&lt;30,K1339&lt;7),'Udvaskning nøgletal'!$C$62,"")))</f>
        <v/>
      </c>
      <c r="AI1339" s="10">
        <f t="shared" si="210"/>
        <v>583</v>
      </c>
      <c r="AJ1339" s="10">
        <f>IF($X1339=1,LOOKUP(AI1339,'Udvaskning nøgletal'!$C$12:$C$62,'Udvaskning nøgletal'!$E$12:$E$62)+Markniveau!$Y1339*Markniveau!$S1339/100,IF($X1339=2,LOOKUP(AI1339,'Udvaskning nøgletal'!$C$12:$C$62,'Udvaskning nøgletal'!$F$12:$F$62)+Markniveau!$Y1339*Markniveau!$S1339/100,IF($X1339=3,LOOKUP(AI1339,'Udvaskning nøgletal'!$C$12:$C$62,'Udvaskning nøgletal'!Q1349:Q1399)+Markniveau!$Y1339*Markniveau!$S1339/100,"")))</f>
        <v>10</v>
      </c>
      <c r="AK1339" s="10">
        <f t="shared" si="209"/>
        <v>26.5</v>
      </c>
      <c r="AL1339" s="10">
        <f t="shared" si="211"/>
        <v>0.5</v>
      </c>
      <c r="AM1339" s="10">
        <f t="shared" si="212"/>
        <v>1.325</v>
      </c>
    </row>
    <row r="1340" spans="1:39" x14ac:dyDescent="0.25">
      <c r="A1340" s="15">
        <v>49299915</v>
      </c>
      <c r="B1340" s="15">
        <v>17.62</v>
      </c>
      <c r="C1340" s="15">
        <v>143248</v>
      </c>
      <c r="D1340" s="15">
        <v>41608</v>
      </c>
      <c r="E1340" s="15" t="s">
        <v>1172</v>
      </c>
      <c r="F1340" s="15">
        <v>2011</v>
      </c>
      <c r="G1340" s="15">
        <v>20110420</v>
      </c>
      <c r="H1340" s="15">
        <v>6889</v>
      </c>
      <c r="I1340" s="15">
        <v>0.69</v>
      </c>
      <c r="J1340" s="6" t="s">
        <v>36</v>
      </c>
      <c r="K1340" s="15">
        <v>583</v>
      </c>
      <c r="L1340" s="15" t="s">
        <v>154</v>
      </c>
      <c r="M1340" s="15" t="s">
        <v>155</v>
      </c>
      <c r="N1340" s="11" t="s">
        <v>1406</v>
      </c>
      <c r="O1340" s="11" t="s">
        <v>46</v>
      </c>
      <c r="P1340" s="11" t="s">
        <v>29</v>
      </c>
      <c r="Q1340" s="15">
        <v>95</v>
      </c>
      <c r="R1340" s="11" t="s">
        <v>3</v>
      </c>
      <c r="S1340" s="10">
        <v>0</v>
      </c>
      <c r="T1340" s="15">
        <v>80</v>
      </c>
      <c r="U1340" s="15">
        <v>0</v>
      </c>
      <c r="V1340" s="15">
        <v>0</v>
      </c>
      <c r="W1340" s="15">
        <v>0</v>
      </c>
      <c r="X1340" s="15">
        <f>IF(O1340='Udvaskning nøgletal'!$D$65,1,IF(O1340='Udvaskning nøgletal'!$D$66,2,IF(O1340='Udvaskning nøgletal'!$D$67,3,IF(O1340='Udvaskning nøgletal'!$D$68,2,""))))</f>
        <v>2</v>
      </c>
      <c r="Y1340" s="15">
        <f>LOOKUP(K1340,'Udvaskning nøgletal'!$C$12:$C$60,'Udvaskning nøgletal'!$H$12:$H$60)</f>
        <v>0</v>
      </c>
      <c r="Z1340" s="10">
        <f>IF(X1340=1,LOOKUP(K1340,'Udvaskning nøgletal'!$C$12:$C$60,'Udvaskning nøgletal'!$E$12:$E$60)+Markniveau!Y1340*Markniveau!S1340/100,IF(X1340=2,LOOKUP(K1340,'Udvaskning nøgletal'!$C$12:$C$60,'Udvaskning nøgletal'!$F$12:$F$60)+Markniveau!Y1340*Markniveau!S1340/100,IF(X1340=3,LOOKUP(K1340,'Udvaskning nøgletal'!$C$12:$C$60,'Udvaskning nøgletal'!G1350:G1398)+Markniveau!Y1340*Markniveau!S1340/100,"")))</f>
        <v>10</v>
      </c>
      <c r="AA1340" s="10">
        <f t="shared" si="206"/>
        <v>6.8999999999999995</v>
      </c>
      <c r="AB1340" s="10">
        <f t="shared" si="205"/>
        <v>0.5</v>
      </c>
      <c r="AC1340" s="10">
        <f t="shared" si="207"/>
        <v>0.34499999999999997</v>
      </c>
      <c r="AD1340" s="10">
        <f>IF(AND(Q1340&gt;0,Q1340&lt;30,K1340&lt;8),Markniveau!Z1340*'Udvaskning nøgletal'!$I$12/100,IF(AND(Q1340&gt;0,Q1340&lt;30,K1340=216),Markniveau!Z1340*'Udvaskning nøgletal'!$I$34/100,Markniveau!Z1340))</f>
        <v>10</v>
      </c>
      <c r="AE1340" s="10">
        <f t="shared" si="213"/>
        <v>6.8999999999999995</v>
      </c>
      <c r="AF1340" s="10">
        <f t="shared" si="208"/>
        <v>0.5</v>
      </c>
      <c r="AG1340" s="10">
        <f t="shared" si="214"/>
        <v>0.34499999999999997</v>
      </c>
      <c r="AH1340" s="10" t="str">
        <f>IF(AND(Q1340&gt;0,Q1340&lt;30,K1340=216),'Udvaskning nøgletal'!$C$42,IF(AND(Q1340&gt;0,Q1340&lt;30,K1340&gt;7,K1340&lt;17),'Udvaskning nøgletal'!$C$61,IF(AND(Q1340&gt;0,Q1340&lt;30,K1340&lt;7),'Udvaskning nøgletal'!$C$62,"")))</f>
        <v/>
      </c>
      <c r="AI1340" s="10">
        <f t="shared" si="210"/>
        <v>583</v>
      </c>
      <c r="AJ1340" s="10">
        <f>IF($X1340=1,LOOKUP(AI1340,'Udvaskning nøgletal'!$C$12:$C$62,'Udvaskning nøgletal'!$E$12:$E$62)+Markniveau!$Y1340*Markniveau!$S1340/100,IF($X1340=2,LOOKUP(AI1340,'Udvaskning nøgletal'!$C$12:$C$62,'Udvaskning nøgletal'!$F$12:$F$62)+Markniveau!$Y1340*Markniveau!$S1340/100,IF($X1340=3,LOOKUP(AI1340,'Udvaskning nøgletal'!$C$12:$C$62,'Udvaskning nøgletal'!Q1350:Q1400)+Markniveau!$Y1340*Markniveau!$S1340/100,"")))</f>
        <v>10</v>
      </c>
      <c r="AK1340" s="10">
        <f t="shared" si="209"/>
        <v>6.8999999999999995</v>
      </c>
      <c r="AL1340" s="10">
        <f t="shared" si="211"/>
        <v>0.5</v>
      </c>
      <c r="AM1340" s="10">
        <f t="shared" si="212"/>
        <v>0.34499999999999997</v>
      </c>
    </row>
    <row r="1341" spans="1:39" x14ac:dyDescent="0.25">
      <c r="A1341" s="15">
        <v>51310810</v>
      </c>
      <c r="B1341" s="15">
        <v>10.25</v>
      </c>
      <c r="C1341" s="15">
        <v>494255</v>
      </c>
      <c r="D1341" s="15">
        <v>73502</v>
      </c>
      <c r="E1341" s="15" t="s">
        <v>1173</v>
      </c>
      <c r="F1341" s="15">
        <v>2011</v>
      </c>
      <c r="G1341" s="15">
        <v>20110317</v>
      </c>
      <c r="H1341" s="15">
        <v>14315</v>
      </c>
      <c r="I1341" s="15">
        <v>1.43</v>
      </c>
      <c r="J1341" s="6" t="s">
        <v>34</v>
      </c>
      <c r="K1341" s="15">
        <v>252</v>
      </c>
      <c r="L1341" s="15" t="s">
        <v>41</v>
      </c>
      <c r="M1341" s="15" t="s">
        <v>4</v>
      </c>
      <c r="N1341" s="11" t="s">
        <v>1406</v>
      </c>
      <c r="O1341" s="11" t="s">
        <v>46</v>
      </c>
      <c r="P1341" s="11" t="s">
        <v>33</v>
      </c>
      <c r="Q1341" s="15">
        <v>0</v>
      </c>
      <c r="R1341" s="11" t="s">
        <v>1386</v>
      </c>
      <c r="S1341" s="10">
        <v>171.46341463415001</v>
      </c>
      <c r="T1341" s="15">
        <v>80</v>
      </c>
      <c r="U1341" s="15">
        <v>1</v>
      </c>
      <c r="V1341" s="15">
        <v>0</v>
      </c>
      <c r="W1341" s="15">
        <v>0</v>
      </c>
      <c r="X1341" s="15">
        <f>IF(O1341='Udvaskning nøgletal'!$D$65,1,IF(O1341='Udvaskning nøgletal'!$D$66,2,IF(O1341='Udvaskning nøgletal'!$D$67,3,IF(O1341='Udvaskning nøgletal'!$D$68,2,""))))</f>
        <v>2</v>
      </c>
      <c r="Y1341" s="15">
        <f>LOOKUP(K1341,'Udvaskning nøgletal'!$C$12:$C$60,'Udvaskning nøgletal'!$H$12:$H$60)</f>
        <v>0</v>
      </c>
      <c r="Z1341" s="10">
        <f>IF(X1341=1,LOOKUP(K1341,'Udvaskning nøgletal'!$C$12:$C$60,'Udvaskning nøgletal'!$E$12:$E$60)+Markniveau!Y1341*Markniveau!S1341/100,IF(X1341=2,LOOKUP(K1341,'Udvaskning nøgletal'!$C$12:$C$60,'Udvaskning nøgletal'!$F$12:$F$60)+Markniveau!Y1341*Markniveau!S1341/100,IF(X1341=3,LOOKUP(K1341,'Udvaskning nøgletal'!$C$12:$C$60,'Udvaskning nøgletal'!G1351:G1399)+Markniveau!Y1341*Markniveau!S1341/100,"")))</f>
        <v>21.2</v>
      </c>
      <c r="AA1341" s="10">
        <f t="shared" si="206"/>
        <v>30.315999999999999</v>
      </c>
      <c r="AB1341" s="10" t="str">
        <f t="shared" si="205"/>
        <v/>
      </c>
      <c r="AC1341" s="10" t="str">
        <f t="shared" si="207"/>
        <v/>
      </c>
      <c r="AD1341" s="10">
        <f>IF(AND(Q1341&gt;0,Q1341&lt;30,K1341&lt;8),Markniveau!Z1341*'Udvaskning nøgletal'!$I$12/100,IF(AND(Q1341&gt;0,Q1341&lt;30,K1341=216),Markniveau!Z1341*'Udvaskning nøgletal'!$I$34/100,Markniveau!Z1341))</f>
        <v>21.2</v>
      </c>
      <c r="AE1341" s="10">
        <f t="shared" si="213"/>
        <v>30.315999999999999</v>
      </c>
      <c r="AF1341" s="10" t="str">
        <f t="shared" si="208"/>
        <v/>
      </c>
      <c r="AG1341" s="10" t="str">
        <f t="shared" si="214"/>
        <v/>
      </c>
      <c r="AH1341" s="10" t="str">
        <f>IF(AND(Q1341&gt;0,Q1341&lt;30,K1341=216),'Udvaskning nøgletal'!$C$42,IF(AND(Q1341&gt;0,Q1341&lt;30,K1341&gt;7,K1341&lt;17),'Udvaskning nøgletal'!$C$61,IF(AND(Q1341&gt;0,Q1341&lt;30,K1341&lt;7),'Udvaskning nøgletal'!$C$62,"")))</f>
        <v/>
      </c>
      <c r="AI1341" s="10">
        <f t="shared" si="210"/>
        <v>252</v>
      </c>
      <c r="AJ1341" s="10">
        <f>IF($X1341=1,LOOKUP(AI1341,'Udvaskning nøgletal'!$C$12:$C$62,'Udvaskning nøgletal'!$E$12:$E$62)+Markniveau!$Y1341*Markniveau!$S1341/100,IF($X1341=2,LOOKUP(AI1341,'Udvaskning nøgletal'!$C$12:$C$62,'Udvaskning nøgletal'!$F$12:$F$62)+Markniveau!$Y1341*Markniveau!$S1341/100,IF($X1341=3,LOOKUP(AI1341,'Udvaskning nøgletal'!$C$12:$C$62,'Udvaskning nøgletal'!Q1351:Q1401)+Markniveau!$Y1341*Markniveau!$S1341/100,"")))</f>
        <v>21.2</v>
      </c>
      <c r="AK1341" s="10">
        <f t="shared" si="209"/>
        <v>30.315999999999999</v>
      </c>
      <c r="AL1341" s="10" t="str">
        <f t="shared" si="211"/>
        <v/>
      </c>
      <c r="AM1341" s="10" t="str">
        <f t="shared" si="212"/>
        <v/>
      </c>
    </row>
    <row r="1342" spans="1:39" x14ac:dyDescent="0.25">
      <c r="A1342" s="15">
        <v>51310810</v>
      </c>
      <c r="B1342" s="15">
        <v>10.25</v>
      </c>
      <c r="C1342" s="15">
        <v>508041</v>
      </c>
      <c r="D1342" s="15">
        <v>73502</v>
      </c>
      <c r="E1342" s="15" t="s">
        <v>307</v>
      </c>
      <c r="F1342" s="15">
        <v>2011</v>
      </c>
      <c r="G1342" s="15">
        <v>20110317</v>
      </c>
      <c r="H1342" s="15">
        <v>17226</v>
      </c>
      <c r="I1342" s="15">
        <v>1.72</v>
      </c>
      <c r="J1342" s="6" t="s">
        <v>37</v>
      </c>
      <c r="K1342" s="15">
        <v>1</v>
      </c>
      <c r="L1342" s="15" t="s">
        <v>32</v>
      </c>
      <c r="M1342" s="15" t="s">
        <v>5</v>
      </c>
      <c r="N1342" s="11" t="s">
        <v>1384</v>
      </c>
      <c r="O1342" s="11" t="s">
        <v>28</v>
      </c>
      <c r="P1342" s="11" t="s">
        <v>29</v>
      </c>
      <c r="Q1342" s="15">
        <v>95</v>
      </c>
      <c r="R1342" s="11" t="s">
        <v>3</v>
      </c>
      <c r="S1342" s="10">
        <v>171.46341463415001</v>
      </c>
      <c r="T1342" s="15">
        <v>80</v>
      </c>
      <c r="U1342" s="15">
        <v>1</v>
      </c>
      <c r="V1342" s="15">
        <v>0</v>
      </c>
      <c r="W1342" s="15">
        <v>0</v>
      </c>
      <c r="X1342" s="15">
        <f>IF(O1342='Udvaskning nøgletal'!$D$65,1,IF(O1342='Udvaskning nøgletal'!$D$66,2,IF(O1342='Udvaskning nøgletal'!$D$67,3,IF(O1342='Udvaskning nøgletal'!$D$68,2,""))))</f>
        <v>1</v>
      </c>
      <c r="Y1342" s="15">
        <f>LOOKUP(K1342,'Udvaskning nøgletal'!$C$12:$C$60,'Udvaskning nøgletal'!$H$12:$H$60)</f>
        <v>5</v>
      </c>
      <c r="Z1342" s="10">
        <f>IF(X1342=1,LOOKUP(K1342,'Udvaskning nøgletal'!$C$12:$C$60,'Udvaskning nøgletal'!$E$12:$E$60)+Markniveau!Y1342*Markniveau!S1342/100,IF(X1342=2,LOOKUP(K1342,'Udvaskning nøgletal'!$C$12:$C$60,'Udvaskning nøgletal'!$F$12:$F$60)+Markniveau!Y1342*Markniveau!S1342/100,IF(X1342=3,LOOKUP(K1342,'Udvaskning nøgletal'!$C$12:$C$60,'Udvaskning nøgletal'!G1352:G1400)+Markniveau!Y1342*Markniveau!S1342/100,"")))</f>
        <v>73.233170731707503</v>
      </c>
      <c r="AA1342" s="10">
        <f t="shared" si="206"/>
        <v>125.9610536585369</v>
      </c>
      <c r="AB1342" s="10">
        <f t="shared" si="205"/>
        <v>3.6616585365853753</v>
      </c>
      <c r="AC1342" s="10">
        <f t="shared" si="207"/>
        <v>6.2980526829268451</v>
      </c>
      <c r="AD1342" s="10">
        <f>IF(AND(Q1342&gt;0,Q1342&lt;30,K1342&lt;8),Markniveau!Z1342*'Udvaskning nøgletal'!$I$12/100,IF(AND(Q1342&gt;0,Q1342&lt;30,K1342=216),Markniveau!Z1342*'Udvaskning nøgletal'!$I$34/100,Markniveau!Z1342))</f>
        <v>73.233170731707503</v>
      </c>
      <c r="AE1342" s="10">
        <f t="shared" si="213"/>
        <v>125.9610536585369</v>
      </c>
      <c r="AF1342" s="10">
        <f t="shared" si="208"/>
        <v>3.6616585365853753</v>
      </c>
      <c r="AG1342" s="10">
        <f t="shared" si="214"/>
        <v>6.2980526829268451</v>
      </c>
      <c r="AH1342" s="10" t="str">
        <f>IF(AND(Q1342&gt;0,Q1342&lt;30,K1342=216),'Udvaskning nøgletal'!$C$42,IF(AND(Q1342&gt;0,Q1342&lt;30,K1342&gt;7,K1342&lt;17),'Udvaskning nøgletal'!$C$61,IF(AND(Q1342&gt;0,Q1342&lt;30,K1342&lt;7),'Udvaskning nøgletal'!$C$62,"")))</f>
        <v/>
      </c>
      <c r="AI1342" s="10">
        <f t="shared" si="210"/>
        <v>1</v>
      </c>
      <c r="AJ1342" s="10">
        <f>IF($X1342=1,LOOKUP(AI1342,'Udvaskning nøgletal'!$C$12:$C$62,'Udvaskning nøgletal'!$E$12:$E$62)+Markniveau!$Y1342*Markniveau!$S1342/100,IF($X1342=2,LOOKUP(AI1342,'Udvaskning nøgletal'!$C$12:$C$62,'Udvaskning nøgletal'!$F$12:$F$62)+Markniveau!$Y1342*Markniveau!$S1342/100,IF($X1342=3,LOOKUP(AI1342,'Udvaskning nøgletal'!$C$12:$C$62,'Udvaskning nøgletal'!Q1352:Q1402)+Markniveau!$Y1342*Markniveau!$S1342/100,"")))</f>
        <v>73.233170731707503</v>
      </c>
      <c r="AK1342" s="10">
        <f t="shared" si="209"/>
        <v>125.9610536585369</v>
      </c>
      <c r="AL1342" s="10">
        <f t="shared" si="211"/>
        <v>3.6616585365853753</v>
      </c>
      <c r="AM1342" s="10">
        <f t="shared" si="212"/>
        <v>6.2980526829268451</v>
      </c>
    </row>
    <row r="1343" spans="1:39" x14ac:dyDescent="0.25">
      <c r="A1343" s="15">
        <v>51310810</v>
      </c>
      <c r="B1343" s="15">
        <v>10.25</v>
      </c>
      <c r="C1343" s="15">
        <v>544976</v>
      </c>
      <c r="D1343" s="15">
        <v>73502</v>
      </c>
      <c r="E1343" s="15" t="s">
        <v>307</v>
      </c>
      <c r="F1343" s="15">
        <v>2011</v>
      </c>
      <c r="G1343" s="15">
        <v>20110317</v>
      </c>
      <c r="H1343" s="15">
        <v>29744</v>
      </c>
      <c r="I1343" s="15">
        <v>2.97</v>
      </c>
      <c r="J1343" s="6" t="s">
        <v>61</v>
      </c>
      <c r="K1343" s="15">
        <v>1</v>
      </c>
      <c r="L1343" s="15" t="s">
        <v>32</v>
      </c>
      <c r="M1343" s="15" t="s">
        <v>5</v>
      </c>
      <c r="N1343" s="11" t="s">
        <v>1384</v>
      </c>
      <c r="O1343" s="11" t="s">
        <v>28</v>
      </c>
      <c r="P1343" s="11" t="s">
        <v>29</v>
      </c>
      <c r="Q1343" s="15">
        <v>95</v>
      </c>
      <c r="R1343" s="11" t="s">
        <v>3</v>
      </c>
      <c r="S1343" s="10">
        <v>171.46341463415001</v>
      </c>
      <c r="T1343" s="15">
        <v>80</v>
      </c>
      <c r="U1343" s="15">
        <v>1</v>
      </c>
      <c r="V1343" s="15">
        <v>0</v>
      </c>
      <c r="W1343" s="15">
        <v>0</v>
      </c>
      <c r="X1343" s="15">
        <f>IF(O1343='Udvaskning nøgletal'!$D$65,1,IF(O1343='Udvaskning nøgletal'!$D$66,2,IF(O1343='Udvaskning nøgletal'!$D$67,3,IF(O1343='Udvaskning nøgletal'!$D$68,2,""))))</f>
        <v>1</v>
      </c>
      <c r="Y1343" s="15">
        <f>LOOKUP(K1343,'Udvaskning nøgletal'!$C$12:$C$60,'Udvaskning nøgletal'!$H$12:$H$60)</f>
        <v>5</v>
      </c>
      <c r="Z1343" s="10">
        <f>IF(X1343=1,LOOKUP(K1343,'Udvaskning nøgletal'!$C$12:$C$60,'Udvaskning nøgletal'!$E$12:$E$60)+Markniveau!Y1343*Markniveau!S1343/100,IF(X1343=2,LOOKUP(K1343,'Udvaskning nøgletal'!$C$12:$C$60,'Udvaskning nøgletal'!$F$12:$F$60)+Markniveau!Y1343*Markniveau!S1343/100,IF(X1343=3,LOOKUP(K1343,'Udvaskning nøgletal'!$C$12:$C$60,'Udvaskning nøgletal'!G1353:G1401)+Markniveau!Y1343*Markniveau!S1343/100,"")))</f>
        <v>73.233170731707503</v>
      </c>
      <c r="AA1343" s="10">
        <f t="shared" si="206"/>
        <v>217.5025170731713</v>
      </c>
      <c r="AB1343" s="10">
        <f t="shared" si="205"/>
        <v>3.6616585365853753</v>
      </c>
      <c r="AC1343" s="10">
        <f t="shared" si="207"/>
        <v>10.875125853658565</v>
      </c>
      <c r="AD1343" s="10">
        <f>IF(AND(Q1343&gt;0,Q1343&lt;30,K1343&lt;8),Markniveau!Z1343*'Udvaskning nøgletal'!$I$12/100,IF(AND(Q1343&gt;0,Q1343&lt;30,K1343=216),Markniveau!Z1343*'Udvaskning nøgletal'!$I$34/100,Markniveau!Z1343))</f>
        <v>73.233170731707503</v>
      </c>
      <c r="AE1343" s="10">
        <f t="shared" si="213"/>
        <v>217.5025170731713</v>
      </c>
      <c r="AF1343" s="10">
        <f t="shared" si="208"/>
        <v>3.6616585365853753</v>
      </c>
      <c r="AG1343" s="10">
        <f t="shared" si="214"/>
        <v>10.875125853658565</v>
      </c>
      <c r="AH1343" s="10" t="str">
        <f>IF(AND(Q1343&gt;0,Q1343&lt;30,K1343=216),'Udvaskning nøgletal'!$C$42,IF(AND(Q1343&gt;0,Q1343&lt;30,K1343&gt;7,K1343&lt;17),'Udvaskning nøgletal'!$C$61,IF(AND(Q1343&gt;0,Q1343&lt;30,K1343&lt;7),'Udvaskning nøgletal'!$C$62,"")))</f>
        <v/>
      </c>
      <c r="AI1343" s="10">
        <f t="shared" si="210"/>
        <v>1</v>
      </c>
      <c r="AJ1343" s="10">
        <f>IF($X1343=1,LOOKUP(AI1343,'Udvaskning nøgletal'!$C$12:$C$62,'Udvaskning nøgletal'!$E$12:$E$62)+Markniveau!$Y1343*Markniveau!$S1343/100,IF($X1343=2,LOOKUP(AI1343,'Udvaskning nøgletal'!$C$12:$C$62,'Udvaskning nøgletal'!$F$12:$F$62)+Markniveau!$Y1343*Markniveau!$S1343/100,IF($X1343=3,LOOKUP(AI1343,'Udvaskning nøgletal'!$C$12:$C$62,'Udvaskning nøgletal'!Q1353:Q1403)+Markniveau!$Y1343*Markniveau!$S1343/100,"")))</f>
        <v>73.233170731707503</v>
      </c>
      <c r="AK1343" s="10">
        <f t="shared" si="209"/>
        <v>217.5025170731713</v>
      </c>
      <c r="AL1343" s="10">
        <f t="shared" si="211"/>
        <v>3.6616585365853753</v>
      </c>
      <c r="AM1343" s="10">
        <f t="shared" si="212"/>
        <v>10.875125853658565</v>
      </c>
    </row>
    <row r="1344" spans="1:39" x14ac:dyDescent="0.25">
      <c r="A1344" s="15">
        <v>51310810</v>
      </c>
      <c r="B1344" s="15">
        <v>10.25</v>
      </c>
      <c r="C1344" s="15">
        <v>576904</v>
      </c>
      <c r="D1344" s="15">
        <v>73502</v>
      </c>
      <c r="E1344" s="15" t="s">
        <v>307</v>
      </c>
      <c r="F1344" s="15">
        <v>2011</v>
      </c>
      <c r="G1344" s="15">
        <v>20110317</v>
      </c>
      <c r="H1344" s="15">
        <v>17013</v>
      </c>
      <c r="I1344" s="15">
        <v>1.7</v>
      </c>
      <c r="J1344" s="6" t="s">
        <v>1398</v>
      </c>
      <c r="K1344" s="15">
        <v>260</v>
      </c>
      <c r="L1344" s="15" t="s">
        <v>45</v>
      </c>
      <c r="M1344" s="15" t="s">
        <v>5</v>
      </c>
      <c r="N1344" s="11" t="s">
        <v>1384</v>
      </c>
      <c r="O1344" s="11" t="s">
        <v>28</v>
      </c>
      <c r="P1344" s="11" t="s">
        <v>29</v>
      </c>
      <c r="Q1344" s="15">
        <v>95</v>
      </c>
      <c r="R1344" s="11" t="s">
        <v>3</v>
      </c>
      <c r="S1344" s="10">
        <v>171.46341463415001</v>
      </c>
      <c r="T1344" s="15">
        <v>80</v>
      </c>
      <c r="U1344" s="15">
        <v>1</v>
      </c>
      <c r="V1344" s="15">
        <v>0</v>
      </c>
      <c r="W1344" s="15">
        <v>0</v>
      </c>
      <c r="X1344" s="15">
        <f>IF(O1344='Udvaskning nøgletal'!$D$65,1,IF(O1344='Udvaskning nøgletal'!$D$66,2,IF(O1344='Udvaskning nøgletal'!$D$67,3,IF(O1344='Udvaskning nøgletal'!$D$68,2,""))))</f>
        <v>1</v>
      </c>
      <c r="Y1344" s="15">
        <f>LOOKUP(K1344,'Udvaskning nøgletal'!$C$12:$C$60,'Udvaskning nøgletal'!$H$12:$H$60)</f>
        <v>0</v>
      </c>
      <c r="Z1344" s="10">
        <f>IF(X1344=1,LOOKUP(K1344,'Udvaskning nøgletal'!$C$12:$C$60,'Udvaskning nøgletal'!$E$12:$E$60)+Markniveau!Y1344*Markniveau!S1344/100,IF(X1344=2,LOOKUP(K1344,'Udvaskning nøgletal'!$C$12:$C$60,'Udvaskning nøgletal'!$F$12:$F$60)+Markniveau!Y1344*Markniveau!S1344/100,IF(X1344=3,LOOKUP(K1344,'Udvaskning nøgletal'!$C$12:$C$60,'Udvaskning nøgletal'!G1354:G1402)+Markniveau!Y1344*Markniveau!S1344/100,"")))</f>
        <v>33.723295792149436</v>
      </c>
      <c r="AA1344" s="10">
        <f t="shared" si="206"/>
        <v>57.329602846654041</v>
      </c>
      <c r="AB1344" s="10">
        <f t="shared" si="205"/>
        <v>1.6861647896074716</v>
      </c>
      <c r="AC1344" s="10">
        <f t="shared" si="207"/>
        <v>2.8664801423327018</v>
      </c>
      <c r="AD1344" s="10">
        <f>IF(AND(Q1344&gt;0,Q1344&lt;30,K1344&lt;8),Markniveau!Z1344*'Udvaskning nøgletal'!$I$12/100,IF(AND(Q1344&gt;0,Q1344&lt;30,K1344=216),Markniveau!Z1344*'Udvaskning nøgletal'!$I$34/100,Markniveau!Z1344))</f>
        <v>33.723295792149436</v>
      </c>
      <c r="AE1344" s="10">
        <f t="shared" si="213"/>
        <v>57.329602846654041</v>
      </c>
      <c r="AF1344" s="10">
        <f t="shared" si="208"/>
        <v>1.6861647896074716</v>
      </c>
      <c r="AG1344" s="10">
        <f t="shared" si="214"/>
        <v>2.8664801423327018</v>
      </c>
      <c r="AH1344" s="10" t="str">
        <f>IF(AND(Q1344&gt;0,Q1344&lt;30,K1344=216),'Udvaskning nøgletal'!$C$42,IF(AND(Q1344&gt;0,Q1344&lt;30,K1344&gt;7,K1344&lt;17),'Udvaskning nøgletal'!$C$61,IF(AND(Q1344&gt;0,Q1344&lt;30,K1344&lt;7),'Udvaskning nøgletal'!$C$62,"")))</f>
        <v/>
      </c>
      <c r="AI1344" s="10">
        <f t="shared" si="210"/>
        <v>260</v>
      </c>
      <c r="AJ1344" s="10">
        <f>IF($X1344=1,LOOKUP(AI1344,'Udvaskning nøgletal'!$C$12:$C$62,'Udvaskning nøgletal'!$E$12:$E$62)+Markniveau!$Y1344*Markniveau!$S1344/100,IF($X1344=2,LOOKUP(AI1344,'Udvaskning nøgletal'!$C$12:$C$62,'Udvaskning nøgletal'!$F$12:$F$62)+Markniveau!$Y1344*Markniveau!$S1344/100,IF($X1344=3,LOOKUP(AI1344,'Udvaskning nøgletal'!$C$12:$C$62,'Udvaskning nøgletal'!Q1354:Q1404)+Markniveau!$Y1344*Markniveau!$S1344/100,"")))</f>
        <v>33.723295792149436</v>
      </c>
      <c r="AK1344" s="10">
        <f t="shared" si="209"/>
        <v>57.329602846654041</v>
      </c>
      <c r="AL1344" s="10">
        <f t="shared" si="211"/>
        <v>1.6861647896074716</v>
      </c>
      <c r="AM1344" s="10">
        <f t="shared" si="212"/>
        <v>2.8664801423327018</v>
      </c>
    </row>
    <row r="1345" spans="1:39" x14ac:dyDescent="0.25">
      <c r="A1345" s="15">
        <v>51310810</v>
      </c>
      <c r="B1345" s="15">
        <v>10.25</v>
      </c>
      <c r="C1345" s="15">
        <v>298254</v>
      </c>
      <c r="D1345" s="15">
        <v>73502</v>
      </c>
      <c r="E1345" s="15" t="s">
        <v>307</v>
      </c>
      <c r="F1345" s="15">
        <v>2011</v>
      </c>
      <c r="G1345" s="15">
        <v>20110317</v>
      </c>
      <c r="H1345" s="15">
        <v>13046</v>
      </c>
      <c r="I1345" s="15">
        <v>1.3</v>
      </c>
      <c r="J1345" s="6" t="s">
        <v>1402</v>
      </c>
      <c r="K1345" s="15">
        <v>260</v>
      </c>
      <c r="L1345" s="15" t="s">
        <v>45</v>
      </c>
      <c r="M1345" s="15" t="s">
        <v>5</v>
      </c>
      <c r="N1345" s="11" t="s">
        <v>1384</v>
      </c>
      <c r="O1345" s="11" t="s">
        <v>28</v>
      </c>
      <c r="P1345" s="11" t="s">
        <v>29</v>
      </c>
      <c r="Q1345" s="15">
        <v>95</v>
      </c>
      <c r="R1345" s="11" t="s">
        <v>3</v>
      </c>
      <c r="S1345" s="10">
        <v>171.46341463415001</v>
      </c>
      <c r="T1345" s="15">
        <v>80</v>
      </c>
      <c r="U1345" s="15">
        <v>1</v>
      </c>
      <c r="V1345" s="15">
        <v>0</v>
      </c>
      <c r="W1345" s="15">
        <v>0</v>
      </c>
      <c r="X1345" s="15">
        <f>IF(O1345='Udvaskning nøgletal'!$D$65,1,IF(O1345='Udvaskning nøgletal'!$D$66,2,IF(O1345='Udvaskning nøgletal'!$D$67,3,IF(O1345='Udvaskning nøgletal'!$D$68,2,""))))</f>
        <v>1</v>
      </c>
      <c r="Y1345" s="15">
        <f>LOOKUP(K1345,'Udvaskning nøgletal'!$C$12:$C$60,'Udvaskning nøgletal'!$H$12:$H$60)</f>
        <v>0</v>
      </c>
      <c r="Z1345" s="10">
        <f>IF(X1345=1,LOOKUP(K1345,'Udvaskning nøgletal'!$C$12:$C$60,'Udvaskning nøgletal'!$E$12:$E$60)+Markniveau!Y1345*Markniveau!S1345/100,IF(X1345=2,LOOKUP(K1345,'Udvaskning nøgletal'!$C$12:$C$60,'Udvaskning nøgletal'!$F$12:$F$60)+Markniveau!Y1345*Markniveau!S1345/100,IF(X1345=3,LOOKUP(K1345,'Udvaskning nøgletal'!$C$12:$C$60,'Udvaskning nøgletal'!G1355:G1403)+Markniveau!Y1345*Markniveau!S1345/100,"")))</f>
        <v>33.723295792149436</v>
      </c>
      <c r="AA1345" s="10">
        <f t="shared" si="206"/>
        <v>43.840284529794268</v>
      </c>
      <c r="AB1345" s="10">
        <f t="shared" si="205"/>
        <v>1.6861647896074716</v>
      </c>
      <c r="AC1345" s="10">
        <f t="shared" si="207"/>
        <v>2.1920142264897131</v>
      </c>
      <c r="AD1345" s="10">
        <f>IF(AND(Q1345&gt;0,Q1345&lt;30,K1345&lt;8),Markniveau!Z1345*'Udvaskning nøgletal'!$I$12/100,IF(AND(Q1345&gt;0,Q1345&lt;30,K1345=216),Markniveau!Z1345*'Udvaskning nøgletal'!$I$34/100,Markniveau!Z1345))</f>
        <v>33.723295792149436</v>
      </c>
      <c r="AE1345" s="10">
        <f t="shared" si="213"/>
        <v>43.840284529794268</v>
      </c>
      <c r="AF1345" s="10">
        <f t="shared" si="208"/>
        <v>1.6861647896074716</v>
      </c>
      <c r="AG1345" s="10">
        <f t="shared" si="214"/>
        <v>2.1920142264897131</v>
      </c>
      <c r="AH1345" s="10" t="str">
        <f>IF(AND(Q1345&gt;0,Q1345&lt;30,K1345=216),'Udvaskning nøgletal'!$C$42,IF(AND(Q1345&gt;0,Q1345&lt;30,K1345&gt;7,K1345&lt;17),'Udvaskning nøgletal'!$C$61,IF(AND(Q1345&gt;0,Q1345&lt;30,K1345&lt;7),'Udvaskning nøgletal'!$C$62,"")))</f>
        <v/>
      </c>
      <c r="AI1345" s="10">
        <f t="shared" si="210"/>
        <v>260</v>
      </c>
      <c r="AJ1345" s="10">
        <f>IF($X1345=1,LOOKUP(AI1345,'Udvaskning nøgletal'!$C$12:$C$62,'Udvaskning nøgletal'!$E$12:$E$62)+Markniveau!$Y1345*Markniveau!$S1345/100,IF($X1345=2,LOOKUP(AI1345,'Udvaskning nøgletal'!$C$12:$C$62,'Udvaskning nøgletal'!$F$12:$F$62)+Markniveau!$Y1345*Markniveau!$S1345/100,IF($X1345=3,LOOKUP(AI1345,'Udvaskning nøgletal'!$C$12:$C$62,'Udvaskning nøgletal'!Q1355:Q1405)+Markniveau!$Y1345*Markniveau!$S1345/100,"")))</f>
        <v>33.723295792149436</v>
      </c>
      <c r="AK1345" s="10">
        <f t="shared" si="209"/>
        <v>43.840284529794268</v>
      </c>
      <c r="AL1345" s="10">
        <f t="shared" si="211"/>
        <v>1.6861647896074716</v>
      </c>
      <c r="AM1345" s="10">
        <f t="shared" si="212"/>
        <v>2.1920142264897131</v>
      </c>
    </row>
    <row r="1346" spans="1:39" x14ac:dyDescent="0.25">
      <c r="A1346" s="15">
        <v>51310810</v>
      </c>
      <c r="B1346" s="15">
        <v>10.25</v>
      </c>
      <c r="C1346" s="15">
        <v>494254</v>
      </c>
      <c r="D1346" s="15">
        <v>73502</v>
      </c>
      <c r="E1346" s="15" t="s">
        <v>307</v>
      </c>
      <c r="F1346" s="15">
        <v>2011</v>
      </c>
      <c r="G1346" s="15">
        <v>20110317</v>
      </c>
      <c r="H1346" s="15">
        <v>25590</v>
      </c>
      <c r="I1346" s="15">
        <v>2.56</v>
      </c>
      <c r="J1346" s="6" t="s">
        <v>97</v>
      </c>
      <c r="K1346" s="15">
        <v>1</v>
      </c>
      <c r="L1346" s="15" t="s">
        <v>32</v>
      </c>
      <c r="M1346" s="15" t="s">
        <v>5</v>
      </c>
      <c r="N1346" s="11" t="s">
        <v>1384</v>
      </c>
      <c r="O1346" s="11" t="s">
        <v>28</v>
      </c>
      <c r="P1346" s="11" t="s">
        <v>29</v>
      </c>
      <c r="Q1346" s="15">
        <v>95</v>
      </c>
      <c r="R1346" s="11" t="s">
        <v>3</v>
      </c>
      <c r="S1346" s="10">
        <v>171.46341463415001</v>
      </c>
      <c r="T1346" s="15">
        <v>80</v>
      </c>
      <c r="U1346" s="15">
        <v>1</v>
      </c>
      <c r="V1346" s="15">
        <v>0</v>
      </c>
      <c r="W1346" s="15">
        <v>0</v>
      </c>
      <c r="X1346" s="15">
        <f>IF(O1346='Udvaskning nøgletal'!$D$65,1,IF(O1346='Udvaskning nøgletal'!$D$66,2,IF(O1346='Udvaskning nøgletal'!$D$67,3,IF(O1346='Udvaskning nøgletal'!$D$68,2,""))))</f>
        <v>1</v>
      </c>
      <c r="Y1346" s="15">
        <f>LOOKUP(K1346,'Udvaskning nøgletal'!$C$12:$C$60,'Udvaskning nøgletal'!$H$12:$H$60)</f>
        <v>5</v>
      </c>
      <c r="Z1346" s="10">
        <f>IF(X1346=1,LOOKUP(K1346,'Udvaskning nøgletal'!$C$12:$C$60,'Udvaskning nøgletal'!$E$12:$E$60)+Markniveau!Y1346*Markniveau!S1346/100,IF(X1346=2,LOOKUP(K1346,'Udvaskning nøgletal'!$C$12:$C$60,'Udvaskning nøgletal'!$F$12:$F$60)+Markniveau!Y1346*Markniveau!S1346/100,IF(X1346=3,LOOKUP(K1346,'Udvaskning nøgletal'!$C$12:$C$60,'Udvaskning nøgletal'!G1356:G1404)+Markniveau!Y1346*Markniveau!S1346/100,"")))</f>
        <v>73.233170731707503</v>
      </c>
      <c r="AA1346" s="10">
        <f t="shared" si="206"/>
        <v>187.47691707317122</v>
      </c>
      <c r="AB1346" s="10">
        <f t="shared" ref="AB1346:AB1409" si="215">IF(Q1346&gt;0,(100-Q1346)*Z1346/100,"")</f>
        <v>3.6616585365853753</v>
      </c>
      <c r="AC1346" s="10">
        <f t="shared" si="207"/>
        <v>9.3738458536585618</v>
      </c>
      <c r="AD1346" s="10">
        <f>IF(AND(Q1346&gt;0,Q1346&lt;30,K1346&lt;8),Markniveau!Z1346*'Udvaskning nøgletal'!$I$12/100,IF(AND(Q1346&gt;0,Q1346&lt;30,K1346=216),Markniveau!Z1346*'Udvaskning nøgletal'!$I$34/100,Markniveau!Z1346))</f>
        <v>73.233170731707503</v>
      </c>
      <c r="AE1346" s="10">
        <f t="shared" si="213"/>
        <v>187.47691707317122</v>
      </c>
      <c r="AF1346" s="10">
        <f t="shared" si="208"/>
        <v>3.6616585365853753</v>
      </c>
      <c r="AG1346" s="10">
        <f t="shared" si="214"/>
        <v>9.3738458536585618</v>
      </c>
      <c r="AH1346" s="10" t="str">
        <f>IF(AND(Q1346&gt;0,Q1346&lt;30,K1346=216),'Udvaskning nøgletal'!$C$42,IF(AND(Q1346&gt;0,Q1346&lt;30,K1346&gt;7,K1346&lt;17),'Udvaskning nøgletal'!$C$61,IF(AND(Q1346&gt;0,Q1346&lt;30,K1346&lt;7),'Udvaskning nøgletal'!$C$62,"")))</f>
        <v/>
      </c>
      <c r="AI1346" s="10">
        <f t="shared" si="210"/>
        <v>1</v>
      </c>
      <c r="AJ1346" s="10">
        <f>IF($X1346=1,LOOKUP(AI1346,'Udvaskning nøgletal'!$C$12:$C$62,'Udvaskning nøgletal'!$E$12:$E$62)+Markniveau!$Y1346*Markniveau!$S1346/100,IF($X1346=2,LOOKUP(AI1346,'Udvaskning nøgletal'!$C$12:$C$62,'Udvaskning nøgletal'!$F$12:$F$62)+Markniveau!$Y1346*Markniveau!$S1346/100,IF($X1346=3,LOOKUP(AI1346,'Udvaskning nøgletal'!$C$12:$C$62,'Udvaskning nøgletal'!Q1356:Q1406)+Markniveau!$Y1346*Markniveau!$S1346/100,"")))</f>
        <v>73.233170731707503</v>
      </c>
      <c r="AK1346" s="10">
        <f t="shared" si="209"/>
        <v>187.47691707317122</v>
      </c>
      <c r="AL1346" s="10">
        <f t="shared" si="211"/>
        <v>3.6616585365853753</v>
      </c>
      <c r="AM1346" s="10">
        <f t="shared" si="212"/>
        <v>9.3738458536585618</v>
      </c>
    </row>
    <row r="1347" spans="1:39" x14ac:dyDescent="0.25">
      <c r="A1347" s="15">
        <v>60867216</v>
      </c>
      <c r="B1347" s="15">
        <v>76.42</v>
      </c>
      <c r="C1347" s="15">
        <v>106745</v>
      </c>
      <c r="D1347" s="15">
        <v>57885</v>
      </c>
      <c r="E1347" s="15" t="s">
        <v>632</v>
      </c>
      <c r="F1347" s="15">
        <v>2011</v>
      </c>
      <c r="G1347" s="15">
        <v>20110404</v>
      </c>
      <c r="H1347" s="15">
        <v>209165</v>
      </c>
      <c r="I1347" s="15">
        <v>20.92</v>
      </c>
      <c r="J1347" s="6" t="s">
        <v>31</v>
      </c>
      <c r="K1347" s="15">
        <v>1</v>
      </c>
      <c r="L1347" s="15" t="s">
        <v>32</v>
      </c>
      <c r="M1347" s="15" t="s">
        <v>5</v>
      </c>
      <c r="N1347" s="11" t="s">
        <v>1391</v>
      </c>
      <c r="O1347" s="11" t="s">
        <v>46</v>
      </c>
      <c r="P1347" s="11" t="s">
        <v>29</v>
      </c>
      <c r="Q1347" s="15">
        <v>95</v>
      </c>
      <c r="R1347" s="11" t="s">
        <v>3</v>
      </c>
      <c r="S1347" s="10">
        <v>49.446026097271996</v>
      </c>
      <c r="T1347" s="15">
        <v>80</v>
      </c>
      <c r="U1347" s="15">
        <v>0</v>
      </c>
      <c r="V1347" s="15">
        <v>0</v>
      </c>
      <c r="W1347" s="15">
        <v>0</v>
      </c>
      <c r="X1347" s="15">
        <f>IF(O1347='Udvaskning nøgletal'!$D$65,1,IF(O1347='Udvaskning nøgletal'!$D$66,2,IF(O1347='Udvaskning nøgletal'!$D$67,3,IF(O1347='Udvaskning nøgletal'!$D$68,2,""))))</f>
        <v>2</v>
      </c>
      <c r="Y1347" s="15">
        <f>LOOKUP(K1347,'Udvaskning nøgletal'!$C$12:$C$60,'Udvaskning nøgletal'!$H$12:$H$60)</f>
        <v>5</v>
      </c>
      <c r="Z1347" s="10">
        <f>IF(X1347=1,LOOKUP(K1347,'Udvaskning nøgletal'!$C$12:$C$60,'Udvaskning nøgletal'!$E$12:$E$60)+Markniveau!Y1347*Markniveau!S1347/100,IF(X1347=2,LOOKUP(K1347,'Udvaskning nøgletal'!$C$12:$C$60,'Udvaskning nøgletal'!$F$12:$F$60)+Markniveau!Y1347*Markniveau!S1347/100,IF(X1347=3,LOOKUP(K1347,'Udvaskning nøgletal'!$C$12:$C$60,'Udvaskning nøgletal'!G1357:G1405)+Markniveau!Y1347*Markniveau!S1347/100,"")))</f>
        <v>53.352301304863602</v>
      </c>
      <c r="AA1347" s="10">
        <f t="shared" ref="AA1347:AA1410" si="216">Z1347*I1347</f>
        <v>1116.1301432977466</v>
      </c>
      <c r="AB1347" s="10">
        <f t="shared" si="215"/>
        <v>2.6676150652431803</v>
      </c>
      <c r="AC1347" s="10">
        <f t="shared" ref="AC1347:AC1410" si="217">IF(Q1347&gt;0,AB1347*I1347,"")</f>
        <v>55.806507164887336</v>
      </c>
      <c r="AD1347" s="10">
        <f>IF(AND(Q1347&gt;0,Q1347&lt;30,K1347&lt;8),Markniveau!Z1347*'Udvaskning nøgletal'!$I$12/100,IF(AND(Q1347&gt;0,Q1347&lt;30,K1347=216),Markniveau!Z1347*'Udvaskning nøgletal'!$I$34/100,Markniveau!Z1347))</f>
        <v>53.352301304863602</v>
      </c>
      <c r="AE1347" s="10">
        <f t="shared" si="213"/>
        <v>1116.1301432977466</v>
      </c>
      <c r="AF1347" s="10">
        <f t="shared" ref="AF1347:AF1410" si="218">IF($Q1347&gt;0,(100-$Q1347)*$AD1347/100,"")</f>
        <v>2.6676150652431803</v>
      </c>
      <c r="AG1347" s="10">
        <f t="shared" si="214"/>
        <v>55.806507164887336</v>
      </c>
      <c r="AH1347" s="10" t="str">
        <f>IF(AND(Q1347&gt;0,Q1347&lt;30,K1347=216),'Udvaskning nøgletal'!$C$42,IF(AND(Q1347&gt;0,Q1347&lt;30,K1347&gt;7,K1347&lt;17),'Udvaskning nøgletal'!$C$61,IF(AND(Q1347&gt;0,Q1347&lt;30,K1347&lt;7),'Udvaskning nøgletal'!$C$62,"")))</f>
        <v/>
      </c>
      <c r="AI1347" s="10">
        <f t="shared" si="210"/>
        <v>1</v>
      </c>
      <c r="AJ1347" s="10">
        <f>IF($X1347=1,LOOKUP(AI1347,'Udvaskning nøgletal'!$C$12:$C$62,'Udvaskning nøgletal'!$E$12:$E$62)+Markniveau!$Y1347*Markniveau!$S1347/100,IF($X1347=2,LOOKUP(AI1347,'Udvaskning nøgletal'!$C$12:$C$62,'Udvaskning nøgletal'!$F$12:$F$62)+Markniveau!$Y1347*Markniveau!$S1347/100,IF($X1347=3,LOOKUP(AI1347,'Udvaskning nøgletal'!$C$12:$C$62,'Udvaskning nøgletal'!Q1357:Q1407)+Markniveau!$Y1347*Markniveau!$S1347/100,"")))</f>
        <v>53.352301304863602</v>
      </c>
      <c r="AK1347" s="10">
        <f t="shared" ref="AK1347:AK1410" si="219">AJ1347*$I1347</f>
        <v>1116.1301432977466</v>
      </c>
      <c r="AL1347" s="10">
        <f t="shared" si="211"/>
        <v>2.6676150652431803</v>
      </c>
      <c r="AM1347" s="10">
        <f t="shared" si="212"/>
        <v>55.806507164887336</v>
      </c>
    </row>
    <row r="1348" spans="1:39" x14ac:dyDescent="0.25">
      <c r="A1348" s="15">
        <v>60867216</v>
      </c>
      <c r="B1348" s="15">
        <v>76.42</v>
      </c>
      <c r="C1348" s="15">
        <v>106746</v>
      </c>
      <c r="D1348" s="15">
        <v>57885</v>
      </c>
      <c r="E1348" s="15" t="s">
        <v>518</v>
      </c>
      <c r="F1348" s="15">
        <v>2011</v>
      </c>
      <c r="G1348" s="15">
        <v>20110404</v>
      </c>
      <c r="H1348" s="15">
        <v>53974</v>
      </c>
      <c r="I1348" s="15">
        <v>5.4</v>
      </c>
      <c r="J1348" s="6" t="s">
        <v>34</v>
      </c>
      <c r="K1348" s="15">
        <v>1</v>
      </c>
      <c r="L1348" s="15" t="s">
        <v>32</v>
      </c>
      <c r="M1348" s="15" t="s">
        <v>5</v>
      </c>
      <c r="N1348" s="11" t="s">
        <v>1391</v>
      </c>
      <c r="O1348" s="11" t="s">
        <v>46</v>
      </c>
      <c r="P1348" s="11" t="s">
        <v>29</v>
      </c>
      <c r="Q1348" s="15">
        <v>95</v>
      </c>
      <c r="R1348" s="11" t="s">
        <v>3</v>
      </c>
      <c r="S1348" s="10">
        <v>49.446026097271996</v>
      </c>
      <c r="T1348" s="15">
        <v>80</v>
      </c>
      <c r="U1348" s="15">
        <v>0</v>
      </c>
      <c r="V1348" s="15">
        <v>0</v>
      </c>
      <c r="W1348" s="15">
        <v>0</v>
      </c>
      <c r="X1348" s="15">
        <f>IF(O1348='Udvaskning nøgletal'!$D$65,1,IF(O1348='Udvaskning nøgletal'!$D$66,2,IF(O1348='Udvaskning nøgletal'!$D$67,3,IF(O1348='Udvaskning nøgletal'!$D$68,2,""))))</f>
        <v>2</v>
      </c>
      <c r="Y1348" s="15">
        <f>LOOKUP(K1348,'Udvaskning nøgletal'!$C$12:$C$60,'Udvaskning nøgletal'!$H$12:$H$60)</f>
        <v>5</v>
      </c>
      <c r="Z1348" s="10">
        <f>IF(X1348=1,LOOKUP(K1348,'Udvaskning nøgletal'!$C$12:$C$60,'Udvaskning nøgletal'!$E$12:$E$60)+Markniveau!Y1348*Markniveau!S1348/100,IF(X1348=2,LOOKUP(K1348,'Udvaskning nøgletal'!$C$12:$C$60,'Udvaskning nøgletal'!$F$12:$F$60)+Markniveau!Y1348*Markniveau!S1348/100,IF(X1348=3,LOOKUP(K1348,'Udvaskning nøgletal'!$C$12:$C$60,'Udvaskning nøgletal'!G1358:G1406)+Markniveau!Y1348*Markniveau!S1348/100,"")))</f>
        <v>53.352301304863602</v>
      </c>
      <c r="AA1348" s="10">
        <f t="shared" si="216"/>
        <v>288.10242704626347</v>
      </c>
      <c r="AB1348" s="10">
        <f t="shared" si="215"/>
        <v>2.6676150652431803</v>
      </c>
      <c r="AC1348" s="10">
        <f t="shared" si="217"/>
        <v>14.405121352313174</v>
      </c>
      <c r="AD1348" s="10">
        <f>IF(AND(Q1348&gt;0,Q1348&lt;30,K1348&lt;8),Markniveau!Z1348*'Udvaskning nøgletal'!$I$12/100,IF(AND(Q1348&gt;0,Q1348&lt;30,K1348=216),Markniveau!Z1348*'Udvaskning nøgletal'!$I$34/100,Markniveau!Z1348))</f>
        <v>53.352301304863602</v>
      </c>
      <c r="AE1348" s="10">
        <f t="shared" si="213"/>
        <v>288.10242704626347</v>
      </c>
      <c r="AF1348" s="10">
        <f t="shared" si="218"/>
        <v>2.6676150652431803</v>
      </c>
      <c r="AG1348" s="10">
        <f t="shared" si="214"/>
        <v>14.405121352313174</v>
      </c>
      <c r="AH1348" s="10" t="str">
        <f>IF(AND(Q1348&gt;0,Q1348&lt;30,K1348=216),'Udvaskning nøgletal'!$C$42,IF(AND(Q1348&gt;0,Q1348&lt;30,K1348&gt;7,K1348&lt;17),'Udvaskning nøgletal'!$C$61,IF(AND(Q1348&gt;0,Q1348&lt;30,K1348&lt;7),'Udvaskning nøgletal'!$C$62,"")))</f>
        <v/>
      </c>
      <c r="AI1348" s="10">
        <f t="shared" si="210"/>
        <v>1</v>
      </c>
      <c r="AJ1348" s="10">
        <f>IF($X1348=1,LOOKUP(AI1348,'Udvaskning nøgletal'!$C$12:$C$62,'Udvaskning nøgletal'!$E$12:$E$62)+Markniveau!$Y1348*Markniveau!$S1348/100,IF($X1348=2,LOOKUP(AI1348,'Udvaskning nøgletal'!$C$12:$C$62,'Udvaskning nøgletal'!$F$12:$F$62)+Markniveau!$Y1348*Markniveau!$S1348/100,IF($X1348=3,LOOKUP(AI1348,'Udvaskning nøgletal'!$C$12:$C$62,'Udvaskning nøgletal'!Q1358:Q1408)+Markniveau!$Y1348*Markniveau!$S1348/100,"")))</f>
        <v>53.352301304863602</v>
      </c>
      <c r="AK1348" s="10">
        <f t="shared" si="219"/>
        <v>288.10242704626347</v>
      </c>
      <c r="AL1348" s="10">
        <f t="shared" si="211"/>
        <v>2.6676150652431803</v>
      </c>
      <c r="AM1348" s="10">
        <f t="shared" si="212"/>
        <v>14.405121352313174</v>
      </c>
    </row>
    <row r="1349" spans="1:39" x14ac:dyDescent="0.25">
      <c r="A1349" s="15">
        <v>60867216</v>
      </c>
      <c r="B1349" s="15">
        <v>76.42</v>
      </c>
      <c r="C1349" s="15">
        <v>106747</v>
      </c>
      <c r="D1349" s="15">
        <v>57885</v>
      </c>
      <c r="E1349" s="15" t="s">
        <v>421</v>
      </c>
      <c r="F1349" s="15">
        <v>2011</v>
      </c>
      <c r="G1349" s="15">
        <v>20110404</v>
      </c>
      <c r="H1349" s="15">
        <v>40557</v>
      </c>
      <c r="I1349" s="15">
        <v>4.0599999999999996</v>
      </c>
      <c r="J1349" s="6" t="s">
        <v>36</v>
      </c>
      <c r="K1349" s="15">
        <v>1</v>
      </c>
      <c r="L1349" s="15" t="s">
        <v>32</v>
      </c>
      <c r="M1349" s="15" t="s">
        <v>5</v>
      </c>
      <c r="N1349" s="11" t="s">
        <v>1391</v>
      </c>
      <c r="O1349" s="11" t="s">
        <v>46</v>
      </c>
      <c r="P1349" s="11" t="s">
        <v>29</v>
      </c>
      <c r="Q1349" s="15">
        <v>95</v>
      </c>
      <c r="R1349" s="11" t="s">
        <v>3</v>
      </c>
      <c r="S1349" s="10">
        <v>49.446026097271996</v>
      </c>
      <c r="T1349" s="15">
        <v>80</v>
      </c>
      <c r="U1349" s="15">
        <v>0</v>
      </c>
      <c r="V1349" s="15">
        <v>0</v>
      </c>
      <c r="W1349" s="15">
        <v>0</v>
      </c>
      <c r="X1349" s="15">
        <f>IF(O1349='Udvaskning nøgletal'!$D$65,1,IF(O1349='Udvaskning nøgletal'!$D$66,2,IF(O1349='Udvaskning nøgletal'!$D$67,3,IF(O1349='Udvaskning nøgletal'!$D$68,2,""))))</f>
        <v>2</v>
      </c>
      <c r="Y1349" s="15">
        <f>LOOKUP(K1349,'Udvaskning nøgletal'!$C$12:$C$60,'Udvaskning nøgletal'!$H$12:$H$60)</f>
        <v>5</v>
      </c>
      <c r="Z1349" s="10">
        <f>IF(X1349=1,LOOKUP(K1349,'Udvaskning nøgletal'!$C$12:$C$60,'Udvaskning nøgletal'!$E$12:$E$60)+Markniveau!Y1349*Markniveau!S1349/100,IF(X1349=2,LOOKUP(K1349,'Udvaskning nøgletal'!$C$12:$C$60,'Udvaskning nøgletal'!$F$12:$F$60)+Markniveau!Y1349*Markniveau!S1349/100,IF(X1349=3,LOOKUP(K1349,'Udvaskning nøgletal'!$C$12:$C$60,'Udvaskning nøgletal'!G1359:G1407)+Markniveau!Y1349*Markniveau!S1349/100,"")))</f>
        <v>53.352301304863602</v>
      </c>
      <c r="AA1349" s="10">
        <f t="shared" si="216"/>
        <v>216.6103432977462</v>
      </c>
      <c r="AB1349" s="10">
        <f t="shared" si="215"/>
        <v>2.6676150652431803</v>
      </c>
      <c r="AC1349" s="10">
        <f t="shared" si="217"/>
        <v>10.830517164887311</v>
      </c>
      <c r="AD1349" s="10">
        <f>IF(AND(Q1349&gt;0,Q1349&lt;30,K1349&lt;8),Markniveau!Z1349*'Udvaskning nøgletal'!$I$12/100,IF(AND(Q1349&gt;0,Q1349&lt;30,K1349=216),Markniveau!Z1349*'Udvaskning nøgletal'!$I$34/100,Markniveau!Z1349))</f>
        <v>53.352301304863602</v>
      </c>
      <c r="AE1349" s="10">
        <f t="shared" si="213"/>
        <v>216.6103432977462</v>
      </c>
      <c r="AF1349" s="10">
        <f t="shared" si="218"/>
        <v>2.6676150652431803</v>
      </c>
      <c r="AG1349" s="10">
        <f t="shared" si="214"/>
        <v>10.830517164887311</v>
      </c>
      <c r="AH1349" s="10" t="str">
        <f>IF(AND(Q1349&gt;0,Q1349&lt;30,K1349=216),'Udvaskning nøgletal'!$C$42,IF(AND(Q1349&gt;0,Q1349&lt;30,K1349&gt;7,K1349&lt;17),'Udvaskning nøgletal'!$C$61,IF(AND(Q1349&gt;0,Q1349&lt;30,K1349&lt;7),'Udvaskning nøgletal'!$C$62,"")))</f>
        <v/>
      </c>
      <c r="AI1349" s="10">
        <f t="shared" si="210"/>
        <v>1</v>
      </c>
      <c r="AJ1349" s="10">
        <f>IF($X1349=1,LOOKUP(AI1349,'Udvaskning nøgletal'!$C$12:$C$62,'Udvaskning nøgletal'!$E$12:$E$62)+Markniveau!$Y1349*Markniveau!$S1349/100,IF($X1349=2,LOOKUP(AI1349,'Udvaskning nøgletal'!$C$12:$C$62,'Udvaskning nøgletal'!$F$12:$F$62)+Markniveau!$Y1349*Markniveau!$S1349/100,IF($X1349=3,LOOKUP(AI1349,'Udvaskning nøgletal'!$C$12:$C$62,'Udvaskning nøgletal'!Q1359:Q1409)+Markniveau!$Y1349*Markniveau!$S1349/100,"")))</f>
        <v>53.352301304863602</v>
      </c>
      <c r="AK1349" s="10">
        <f t="shared" si="219"/>
        <v>216.6103432977462</v>
      </c>
      <c r="AL1349" s="10">
        <f t="shared" si="211"/>
        <v>2.6676150652431803</v>
      </c>
      <c r="AM1349" s="10">
        <f t="shared" si="212"/>
        <v>10.830517164887311</v>
      </c>
    </row>
    <row r="1350" spans="1:39" x14ac:dyDescent="0.25">
      <c r="A1350" s="15">
        <v>60867216</v>
      </c>
      <c r="B1350" s="15">
        <v>76.42</v>
      </c>
      <c r="C1350" s="15">
        <v>107226</v>
      </c>
      <c r="D1350" s="15">
        <v>57885</v>
      </c>
      <c r="E1350" s="15" t="s">
        <v>518</v>
      </c>
      <c r="F1350" s="15">
        <v>2011</v>
      </c>
      <c r="G1350" s="15">
        <v>20110404</v>
      </c>
      <c r="H1350" s="15">
        <v>16068</v>
      </c>
      <c r="I1350" s="15">
        <v>1.61</v>
      </c>
      <c r="J1350" s="6" t="s">
        <v>35</v>
      </c>
      <c r="K1350" s="15">
        <v>1</v>
      </c>
      <c r="L1350" s="15" t="s">
        <v>32</v>
      </c>
      <c r="M1350" s="15" t="s">
        <v>5</v>
      </c>
      <c r="N1350" s="11" t="s">
        <v>1391</v>
      </c>
      <c r="O1350" s="11" t="s">
        <v>46</v>
      </c>
      <c r="P1350" s="11" t="s">
        <v>29</v>
      </c>
      <c r="Q1350" s="15">
        <v>95</v>
      </c>
      <c r="R1350" s="11" t="s">
        <v>3</v>
      </c>
      <c r="S1350" s="10">
        <v>49.446026097271996</v>
      </c>
      <c r="T1350" s="15">
        <v>80</v>
      </c>
      <c r="U1350" s="15">
        <v>0</v>
      </c>
      <c r="V1350" s="15">
        <v>0</v>
      </c>
      <c r="W1350" s="15">
        <v>0</v>
      </c>
      <c r="X1350" s="15">
        <f>IF(O1350='Udvaskning nøgletal'!$D$65,1,IF(O1350='Udvaskning nøgletal'!$D$66,2,IF(O1350='Udvaskning nøgletal'!$D$67,3,IF(O1350='Udvaskning nøgletal'!$D$68,2,""))))</f>
        <v>2</v>
      </c>
      <c r="Y1350" s="15">
        <f>LOOKUP(K1350,'Udvaskning nøgletal'!$C$12:$C$60,'Udvaskning nøgletal'!$H$12:$H$60)</f>
        <v>5</v>
      </c>
      <c r="Z1350" s="10">
        <f>IF(X1350=1,LOOKUP(K1350,'Udvaskning nøgletal'!$C$12:$C$60,'Udvaskning nøgletal'!$E$12:$E$60)+Markniveau!Y1350*Markniveau!S1350/100,IF(X1350=2,LOOKUP(K1350,'Udvaskning nøgletal'!$C$12:$C$60,'Udvaskning nøgletal'!$F$12:$F$60)+Markniveau!Y1350*Markniveau!S1350/100,IF(X1350=3,LOOKUP(K1350,'Udvaskning nøgletal'!$C$12:$C$60,'Udvaskning nøgletal'!G1360:G1408)+Markniveau!Y1350*Markniveau!S1350/100,"")))</f>
        <v>53.352301304863602</v>
      </c>
      <c r="AA1350" s="10">
        <f t="shared" si="216"/>
        <v>85.897205100830405</v>
      </c>
      <c r="AB1350" s="10">
        <f t="shared" si="215"/>
        <v>2.6676150652431803</v>
      </c>
      <c r="AC1350" s="10">
        <f t="shared" si="217"/>
        <v>4.2948602550415202</v>
      </c>
      <c r="AD1350" s="10">
        <f>IF(AND(Q1350&gt;0,Q1350&lt;30,K1350&lt;8),Markniveau!Z1350*'Udvaskning nøgletal'!$I$12/100,IF(AND(Q1350&gt;0,Q1350&lt;30,K1350=216),Markniveau!Z1350*'Udvaskning nøgletal'!$I$34/100,Markniveau!Z1350))</f>
        <v>53.352301304863602</v>
      </c>
      <c r="AE1350" s="10">
        <f t="shared" si="213"/>
        <v>85.897205100830405</v>
      </c>
      <c r="AF1350" s="10">
        <f t="shared" si="218"/>
        <v>2.6676150652431803</v>
      </c>
      <c r="AG1350" s="10">
        <f t="shared" si="214"/>
        <v>4.2948602550415202</v>
      </c>
      <c r="AH1350" s="10" t="str">
        <f>IF(AND(Q1350&gt;0,Q1350&lt;30,K1350=216),'Udvaskning nøgletal'!$C$42,IF(AND(Q1350&gt;0,Q1350&lt;30,K1350&gt;7,K1350&lt;17),'Udvaskning nøgletal'!$C$61,IF(AND(Q1350&gt;0,Q1350&lt;30,K1350&lt;7),'Udvaskning nøgletal'!$C$62,"")))</f>
        <v/>
      </c>
      <c r="AI1350" s="10">
        <f t="shared" si="210"/>
        <v>1</v>
      </c>
      <c r="AJ1350" s="10">
        <f>IF($X1350=1,LOOKUP(AI1350,'Udvaskning nøgletal'!$C$12:$C$62,'Udvaskning nøgletal'!$E$12:$E$62)+Markniveau!$Y1350*Markniveau!$S1350/100,IF($X1350=2,LOOKUP(AI1350,'Udvaskning nøgletal'!$C$12:$C$62,'Udvaskning nøgletal'!$F$12:$F$62)+Markniveau!$Y1350*Markniveau!$S1350/100,IF($X1350=3,LOOKUP(AI1350,'Udvaskning nøgletal'!$C$12:$C$62,'Udvaskning nøgletal'!Q1360:Q1410)+Markniveau!$Y1350*Markniveau!$S1350/100,"")))</f>
        <v>53.352301304863602</v>
      </c>
      <c r="AK1350" s="10">
        <f t="shared" si="219"/>
        <v>85.897205100830405</v>
      </c>
      <c r="AL1350" s="10">
        <f t="shared" si="211"/>
        <v>2.6676150652431803</v>
      </c>
      <c r="AM1350" s="10">
        <f t="shared" si="212"/>
        <v>4.2948602550415202</v>
      </c>
    </row>
    <row r="1351" spans="1:39" x14ac:dyDescent="0.25">
      <c r="A1351" s="15">
        <v>60867216</v>
      </c>
      <c r="B1351" s="15">
        <v>76.42</v>
      </c>
      <c r="C1351" s="15">
        <v>107227</v>
      </c>
      <c r="D1351" s="15">
        <v>57885</v>
      </c>
      <c r="E1351" s="15" t="s">
        <v>1174</v>
      </c>
      <c r="F1351" s="15">
        <v>2011</v>
      </c>
      <c r="G1351" s="15">
        <v>20110404</v>
      </c>
      <c r="H1351" s="15">
        <v>38385</v>
      </c>
      <c r="I1351" s="15">
        <v>3.84</v>
      </c>
      <c r="J1351" s="6" t="s">
        <v>69</v>
      </c>
      <c r="K1351" s="15">
        <v>1</v>
      </c>
      <c r="L1351" s="15" t="s">
        <v>32</v>
      </c>
      <c r="M1351" s="15" t="s">
        <v>5</v>
      </c>
      <c r="N1351" s="11" t="s">
        <v>1391</v>
      </c>
      <c r="O1351" s="11" t="s">
        <v>46</v>
      </c>
      <c r="P1351" s="11" t="s">
        <v>29</v>
      </c>
      <c r="Q1351" s="15">
        <v>95</v>
      </c>
      <c r="R1351" s="11" t="s">
        <v>3</v>
      </c>
      <c r="S1351" s="10">
        <v>49.446026097271996</v>
      </c>
      <c r="T1351" s="15">
        <v>80</v>
      </c>
      <c r="U1351" s="15">
        <v>0</v>
      </c>
      <c r="V1351" s="15">
        <v>0</v>
      </c>
      <c r="W1351" s="15">
        <v>0</v>
      </c>
      <c r="X1351" s="15">
        <f>IF(O1351='Udvaskning nøgletal'!$D$65,1,IF(O1351='Udvaskning nøgletal'!$D$66,2,IF(O1351='Udvaskning nøgletal'!$D$67,3,IF(O1351='Udvaskning nøgletal'!$D$68,2,""))))</f>
        <v>2</v>
      </c>
      <c r="Y1351" s="15">
        <f>LOOKUP(K1351,'Udvaskning nøgletal'!$C$12:$C$60,'Udvaskning nøgletal'!$H$12:$H$60)</f>
        <v>5</v>
      </c>
      <c r="Z1351" s="10">
        <f>IF(X1351=1,LOOKUP(K1351,'Udvaskning nøgletal'!$C$12:$C$60,'Udvaskning nøgletal'!$E$12:$E$60)+Markniveau!Y1351*Markniveau!S1351/100,IF(X1351=2,LOOKUP(K1351,'Udvaskning nøgletal'!$C$12:$C$60,'Udvaskning nøgletal'!$F$12:$F$60)+Markniveau!Y1351*Markniveau!S1351/100,IF(X1351=3,LOOKUP(K1351,'Udvaskning nøgletal'!$C$12:$C$60,'Udvaskning nøgletal'!G1361:G1409)+Markniveau!Y1351*Markniveau!S1351/100,"")))</f>
        <v>53.352301304863602</v>
      </c>
      <c r="AA1351" s="10">
        <f t="shared" si="216"/>
        <v>204.87283701067622</v>
      </c>
      <c r="AB1351" s="10">
        <f t="shared" si="215"/>
        <v>2.6676150652431803</v>
      </c>
      <c r="AC1351" s="10">
        <f t="shared" si="217"/>
        <v>10.243641850533812</v>
      </c>
      <c r="AD1351" s="10">
        <f>IF(AND(Q1351&gt;0,Q1351&lt;30,K1351&lt;8),Markniveau!Z1351*'Udvaskning nøgletal'!$I$12/100,IF(AND(Q1351&gt;0,Q1351&lt;30,K1351=216),Markniveau!Z1351*'Udvaskning nøgletal'!$I$34/100,Markniveau!Z1351))</f>
        <v>53.352301304863602</v>
      </c>
      <c r="AE1351" s="10">
        <f t="shared" si="213"/>
        <v>204.87283701067622</v>
      </c>
      <c r="AF1351" s="10">
        <f t="shared" si="218"/>
        <v>2.6676150652431803</v>
      </c>
      <c r="AG1351" s="10">
        <f t="shared" si="214"/>
        <v>10.243641850533812</v>
      </c>
      <c r="AH1351" s="10" t="str">
        <f>IF(AND(Q1351&gt;0,Q1351&lt;30,K1351=216),'Udvaskning nøgletal'!$C$42,IF(AND(Q1351&gt;0,Q1351&lt;30,K1351&gt;7,K1351&lt;17),'Udvaskning nøgletal'!$C$61,IF(AND(Q1351&gt;0,Q1351&lt;30,K1351&lt;7),'Udvaskning nøgletal'!$C$62,"")))</f>
        <v/>
      </c>
      <c r="AI1351" s="10">
        <f t="shared" si="210"/>
        <v>1</v>
      </c>
      <c r="AJ1351" s="10">
        <f>IF($X1351=1,LOOKUP(AI1351,'Udvaskning nøgletal'!$C$12:$C$62,'Udvaskning nøgletal'!$E$12:$E$62)+Markniveau!$Y1351*Markniveau!$S1351/100,IF($X1351=2,LOOKUP(AI1351,'Udvaskning nøgletal'!$C$12:$C$62,'Udvaskning nøgletal'!$F$12:$F$62)+Markniveau!$Y1351*Markniveau!$S1351/100,IF($X1351=3,LOOKUP(AI1351,'Udvaskning nøgletal'!$C$12:$C$62,'Udvaskning nøgletal'!Q1361:Q1411)+Markniveau!$Y1351*Markniveau!$S1351/100,"")))</f>
        <v>53.352301304863602</v>
      </c>
      <c r="AK1351" s="10">
        <f t="shared" si="219"/>
        <v>204.87283701067622</v>
      </c>
      <c r="AL1351" s="10">
        <f t="shared" si="211"/>
        <v>2.6676150652431803</v>
      </c>
      <c r="AM1351" s="10">
        <f t="shared" si="212"/>
        <v>10.243641850533812</v>
      </c>
    </row>
    <row r="1352" spans="1:39" x14ac:dyDescent="0.25">
      <c r="A1352" s="15">
        <v>60867216</v>
      </c>
      <c r="B1352" s="15">
        <v>76.42</v>
      </c>
      <c r="C1352" s="15">
        <v>107228</v>
      </c>
      <c r="D1352" s="15">
        <v>57885</v>
      </c>
      <c r="E1352" s="15" t="s">
        <v>1175</v>
      </c>
      <c r="F1352" s="15">
        <v>2011</v>
      </c>
      <c r="G1352" s="15">
        <v>20110404</v>
      </c>
      <c r="H1352" s="15">
        <v>78838</v>
      </c>
      <c r="I1352" s="15">
        <v>7.88</v>
      </c>
      <c r="J1352" s="6" t="s">
        <v>38</v>
      </c>
      <c r="K1352" s="15">
        <v>1</v>
      </c>
      <c r="L1352" s="15" t="s">
        <v>32</v>
      </c>
      <c r="M1352" s="15" t="s">
        <v>5</v>
      </c>
      <c r="N1352" s="11" t="s">
        <v>1391</v>
      </c>
      <c r="O1352" s="11" t="s">
        <v>46</v>
      </c>
      <c r="P1352" s="11" t="s">
        <v>33</v>
      </c>
      <c r="Q1352" s="15">
        <v>0</v>
      </c>
      <c r="R1352" s="11" t="s">
        <v>1386</v>
      </c>
      <c r="S1352" s="10">
        <v>49.446026097271996</v>
      </c>
      <c r="T1352" s="15">
        <v>80</v>
      </c>
      <c r="U1352" s="15">
        <v>0</v>
      </c>
      <c r="V1352" s="15">
        <v>0</v>
      </c>
      <c r="W1352" s="15">
        <v>0</v>
      </c>
      <c r="X1352" s="15">
        <f>IF(O1352='Udvaskning nøgletal'!$D$65,1,IF(O1352='Udvaskning nøgletal'!$D$66,2,IF(O1352='Udvaskning nøgletal'!$D$67,3,IF(O1352='Udvaskning nøgletal'!$D$68,2,""))))</f>
        <v>2</v>
      </c>
      <c r="Y1352" s="15">
        <f>LOOKUP(K1352,'Udvaskning nøgletal'!$C$12:$C$60,'Udvaskning nøgletal'!$H$12:$H$60)</f>
        <v>5</v>
      </c>
      <c r="Z1352" s="10">
        <f>IF(X1352=1,LOOKUP(K1352,'Udvaskning nøgletal'!$C$12:$C$60,'Udvaskning nøgletal'!$E$12:$E$60)+Markniveau!Y1352*Markniveau!S1352/100,IF(X1352=2,LOOKUP(K1352,'Udvaskning nøgletal'!$C$12:$C$60,'Udvaskning nøgletal'!$F$12:$F$60)+Markniveau!Y1352*Markniveau!S1352/100,IF(X1352=3,LOOKUP(K1352,'Udvaskning nøgletal'!$C$12:$C$60,'Udvaskning nøgletal'!G1362:G1410)+Markniveau!Y1352*Markniveau!S1352/100,"")))</f>
        <v>53.352301304863602</v>
      </c>
      <c r="AA1352" s="10">
        <f t="shared" si="216"/>
        <v>420.41613428232517</v>
      </c>
      <c r="AB1352" s="10" t="str">
        <f t="shared" si="215"/>
        <v/>
      </c>
      <c r="AC1352" s="10" t="str">
        <f t="shared" si="217"/>
        <v/>
      </c>
      <c r="AD1352" s="10">
        <f>IF(AND(Q1352&gt;0,Q1352&lt;30,K1352&lt;8),Markniveau!Z1352*'Udvaskning nøgletal'!$I$12/100,IF(AND(Q1352&gt;0,Q1352&lt;30,K1352=216),Markniveau!Z1352*'Udvaskning nøgletal'!$I$34/100,Markniveau!Z1352))</f>
        <v>53.352301304863602</v>
      </c>
      <c r="AE1352" s="10">
        <f t="shared" si="213"/>
        <v>420.41613428232517</v>
      </c>
      <c r="AF1352" s="10" t="str">
        <f t="shared" si="218"/>
        <v/>
      </c>
      <c r="AG1352" s="10" t="str">
        <f t="shared" si="214"/>
        <v/>
      </c>
      <c r="AH1352" s="10" t="str">
        <f>IF(AND(Q1352&gt;0,Q1352&lt;30,K1352=216),'Udvaskning nøgletal'!$C$42,IF(AND(Q1352&gt;0,Q1352&lt;30,K1352&gt;7,K1352&lt;17),'Udvaskning nøgletal'!$C$61,IF(AND(Q1352&gt;0,Q1352&lt;30,K1352&lt;7),'Udvaskning nøgletal'!$C$62,"")))</f>
        <v/>
      </c>
      <c r="AI1352" s="10">
        <f t="shared" ref="AI1352:AI1415" si="220">IF(SUM(AH1352)&gt;0,AH1352,K1352)</f>
        <v>1</v>
      </c>
      <c r="AJ1352" s="10">
        <f>IF($X1352=1,LOOKUP(AI1352,'Udvaskning nøgletal'!$C$12:$C$62,'Udvaskning nøgletal'!$E$12:$E$62)+Markniveau!$Y1352*Markniveau!$S1352/100,IF($X1352=2,LOOKUP(AI1352,'Udvaskning nøgletal'!$C$12:$C$62,'Udvaskning nøgletal'!$F$12:$F$62)+Markniveau!$Y1352*Markniveau!$S1352/100,IF($X1352=3,LOOKUP(AI1352,'Udvaskning nøgletal'!$C$12:$C$62,'Udvaskning nøgletal'!Q1362:Q1412)+Markniveau!$Y1352*Markniveau!$S1352/100,"")))</f>
        <v>53.352301304863602</v>
      </c>
      <c r="AK1352" s="10">
        <f t="shared" si="219"/>
        <v>420.41613428232517</v>
      </c>
      <c r="AL1352" s="10" t="str">
        <f t="shared" si="211"/>
        <v/>
      </c>
      <c r="AM1352" s="10" t="str">
        <f t="shared" si="212"/>
        <v/>
      </c>
    </row>
    <row r="1353" spans="1:39" x14ac:dyDescent="0.25">
      <c r="A1353" s="15">
        <v>60867216</v>
      </c>
      <c r="B1353" s="15">
        <v>76.42</v>
      </c>
      <c r="C1353" s="15">
        <v>107229</v>
      </c>
      <c r="D1353" s="15">
        <v>57885</v>
      </c>
      <c r="E1353" s="15" t="s">
        <v>1175</v>
      </c>
      <c r="F1353" s="15">
        <v>2011</v>
      </c>
      <c r="G1353" s="15">
        <v>20110404</v>
      </c>
      <c r="H1353" s="15">
        <v>42139</v>
      </c>
      <c r="I1353" s="15">
        <v>4.21</v>
      </c>
      <c r="J1353" s="6" t="s">
        <v>91</v>
      </c>
      <c r="K1353" s="15">
        <v>1</v>
      </c>
      <c r="L1353" s="15" t="s">
        <v>32</v>
      </c>
      <c r="M1353" s="15" t="s">
        <v>5</v>
      </c>
      <c r="N1353" s="11" t="s">
        <v>1391</v>
      </c>
      <c r="O1353" s="11" t="s">
        <v>46</v>
      </c>
      <c r="P1353" s="11" t="s">
        <v>29</v>
      </c>
      <c r="Q1353" s="15">
        <v>95</v>
      </c>
      <c r="R1353" s="11" t="s">
        <v>3</v>
      </c>
      <c r="S1353" s="10">
        <v>49.446026097271996</v>
      </c>
      <c r="T1353" s="15">
        <v>80</v>
      </c>
      <c r="U1353" s="15">
        <v>0</v>
      </c>
      <c r="V1353" s="15">
        <v>0</v>
      </c>
      <c r="W1353" s="15">
        <v>0</v>
      </c>
      <c r="X1353" s="15">
        <f>IF(O1353='Udvaskning nøgletal'!$D$65,1,IF(O1353='Udvaskning nøgletal'!$D$66,2,IF(O1353='Udvaskning nøgletal'!$D$67,3,IF(O1353='Udvaskning nøgletal'!$D$68,2,""))))</f>
        <v>2</v>
      </c>
      <c r="Y1353" s="15">
        <f>LOOKUP(K1353,'Udvaskning nøgletal'!$C$12:$C$60,'Udvaskning nøgletal'!$H$12:$H$60)</f>
        <v>5</v>
      </c>
      <c r="Z1353" s="10">
        <f>IF(X1353=1,LOOKUP(K1353,'Udvaskning nøgletal'!$C$12:$C$60,'Udvaskning nøgletal'!$E$12:$E$60)+Markniveau!Y1353*Markniveau!S1353/100,IF(X1353=2,LOOKUP(K1353,'Udvaskning nøgletal'!$C$12:$C$60,'Udvaskning nøgletal'!$F$12:$F$60)+Markniveau!Y1353*Markniveau!S1353/100,IF(X1353=3,LOOKUP(K1353,'Udvaskning nøgletal'!$C$12:$C$60,'Udvaskning nøgletal'!G1363:G1411)+Markniveau!Y1353*Markniveau!S1353/100,"")))</f>
        <v>53.352301304863602</v>
      </c>
      <c r="AA1353" s="10">
        <f t="shared" si="216"/>
        <v>224.61318849347577</v>
      </c>
      <c r="AB1353" s="10">
        <f t="shared" si="215"/>
        <v>2.6676150652431803</v>
      </c>
      <c r="AC1353" s="10">
        <f t="shared" si="217"/>
        <v>11.230659424673789</v>
      </c>
      <c r="AD1353" s="10">
        <f>IF(AND(Q1353&gt;0,Q1353&lt;30,K1353&lt;8),Markniveau!Z1353*'Udvaskning nøgletal'!$I$12/100,IF(AND(Q1353&gt;0,Q1353&lt;30,K1353=216),Markniveau!Z1353*'Udvaskning nøgletal'!$I$34/100,Markniveau!Z1353))</f>
        <v>53.352301304863602</v>
      </c>
      <c r="AE1353" s="10">
        <f t="shared" si="213"/>
        <v>224.61318849347577</v>
      </c>
      <c r="AF1353" s="10">
        <f t="shared" si="218"/>
        <v>2.6676150652431803</v>
      </c>
      <c r="AG1353" s="10">
        <f t="shared" si="214"/>
        <v>11.230659424673789</v>
      </c>
      <c r="AH1353" s="10" t="str">
        <f>IF(AND(Q1353&gt;0,Q1353&lt;30,K1353=216),'Udvaskning nøgletal'!$C$42,IF(AND(Q1353&gt;0,Q1353&lt;30,K1353&gt;7,K1353&lt;17),'Udvaskning nøgletal'!$C$61,IF(AND(Q1353&gt;0,Q1353&lt;30,K1353&lt;7),'Udvaskning nøgletal'!$C$62,"")))</f>
        <v/>
      </c>
      <c r="AI1353" s="10">
        <f t="shared" si="220"/>
        <v>1</v>
      </c>
      <c r="AJ1353" s="10">
        <f>IF($X1353=1,LOOKUP(AI1353,'Udvaskning nøgletal'!$C$12:$C$62,'Udvaskning nøgletal'!$E$12:$E$62)+Markniveau!$Y1353*Markniveau!$S1353/100,IF($X1353=2,LOOKUP(AI1353,'Udvaskning nøgletal'!$C$12:$C$62,'Udvaskning nøgletal'!$F$12:$F$62)+Markniveau!$Y1353*Markniveau!$S1353/100,IF($X1353=3,LOOKUP(AI1353,'Udvaskning nøgletal'!$C$12:$C$62,'Udvaskning nøgletal'!Q1363:Q1413)+Markniveau!$Y1353*Markniveau!$S1353/100,"")))</f>
        <v>53.352301304863602</v>
      </c>
      <c r="AK1353" s="10">
        <f t="shared" si="219"/>
        <v>224.61318849347577</v>
      </c>
      <c r="AL1353" s="10">
        <f t="shared" si="211"/>
        <v>2.6676150652431803</v>
      </c>
      <c r="AM1353" s="10">
        <f t="shared" si="212"/>
        <v>11.230659424673789</v>
      </c>
    </row>
    <row r="1354" spans="1:39" x14ac:dyDescent="0.25">
      <c r="A1354" s="15">
        <v>60867216</v>
      </c>
      <c r="B1354" s="15">
        <v>76.42</v>
      </c>
      <c r="C1354" s="15">
        <v>107230</v>
      </c>
      <c r="D1354" s="15">
        <v>57885</v>
      </c>
      <c r="E1354" s="15" t="s">
        <v>1176</v>
      </c>
      <c r="F1354" s="15">
        <v>2011</v>
      </c>
      <c r="G1354" s="15">
        <v>20110404</v>
      </c>
      <c r="H1354" s="15">
        <v>19663</v>
      </c>
      <c r="I1354" s="15">
        <v>1.97</v>
      </c>
      <c r="J1354" s="6" t="s">
        <v>1394</v>
      </c>
      <c r="K1354" s="15">
        <v>1</v>
      </c>
      <c r="L1354" s="15" t="s">
        <v>32</v>
      </c>
      <c r="M1354" s="15" t="s">
        <v>5</v>
      </c>
      <c r="N1354" s="11" t="s">
        <v>1391</v>
      </c>
      <c r="O1354" s="11" t="s">
        <v>46</v>
      </c>
      <c r="P1354" s="11" t="s">
        <v>29</v>
      </c>
      <c r="Q1354" s="15">
        <v>95</v>
      </c>
      <c r="R1354" s="11" t="s">
        <v>3</v>
      </c>
      <c r="S1354" s="10">
        <v>49.446026097271996</v>
      </c>
      <c r="T1354" s="15">
        <v>80</v>
      </c>
      <c r="U1354" s="15">
        <v>0</v>
      </c>
      <c r="V1354" s="15">
        <v>0</v>
      </c>
      <c r="W1354" s="15">
        <v>0</v>
      </c>
      <c r="X1354" s="15">
        <f>IF(O1354='Udvaskning nøgletal'!$D$65,1,IF(O1354='Udvaskning nøgletal'!$D$66,2,IF(O1354='Udvaskning nøgletal'!$D$67,3,IF(O1354='Udvaskning nøgletal'!$D$68,2,""))))</f>
        <v>2</v>
      </c>
      <c r="Y1354" s="15">
        <f>LOOKUP(K1354,'Udvaskning nøgletal'!$C$12:$C$60,'Udvaskning nøgletal'!$H$12:$H$60)</f>
        <v>5</v>
      </c>
      <c r="Z1354" s="10">
        <f>IF(X1354=1,LOOKUP(K1354,'Udvaskning nøgletal'!$C$12:$C$60,'Udvaskning nøgletal'!$E$12:$E$60)+Markniveau!Y1354*Markniveau!S1354/100,IF(X1354=2,LOOKUP(K1354,'Udvaskning nøgletal'!$C$12:$C$60,'Udvaskning nøgletal'!$F$12:$F$60)+Markniveau!Y1354*Markniveau!S1354/100,IF(X1354=3,LOOKUP(K1354,'Udvaskning nøgletal'!$C$12:$C$60,'Udvaskning nøgletal'!G1364:G1412)+Markniveau!Y1354*Markniveau!S1354/100,"")))</f>
        <v>53.352301304863602</v>
      </c>
      <c r="AA1354" s="10">
        <f t="shared" si="216"/>
        <v>105.10403357058129</v>
      </c>
      <c r="AB1354" s="10">
        <f t="shared" si="215"/>
        <v>2.6676150652431803</v>
      </c>
      <c r="AC1354" s="10">
        <f t="shared" si="217"/>
        <v>5.2552016785290654</v>
      </c>
      <c r="AD1354" s="10">
        <f>IF(AND(Q1354&gt;0,Q1354&lt;30,K1354&lt;8),Markniveau!Z1354*'Udvaskning nøgletal'!$I$12/100,IF(AND(Q1354&gt;0,Q1354&lt;30,K1354=216),Markniveau!Z1354*'Udvaskning nøgletal'!$I$34/100,Markniveau!Z1354))</f>
        <v>53.352301304863602</v>
      </c>
      <c r="AE1354" s="10">
        <f t="shared" si="213"/>
        <v>105.10403357058129</v>
      </c>
      <c r="AF1354" s="10">
        <f t="shared" si="218"/>
        <v>2.6676150652431803</v>
      </c>
      <c r="AG1354" s="10">
        <f t="shared" si="214"/>
        <v>5.2552016785290654</v>
      </c>
      <c r="AH1354" s="10" t="str">
        <f>IF(AND(Q1354&gt;0,Q1354&lt;30,K1354=216),'Udvaskning nøgletal'!$C$42,IF(AND(Q1354&gt;0,Q1354&lt;30,K1354&gt;7,K1354&lt;17),'Udvaskning nøgletal'!$C$61,IF(AND(Q1354&gt;0,Q1354&lt;30,K1354&lt;7),'Udvaskning nøgletal'!$C$62,"")))</f>
        <v/>
      </c>
      <c r="AI1354" s="10">
        <f t="shared" si="220"/>
        <v>1</v>
      </c>
      <c r="AJ1354" s="10">
        <f>IF($X1354=1,LOOKUP(AI1354,'Udvaskning nøgletal'!$C$12:$C$62,'Udvaskning nøgletal'!$E$12:$E$62)+Markniveau!$Y1354*Markniveau!$S1354/100,IF($X1354=2,LOOKUP(AI1354,'Udvaskning nøgletal'!$C$12:$C$62,'Udvaskning nøgletal'!$F$12:$F$62)+Markniveau!$Y1354*Markniveau!$S1354/100,IF($X1354=3,LOOKUP(AI1354,'Udvaskning nøgletal'!$C$12:$C$62,'Udvaskning nøgletal'!Q1364:Q1414)+Markniveau!$Y1354*Markniveau!$S1354/100,"")))</f>
        <v>53.352301304863602</v>
      </c>
      <c r="AK1354" s="10">
        <f t="shared" si="219"/>
        <v>105.10403357058129</v>
      </c>
      <c r="AL1354" s="10">
        <f t="shared" si="211"/>
        <v>2.6676150652431803</v>
      </c>
      <c r="AM1354" s="10">
        <f t="shared" si="212"/>
        <v>5.2552016785290654</v>
      </c>
    </row>
    <row r="1355" spans="1:39" x14ac:dyDescent="0.25">
      <c r="A1355" s="15">
        <v>60867216</v>
      </c>
      <c r="B1355" s="15">
        <v>76.42</v>
      </c>
      <c r="C1355" s="15">
        <v>106743</v>
      </c>
      <c r="D1355" s="15">
        <v>57885</v>
      </c>
      <c r="E1355" s="15" t="s">
        <v>1177</v>
      </c>
      <c r="F1355" s="15">
        <v>2011</v>
      </c>
      <c r="G1355" s="15">
        <v>20110404</v>
      </c>
      <c r="H1355" s="15">
        <v>156190</v>
      </c>
      <c r="I1355" s="15">
        <v>15.62</v>
      </c>
      <c r="J1355" s="6" t="s">
        <v>37</v>
      </c>
      <c r="K1355" s="15">
        <v>1</v>
      </c>
      <c r="L1355" s="15" t="s">
        <v>32</v>
      </c>
      <c r="M1355" s="15" t="s">
        <v>5</v>
      </c>
      <c r="N1355" s="11" t="s">
        <v>1391</v>
      </c>
      <c r="O1355" s="11" t="s">
        <v>46</v>
      </c>
      <c r="P1355" s="11" t="s">
        <v>29</v>
      </c>
      <c r="Q1355" s="15">
        <v>95</v>
      </c>
      <c r="R1355" s="11" t="s">
        <v>3</v>
      </c>
      <c r="S1355" s="10">
        <v>49.446026097271996</v>
      </c>
      <c r="T1355" s="15">
        <v>80</v>
      </c>
      <c r="U1355" s="15">
        <v>0</v>
      </c>
      <c r="V1355" s="15">
        <v>0</v>
      </c>
      <c r="W1355" s="15">
        <v>0</v>
      </c>
      <c r="X1355" s="15">
        <f>IF(O1355='Udvaskning nøgletal'!$D$65,1,IF(O1355='Udvaskning nøgletal'!$D$66,2,IF(O1355='Udvaskning nøgletal'!$D$67,3,IF(O1355='Udvaskning nøgletal'!$D$68,2,""))))</f>
        <v>2</v>
      </c>
      <c r="Y1355" s="15">
        <f>LOOKUP(K1355,'Udvaskning nøgletal'!$C$12:$C$60,'Udvaskning nøgletal'!$H$12:$H$60)</f>
        <v>5</v>
      </c>
      <c r="Z1355" s="10">
        <f>IF(X1355=1,LOOKUP(K1355,'Udvaskning nøgletal'!$C$12:$C$60,'Udvaskning nøgletal'!$E$12:$E$60)+Markniveau!Y1355*Markniveau!S1355/100,IF(X1355=2,LOOKUP(K1355,'Udvaskning nøgletal'!$C$12:$C$60,'Udvaskning nøgletal'!$F$12:$F$60)+Markniveau!Y1355*Markniveau!S1355/100,IF(X1355=3,LOOKUP(K1355,'Udvaskning nøgletal'!$C$12:$C$60,'Udvaskning nøgletal'!G1365:G1413)+Markniveau!Y1355*Markniveau!S1355/100,"")))</f>
        <v>53.352301304863602</v>
      </c>
      <c r="AA1355" s="10">
        <f t="shared" si="216"/>
        <v>833.36294638196944</v>
      </c>
      <c r="AB1355" s="10">
        <f t="shared" si="215"/>
        <v>2.6676150652431803</v>
      </c>
      <c r="AC1355" s="10">
        <f t="shared" si="217"/>
        <v>41.668147319098473</v>
      </c>
      <c r="AD1355" s="10">
        <f>IF(AND(Q1355&gt;0,Q1355&lt;30,K1355&lt;8),Markniveau!Z1355*'Udvaskning nøgletal'!$I$12/100,IF(AND(Q1355&gt;0,Q1355&lt;30,K1355=216),Markniveau!Z1355*'Udvaskning nøgletal'!$I$34/100,Markniveau!Z1355))</f>
        <v>53.352301304863602</v>
      </c>
      <c r="AE1355" s="10">
        <f t="shared" si="213"/>
        <v>833.36294638196944</v>
      </c>
      <c r="AF1355" s="10">
        <f t="shared" si="218"/>
        <v>2.6676150652431803</v>
      </c>
      <c r="AG1355" s="10">
        <f t="shared" si="214"/>
        <v>41.668147319098473</v>
      </c>
      <c r="AH1355" s="10" t="str">
        <f>IF(AND(Q1355&gt;0,Q1355&lt;30,K1355=216),'Udvaskning nøgletal'!$C$42,IF(AND(Q1355&gt;0,Q1355&lt;30,K1355&gt;7,K1355&lt;17),'Udvaskning nøgletal'!$C$61,IF(AND(Q1355&gt;0,Q1355&lt;30,K1355&lt;7),'Udvaskning nøgletal'!$C$62,"")))</f>
        <v/>
      </c>
      <c r="AI1355" s="10">
        <f t="shared" si="220"/>
        <v>1</v>
      </c>
      <c r="AJ1355" s="10">
        <f>IF($X1355=1,LOOKUP(AI1355,'Udvaskning nøgletal'!$C$12:$C$62,'Udvaskning nøgletal'!$E$12:$E$62)+Markniveau!$Y1355*Markniveau!$S1355/100,IF($X1355=2,LOOKUP(AI1355,'Udvaskning nøgletal'!$C$12:$C$62,'Udvaskning nøgletal'!$F$12:$F$62)+Markniveau!$Y1355*Markniveau!$S1355/100,IF($X1355=3,LOOKUP(AI1355,'Udvaskning nøgletal'!$C$12:$C$62,'Udvaskning nøgletal'!Q1365:Q1415)+Markniveau!$Y1355*Markniveau!$S1355/100,"")))</f>
        <v>53.352301304863602</v>
      </c>
      <c r="AK1355" s="10">
        <f t="shared" si="219"/>
        <v>833.36294638196944</v>
      </c>
      <c r="AL1355" s="10">
        <f t="shared" ref="AL1355:AL1418" si="221">IF($Q1355&gt;0,(100-$Q1355)*AJ1355/100,"")</f>
        <v>2.6676150652431803</v>
      </c>
      <c r="AM1355" s="10">
        <f t="shared" ref="AM1355:AM1418" si="222">IF($Q1355&gt;0,(100-$Q1355)*AJ1355/100*I1355,"")</f>
        <v>41.668147319098473</v>
      </c>
    </row>
    <row r="1356" spans="1:39" x14ac:dyDescent="0.25">
      <c r="A1356" s="15">
        <v>60867216</v>
      </c>
      <c r="B1356" s="15">
        <v>76.42</v>
      </c>
      <c r="C1356" s="15">
        <v>106744</v>
      </c>
      <c r="D1356" s="15">
        <v>57885</v>
      </c>
      <c r="E1356" s="15" t="s">
        <v>1178</v>
      </c>
      <c r="F1356" s="15">
        <v>2011</v>
      </c>
      <c r="G1356" s="15">
        <v>20110404</v>
      </c>
      <c r="H1356" s="15">
        <v>187905</v>
      </c>
      <c r="I1356" s="15">
        <v>18.79</v>
      </c>
      <c r="J1356" s="6" t="s">
        <v>61</v>
      </c>
      <c r="K1356" s="15">
        <v>1</v>
      </c>
      <c r="L1356" s="15" t="s">
        <v>32</v>
      </c>
      <c r="M1356" s="15" t="s">
        <v>5</v>
      </c>
      <c r="N1356" s="11" t="s">
        <v>1391</v>
      </c>
      <c r="O1356" s="11" t="s">
        <v>46</v>
      </c>
      <c r="P1356" s="11" t="s">
        <v>29</v>
      </c>
      <c r="Q1356" s="15">
        <v>0</v>
      </c>
      <c r="R1356" s="11" t="s">
        <v>1386</v>
      </c>
      <c r="S1356" s="10">
        <v>49.446026097271996</v>
      </c>
      <c r="T1356" s="15">
        <v>80</v>
      </c>
      <c r="U1356" s="15">
        <v>0</v>
      </c>
      <c r="V1356" s="15">
        <v>0</v>
      </c>
      <c r="W1356" s="15">
        <v>0</v>
      </c>
      <c r="X1356" s="15">
        <f>IF(O1356='Udvaskning nøgletal'!$D$65,1,IF(O1356='Udvaskning nøgletal'!$D$66,2,IF(O1356='Udvaskning nøgletal'!$D$67,3,IF(O1356='Udvaskning nøgletal'!$D$68,2,""))))</f>
        <v>2</v>
      </c>
      <c r="Y1356" s="15">
        <f>LOOKUP(K1356,'Udvaskning nøgletal'!$C$12:$C$60,'Udvaskning nøgletal'!$H$12:$H$60)</f>
        <v>5</v>
      </c>
      <c r="Z1356" s="10">
        <f>IF(X1356=1,LOOKUP(K1356,'Udvaskning nøgletal'!$C$12:$C$60,'Udvaskning nøgletal'!$E$12:$E$60)+Markniveau!Y1356*Markniveau!S1356/100,IF(X1356=2,LOOKUP(K1356,'Udvaskning nøgletal'!$C$12:$C$60,'Udvaskning nøgletal'!$F$12:$F$60)+Markniveau!Y1356*Markniveau!S1356/100,IF(X1356=3,LOOKUP(K1356,'Udvaskning nøgletal'!$C$12:$C$60,'Udvaskning nøgletal'!G1366:G1414)+Markniveau!Y1356*Markniveau!S1356/100,"")))</f>
        <v>53.352301304863602</v>
      </c>
      <c r="AA1356" s="10">
        <f t="shared" si="216"/>
        <v>1002.4897415183871</v>
      </c>
      <c r="AB1356" s="10" t="str">
        <f t="shared" si="215"/>
        <v/>
      </c>
      <c r="AC1356" s="10" t="str">
        <f t="shared" si="217"/>
        <v/>
      </c>
      <c r="AD1356" s="10">
        <f>IF(AND(Q1356&gt;0,Q1356&lt;30,K1356&lt;8),Markniveau!Z1356*'Udvaskning nøgletal'!$I$12/100,IF(AND(Q1356&gt;0,Q1356&lt;30,K1356=216),Markniveau!Z1356*'Udvaskning nøgletal'!$I$34/100,Markniveau!Z1356))</f>
        <v>53.352301304863602</v>
      </c>
      <c r="AE1356" s="10">
        <f t="shared" si="213"/>
        <v>1002.4897415183871</v>
      </c>
      <c r="AF1356" s="10" t="str">
        <f t="shared" si="218"/>
        <v/>
      </c>
      <c r="AG1356" s="10" t="str">
        <f t="shared" si="214"/>
        <v/>
      </c>
      <c r="AH1356" s="10" t="str">
        <f>IF(AND(Q1356&gt;0,Q1356&lt;30,K1356=216),'Udvaskning nøgletal'!$C$42,IF(AND(Q1356&gt;0,Q1356&lt;30,K1356&gt;7,K1356&lt;17),'Udvaskning nøgletal'!$C$61,IF(AND(Q1356&gt;0,Q1356&lt;30,K1356&lt;7),'Udvaskning nøgletal'!$C$62,"")))</f>
        <v/>
      </c>
      <c r="AI1356" s="10">
        <f t="shared" si="220"/>
        <v>1</v>
      </c>
      <c r="AJ1356" s="10">
        <f>IF($X1356=1,LOOKUP(AI1356,'Udvaskning nøgletal'!$C$12:$C$62,'Udvaskning nøgletal'!$E$12:$E$62)+Markniveau!$Y1356*Markniveau!$S1356/100,IF($X1356=2,LOOKUP(AI1356,'Udvaskning nøgletal'!$C$12:$C$62,'Udvaskning nøgletal'!$F$12:$F$62)+Markniveau!$Y1356*Markniveau!$S1356/100,IF($X1356=3,LOOKUP(AI1356,'Udvaskning nøgletal'!$C$12:$C$62,'Udvaskning nøgletal'!Q1366:Q1416)+Markniveau!$Y1356*Markniveau!$S1356/100,"")))</f>
        <v>53.352301304863602</v>
      </c>
      <c r="AK1356" s="10">
        <f t="shared" si="219"/>
        <v>1002.4897415183871</v>
      </c>
      <c r="AL1356" s="10" t="str">
        <f t="shared" si="221"/>
        <v/>
      </c>
      <c r="AM1356" s="10" t="str">
        <f t="shared" si="222"/>
        <v/>
      </c>
    </row>
    <row r="1357" spans="1:39" x14ac:dyDescent="0.25">
      <c r="A1357" s="15">
        <v>60997810</v>
      </c>
      <c r="B1357" s="15">
        <v>18.88</v>
      </c>
      <c r="C1357" s="15">
        <v>352041</v>
      </c>
      <c r="D1357" s="15">
        <v>35769</v>
      </c>
      <c r="E1357" s="15" t="s">
        <v>632</v>
      </c>
      <c r="F1357" s="15">
        <v>2011</v>
      </c>
      <c r="G1357" s="15">
        <v>20110214</v>
      </c>
      <c r="H1357" s="15">
        <v>25249</v>
      </c>
      <c r="I1357" s="15">
        <v>2.52</v>
      </c>
      <c r="J1357" s="6" t="s">
        <v>31</v>
      </c>
      <c r="K1357" s="15">
        <v>11</v>
      </c>
      <c r="L1357" s="15" t="s">
        <v>102</v>
      </c>
      <c r="M1357" s="15" t="s">
        <v>5</v>
      </c>
      <c r="N1357" s="11" t="s">
        <v>1391</v>
      </c>
      <c r="O1357" s="11" t="s">
        <v>46</v>
      </c>
      <c r="P1357" s="11" t="s">
        <v>29</v>
      </c>
      <c r="Q1357" s="15">
        <v>95</v>
      </c>
      <c r="R1357" s="11" t="s">
        <v>3</v>
      </c>
      <c r="S1357" s="10">
        <v>21.074269480519</v>
      </c>
      <c r="T1357" s="15">
        <v>80</v>
      </c>
      <c r="U1357" s="15">
        <v>0</v>
      </c>
      <c r="V1357" s="15">
        <v>0</v>
      </c>
      <c r="W1357" s="15">
        <v>0</v>
      </c>
      <c r="X1357" s="15">
        <f>IF(O1357='Udvaskning nøgletal'!$D$65,1,IF(O1357='Udvaskning nøgletal'!$D$66,2,IF(O1357='Udvaskning nøgletal'!$D$67,3,IF(O1357='Udvaskning nøgletal'!$D$68,2,""))))</f>
        <v>2</v>
      </c>
      <c r="Y1357" s="15">
        <f>LOOKUP(K1357,'Udvaskning nøgletal'!$C$12:$C$60,'Udvaskning nøgletal'!$H$12:$H$60)</f>
        <v>5</v>
      </c>
      <c r="Z1357" s="10">
        <f>IF(X1357=1,LOOKUP(K1357,'Udvaskning nøgletal'!$C$12:$C$60,'Udvaskning nøgletal'!$E$12:$E$60)+Markniveau!Y1357*Markniveau!S1357/100,IF(X1357=2,LOOKUP(K1357,'Udvaskning nøgletal'!$C$12:$C$60,'Udvaskning nøgletal'!$F$12:$F$60)+Markniveau!Y1357*Markniveau!S1357/100,IF(X1357=3,LOOKUP(K1357,'Udvaskning nøgletal'!$C$12:$C$60,'Udvaskning nøgletal'!G1367:G1415)+Markniveau!Y1357*Markniveau!S1357/100,"")))</f>
        <v>51.93371347402595</v>
      </c>
      <c r="AA1357" s="10">
        <f t="shared" si="216"/>
        <v>130.8729579545454</v>
      </c>
      <c r="AB1357" s="10">
        <f t="shared" si="215"/>
        <v>2.5966856737012973</v>
      </c>
      <c r="AC1357" s="10">
        <f t="shared" si="217"/>
        <v>6.5436478977272694</v>
      </c>
      <c r="AD1357" s="10">
        <f>IF(AND(Q1357&gt;0,Q1357&lt;30,K1357&lt;8),Markniveau!Z1357*'Udvaskning nøgletal'!$I$12/100,IF(AND(Q1357&gt;0,Q1357&lt;30,K1357=216),Markniveau!Z1357*'Udvaskning nøgletal'!$I$34/100,Markniveau!Z1357))</f>
        <v>51.93371347402595</v>
      </c>
      <c r="AE1357" s="10">
        <f t="shared" si="213"/>
        <v>130.8729579545454</v>
      </c>
      <c r="AF1357" s="10">
        <f t="shared" si="218"/>
        <v>2.5966856737012973</v>
      </c>
      <c r="AG1357" s="10">
        <f t="shared" si="214"/>
        <v>6.5436478977272694</v>
      </c>
      <c r="AH1357" s="10" t="str">
        <f>IF(AND(Q1357&gt;0,Q1357&lt;30,K1357=216),'Udvaskning nøgletal'!$C$42,IF(AND(Q1357&gt;0,Q1357&lt;30,K1357&gt;7,K1357&lt;17),'Udvaskning nøgletal'!$C$61,IF(AND(Q1357&gt;0,Q1357&lt;30,K1357&lt;7),'Udvaskning nøgletal'!$C$62,"")))</f>
        <v/>
      </c>
      <c r="AI1357" s="10">
        <f t="shared" si="220"/>
        <v>11</v>
      </c>
      <c r="AJ1357" s="10">
        <f>IF($X1357=1,LOOKUP(AI1357,'Udvaskning nøgletal'!$C$12:$C$62,'Udvaskning nøgletal'!$E$12:$E$62)+Markniveau!$Y1357*Markniveau!$S1357/100,IF($X1357=2,LOOKUP(AI1357,'Udvaskning nøgletal'!$C$12:$C$62,'Udvaskning nøgletal'!$F$12:$F$62)+Markniveau!$Y1357*Markniveau!$S1357/100,IF($X1357=3,LOOKUP(AI1357,'Udvaskning nøgletal'!$C$12:$C$62,'Udvaskning nøgletal'!Q1367:Q1417)+Markniveau!$Y1357*Markniveau!$S1357/100,"")))</f>
        <v>51.93371347402595</v>
      </c>
      <c r="AK1357" s="10">
        <f t="shared" si="219"/>
        <v>130.8729579545454</v>
      </c>
      <c r="AL1357" s="10">
        <f t="shared" si="221"/>
        <v>2.5966856737012973</v>
      </c>
      <c r="AM1357" s="10">
        <f t="shared" si="222"/>
        <v>6.5436478977272694</v>
      </c>
    </row>
    <row r="1358" spans="1:39" x14ac:dyDescent="0.25">
      <c r="A1358" s="15">
        <v>60997810</v>
      </c>
      <c r="B1358" s="15">
        <v>18.88</v>
      </c>
      <c r="C1358" s="15">
        <v>352042</v>
      </c>
      <c r="D1358" s="15">
        <v>35769</v>
      </c>
      <c r="E1358" s="15" t="s">
        <v>632</v>
      </c>
      <c r="F1358" s="15">
        <v>2011</v>
      </c>
      <c r="G1358" s="15">
        <v>20110214</v>
      </c>
      <c r="H1358" s="15">
        <v>53456</v>
      </c>
      <c r="I1358" s="15">
        <v>5.35</v>
      </c>
      <c r="J1358" s="6" t="s">
        <v>37</v>
      </c>
      <c r="K1358" s="15">
        <v>1</v>
      </c>
      <c r="L1358" s="15" t="s">
        <v>32</v>
      </c>
      <c r="M1358" s="15" t="s">
        <v>5</v>
      </c>
      <c r="N1358" s="11" t="s">
        <v>1391</v>
      </c>
      <c r="O1358" s="11" t="s">
        <v>46</v>
      </c>
      <c r="P1358" s="11" t="s">
        <v>29</v>
      </c>
      <c r="Q1358" s="15">
        <v>95</v>
      </c>
      <c r="R1358" s="11" t="s">
        <v>3</v>
      </c>
      <c r="S1358" s="10">
        <v>21.074269480519</v>
      </c>
      <c r="T1358" s="15">
        <v>80</v>
      </c>
      <c r="U1358" s="15">
        <v>0</v>
      </c>
      <c r="V1358" s="15">
        <v>0</v>
      </c>
      <c r="W1358" s="15">
        <v>0</v>
      </c>
      <c r="X1358" s="15">
        <f>IF(O1358='Udvaskning nøgletal'!$D$65,1,IF(O1358='Udvaskning nøgletal'!$D$66,2,IF(O1358='Udvaskning nøgletal'!$D$67,3,IF(O1358='Udvaskning nøgletal'!$D$68,2,""))))</f>
        <v>2</v>
      </c>
      <c r="Y1358" s="15">
        <f>LOOKUP(K1358,'Udvaskning nøgletal'!$C$12:$C$60,'Udvaskning nøgletal'!$H$12:$H$60)</f>
        <v>5</v>
      </c>
      <c r="Z1358" s="10">
        <f>IF(X1358=1,LOOKUP(K1358,'Udvaskning nøgletal'!$C$12:$C$60,'Udvaskning nøgletal'!$E$12:$E$60)+Markniveau!Y1358*Markniveau!S1358/100,IF(X1358=2,LOOKUP(K1358,'Udvaskning nøgletal'!$C$12:$C$60,'Udvaskning nøgletal'!$F$12:$F$60)+Markniveau!Y1358*Markniveau!S1358/100,IF(X1358=3,LOOKUP(K1358,'Udvaskning nøgletal'!$C$12:$C$60,'Udvaskning nøgletal'!G1368:G1416)+Markniveau!Y1358*Markniveau!S1358/100,"")))</f>
        <v>51.93371347402595</v>
      </c>
      <c r="AA1358" s="10">
        <f t="shared" si="216"/>
        <v>277.84536708603883</v>
      </c>
      <c r="AB1358" s="10">
        <f t="shared" si="215"/>
        <v>2.5966856737012973</v>
      </c>
      <c r="AC1358" s="10">
        <f t="shared" si="217"/>
        <v>13.89226835430194</v>
      </c>
      <c r="AD1358" s="10">
        <f>IF(AND(Q1358&gt;0,Q1358&lt;30,K1358&lt;8),Markniveau!Z1358*'Udvaskning nøgletal'!$I$12/100,IF(AND(Q1358&gt;0,Q1358&lt;30,K1358=216),Markniveau!Z1358*'Udvaskning nøgletal'!$I$34/100,Markniveau!Z1358))</f>
        <v>51.93371347402595</v>
      </c>
      <c r="AE1358" s="10">
        <f t="shared" si="213"/>
        <v>277.84536708603883</v>
      </c>
      <c r="AF1358" s="10">
        <f t="shared" si="218"/>
        <v>2.5966856737012973</v>
      </c>
      <c r="AG1358" s="10">
        <f t="shared" si="214"/>
        <v>13.89226835430194</v>
      </c>
      <c r="AH1358" s="10" t="str">
        <f>IF(AND(Q1358&gt;0,Q1358&lt;30,K1358=216),'Udvaskning nøgletal'!$C$42,IF(AND(Q1358&gt;0,Q1358&lt;30,K1358&gt;7,K1358&lt;17),'Udvaskning nøgletal'!$C$61,IF(AND(Q1358&gt;0,Q1358&lt;30,K1358&lt;7),'Udvaskning nøgletal'!$C$62,"")))</f>
        <v/>
      </c>
      <c r="AI1358" s="10">
        <f t="shared" si="220"/>
        <v>1</v>
      </c>
      <c r="AJ1358" s="10">
        <f>IF($X1358=1,LOOKUP(AI1358,'Udvaskning nøgletal'!$C$12:$C$62,'Udvaskning nøgletal'!$E$12:$E$62)+Markniveau!$Y1358*Markniveau!$S1358/100,IF($X1358=2,LOOKUP(AI1358,'Udvaskning nøgletal'!$C$12:$C$62,'Udvaskning nøgletal'!$F$12:$F$62)+Markniveau!$Y1358*Markniveau!$S1358/100,IF($X1358=3,LOOKUP(AI1358,'Udvaskning nøgletal'!$C$12:$C$62,'Udvaskning nøgletal'!Q1368:Q1418)+Markniveau!$Y1358*Markniveau!$S1358/100,"")))</f>
        <v>51.93371347402595</v>
      </c>
      <c r="AK1358" s="10">
        <f t="shared" si="219"/>
        <v>277.84536708603883</v>
      </c>
      <c r="AL1358" s="10">
        <f t="shared" si="221"/>
        <v>2.5966856737012973</v>
      </c>
      <c r="AM1358" s="10">
        <f t="shared" si="222"/>
        <v>13.89226835430194</v>
      </c>
    </row>
    <row r="1359" spans="1:39" x14ac:dyDescent="0.25">
      <c r="A1359" s="15">
        <v>60997810</v>
      </c>
      <c r="B1359" s="15">
        <v>18.88</v>
      </c>
      <c r="C1359" s="15">
        <v>352133</v>
      </c>
      <c r="D1359" s="15">
        <v>35769</v>
      </c>
      <c r="E1359" s="15" t="s">
        <v>632</v>
      </c>
      <c r="F1359" s="15">
        <v>2011</v>
      </c>
      <c r="G1359" s="15">
        <v>20110214</v>
      </c>
      <c r="H1359" s="15">
        <v>82419</v>
      </c>
      <c r="I1359" s="15">
        <v>8.24</v>
      </c>
      <c r="J1359" s="6" t="s">
        <v>97</v>
      </c>
      <c r="K1359" s="15">
        <v>1</v>
      </c>
      <c r="L1359" s="15" t="s">
        <v>32</v>
      </c>
      <c r="M1359" s="15" t="s">
        <v>5</v>
      </c>
      <c r="N1359" s="11" t="s">
        <v>1391</v>
      </c>
      <c r="O1359" s="11" t="s">
        <v>46</v>
      </c>
      <c r="P1359" s="11" t="s">
        <v>29</v>
      </c>
      <c r="Q1359" s="15">
        <v>95</v>
      </c>
      <c r="R1359" s="11" t="s">
        <v>3</v>
      </c>
      <c r="S1359" s="10">
        <v>21.074269480519</v>
      </c>
      <c r="T1359" s="15">
        <v>80</v>
      </c>
      <c r="U1359" s="15">
        <v>0</v>
      </c>
      <c r="V1359" s="15">
        <v>0</v>
      </c>
      <c r="W1359" s="15">
        <v>0</v>
      </c>
      <c r="X1359" s="15">
        <f>IF(O1359='Udvaskning nøgletal'!$D$65,1,IF(O1359='Udvaskning nøgletal'!$D$66,2,IF(O1359='Udvaskning nøgletal'!$D$67,3,IF(O1359='Udvaskning nøgletal'!$D$68,2,""))))</f>
        <v>2</v>
      </c>
      <c r="Y1359" s="15">
        <f>LOOKUP(K1359,'Udvaskning nøgletal'!$C$12:$C$60,'Udvaskning nøgletal'!$H$12:$H$60)</f>
        <v>5</v>
      </c>
      <c r="Z1359" s="10">
        <f>IF(X1359=1,LOOKUP(K1359,'Udvaskning nøgletal'!$C$12:$C$60,'Udvaskning nøgletal'!$E$12:$E$60)+Markniveau!Y1359*Markniveau!S1359/100,IF(X1359=2,LOOKUP(K1359,'Udvaskning nøgletal'!$C$12:$C$60,'Udvaskning nøgletal'!$F$12:$F$60)+Markniveau!Y1359*Markniveau!S1359/100,IF(X1359=3,LOOKUP(K1359,'Udvaskning nøgletal'!$C$12:$C$60,'Udvaskning nøgletal'!G1369:G1417)+Markniveau!Y1359*Markniveau!S1359/100,"")))</f>
        <v>51.93371347402595</v>
      </c>
      <c r="AA1359" s="10">
        <f t="shared" si="216"/>
        <v>427.93379902597383</v>
      </c>
      <c r="AB1359" s="10">
        <f t="shared" si="215"/>
        <v>2.5966856737012973</v>
      </c>
      <c r="AC1359" s="10">
        <f t="shared" si="217"/>
        <v>21.39668995129869</v>
      </c>
      <c r="AD1359" s="10">
        <f>IF(AND(Q1359&gt;0,Q1359&lt;30,K1359&lt;8),Markniveau!Z1359*'Udvaskning nøgletal'!$I$12/100,IF(AND(Q1359&gt;0,Q1359&lt;30,K1359=216),Markniveau!Z1359*'Udvaskning nøgletal'!$I$34/100,Markniveau!Z1359))</f>
        <v>51.93371347402595</v>
      </c>
      <c r="AE1359" s="10">
        <f t="shared" si="213"/>
        <v>427.93379902597383</v>
      </c>
      <c r="AF1359" s="10">
        <f t="shared" si="218"/>
        <v>2.5966856737012973</v>
      </c>
      <c r="AG1359" s="10">
        <f t="shared" si="214"/>
        <v>21.39668995129869</v>
      </c>
      <c r="AH1359" s="10" t="str">
        <f>IF(AND(Q1359&gt;0,Q1359&lt;30,K1359=216),'Udvaskning nøgletal'!$C$42,IF(AND(Q1359&gt;0,Q1359&lt;30,K1359&gt;7,K1359&lt;17),'Udvaskning nøgletal'!$C$61,IF(AND(Q1359&gt;0,Q1359&lt;30,K1359&lt;7),'Udvaskning nøgletal'!$C$62,"")))</f>
        <v/>
      </c>
      <c r="AI1359" s="10">
        <f t="shared" si="220"/>
        <v>1</v>
      </c>
      <c r="AJ1359" s="10">
        <f>IF($X1359=1,LOOKUP(AI1359,'Udvaskning nøgletal'!$C$12:$C$62,'Udvaskning nøgletal'!$E$12:$E$62)+Markniveau!$Y1359*Markniveau!$S1359/100,IF($X1359=2,LOOKUP(AI1359,'Udvaskning nøgletal'!$C$12:$C$62,'Udvaskning nøgletal'!$F$12:$F$62)+Markniveau!$Y1359*Markniveau!$S1359/100,IF($X1359=3,LOOKUP(AI1359,'Udvaskning nøgletal'!$C$12:$C$62,'Udvaskning nøgletal'!Q1369:Q1419)+Markniveau!$Y1359*Markniveau!$S1359/100,"")))</f>
        <v>51.93371347402595</v>
      </c>
      <c r="AK1359" s="10">
        <f t="shared" si="219"/>
        <v>427.93379902597383</v>
      </c>
      <c r="AL1359" s="10">
        <f t="shared" si="221"/>
        <v>2.5966856737012973</v>
      </c>
      <c r="AM1359" s="10">
        <f t="shared" si="222"/>
        <v>21.39668995129869</v>
      </c>
    </row>
    <row r="1360" spans="1:39" x14ac:dyDescent="0.25">
      <c r="A1360" s="15">
        <v>60997810</v>
      </c>
      <c r="B1360" s="15">
        <v>18.88</v>
      </c>
      <c r="C1360" s="15">
        <v>351939</v>
      </c>
      <c r="D1360" s="15">
        <v>35769</v>
      </c>
      <c r="E1360" s="15" t="s">
        <v>416</v>
      </c>
      <c r="F1360" s="15">
        <v>2011</v>
      </c>
      <c r="G1360" s="15">
        <v>20110214</v>
      </c>
      <c r="H1360" s="15">
        <v>57590</v>
      </c>
      <c r="I1360" s="15">
        <v>5.76</v>
      </c>
      <c r="J1360" s="6" t="s">
        <v>34</v>
      </c>
      <c r="K1360" s="15">
        <v>11</v>
      </c>
      <c r="L1360" s="15" t="s">
        <v>102</v>
      </c>
      <c r="M1360" s="15" t="s">
        <v>5</v>
      </c>
      <c r="N1360" s="11" t="s">
        <v>1391</v>
      </c>
      <c r="O1360" s="11" t="s">
        <v>46</v>
      </c>
      <c r="P1360" s="11" t="s">
        <v>33</v>
      </c>
      <c r="Q1360" s="15">
        <v>0</v>
      </c>
      <c r="R1360" s="11" t="s">
        <v>1386</v>
      </c>
      <c r="S1360" s="10">
        <v>21.074269480519</v>
      </c>
      <c r="T1360" s="15">
        <v>80</v>
      </c>
      <c r="U1360" s="15">
        <v>0</v>
      </c>
      <c r="V1360" s="15">
        <v>0</v>
      </c>
      <c r="W1360" s="15">
        <v>0</v>
      </c>
      <c r="X1360" s="15">
        <f>IF(O1360='Udvaskning nøgletal'!$D$65,1,IF(O1360='Udvaskning nøgletal'!$D$66,2,IF(O1360='Udvaskning nøgletal'!$D$67,3,IF(O1360='Udvaskning nøgletal'!$D$68,2,""))))</f>
        <v>2</v>
      </c>
      <c r="Y1360" s="15">
        <f>LOOKUP(K1360,'Udvaskning nøgletal'!$C$12:$C$60,'Udvaskning nøgletal'!$H$12:$H$60)</f>
        <v>5</v>
      </c>
      <c r="Z1360" s="10">
        <f>IF(X1360=1,LOOKUP(K1360,'Udvaskning nøgletal'!$C$12:$C$60,'Udvaskning nøgletal'!$E$12:$E$60)+Markniveau!Y1360*Markniveau!S1360/100,IF(X1360=2,LOOKUP(K1360,'Udvaskning nøgletal'!$C$12:$C$60,'Udvaskning nøgletal'!$F$12:$F$60)+Markniveau!Y1360*Markniveau!S1360/100,IF(X1360=3,LOOKUP(K1360,'Udvaskning nøgletal'!$C$12:$C$60,'Udvaskning nøgletal'!G1370:G1418)+Markniveau!Y1360*Markniveau!S1360/100,"")))</f>
        <v>51.93371347402595</v>
      </c>
      <c r="AA1360" s="10">
        <f t="shared" si="216"/>
        <v>299.13818961038947</v>
      </c>
      <c r="AB1360" s="10" t="str">
        <f t="shared" si="215"/>
        <v/>
      </c>
      <c r="AC1360" s="10" t="str">
        <f t="shared" si="217"/>
        <v/>
      </c>
      <c r="AD1360" s="10">
        <f>IF(AND(Q1360&gt;0,Q1360&lt;30,K1360&lt;8),Markniveau!Z1360*'Udvaskning nøgletal'!$I$12/100,IF(AND(Q1360&gt;0,Q1360&lt;30,K1360=216),Markniveau!Z1360*'Udvaskning nøgletal'!$I$34/100,Markniveau!Z1360))</f>
        <v>51.93371347402595</v>
      </c>
      <c r="AE1360" s="10">
        <f t="shared" si="213"/>
        <v>299.13818961038947</v>
      </c>
      <c r="AF1360" s="10" t="str">
        <f t="shared" si="218"/>
        <v/>
      </c>
      <c r="AG1360" s="10" t="str">
        <f t="shared" si="214"/>
        <v/>
      </c>
      <c r="AH1360" s="10" t="str">
        <f>IF(AND(Q1360&gt;0,Q1360&lt;30,K1360=216),'Udvaskning nøgletal'!$C$42,IF(AND(Q1360&gt;0,Q1360&lt;30,K1360&gt;7,K1360&lt;17),'Udvaskning nøgletal'!$C$61,IF(AND(Q1360&gt;0,Q1360&lt;30,K1360&lt;7),'Udvaskning nøgletal'!$C$62,"")))</f>
        <v/>
      </c>
      <c r="AI1360" s="10">
        <f t="shared" si="220"/>
        <v>11</v>
      </c>
      <c r="AJ1360" s="10">
        <f>IF($X1360=1,LOOKUP(AI1360,'Udvaskning nøgletal'!$C$12:$C$62,'Udvaskning nøgletal'!$E$12:$E$62)+Markniveau!$Y1360*Markniveau!$S1360/100,IF($X1360=2,LOOKUP(AI1360,'Udvaskning nøgletal'!$C$12:$C$62,'Udvaskning nøgletal'!$F$12:$F$62)+Markniveau!$Y1360*Markniveau!$S1360/100,IF($X1360=3,LOOKUP(AI1360,'Udvaskning nøgletal'!$C$12:$C$62,'Udvaskning nøgletal'!Q1370:Q1420)+Markniveau!$Y1360*Markniveau!$S1360/100,"")))</f>
        <v>51.93371347402595</v>
      </c>
      <c r="AK1360" s="10">
        <f t="shared" si="219"/>
        <v>299.13818961038947</v>
      </c>
      <c r="AL1360" s="10" t="str">
        <f t="shared" si="221"/>
        <v/>
      </c>
      <c r="AM1360" s="10" t="str">
        <f t="shared" si="222"/>
        <v/>
      </c>
    </row>
    <row r="1361" spans="1:39" x14ac:dyDescent="0.25">
      <c r="A1361" s="15">
        <v>60997810</v>
      </c>
      <c r="B1361" s="15">
        <v>18.88</v>
      </c>
      <c r="C1361" s="15">
        <v>351986</v>
      </c>
      <c r="D1361" s="15">
        <v>35769</v>
      </c>
      <c r="E1361" s="15" t="s">
        <v>416</v>
      </c>
      <c r="F1361" s="15">
        <v>2011</v>
      </c>
      <c r="G1361" s="15">
        <v>20110214</v>
      </c>
      <c r="H1361" s="15">
        <v>27671</v>
      </c>
      <c r="I1361" s="15">
        <v>2.77</v>
      </c>
      <c r="J1361" s="6" t="s">
        <v>61</v>
      </c>
      <c r="K1361" s="15">
        <v>11</v>
      </c>
      <c r="L1361" s="15" t="s">
        <v>102</v>
      </c>
      <c r="M1361" s="15" t="s">
        <v>5</v>
      </c>
      <c r="N1361" s="11" t="s">
        <v>1391</v>
      </c>
      <c r="O1361" s="11" t="s">
        <v>46</v>
      </c>
      <c r="P1361" s="11" t="s">
        <v>29</v>
      </c>
      <c r="Q1361" s="15">
        <v>0</v>
      </c>
      <c r="R1361" s="11" t="s">
        <v>1386</v>
      </c>
      <c r="S1361" s="10">
        <v>21.074269480519</v>
      </c>
      <c r="T1361" s="15">
        <v>80</v>
      </c>
      <c r="U1361" s="15">
        <v>0</v>
      </c>
      <c r="V1361" s="15">
        <v>0</v>
      </c>
      <c r="W1361" s="15">
        <v>0</v>
      </c>
      <c r="X1361" s="15">
        <f>IF(O1361='Udvaskning nøgletal'!$D$65,1,IF(O1361='Udvaskning nøgletal'!$D$66,2,IF(O1361='Udvaskning nøgletal'!$D$67,3,IF(O1361='Udvaskning nøgletal'!$D$68,2,""))))</f>
        <v>2</v>
      </c>
      <c r="Y1361" s="15">
        <f>LOOKUP(K1361,'Udvaskning nøgletal'!$C$12:$C$60,'Udvaskning nøgletal'!$H$12:$H$60)</f>
        <v>5</v>
      </c>
      <c r="Z1361" s="10">
        <f>IF(X1361=1,LOOKUP(K1361,'Udvaskning nøgletal'!$C$12:$C$60,'Udvaskning nøgletal'!$E$12:$E$60)+Markniveau!Y1361*Markniveau!S1361/100,IF(X1361=2,LOOKUP(K1361,'Udvaskning nøgletal'!$C$12:$C$60,'Udvaskning nøgletal'!$F$12:$F$60)+Markniveau!Y1361*Markniveau!S1361/100,IF(X1361=3,LOOKUP(K1361,'Udvaskning nøgletal'!$C$12:$C$60,'Udvaskning nøgletal'!G1371:G1419)+Markniveau!Y1361*Markniveau!S1361/100,"")))</f>
        <v>51.93371347402595</v>
      </c>
      <c r="AA1361" s="10">
        <f t="shared" si="216"/>
        <v>143.85638632305188</v>
      </c>
      <c r="AB1361" s="10" t="str">
        <f t="shared" si="215"/>
        <v/>
      </c>
      <c r="AC1361" s="10" t="str">
        <f t="shared" si="217"/>
        <v/>
      </c>
      <c r="AD1361" s="10">
        <f>IF(AND(Q1361&gt;0,Q1361&lt;30,K1361&lt;8),Markniveau!Z1361*'Udvaskning nøgletal'!$I$12/100,IF(AND(Q1361&gt;0,Q1361&lt;30,K1361=216),Markniveau!Z1361*'Udvaskning nøgletal'!$I$34/100,Markniveau!Z1361))</f>
        <v>51.93371347402595</v>
      </c>
      <c r="AE1361" s="10">
        <f t="shared" ref="AE1361:AE1424" si="223">AD1361*I1361</f>
        <v>143.85638632305188</v>
      </c>
      <c r="AF1361" s="10" t="str">
        <f t="shared" si="218"/>
        <v/>
      </c>
      <c r="AG1361" s="10" t="str">
        <f t="shared" ref="AG1361:AG1424" si="224">IF($Q1361&gt;0,(100-$Q1361)*$AD1361/100*I1361,"")</f>
        <v/>
      </c>
      <c r="AH1361" s="10" t="str">
        <f>IF(AND(Q1361&gt;0,Q1361&lt;30,K1361=216),'Udvaskning nøgletal'!$C$42,IF(AND(Q1361&gt;0,Q1361&lt;30,K1361&gt;7,K1361&lt;17),'Udvaskning nøgletal'!$C$61,IF(AND(Q1361&gt;0,Q1361&lt;30,K1361&lt;7),'Udvaskning nøgletal'!$C$62,"")))</f>
        <v/>
      </c>
      <c r="AI1361" s="10">
        <f t="shared" si="220"/>
        <v>11</v>
      </c>
      <c r="AJ1361" s="10">
        <f>IF($X1361=1,LOOKUP(AI1361,'Udvaskning nøgletal'!$C$12:$C$62,'Udvaskning nøgletal'!$E$12:$E$62)+Markniveau!$Y1361*Markniveau!$S1361/100,IF($X1361=2,LOOKUP(AI1361,'Udvaskning nøgletal'!$C$12:$C$62,'Udvaskning nøgletal'!$F$12:$F$62)+Markniveau!$Y1361*Markniveau!$S1361/100,IF($X1361=3,LOOKUP(AI1361,'Udvaskning nøgletal'!$C$12:$C$62,'Udvaskning nøgletal'!Q1371:Q1421)+Markniveau!$Y1361*Markniveau!$S1361/100,"")))</f>
        <v>51.93371347402595</v>
      </c>
      <c r="AK1361" s="10">
        <f t="shared" si="219"/>
        <v>143.85638632305188</v>
      </c>
      <c r="AL1361" s="10" t="str">
        <f t="shared" si="221"/>
        <v/>
      </c>
      <c r="AM1361" s="10" t="str">
        <f t="shared" si="222"/>
        <v/>
      </c>
    </row>
    <row r="1362" spans="1:39" x14ac:dyDescent="0.25">
      <c r="A1362" s="15">
        <v>64488414</v>
      </c>
      <c r="B1362" s="15">
        <v>20.73</v>
      </c>
      <c r="C1362" s="15">
        <v>162956</v>
      </c>
      <c r="D1362" s="15">
        <v>53992</v>
      </c>
      <c r="E1362" s="15" t="s">
        <v>1179</v>
      </c>
      <c r="F1362" s="15">
        <v>2011</v>
      </c>
      <c r="G1362" s="15">
        <v>20110419</v>
      </c>
      <c r="H1362" s="15">
        <v>97257</v>
      </c>
      <c r="I1362" s="15">
        <v>9.73</v>
      </c>
      <c r="J1362" s="6" t="s">
        <v>397</v>
      </c>
      <c r="K1362" s="15">
        <v>216</v>
      </c>
      <c r="L1362" s="15" t="s">
        <v>116</v>
      </c>
      <c r="M1362" s="15" t="s">
        <v>5</v>
      </c>
      <c r="N1362" s="11" t="s">
        <v>1384</v>
      </c>
      <c r="O1362" s="11" t="s">
        <v>28</v>
      </c>
      <c r="P1362" s="11" t="s">
        <v>33</v>
      </c>
      <c r="Q1362" s="15">
        <v>0</v>
      </c>
      <c r="R1362" s="11" t="s">
        <v>1386</v>
      </c>
      <c r="S1362" s="10">
        <v>137.12321826657001</v>
      </c>
      <c r="T1362" s="15">
        <v>80</v>
      </c>
      <c r="U1362" s="15">
        <v>0</v>
      </c>
      <c r="V1362" s="15">
        <v>1</v>
      </c>
      <c r="W1362" s="15">
        <v>0</v>
      </c>
      <c r="X1362" s="15">
        <f>IF(O1362='Udvaskning nøgletal'!$D$65,1,IF(O1362='Udvaskning nøgletal'!$D$66,2,IF(O1362='Udvaskning nøgletal'!$D$67,3,IF(O1362='Udvaskning nøgletal'!$D$68,2,""))))</f>
        <v>1</v>
      </c>
      <c r="Y1362" s="15">
        <f>LOOKUP(K1362,'Udvaskning nøgletal'!$C$12:$C$60,'Udvaskning nøgletal'!$H$12:$H$60)</f>
        <v>0</v>
      </c>
      <c r="Z1362" s="10">
        <f>IF(X1362=1,LOOKUP(K1362,'Udvaskning nøgletal'!$C$12:$C$60,'Udvaskning nøgletal'!$E$12:$E$60)+Markniveau!Y1362*Markniveau!S1362/100,IF(X1362=2,LOOKUP(K1362,'Udvaskning nøgletal'!$C$12:$C$60,'Udvaskning nøgletal'!$F$12:$F$60)+Markniveau!Y1362*Markniveau!S1362/100,IF(X1362=3,LOOKUP(K1362,'Udvaskning nøgletal'!$C$12:$C$60,'Udvaskning nøgletal'!G1372:G1420)+Markniveau!Y1362*Markniveau!S1362/100,"")))</f>
        <v>125.85383557148924</v>
      </c>
      <c r="AA1362" s="10">
        <f t="shared" si="216"/>
        <v>1224.5578201105905</v>
      </c>
      <c r="AB1362" s="10" t="str">
        <f t="shared" si="215"/>
        <v/>
      </c>
      <c r="AC1362" s="10" t="str">
        <f t="shared" si="217"/>
        <v/>
      </c>
      <c r="AD1362" s="10">
        <f>IF(AND(Q1362&gt;0,Q1362&lt;30,K1362&lt;8),Markniveau!Z1362*'Udvaskning nøgletal'!$I$12/100,IF(AND(Q1362&gt;0,Q1362&lt;30,K1362=216),Markniveau!Z1362*'Udvaskning nøgletal'!$I$34/100,Markniveau!Z1362))</f>
        <v>125.85383557148924</v>
      </c>
      <c r="AE1362" s="10">
        <f t="shared" si="223"/>
        <v>1224.5578201105905</v>
      </c>
      <c r="AF1362" s="10" t="str">
        <f t="shared" si="218"/>
        <v/>
      </c>
      <c r="AG1362" s="10" t="str">
        <f t="shared" si="224"/>
        <v/>
      </c>
      <c r="AH1362" s="10" t="str">
        <f>IF(AND(Q1362&gt;0,Q1362&lt;30,K1362=216),'Udvaskning nøgletal'!$C$42,IF(AND(Q1362&gt;0,Q1362&lt;30,K1362&gt;7,K1362&lt;17),'Udvaskning nøgletal'!$C$61,IF(AND(Q1362&gt;0,Q1362&lt;30,K1362&lt;7),'Udvaskning nøgletal'!$C$62,"")))</f>
        <v/>
      </c>
      <c r="AI1362" s="10">
        <f t="shared" si="220"/>
        <v>216</v>
      </c>
      <c r="AJ1362" s="10">
        <f>IF($X1362=1,LOOKUP(AI1362,'Udvaskning nøgletal'!$C$12:$C$62,'Udvaskning nøgletal'!$E$12:$E$62)+Markniveau!$Y1362*Markniveau!$S1362/100,IF($X1362=2,LOOKUP(AI1362,'Udvaskning nøgletal'!$C$12:$C$62,'Udvaskning nøgletal'!$F$12:$F$62)+Markniveau!$Y1362*Markniveau!$S1362/100,IF($X1362=3,LOOKUP(AI1362,'Udvaskning nøgletal'!$C$12:$C$62,'Udvaskning nøgletal'!Q1372:Q1422)+Markniveau!$Y1362*Markniveau!$S1362/100,"")))</f>
        <v>125.85383557148924</v>
      </c>
      <c r="AK1362" s="10">
        <f t="shared" si="219"/>
        <v>1224.5578201105905</v>
      </c>
      <c r="AL1362" s="10" t="str">
        <f t="shared" si="221"/>
        <v/>
      </c>
      <c r="AM1362" s="10" t="str">
        <f t="shared" si="222"/>
        <v/>
      </c>
    </row>
    <row r="1363" spans="1:39" x14ac:dyDescent="0.25">
      <c r="A1363" s="15">
        <v>64488414</v>
      </c>
      <c r="B1363" s="15">
        <v>20.73</v>
      </c>
      <c r="C1363" s="15">
        <v>162957</v>
      </c>
      <c r="D1363" s="15">
        <v>53992</v>
      </c>
      <c r="E1363" s="15" t="s">
        <v>1179</v>
      </c>
      <c r="F1363" s="15">
        <v>2011</v>
      </c>
      <c r="G1363" s="15">
        <v>20110419</v>
      </c>
      <c r="H1363" s="15">
        <v>3242</v>
      </c>
      <c r="I1363" s="15">
        <v>0.32</v>
      </c>
      <c r="J1363" s="6" t="s">
        <v>125</v>
      </c>
      <c r="K1363" s="15">
        <v>216</v>
      </c>
      <c r="L1363" s="15" t="s">
        <v>116</v>
      </c>
      <c r="M1363" s="15" t="s">
        <v>5</v>
      </c>
      <c r="N1363" s="11" t="s">
        <v>1384</v>
      </c>
      <c r="O1363" s="11" t="s">
        <v>28</v>
      </c>
      <c r="P1363" s="11" t="s">
        <v>33</v>
      </c>
      <c r="Q1363" s="15">
        <v>0</v>
      </c>
      <c r="R1363" s="11" t="s">
        <v>1386</v>
      </c>
      <c r="S1363" s="10">
        <v>137.12321826657001</v>
      </c>
      <c r="T1363" s="15">
        <v>80</v>
      </c>
      <c r="U1363" s="15">
        <v>0</v>
      </c>
      <c r="V1363" s="15">
        <v>1</v>
      </c>
      <c r="W1363" s="15">
        <v>0</v>
      </c>
      <c r="X1363" s="15">
        <f>IF(O1363='Udvaskning nøgletal'!$D$65,1,IF(O1363='Udvaskning nøgletal'!$D$66,2,IF(O1363='Udvaskning nøgletal'!$D$67,3,IF(O1363='Udvaskning nøgletal'!$D$68,2,""))))</f>
        <v>1</v>
      </c>
      <c r="Y1363" s="15">
        <f>LOOKUP(K1363,'Udvaskning nøgletal'!$C$12:$C$60,'Udvaskning nøgletal'!$H$12:$H$60)</f>
        <v>0</v>
      </c>
      <c r="Z1363" s="10">
        <f>IF(X1363=1,LOOKUP(K1363,'Udvaskning nøgletal'!$C$12:$C$60,'Udvaskning nøgletal'!$E$12:$E$60)+Markniveau!Y1363*Markniveau!S1363/100,IF(X1363=2,LOOKUP(K1363,'Udvaskning nøgletal'!$C$12:$C$60,'Udvaskning nøgletal'!$F$12:$F$60)+Markniveau!Y1363*Markniveau!S1363/100,IF(X1363=3,LOOKUP(K1363,'Udvaskning nøgletal'!$C$12:$C$60,'Udvaskning nøgletal'!G1373:G1421)+Markniveau!Y1363*Markniveau!S1363/100,"")))</f>
        <v>125.85383557148924</v>
      </c>
      <c r="AA1363" s="10">
        <f t="shared" si="216"/>
        <v>40.273227382876556</v>
      </c>
      <c r="AB1363" s="10" t="str">
        <f t="shared" si="215"/>
        <v/>
      </c>
      <c r="AC1363" s="10" t="str">
        <f t="shared" si="217"/>
        <v/>
      </c>
      <c r="AD1363" s="10">
        <f>IF(AND(Q1363&gt;0,Q1363&lt;30,K1363&lt;8),Markniveau!Z1363*'Udvaskning nøgletal'!$I$12/100,IF(AND(Q1363&gt;0,Q1363&lt;30,K1363=216),Markniveau!Z1363*'Udvaskning nøgletal'!$I$34/100,Markniveau!Z1363))</f>
        <v>125.85383557148924</v>
      </c>
      <c r="AE1363" s="10">
        <f t="shared" si="223"/>
        <v>40.273227382876556</v>
      </c>
      <c r="AF1363" s="10" t="str">
        <f t="shared" si="218"/>
        <v/>
      </c>
      <c r="AG1363" s="10" t="str">
        <f t="shared" si="224"/>
        <v/>
      </c>
      <c r="AH1363" s="10" t="str">
        <f>IF(AND(Q1363&gt;0,Q1363&lt;30,K1363=216),'Udvaskning nøgletal'!$C$42,IF(AND(Q1363&gt;0,Q1363&lt;30,K1363&gt;7,K1363&lt;17),'Udvaskning nøgletal'!$C$61,IF(AND(Q1363&gt;0,Q1363&lt;30,K1363&lt;7),'Udvaskning nøgletal'!$C$62,"")))</f>
        <v/>
      </c>
      <c r="AI1363" s="10">
        <f t="shared" si="220"/>
        <v>216</v>
      </c>
      <c r="AJ1363" s="10">
        <f>IF($X1363=1,LOOKUP(AI1363,'Udvaskning nøgletal'!$C$12:$C$62,'Udvaskning nøgletal'!$E$12:$E$62)+Markniveau!$Y1363*Markniveau!$S1363/100,IF($X1363=2,LOOKUP(AI1363,'Udvaskning nøgletal'!$C$12:$C$62,'Udvaskning nøgletal'!$F$12:$F$62)+Markniveau!$Y1363*Markniveau!$S1363/100,IF($X1363=3,LOOKUP(AI1363,'Udvaskning nøgletal'!$C$12:$C$62,'Udvaskning nøgletal'!Q1373:Q1423)+Markniveau!$Y1363*Markniveau!$S1363/100,"")))</f>
        <v>125.85383557148924</v>
      </c>
      <c r="AK1363" s="10">
        <f t="shared" si="219"/>
        <v>40.273227382876556</v>
      </c>
      <c r="AL1363" s="10" t="str">
        <f t="shared" si="221"/>
        <v/>
      </c>
      <c r="AM1363" s="10" t="str">
        <f t="shared" si="222"/>
        <v/>
      </c>
    </row>
    <row r="1364" spans="1:39" x14ac:dyDescent="0.25">
      <c r="A1364" s="15">
        <v>64488414</v>
      </c>
      <c r="B1364" s="15">
        <v>20.73</v>
      </c>
      <c r="C1364" s="15">
        <v>168917</v>
      </c>
      <c r="D1364" s="15">
        <v>53992</v>
      </c>
      <c r="E1364" s="15" t="s">
        <v>1179</v>
      </c>
      <c r="F1364" s="15">
        <v>2011</v>
      </c>
      <c r="G1364" s="15">
        <v>20110419</v>
      </c>
      <c r="H1364" s="15">
        <v>4377</v>
      </c>
      <c r="I1364" s="15">
        <v>0.44</v>
      </c>
      <c r="J1364" s="6" t="s">
        <v>123</v>
      </c>
      <c r="K1364" s="15">
        <v>263</v>
      </c>
      <c r="L1364" s="15" t="s">
        <v>39</v>
      </c>
      <c r="M1364" s="15" t="s">
        <v>5</v>
      </c>
      <c r="N1364" s="11" t="s">
        <v>1384</v>
      </c>
      <c r="O1364" s="11" t="s">
        <v>28</v>
      </c>
      <c r="P1364" s="11" t="s">
        <v>33</v>
      </c>
      <c r="Q1364" s="15">
        <v>0</v>
      </c>
      <c r="R1364" s="11" t="s">
        <v>1386</v>
      </c>
      <c r="S1364" s="10">
        <v>137.12321826657001</v>
      </c>
      <c r="T1364" s="15">
        <v>80</v>
      </c>
      <c r="U1364" s="15">
        <v>0</v>
      </c>
      <c r="V1364" s="15">
        <v>1</v>
      </c>
      <c r="W1364" s="15">
        <v>0</v>
      </c>
      <c r="X1364" s="15">
        <f>IF(O1364='Udvaskning nøgletal'!$D$65,1,IF(O1364='Udvaskning nøgletal'!$D$66,2,IF(O1364='Udvaskning nøgletal'!$D$67,3,IF(O1364='Udvaskning nøgletal'!$D$68,2,""))))</f>
        <v>1</v>
      </c>
      <c r="Y1364" s="15">
        <f>LOOKUP(K1364,'Udvaskning nøgletal'!$C$12:$C$60,'Udvaskning nøgletal'!$H$12:$H$60)</f>
        <v>0</v>
      </c>
      <c r="Z1364" s="10">
        <f>IF(X1364=1,LOOKUP(K1364,'Udvaskning nøgletal'!$C$12:$C$60,'Udvaskning nøgletal'!$E$12:$E$60)+Markniveau!Y1364*Markniveau!S1364/100,IF(X1364=2,LOOKUP(K1364,'Udvaskning nøgletal'!$C$12:$C$60,'Udvaskning nøgletal'!$F$12:$F$60)+Markniveau!Y1364*Markniveau!S1364/100,IF(X1364=3,LOOKUP(K1364,'Udvaskning nøgletal'!$C$12:$C$60,'Udvaskning nøgletal'!G1374:G1422)+Markniveau!Y1364*Markniveau!S1364/100,"")))</f>
        <v>33.723295792149436</v>
      </c>
      <c r="AA1364" s="10">
        <f t="shared" si="216"/>
        <v>14.838250148545752</v>
      </c>
      <c r="AB1364" s="10" t="str">
        <f t="shared" si="215"/>
        <v/>
      </c>
      <c r="AC1364" s="10" t="str">
        <f t="shared" si="217"/>
        <v/>
      </c>
      <c r="AD1364" s="10">
        <f>IF(AND(Q1364&gt;0,Q1364&lt;30,K1364&lt;8),Markniveau!Z1364*'Udvaskning nøgletal'!$I$12/100,IF(AND(Q1364&gt;0,Q1364&lt;30,K1364=216),Markniveau!Z1364*'Udvaskning nøgletal'!$I$34/100,Markniveau!Z1364))</f>
        <v>33.723295792149436</v>
      </c>
      <c r="AE1364" s="10">
        <f t="shared" si="223"/>
        <v>14.838250148545752</v>
      </c>
      <c r="AF1364" s="10" t="str">
        <f t="shared" si="218"/>
        <v/>
      </c>
      <c r="AG1364" s="10" t="str">
        <f t="shared" si="224"/>
        <v/>
      </c>
      <c r="AH1364" s="10" t="str">
        <f>IF(AND(Q1364&gt;0,Q1364&lt;30,K1364=216),'Udvaskning nøgletal'!$C$42,IF(AND(Q1364&gt;0,Q1364&lt;30,K1364&gt;7,K1364&lt;17),'Udvaskning nøgletal'!$C$61,IF(AND(Q1364&gt;0,Q1364&lt;30,K1364&lt;7),'Udvaskning nøgletal'!$C$62,"")))</f>
        <v/>
      </c>
      <c r="AI1364" s="10">
        <f t="shared" si="220"/>
        <v>263</v>
      </c>
      <c r="AJ1364" s="10">
        <f>IF($X1364=1,LOOKUP(AI1364,'Udvaskning nøgletal'!$C$12:$C$62,'Udvaskning nøgletal'!$E$12:$E$62)+Markniveau!$Y1364*Markniveau!$S1364/100,IF($X1364=2,LOOKUP(AI1364,'Udvaskning nøgletal'!$C$12:$C$62,'Udvaskning nøgletal'!$F$12:$F$62)+Markniveau!$Y1364*Markniveau!$S1364/100,IF($X1364=3,LOOKUP(AI1364,'Udvaskning nøgletal'!$C$12:$C$62,'Udvaskning nøgletal'!Q1374:Q1424)+Markniveau!$Y1364*Markniveau!$S1364/100,"")))</f>
        <v>33.723295792149436</v>
      </c>
      <c r="AK1364" s="10">
        <f t="shared" si="219"/>
        <v>14.838250148545752</v>
      </c>
      <c r="AL1364" s="10" t="str">
        <f t="shared" si="221"/>
        <v/>
      </c>
      <c r="AM1364" s="10" t="str">
        <f t="shared" si="222"/>
        <v/>
      </c>
    </row>
    <row r="1365" spans="1:39" x14ac:dyDescent="0.25">
      <c r="A1365" s="15">
        <v>64488414</v>
      </c>
      <c r="B1365" s="15">
        <v>20.73</v>
      </c>
      <c r="C1365" s="15">
        <v>170179</v>
      </c>
      <c r="D1365" s="15">
        <v>53992</v>
      </c>
      <c r="E1365" s="15" t="s">
        <v>1180</v>
      </c>
      <c r="F1365" s="15">
        <v>2011</v>
      </c>
      <c r="G1365" s="15">
        <v>20110420</v>
      </c>
      <c r="H1365" s="15">
        <v>1731</v>
      </c>
      <c r="I1365" s="15">
        <v>0.17</v>
      </c>
      <c r="J1365" s="6" t="s">
        <v>470</v>
      </c>
      <c r="K1365" s="15">
        <v>216</v>
      </c>
      <c r="L1365" s="15" t="s">
        <v>116</v>
      </c>
      <c r="M1365" s="15" t="s">
        <v>5</v>
      </c>
      <c r="N1365" s="11" t="s">
        <v>1384</v>
      </c>
      <c r="O1365" s="11" t="s">
        <v>28</v>
      </c>
      <c r="P1365" s="11" t="s">
        <v>33</v>
      </c>
      <c r="Q1365" s="15">
        <v>0</v>
      </c>
      <c r="R1365" s="11" t="s">
        <v>1386</v>
      </c>
      <c r="S1365" s="10">
        <v>137.12321826657001</v>
      </c>
      <c r="T1365" s="15">
        <v>80</v>
      </c>
      <c r="U1365" s="15">
        <v>0</v>
      </c>
      <c r="V1365" s="15">
        <v>1</v>
      </c>
      <c r="W1365" s="15">
        <v>0</v>
      </c>
      <c r="X1365" s="15">
        <f>IF(O1365='Udvaskning nøgletal'!$D$65,1,IF(O1365='Udvaskning nøgletal'!$D$66,2,IF(O1365='Udvaskning nøgletal'!$D$67,3,IF(O1365='Udvaskning nøgletal'!$D$68,2,""))))</f>
        <v>1</v>
      </c>
      <c r="Y1365" s="15">
        <f>LOOKUP(K1365,'Udvaskning nøgletal'!$C$12:$C$60,'Udvaskning nøgletal'!$H$12:$H$60)</f>
        <v>0</v>
      </c>
      <c r="Z1365" s="10">
        <f>IF(X1365=1,LOOKUP(K1365,'Udvaskning nøgletal'!$C$12:$C$60,'Udvaskning nøgletal'!$E$12:$E$60)+Markniveau!Y1365*Markniveau!S1365/100,IF(X1365=2,LOOKUP(K1365,'Udvaskning nøgletal'!$C$12:$C$60,'Udvaskning nøgletal'!$F$12:$F$60)+Markniveau!Y1365*Markniveau!S1365/100,IF(X1365=3,LOOKUP(K1365,'Udvaskning nøgletal'!$C$12:$C$60,'Udvaskning nøgletal'!G1375:G1423)+Markniveau!Y1365*Markniveau!S1365/100,"")))</f>
        <v>125.85383557148924</v>
      </c>
      <c r="AA1365" s="10">
        <f t="shared" si="216"/>
        <v>21.395152047153172</v>
      </c>
      <c r="AB1365" s="10" t="str">
        <f t="shared" si="215"/>
        <v/>
      </c>
      <c r="AC1365" s="10" t="str">
        <f t="shared" si="217"/>
        <v/>
      </c>
      <c r="AD1365" s="10">
        <f>IF(AND(Q1365&gt;0,Q1365&lt;30,K1365&lt;8),Markniveau!Z1365*'Udvaskning nøgletal'!$I$12/100,IF(AND(Q1365&gt;0,Q1365&lt;30,K1365=216),Markniveau!Z1365*'Udvaskning nøgletal'!$I$34/100,Markniveau!Z1365))</f>
        <v>125.85383557148924</v>
      </c>
      <c r="AE1365" s="10">
        <f t="shared" si="223"/>
        <v>21.395152047153172</v>
      </c>
      <c r="AF1365" s="10" t="str">
        <f t="shared" si="218"/>
        <v/>
      </c>
      <c r="AG1365" s="10" t="str">
        <f t="shared" si="224"/>
        <v/>
      </c>
      <c r="AH1365" s="10" t="str">
        <f>IF(AND(Q1365&gt;0,Q1365&lt;30,K1365=216),'Udvaskning nøgletal'!$C$42,IF(AND(Q1365&gt;0,Q1365&lt;30,K1365&gt;7,K1365&lt;17),'Udvaskning nøgletal'!$C$61,IF(AND(Q1365&gt;0,Q1365&lt;30,K1365&lt;7),'Udvaskning nøgletal'!$C$62,"")))</f>
        <v/>
      </c>
      <c r="AI1365" s="10">
        <f t="shared" si="220"/>
        <v>216</v>
      </c>
      <c r="AJ1365" s="10">
        <f>IF($X1365=1,LOOKUP(AI1365,'Udvaskning nøgletal'!$C$12:$C$62,'Udvaskning nøgletal'!$E$12:$E$62)+Markniveau!$Y1365*Markniveau!$S1365/100,IF($X1365=2,LOOKUP(AI1365,'Udvaskning nøgletal'!$C$12:$C$62,'Udvaskning nøgletal'!$F$12:$F$62)+Markniveau!$Y1365*Markniveau!$S1365/100,IF($X1365=3,LOOKUP(AI1365,'Udvaskning nøgletal'!$C$12:$C$62,'Udvaskning nøgletal'!Q1375:Q1425)+Markniveau!$Y1365*Markniveau!$S1365/100,"")))</f>
        <v>125.85383557148924</v>
      </c>
      <c r="AK1365" s="10">
        <f t="shared" si="219"/>
        <v>21.395152047153172</v>
      </c>
      <c r="AL1365" s="10" t="str">
        <f t="shared" si="221"/>
        <v/>
      </c>
      <c r="AM1365" s="10" t="str">
        <f t="shared" si="222"/>
        <v/>
      </c>
    </row>
    <row r="1366" spans="1:39" x14ac:dyDescent="0.25">
      <c r="A1366" s="15">
        <v>64488414</v>
      </c>
      <c r="B1366" s="15">
        <v>20.73</v>
      </c>
      <c r="C1366" s="15">
        <v>175141</v>
      </c>
      <c r="D1366" s="15">
        <v>53992</v>
      </c>
      <c r="E1366" s="15" t="s">
        <v>1179</v>
      </c>
      <c r="F1366" s="15">
        <v>2011</v>
      </c>
      <c r="G1366" s="15">
        <v>20110419</v>
      </c>
      <c r="H1366" s="15">
        <v>118326</v>
      </c>
      <c r="I1366" s="15">
        <v>11.83</v>
      </c>
      <c r="J1366" s="6" t="s">
        <v>73</v>
      </c>
      <c r="K1366" s="15">
        <v>216</v>
      </c>
      <c r="L1366" s="15" t="s">
        <v>116</v>
      </c>
      <c r="M1366" s="15" t="s">
        <v>5</v>
      </c>
      <c r="N1366" s="11" t="s">
        <v>1384</v>
      </c>
      <c r="O1366" s="11" t="s">
        <v>28</v>
      </c>
      <c r="P1366" s="11" t="s">
        <v>33</v>
      </c>
      <c r="Q1366" s="15">
        <v>0</v>
      </c>
      <c r="R1366" s="11" t="s">
        <v>1386</v>
      </c>
      <c r="S1366" s="10">
        <v>137.12321826657001</v>
      </c>
      <c r="T1366" s="15">
        <v>80</v>
      </c>
      <c r="U1366" s="15">
        <v>0</v>
      </c>
      <c r="V1366" s="15">
        <v>1</v>
      </c>
      <c r="W1366" s="15">
        <v>0</v>
      </c>
      <c r="X1366" s="15">
        <f>IF(O1366='Udvaskning nøgletal'!$D$65,1,IF(O1366='Udvaskning nøgletal'!$D$66,2,IF(O1366='Udvaskning nøgletal'!$D$67,3,IF(O1366='Udvaskning nøgletal'!$D$68,2,""))))</f>
        <v>1</v>
      </c>
      <c r="Y1366" s="15">
        <f>LOOKUP(K1366,'Udvaskning nøgletal'!$C$12:$C$60,'Udvaskning nøgletal'!$H$12:$H$60)</f>
        <v>0</v>
      </c>
      <c r="Z1366" s="10">
        <f>IF(X1366=1,LOOKUP(K1366,'Udvaskning nøgletal'!$C$12:$C$60,'Udvaskning nøgletal'!$E$12:$E$60)+Markniveau!Y1366*Markniveau!S1366/100,IF(X1366=2,LOOKUP(K1366,'Udvaskning nøgletal'!$C$12:$C$60,'Udvaskning nøgletal'!$F$12:$F$60)+Markniveau!Y1366*Markniveau!S1366/100,IF(X1366=3,LOOKUP(K1366,'Udvaskning nøgletal'!$C$12:$C$60,'Udvaskning nøgletal'!G1376:G1424)+Markniveau!Y1366*Markniveau!S1366/100,"")))</f>
        <v>125.85383557148924</v>
      </c>
      <c r="AA1366" s="10">
        <f t="shared" si="216"/>
        <v>1488.8508748107176</v>
      </c>
      <c r="AB1366" s="10" t="str">
        <f t="shared" si="215"/>
        <v/>
      </c>
      <c r="AC1366" s="10" t="str">
        <f t="shared" si="217"/>
        <v/>
      </c>
      <c r="AD1366" s="10">
        <f>IF(AND(Q1366&gt;0,Q1366&lt;30,K1366&lt;8),Markniveau!Z1366*'Udvaskning nøgletal'!$I$12/100,IF(AND(Q1366&gt;0,Q1366&lt;30,K1366=216),Markniveau!Z1366*'Udvaskning nøgletal'!$I$34/100,Markniveau!Z1366))</f>
        <v>125.85383557148924</v>
      </c>
      <c r="AE1366" s="10">
        <f t="shared" si="223"/>
        <v>1488.8508748107176</v>
      </c>
      <c r="AF1366" s="10" t="str">
        <f t="shared" si="218"/>
        <v/>
      </c>
      <c r="AG1366" s="10" t="str">
        <f t="shared" si="224"/>
        <v/>
      </c>
      <c r="AH1366" s="10" t="str">
        <f>IF(AND(Q1366&gt;0,Q1366&lt;30,K1366=216),'Udvaskning nøgletal'!$C$42,IF(AND(Q1366&gt;0,Q1366&lt;30,K1366&gt;7,K1366&lt;17),'Udvaskning nøgletal'!$C$61,IF(AND(Q1366&gt;0,Q1366&lt;30,K1366&lt;7),'Udvaskning nøgletal'!$C$62,"")))</f>
        <v/>
      </c>
      <c r="AI1366" s="10">
        <f t="shared" si="220"/>
        <v>216</v>
      </c>
      <c r="AJ1366" s="10">
        <f>IF($X1366=1,LOOKUP(AI1366,'Udvaskning nøgletal'!$C$12:$C$62,'Udvaskning nøgletal'!$E$12:$E$62)+Markniveau!$Y1366*Markniveau!$S1366/100,IF($X1366=2,LOOKUP(AI1366,'Udvaskning nøgletal'!$C$12:$C$62,'Udvaskning nøgletal'!$F$12:$F$62)+Markniveau!$Y1366*Markniveau!$S1366/100,IF($X1366=3,LOOKUP(AI1366,'Udvaskning nøgletal'!$C$12:$C$62,'Udvaskning nøgletal'!Q1376:Q1426)+Markniveau!$Y1366*Markniveau!$S1366/100,"")))</f>
        <v>125.85383557148924</v>
      </c>
      <c r="AK1366" s="10">
        <f t="shared" si="219"/>
        <v>1488.8508748107176</v>
      </c>
      <c r="AL1366" s="10" t="str">
        <f t="shared" si="221"/>
        <v/>
      </c>
      <c r="AM1366" s="10" t="str">
        <f t="shared" si="222"/>
        <v/>
      </c>
    </row>
    <row r="1367" spans="1:39" x14ac:dyDescent="0.25">
      <c r="A1367" s="15">
        <v>64488414</v>
      </c>
      <c r="B1367" s="15">
        <v>20.73</v>
      </c>
      <c r="C1367" s="15">
        <v>181112</v>
      </c>
      <c r="D1367" s="15">
        <v>53992</v>
      </c>
      <c r="E1367" s="15" t="s">
        <v>1179</v>
      </c>
      <c r="F1367" s="15">
        <v>2011</v>
      </c>
      <c r="G1367" s="15">
        <v>20110420</v>
      </c>
      <c r="H1367" s="15">
        <v>2831</v>
      </c>
      <c r="I1367" s="15">
        <v>0.28000000000000003</v>
      </c>
      <c r="J1367" s="6" t="s">
        <v>1483</v>
      </c>
      <c r="K1367" s="15">
        <v>216</v>
      </c>
      <c r="L1367" s="15" t="s">
        <v>116</v>
      </c>
      <c r="M1367" s="15" t="s">
        <v>5</v>
      </c>
      <c r="N1367" s="11" t="s">
        <v>1384</v>
      </c>
      <c r="O1367" s="11" t="s">
        <v>28</v>
      </c>
      <c r="P1367" s="11" t="s">
        <v>33</v>
      </c>
      <c r="Q1367" s="15">
        <v>0</v>
      </c>
      <c r="R1367" s="11" t="s">
        <v>1386</v>
      </c>
      <c r="S1367" s="10">
        <v>137.12321826657001</v>
      </c>
      <c r="T1367" s="15">
        <v>80</v>
      </c>
      <c r="U1367" s="15">
        <v>0</v>
      </c>
      <c r="V1367" s="15">
        <v>1</v>
      </c>
      <c r="W1367" s="15">
        <v>0</v>
      </c>
      <c r="X1367" s="15">
        <f>IF(O1367='Udvaskning nøgletal'!$D$65,1,IF(O1367='Udvaskning nøgletal'!$D$66,2,IF(O1367='Udvaskning nøgletal'!$D$67,3,IF(O1367='Udvaskning nøgletal'!$D$68,2,""))))</f>
        <v>1</v>
      </c>
      <c r="Y1367" s="15">
        <f>LOOKUP(K1367,'Udvaskning nøgletal'!$C$12:$C$60,'Udvaskning nøgletal'!$H$12:$H$60)</f>
        <v>0</v>
      </c>
      <c r="Z1367" s="10">
        <f>IF(X1367=1,LOOKUP(K1367,'Udvaskning nøgletal'!$C$12:$C$60,'Udvaskning nøgletal'!$E$12:$E$60)+Markniveau!Y1367*Markniveau!S1367/100,IF(X1367=2,LOOKUP(K1367,'Udvaskning nøgletal'!$C$12:$C$60,'Udvaskning nøgletal'!$F$12:$F$60)+Markniveau!Y1367*Markniveau!S1367/100,IF(X1367=3,LOOKUP(K1367,'Udvaskning nøgletal'!$C$12:$C$60,'Udvaskning nøgletal'!G1377:G1425)+Markniveau!Y1367*Markniveau!S1367/100,"")))</f>
        <v>125.85383557148924</v>
      </c>
      <c r="AA1367" s="10">
        <f t="shared" si="216"/>
        <v>35.239073960016988</v>
      </c>
      <c r="AB1367" s="10" t="str">
        <f t="shared" si="215"/>
        <v/>
      </c>
      <c r="AC1367" s="10" t="str">
        <f t="shared" si="217"/>
        <v/>
      </c>
      <c r="AD1367" s="10">
        <f>IF(AND(Q1367&gt;0,Q1367&lt;30,K1367&lt;8),Markniveau!Z1367*'Udvaskning nøgletal'!$I$12/100,IF(AND(Q1367&gt;0,Q1367&lt;30,K1367=216),Markniveau!Z1367*'Udvaskning nøgletal'!$I$34/100,Markniveau!Z1367))</f>
        <v>125.85383557148924</v>
      </c>
      <c r="AE1367" s="10">
        <f t="shared" si="223"/>
        <v>35.239073960016988</v>
      </c>
      <c r="AF1367" s="10" t="str">
        <f t="shared" si="218"/>
        <v/>
      </c>
      <c r="AG1367" s="10" t="str">
        <f t="shared" si="224"/>
        <v/>
      </c>
      <c r="AH1367" s="10" t="str">
        <f>IF(AND(Q1367&gt;0,Q1367&lt;30,K1367=216),'Udvaskning nøgletal'!$C$42,IF(AND(Q1367&gt;0,Q1367&lt;30,K1367&gt;7,K1367&lt;17),'Udvaskning nøgletal'!$C$61,IF(AND(Q1367&gt;0,Q1367&lt;30,K1367&lt;7),'Udvaskning nøgletal'!$C$62,"")))</f>
        <v/>
      </c>
      <c r="AI1367" s="10">
        <f t="shared" si="220"/>
        <v>216</v>
      </c>
      <c r="AJ1367" s="10">
        <f>IF($X1367=1,LOOKUP(AI1367,'Udvaskning nøgletal'!$C$12:$C$62,'Udvaskning nøgletal'!$E$12:$E$62)+Markniveau!$Y1367*Markniveau!$S1367/100,IF($X1367=2,LOOKUP(AI1367,'Udvaskning nøgletal'!$C$12:$C$62,'Udvaskning nøgletal'!$F$12:$F$62)+Markniveau!$Y1367*Markniveau!$S1367/100,IF($X1367=3,LOOKUP(AI1367,'Udvaskning nøgletal'!$C$12:$C$62,'Udvaskning nøgletal'!Q1377:Q1427)+Markniveau!$Y1367*Markniveau!$S1367/100,"")))</f>
        <v>125.85383557148924</v>
      </c>
      <c r="AK1367" s="10">
        <f t="shared" si="219"/>
        <v>35.239073960016988</v>
      </c>
      <c r="AL1367" s="10" t="str">
        <f t="shared" si="221"/>
        <v/>
      </c>
      <c r="AM1367" s="10" t="str">
        <f t="shared" si="222"/>
        <v/>
      </c>
    </row>
    <row r="1368" spans="1:39" x14ac:dyDescent="0.25">
      <c r="A1368" s="15">
        <v>64488414</v>
      </c>
      <c r="B1368" s="15">
        <v>20.73</v>
      </c>
      <c r="C1368" s="15">
        <v>238105</v>
      </c>
      <c r="D1368" s="15">
        <v>53992</v>
      </c>
      <c r="E1368" s="15" t="s">
        <v>1179</v>
      </c>
      <c r="F1368" s="15">
        <v>2011</v>
      </c>
      <c r="G1368" s="15">
        <v>20110419</v>
      </c>
      <c r="H1368" s="15">
        <v>1954</v>
      </c>
      <c r="I1368" s="15">
        <v>0.2</v>
      </c>
      <c r="J1368" s="6" t="s">
        <v>1516</v>
      </c>
      <c r="K1368" s="15">
        <v>216</v>
      </c>
      <c r="L1368" s="15" t="s">
        <v>116</v>
      </c>
      <c r="M1368" s="15" t="s">
        <v>5</v>
      </c>
      <c r="N1368" s="11" t="s">
        <v>1384</v>
      </c>
      <c r="O1368" s="11" t="s">
        <v>28</v>
      </c>
      <c r="P1368" s="11" t="s">
        <v>33</v>
      </c>
      <c r="Q1368" s="15">
        <v>0</v>
      </c>
      <c r="R1368" s="11" t="s">
        <v>1386</v>
      </c>
      <c r="S1368" s="10">
        <v>137.12321826657001</v>
      </c>
      <c r="T1368" s="15">
        <v>80</v>
      </c>
      <c r="U1368" s="15">
        <v>0</v>
      </c>
      <c r="V1368" s="15">
        <v>1</v>
      </c>
      <c r="W1368" s="15">
        <v>0</v>
      </c>
      <c r="X1368" s="15">
        <f>IF(O1368='Udvaskning nøgletal'!$D$65,1,IF(O1368='Udvaskning nøgletal'!$D$66,2,IF(O1368='Udvaskning nøgletal'!$D$67,3,IF(O1368='Udvaskning nøgletal'!$D$68,2,""))))</f>
        <v>1</v>
      </c>
      <c r="Y1368" s="15">
        <f>LOOKUP(K1368,'Udvaskning nøgletal'!$C$12:$C$60,'Udvaskning nøgletal'!$H$12:$H$60)</f>
        <v>0</v>
      </c>
      <c r="Z1368" s="10">
        <f>IF(X1368=1,LOOKUP(K1368,'Udvaskning nøgletal'!$C$12:$C$60,'Udvaskning nøgletal'!$E$12:$E$60)+Markniveau!Y1368*Markniveau!S1368/100,IF(X1368=2,LOOKUP(K1368,'Udvaskning nøgletal'!$C$12:$C$60,'Udvaskning nøgletal'!$F$12:$F$60)+Markniveau!Y1368*Markniveau!S1368/100,IF(X1368=3,LOOKUP(K1368,'Udvaskning nøgletal'!$C$12:$C$60,'Udvaskning nøgletal'!G1378:G1426)+Markniveau!Y1368*Markniveau!S1368/100,"")))</f>
        <v>125.85383557148924</v>
      </c>
      <c r="AA1368" s="10">
        <f t="shared" si="216"/>
        <v>25.170767114297849</v>
      </c>
      <c r="AB1368" s="10" t="str">
        <f t="shared" si="215"/>
        <v/>
      </c>
      <c r="AC1368" s="10" t="str">
        <f t="shared" si="217"/>
        <v/>
      </c>
      <c r="AD1368" s="10">
        <f>IF(AND(Q1368&gt;0,Q1368&lt;30,K1368&lt;8),Markniveau!Z1368*'Udvaskning nøgletal'!$I$12/100,IF(AND(Q1368&gt;0,Q1368&lt;30,K1368=216),Markniveau!Z1368*'Udvaskning nøgletal'!$I$34/100,Markniveau!Z1368))</f>
        <v>125.85383557148924</v>
      </c>
      <c r="AE1368" s="10">
        <f t="shared" si="223"/>
        <v>25.170767114297849</v>
      </c>
      <c r="AF1368" s="10" t="str">
        <f t="shared" si="218"/>
        <v/>
      </c>
      <c r="AG1368" s="10" t="str">
        <f t="shared" si="224"/>
        <v/>
      </c>
      <c r="AH1368" s="10" t="str">
        <f>IF(AND(Q1368&gt;0,Q1368&lt;30,K1368=216),'Udvaskning nøgletal'!$C$42,IF(AND(Q1368&gt;0,Q1368&lt;30,K1368&gt;7,K1368&lt;17),'Udvaskning nøgletal'!$C$61,IF(AND(Q1368&gt;0,Q1368&lt;30,K1368&lt;7),'Udvaskning nøgletal'!$C$62,"")))</f>
        <v/>
      </c>
      <c r="AI1368" s="10">
        <f t="shared" si="220"/>
        <v>216</v>
      </c>
      <c r="AJ1368" s="10">
        <f>IF($X1368=1,LOOKUP(AI1368,'Udvaskning nøgletal'!$C$12:$C$62,'Udvaskning nøgletal'!$E$12:$E$62)+Markniveau!$Y1368*Markniveau!$S1368/100,IF($X1368=2,LOOKUP(AI1368,'Udvaskning nøgletal'!$C$12:$C$62,'Udvaskning nøgletal'!$F$12:$F$62)+Markniveau!$Y1368*Markniveau!$S1368/100,IF($X1368=3,LOOKUP(AI1368,'Udvaskning nøgletal'!$C$12:$C$62,'Udvaskning nøgletal'!Q1378:Q1428)+Markniveau!$Y1368*Markniveau!$S1368/100,"")))</f>
        <v>125.85383557148924</v>
      </c>
      <c r="AK1368" s="10">
        <f t="shared" si="219"/>
        <v>25.170767114297849</v>
      </c>
      <c r="AL1368" s="10" t="str">
        <f t="shared" si="221"/>
        <v/>
      </c>
      <c r="AM1368" s="10" t="str">
        <f t="shared" si="222"/>
        <v/>
      </c>
    </row>
    <row r="1369" spans="1:39" x14ac:dyDescent="0.25">
      <c r="A1369" s="15">
        <v>64488414</v>
      </c>
      <c r="B1369" s="15">
        <v>20.73</v>
      </c>
      <c r="C1369" s="15">
        <v>244210</v>
      </c>
      <c r="D1369" s="15">
        <v>53992</v>
      </c>
      <c r="E1369" s="15" t="s">
        <v>1179</v>
      </c>
      <c r="F1369" s="15">
        <v>2011</v>
      </c>
      <c r="G1369" s="15">
        <v>20110419</v>
      </c>
      <c r="H1369" s="15">
        <v>6513</v>
      </c>
      <c r="I1369" s="15">
        <v>0.65</v>
      </c>
      <c r="J1369" s="6" t="s">
        <v>137</v>
      </c>
      <c r="K1369" s="15">
        <v>263</v>
      </c>
      <c r="L1369" s="15" t="s">
        <v>39</v>
      </c>
      <c r="M1369" s="15" t="s">
        <v>5</v>
      </c>
      <c r="N1369" s="11" t="s">
        <v>1384</v>
      </c>
      <c r="O1369" s="11" t="s">
        <v>28</v>
      </c>
      <c r="P1369" s="11" t="s">
        <v>33</v>
      </c>
      <c r="Q1369" s="15">
        <v>0</v>
      </c>
      <c r="R1369" s="11" t="s">
        <v>1386</v>
      </c>
      <c r="S1369" s="10">
        <v>137.12321826657001</v>
      </c>
      <c r="T1369" s="15">
        <v>80</v>
      </c>
      <c r="U1369" s="15">
        <v>0</v>
      </c>
      <c r="V1369" s="15">
        <v>1</v>
      </c>
      <c r="W1369" s="15">
        <v>0</v>
      </c>
      <c r="X1369" s="15">
        <f>IF(O1369='Udvaskning nøgletal'!$D$65,1,IF(O1369='Udvaskning nøgletal'!$D$66,2,IF(O1369='Udvaskning nøgletal'!$D$67,3,IF(O1369='Udvaskning nøgletal'!$D$68,2,""))))</f>
        <v>1</v>
      </c>
      <c r="Y1369" s="15">
        <f>LOOKUP(K1369,'Udvaskning nøgletal'!$C$12:$C$60,'Udvaskning nøgletal'!$H$12:$H$60)</f>
        <v>0</v>
      </c>
      <c r="Z1369" s="10">
        <f>IF(X1369=1,LOOKUP(K1369,'Udvaskning nøgletal'!$C$12:$C$60,'Udvaskning nøgletal'!$E$12:$E$60)+Markniveau!Y1369*Markniveau!S1369/100,IF(X1369=2,LOOKUP(K1369,'Udvaskning nøgletal'!$C$12:$C$60,'Udvaskning nøgletal'!$F$12:$F$60)+Markniveau!Y1369*Markniveau!S1369/100,IF(X1369=3,LOOKUP(K1369,'Udvaskning nøgletal'!$C$12:$C$60,'Udvaskning nøgletal'!G1379:G1427)+Markniveau!Y1369*Markniveau!S1369/100,"")))</f>
        <v>33.723295792149436</v>
      </c>
      <c r="AA1369" s="10">
        <f t="shared" si="216"/>
        <v>21.920142264897134</v>
      </c>
      <c r="AB1369" s="10" t="str">
        <f t="shared" si="215"/>
        <v/>
      </c>
      <c r="AC1369" s="10" t="str">
        <f t="shared" si="217"/>
        <v/>
      </c>
      <c r="AD1369" s="10">
        <f>IF(AND(Q1369&gt;0,Q1369&lt;30,K1369&lt;8),Markniveau!Z1369*'Udvaskning nøgletal'!$I$12/100,IF(AND(Q1369&gt;0,Q1369&lt;30,K1369=216),Markniveau!Z1369*'Udvaskning nøgletal'!$I$34/100,Markniveau!Z1369))</f>
        <v>33.723295792149436</v>
      </c>
      <c r="AE1369" s="10">
        <f t="shared" si="223"/>
        <v>21.920142264897134</v>
      </c>
      <c r="AF1369" s="10" t="str">
        <f t="shared" si="218"/>
        <v/>
      </c>
      <c r="AG1369" s="10" t="str">
        <f t="shared" si="224"/>
        <v/>
      </c>
      <c r="AH1369" s="10" t="str">
        <f>IF(AND(Q1369&gt;0,Q1369&lt;30,K1369=216),'Udvaskning nøgletal'!$C$42,IF(AND(Q1369&gt;0,Q1369&lt;30,K1369&gt;7,K1369&lt;17),'Udvaskning nøgletal'!$C$61,IF(AND(Q1369&gt;0,Q1369&lt;30,K1369&lt;7),'Udvaskning nøgletal'!$C$62,"")))</f>
        <v/>
      </c>
      <c r="AI1369" s="10">
        <f t="shared" si="220"/>
        <v>263</v>
      </c>
      <c r="AJ1369" s="10">
        <f>IF($X1369=1,LOOKUP(AI1369,'Udvaskning nøgletal'!$C$12:$C$62,'Udvaskning nøgletal'!$E$12:$E$62)+Markniveau!$Y1369*Markniveau!$S1369/100,IF($X1369=2,LOOKUP(AI1369,'Udvaskning nøgletal'!$C$12:$C$62,'Udvaskning nøgletal'!$F$12:$F$62)+Markniveau!$Y1369*Markniveau!$S1369/100,IF($X1369=3,LOOKUP(AI1369,'Udvaskning nøgletal'!$C$12:$C$62,'Udvaskning nøgletal'!Q1379:Q1429)+Markniveau!$Y1369*Markniveau!$S1369/100,"")))</f>
        <v>33.723295792149436</v>
      </c>
      <c r="AK1369" s="10">
        <f t="shared" si="219"/>
        <v>21.920142264897134</v>
      </c>
      <c r="AL1369" s="10" t="str">
        <f t="shared" si="221"/>
        <v/>
      </c>
      <c r="AM1369" s="10" t="str">
        <f t="shared" si="222"/>
        <v/>
      </c>
    </row>
    <row r="1370" spans="1:39" x14ac:dyDescent="0.25">
      <c r="A1370" s="15">
        <v>64488414</v>
      </c>
      <c r="B1370" s="15">
        <v>20.73</v>
      </c>
      <c r="C1370" s="15">
        <v>244690</v>
      </c>
      <c r="D1370" s="15">
        <v>53992</v>
      </c>
      <c r="E1370" s="15" t="s">
        <v>1179</v>
      </c>
      <c r="F1370" s="15">
        <v>2011</v>
      </c>
      <c r="G1370" s="15">
        <v>20110419</v>
      </c>
      <c r="H1370" s="15">
        <v>86977</v>
      </c>
      <c r="I1370" s="15">
        <v>8.6999999999999993</v>
      </c>
      <c r="J1370" s="6" t="s">
        <v>26</v>
      </c>
      <c r="K1370" s="15">
        <v>216</v>
      </c>
      <c r="L1370" s="15" t="s">
        <v>116</v>
      </c>
      <c r="M1370" s="15" t="s">
        <v>5</v>
      </c>
      <c r="N1370" s="11" t="s">
        <v>1384</v>
      </c>
      <c r="O1370" s="11" t="s">
        <v>28</v>
      </c>
      <c r="P1370" s="11" t="s">
        <v>33</v>
      </c>
      <c r="Q1370" s="15">
        <v>0</v>
      </c>
      <c r="R1370" s="11" t="s">
        <v>1386</v>
      </c>
      <c r="S1370" s="10">
        <v>137.12321826657001</v>
      </c>
      <c r="T1370" s="15">
        <v>80</v>
      </c>
      <c r="U1370" s="15">
        <v>0</v>
      </c>
      <c r="V1370" s="15">
        <v>1</v>
      </c>
      <c r="W1370" s="15">
        <v>0</v>
      </c>
      <c r="X1370" s="15">
        <f>IF(O1370='Udvaskning nøgletal'!$D$65,1,IF(O1370='Udvaskning nøgletal'!$D$66,2,IF(O1370='Udvaskning nøgletal'!$D$67,3,IF(O1370='Udvaskning nøgletal'!$D$68,2,""))))</f>
        <v>1</v>
      </c>
      <c r="Y1370" s="15">
        <f>LOOKUP(K1370,'Udvaskning nøgletal'!$C$12:$C$60,'Udvaskning nøgletal'!$H$12:$H$60)</f>
        <v>0</v>
      </c>
      <c r="Z1370" s="10">
        <f>IF(X1370=1,LOOKUP(K1370,'Udvaskning nøgletal'!$C$12:$C$60,'Udvaskning nøgletal'!$E$12:$E$60)+Markniveau!Y1370*Markniveau!S1370/100,IF(X1370=2,LOOKUP(K1370,'Udvaskning nøgletal'!$C$12:$C$60,'Udvaskning nøgletal'!$F$12:$F$60)+Markniveau!Y1370*Markniveau!S1370/100,IF(X1370=3,LOOKUP(K1370,'Udvaskning nøgletal'!$C$12:$C$60,'Udvaskning nøgletal'!G1380:G1428)+Markniveau!Y1370*Markniveau!S1370/100,"")))</f>
        <v>125.85383557148924</v>
      </c>
      <c r="AA1370" s="10">
        <f t="shared" si="216"/>
        <v>1094.9283694719563</v>
      </c>
      <c r="AB1370" s="10" t="str">
        <f t="shared" si="215"/>
        <v/>
      </c>
      <c r="AC1370" s="10" t="str">
        <f t="shared" si="217"/>
        <v/>
      </c>
      <c r="AD1370" s="10">
        <f>IF(AND(Q1370&gt;0,Q1370&lt;30,K1370&lt;8),Markniveau!Z1370*'Udvaskning nøgletal'!$I$12/100,IF(AND(Q1370&gt;0,Q1370&lt;30,K1370=216),Markniveau!Z1370*'Udvaskning nøgletal'!$I$34/100,Markniveau!Z1370))</f>
        <v>125.85383557148924</v>
      </c>
      <c r="AE1370" s="10">
        <f t="shared" si="223"/>
        <v>1094.9283694719563</v>
      </c>
      <c r="AF1370" s="10" t="str">
        <f t="shared" si="218"/>
        <v/>
      </c>
      <c r="AG1370" s="10" t="str">
        <f t="shared" si="224"/>
        <v/>
      </c>
      <c r="AH1370" s="10" t="str">
        <f>IF(AND(Q1370&gt;0,Q1370&lt;30,K1370=216),'Udvaskning nøgletal'!$C$42,IF(AND(Q1370&gt;0,Q1370&lt;30,K1370&gt;7,K1370&lt;17),'Udvaskning nøgletal'!$C$61,IF(AND(Q1370&gt;0,Q1370&lt;30,K1370&lt;7),'Udvaskning nøgletal'!$C$62,"")))</f>
        <v/>
      </c>
      <c r="AI1370" s="10">
        <f t="shared" si="220"/>
        <v>216</v>
      </c>
      <c r="AJ1370" s="10">
        <f>IF($X1370=1,LOOKUP(AI1370,'Udvaskning nøgletal'!$C$12:$C$62,'Udvaskning nøgletal'!$E$12:$E$62)+Markniveau!$Y1370*Markniveau!$S1370/100,IF($X1370=2,LOOKUP(AI1370,'Udvaskning nøgletal'!$C$12:$C$62,'Udvaskning nøgletal'!$F$12:$F$62)+Markniveau!$Y1370*Markniveau!$S1370/100,IF($X1370=3,LOOKUP(AI1370,'Udvaskning nøgletal'!$C$12:$C$62,'Udvaskning nøgletal'!Q1380:Q1430)+Markniveau!$Y1370*Markniveau!$S1370/100,"")))</f>
        <v>125.85383557148924</v>
      </c>
      <c r="AK1370" s="10">
        <f t="shared" si="219"/>
        <v>1094.9283694719563</v>
      </c>
      <c r="AL1370" s="10" t="str">
        <f t="shared" si="221"/>
        <v/>
      </c>
      <c r="AM1370" s="10" t="str">
        <f t="shared" si="222"/>
        <v/>
      </c>
    </row>
    <row r="1371" spans="1:39" x14ac:dyDescent="0.25">
      <c r="A1371" s="15">
        <v>64488414</v>
      </c>
      <c r="B1371" s="15">
        <v>20.73</v>
      </c>
      <c r="C1371" s="15">
        <v>300861</v>
      </c>
      <c r="D1371" s="15">
        <v>53992</v>
      </c>
      <c r="E1371" s="15" t="s">
        <v>1181</v>
      </c>
      <c r="F1371" s="15">
        <v>2011</v>
      </c>
      <c r="G1371" s="15">
        <v>20110420</v>
      </c>
      <c r="H1371" s="15">
        <v>1387</v>
      </c>
      <c r="I1371" s="15">
        <v>0.14000000000000001</v>
      </c>
      <c r="J1371" s="6" t="s">
        <v>1182</v>
      </c>
      <c r="K1371" s="15">
        <v>216</v>
      </c>
      <c r="L1371" s="15" t="s">
        <v>116</v>
      </c>
      <c r="M1371" s="15" t="s">
        <v>5</v>
      </c>
      <c r="N1371" s="11" t="s">
        <v>1384</v>
      </c>
      <c r="O1371" s="11" t="s">
        <v>28</v>
      </c>
      <c r="P1371" s="11" t="s">
        <v>33</v>
      </c>
      <c r="Q1371" s="15">
        <v>0</v>
      </c>
      <c r="R1371" s="11" t="s">
        <v>1386</v>
      </c>
      <c r="S1371" s="10">
        <v>137.12321826657001</v>
      </c>
      <c r="T1371" s="15">
        <v>80</v>
      </c>
      <c r="U1371" s="15">
        <v>0</v>
      </c>
      <c r="V1371" s="15">
        <v>1</v>
      </c>
      <c r="W1371" s="15">
        <v>0</v>
      </c>
      <c r="X1371" s="15">
        <f>IF(O1371='Udvaskning nøgletal'!$D$65,1,IF(O1371='Udvaskning nøgletal'!$D$66,2,IF(O1371='Udvaskning nøgletal'!$D$67,3,IF(O1371='Udvaskning nøgletal'!$D$68,2,""))))</f>
        <v>1</v>
      </c>
      <c r="Y1371" s="15">
        <f>LOOKUP(K1371,'Udvaskning nøgletal'!$C$12:$C$60,'Udvaskning nøgletal'!$H$12:$H$60)</f>
        <v>0</v>
      </c>
      <c r="Z1371" s="10">
        <f>IF(X1371=1,LOOKUP(K1371,'Udvaskning nøgletal'!$C$12:$C$60,'Udvaskning nøgletal'!$E$12:$E$60)+Markniveau!Y1371*Markniveau!S1371/100,IF(X1371=2,LOOKUP(K1371,'Udvaskning nøgletal'!$C$12:$C$60,'Udvaskning nøgletal'!$F$12:$F$60)+Markniveau!Y1371*Markniveau!S1371/100,IF(X1371=3,LOOKUP(K1371,'Udvaskning nøgletal'!$C$12:$C$60,'Udvaskning nøgletal'!G1381:G1429)+Markniveau!Y1371*Markniveau!S1371/100,"")))</f>
        <v>125.85383557148924</v>
      </c>
      <c r="AA1371" s="10">
        <f t="shared" si="216"/>
        <v>17.619536980008494</v>
      </c>
      <c r="AB1371" s="10" t="str">
        <f t="shared" si="215"/>
        <v/>
      </c>
      <c r="AC1371" s="10" t="str">
        <f t="shared" si="217"/>
        <v/>
      </c>
      <c r="AD1371" s="10">
        <f>IF(AND(Q1371&gt;0,Q1371&lt;30,K1371&lt;8),Markniveau!Z1371*'Udvaskning nøgletal'!$I$12/100,IF(AND(Q1371&gt;0,Q1371&lt;30,K1371=216),Markniveau!Z1371*'Udvaskning nøgletal'!$I$34/100,Markniveau!Z1371))</f>
        <v>125.85383557148924</v>
      </c>
      <c r="AE1371" s="10">
        <f t="shared" si="223"/>
        <v>17.619536980008494</v>
      </c>
      <c r="AF1371" s="10" t="str">
        <f t="shared" si="218"/>
        <v/>
      </c>
      <c r="AG1371" s="10" t="str">
        <f t="shared" si="224"/>
        <v/>
      </c>
      <c r="AH1371" s="10" t="str">
        <f>IF(AND(Q1371&gt;0,Q1371&lt;30,K1371=216),'Udvaskning nøgletal'!$C$42,IF(AND(Q1371&gt;0,Q1371&lt;30,K1371&gt;7,K1371&lt;17),'Udvaskning nøgletal'!$C$61,IF(AND(Q1371&gt;0,Q1371&lt;30,K1371&lt;7),'Udvaskning nøgletal'!$C$62,"")))</f>
        <v/>
      </c>
      <c r="AI1371" s="10">
        <f t="shared" si="220"/>
        <v>216</v>
      </c>
      <c r="AJ1371" s="10">
        <f>IF($X1371=1,LOOKUP(AI1371,'Udvaskning nøgletal'!$C$12:$C$62,'Udvaskning nøgletal'!$E$12:$E$62)+Markniveau!$Y1371*Markniveau!$S1371/100,IF($X1371=2,LOOKUP(AI1371,'Udvaskning nøgletal'!$C$12:$C$62,'Udvaskning nøgletal'!$F$12:$F$62)+Markniveau!$Y1371*Markniveau!$S1371/100,IF($X1371=3,LOOKUP(AI1371,'Udvaskning nøgletal'!$C$12:$C$62,'Udvaskning nøgletal'!Q1381:Q1431)+Markniveau!$Y1371*Markniveau!$S1371/100,"")))</f>
        <v>125.85383557148924</v>
      </c>
      <c r="AK1371" s="10">
        <f t="shared" si="219"/>
        <v>17.619536980008494</v>
      </c>
      <c r="AL1371" s="10" t="str">
        <f t="shared" si="221"/>
        <v/>
      </c>
      <c r="AM1371" s="10" t="str">
        <f t="shared" si="222"/>
        <v/>
      </c>
    </row>
    <row r="1372" spans="1:39" x14ac:dyDescent="0.25">
      <c r="A1372" s="15">
        <v>64488414</v>
      </c>
      <c r="B1372" s="15">
        <v>20.73</v>
      </c>
      <c r="C1372" s="15">
        <v>310879</v>
      </c>
      <c r="D1372" s="15">
        <v>53992</v>
      </c>
      <c r="E1372" s="15" t="s">
        <v>1183</v>
      </c>
      <c r="F1372" s="15">
        <v>2011</v>
      </c>
      <c r="G1372" s="15">
        <v>20110420</v>
      </c>
      <c r="H1372" s="15">
        <v>42300</v>
      </c>
      <c r="I1372" s="15">
        <v>4.2300000000000004</v>
      </c>
      <c r="J1372" s="6" t="s">
        <v>186</v>
      </c>
      <c r="K1372" s="15">
        <v>260</v>
      </c>
      <c r="L1372" s="15" t="s">
        <v>45</v>
      </c>
      <c r="M1372" s="15" t="s">
        <v>5</v>
      </c>
      <c r="N1372" s="11" t="s">
        <v>1384</v>
      </c>
      <c r="O1372" s="11" t="s">
        <v>28</v>
      </c>
      <c r="P1372" s="11" t="s">
        <v>33</v>
      </c>
      <c r="Q1372" s="15">
        <v>0</v>
      </c>
      <c r="R1372" s="11" t="s">
        <v>1386</v>
      </c>
      <c r="S1372" s="10">
        <v>137.12321826657001</v>
      </c>
      <c r="T1372" s="15">
        <v>80</v>
      </c>
      <c r="U1372" s="15">
        <v>0</v>
      </c>
      <c r="V1372" s="15">
        <v>1</v>
      </c>
      <c r="W1372" s="15">
        <v>0</v>
      </c>
      <c r="X1372" s="15">
        <f>IF(O1372='Udvaskning nøgletal'!$D$65,1,IF(O1372='Udvaskning nøgletal'!$D$66,2,IF(O1372='Udvaskning nøgletal'!$D$67,3,IF(O1372='Udvaskning nøgletal'!$D$68,2,""))))</f>
        <v>1</v>
      </c>
      <c r="Y1372" s="15">
        <f>LOOKUP(K1372,'Udvaskning nøgletal'!$C$12:$C$60,'Udvaskning nøgletal'!$H$12:$H$60)</f>
        <v>0</v>
      </c>
      <c r="Z1372" s="10">
        <f>IF(X1372=1,LOOKUP(K1372,'Udvaskning nøgletal'!$C$12:$C$60,'Udvaskning nøgletal'!$E$12:$E$60)+Markniveau!Y1372*Markniveau!S1372/100,IF(X1372=2,LOOKUP(K1372,'Udvaskning nøgletal'!$C$12:$C$60,'Udvaskning nøgletal'!$F$12:$F$60)+Markniveau!Y1372*Markniveau!S1372/100,IF(X1372=3,LOOKUP(K1372,'Udvaskning nøgletal'!$C$12:$C$60,'Udvaskning nøgletal'!G1382:G1430)+Markniveau!Y1372*Markniveau!S1372/100,"")))</f>
        <v>33.723295792149436</v>
      </c>
      <c r="AA1372" s="10">
        <f t="shared" si="216"/>
        <v>142.64954120079213</v>
      </c>
      <c r="AB1372" s="10" t="str">
        <f t="shared" si="215"/>
        <v/>
      </c>
      <c r="AC1372" s="10" t="str">
        <f t="shared" si="217"/>
        <v/>
      </c>
      <c r="AD1372" s="10">
        <f>IF(AND(Q1372&gt;0,Q1372&lt;30,K1372&lt;8),Markniveau!Z1372*'Udvaskning nøgletal'!$I$12/100,IF(AND(Q1372&gt;0,Q1372&lt;30,K1372=216),Markniveau!Z1372*'Udvaskning nøgletal'!$I$34/100,Markniveau!Z1372))</f>
        <v>33.723295792149436</v>
      </c>
      <c r="AE1372" s="10">
        <f t="shared" si="223"/>
        <v>142.64954120079213</v>
      </c>
      <c r="AF1372" s="10" t="str">
        <f t="shared" si="218"/>
        <v/>
      </c>
      <c r="AG1372" s="10" t="str">
        <f t="shared" si="224"/>
        <v/>
      </c>
      <c r="AH1372" s="10" t="str">
        <f>IF(AND(Q1372&gt;0,Q1372&lt;30,K1372=216),'Udvaskning nøgletal'!$C$42,IF(AND(Q1372&gt;0,Q1372&lt;30,K1372&gt;7,K1372&lt;17),'Udvaskning nøgletal'!$C$61,IF(AND(Q1372&gt;0,Q1372&lt;30,K1372&lt;7),'Udvaskning nøgletal'!$C$62,"")))</f>
        <v/>
      </c>
      <c r="AI1372" s="10">
        <f t="shared" si="220"/>
        <v>260</v>
      </c>
      <c r="AJ1372" s="10">
        <f>IF($X1372=1,LOOKUP(AI1372,'Udvaskning nøgletal'!$C$12:$C$62,'Udvaskning nøgletal'!$E$12:$E$62)+Markniveau!$Y1372*Markniveau!$S1372/100,IF($X1372=2,LOOKUP(AI1372,'Udvaskning nøgletal'!$C$12:$C$62,'Udvaskning nøgletal'!$F$12:$F$62)+Markniveau!$Y1372*Markniveau!$S1372/100,IF($X1372=3,LOOKUP(AI1372,'Udvaskning nøgletal'!$C$12:$C$62,'Udvaskning nøgletal'!Q1382:Q1432)+Markniveau!$Y1372*Markniveau!$S1372/100,"")))</f>
        <v>33.723295792149436</v>
      </c>
      <c r="AK1372" s="10">
        <f t="shared" si="219"/>
        <v>142.64954120079213</v>
      </c>
      <c r="AL1372" s="10" t="str">
        <f t="shared" si="221"/>
        <v/>
      </c>
      <c r="AM1372" s="10" t="str">
        <f t="shared" si="222"/>
        <v/>
      </c>
    </row>
    <row r="1373" spans="1:39" x14ac:dyDescent="0.25">
      <c r="A1373" s="15">
        <v>64488414</v>
      </c>
      <c r="B1373" s="15">
        <v>20.73</v>
      </c>
      <c r="C1373" s="15">
        <v>345534</v>
      </c>
      <c r="D1373" s="15">
        <v>53992</v>
      </c>
      <c r="E1373" s="15" t="s">
        <v>1183</v>
      </c>
      <c r="F1373" s="15">
        <v>2011</v>
      </c>
      <c r="G1373" s="15">
        <v>20110420</v>
      </c>
      <c r="H1373" s="15">
        <v>13116</v>
      </c>
      <c r="I1373" s="15">
        <v>1.31</v>
      </c>
      <c r="J1373" s="6" t="s">
        <v>134</v>
      </c>
      <c r="K1373" s="15">
        <v>260</v>
      </c>
      <c r="L1373" s="15" t="s">
        <v>45</v>
      </c>
      <c r="M1373" s="15" t="s">
        <v>5</v>
      </c>
      <c r="N1373" s="11" t="s">
        <v>1384</v>
      </c>
      <c r="O1373" s="11" t="s">
        <v>28</v>
      </c>
      <c r="P1373" s="11" t="s">
        <v>33</v>
      </c>
      <c r="Q1373" s="15">
        <v>0</v>
      </c>
      <c r="R1373" s="11" t="s">
        <v>1386</v>
      </c>
      <c r="S1373" s="10">
        <v>137.12321826657001</v>
      </c>
      <c r="T1373" s="15">
        <v>80</v>
      </c>
      <c r="U1373" s="15">
        <v>0</v>
      </c>
      <c r="V1373" s="15">
        <v>1</v>
      </c>
      <c r="W1373" s="15">
        <v>0</v>
      </c>
      <c r="X1373" s="15">
        <f>IF(O1373='Udvaskning nøgletal'!$D$65,1,IF(O1373='Udvaskning nøgletal'!$D$66,2,IF(O1373='Udvaskning nøgletal'!$D$67,3,IF(O1373='Udvaskning nøgletal'!$D$68,2,""))))</f>
        <v>1</v>
      </c>
      <c r="Y1373" s="15">
        <f>LOOKUP(K1373,'Udvaskning nøgletal'!$C$12:$C$60,'Udvaskning nøgletal'!$H$12:$H$60)</f>
        <v>0</v>
      </c>
      <c r="Z1373" s="10">
        <f>IF(X1373=1,LOOKUP(K1373,'Udvaskning nøgletal'!$C$12:$C$60,'Udvaskning nøgletal'!$E$12:$E$60)+Markniveau!Y1373*Markniveau!S1373/100,IF(X1373=2,LOOKUP(K1373,'Udvaskning nøgletal'!$C$12:$C$60,'Udvaskning nøgletal'!$F$12:$F$60)+Markniveau!Y1373*Markniveau!S1373/100,IF(X1373=3,LOOKUP(K1373,'Udvaskning nøgletal'!$C$12:$C$60,'Udvaskning nøgletal'!G1383:G1431)+Markniveau!Y1373*Markniveau!S1373/100,"")))</f>
        <v>33.723295792149436</v>
      </c>
      <c r="AA1373" s="10">
        <f t="shared" si="216"/>
        <v>44.177517487715761</v>
      </c>
      <c r="AB1373" s="10" t="str">
        <f t="shared" si="215"/>
        <v/>
      </c>
      <c r="AC1373" s="10" t="str">
        <f t="shared" si="217"/>
        <v/>
      </c>
      <c r="AD1373" s="10">
        <f>IF(AND(Q1373&gt;0,Q1373&lt;30,K1373&lt;8),Markniveau!Z1373*'Udvaskning nøgletal'!$I$12/100,IF(AND(Q1373&gt;0,Q1373&lt;30,K1373=216),Markniveau!Z1373*'Udvaskning nøgletal'!$I$34/100,Markniveau!Z1373))</f>
        <v>33.723295792149436</v>
      </c>
      <c r="AE1373" s="10">
        <f t="shared" si="223"/>
        <v>44.177517487715761</v>
      </c>
      <c r="AF1373" s="10" t="str">
        <f t="shared" si="218"/>
        <v/>
      </c>
      <c r="AG1373" s="10" t="str">
        <f t="shared" si="224"/>
        <v/>
      </c>
      <c r="AH1373" s="10" t="str">
        <f>IF(AND(Q1373&gt;0,Q1373&lt;30,K1373=216),'Udvaskning nøgletal'!$C$42,IF(AND(Q1373&gt;0,Q1373&lt;30,K1373&gt;7,K1373&lt;17),'Udvaskning nøgletal'!$C$61,IF(AND(Q1373&gt;0,Q1373&lt;30,K1373&lt;7),'Udvaskning nøgletal'!$C$62,"")))</f>
        <v/>
      </c>
      <c r="AI1373" s="10">
        <f t="shared" si="220"/>
        <v>260</v>
      </c>
      <c r="AJ1373" s="10">
        <f>IF($X1373=1,LOOKUP(AI1373,'Udvaskning nøgletal'!$C$12:$C$62,'Udvaskning nøgletal'!$E$12:$E$62)+Markniveau!$Y1373*Markniveau!$S1373/100,IF($X1373=2,LOOKUP(AI1373,'Udvaskning nøgletal'!$C$12:$C$62,'Udvaskning nøgletal'!$F$12:$F$62)+Markniveau!$Y1373*Markniveau!$S1373/100,IF($X1373=3,LOOKUP(AI1373,'Udvaskning nøgletal'!$C$12:$C$62,'Udvaskning nøgletal'!Q1383:Q1433)+Markniveau!$Y1373*Markniveau!$S1373/100,"")))</f>
        <v>33.723295792149436</v>
      </c>
      <c r="AK1373" s="10">
        <f t="shared" si="219"/>
        <v>44.177517487715761</v>
      </c>
      <c r="AL1373" s="10" t="str">
        <f t="shared" si="221"/>
        <v/>
      </c>
      <c r="AM1373" s="10" t="str">
        <f t="shared" si="222"/>
        <v/>
      </c>
    </row>
    <row r="1374" spans="1:39" x14ac:dyDescent="0.25">
      <c r="A1374" s="15">
        <v>64488414</v>
      </c>
      <c r="B1374" s="15">
        <v>20.73</v>
      </c>
      <c r="C1374" s="15">
        <v>418806</v>
      </c>
      <c r="D1374" s="15">
        <v>53992</v>
      </c>
      <c r="E1374" s="15" t="s">
        <v>1179</v>
      </c>
      <c r="F1374" s="15">
        <v>2011</v>
      </c>
      <c r="G1374" s="15">
        <v>20110419</v>
      </c>
      <c r="H1374" s="15">
        <v>6060</v>
      </c>
      <c r="I1374" s="15">
        <v>0.61</v>
      </c>
      <c r="J1374" s="6" t="s">
        <v>1525</v>
      </c>
      <c r="K1374" s="15">
        <v>216</v>
      </c>
      <c r="L1374" s="15" t="s">
        <v>116</v>
      </c>
      <c r="M1374" s="15" t="s">
        <v>5</v>
      </c>
      <c r="N1374" s="11" t="s">
        <v>1384</v>
      </c>
      <c r="O1374" s="11" t="s">
        <v>28</v>
      </c>
      <c r="P1374" s="11" t="s">
        <v>33</v>
      </c>
      <c r="Q1374" s="15">
        <v>0</v>
      </c>
      <c r="R1374" s="11" t="s">
        <v>1386</v>
      </c>
      <c r="S1374" s="10">
        <v>137.12321826657001</v>
      </c>
      <c r="T1374" s="15">
        <v>80</v>
      </c>
      <c r="U1374" s="15">
        <v>0</v>
      </c>
      <c r="V1374" s="15">
        <v>1</v>
      </c>
      <c r="W1374" s="15">
        <v>0</v>
      </c>
      <c r="X1374" s="15">
        <f>IF(O1374='Udvaskning nøgletal'!$D$65,1,IF(O1374='Udvaskning nøgletal'!$D$66,2,IF(O1374='Udvaskning nøgletal'!$D$67,3,IF(O1374='Udvaskning nøgletal'!$D$68,2,""))))</f>
        <v>1</v>
      </c>
      <c r="Y1374" s="15">
        <f>LOOKUP(K1374,'Udvaskning nøgletal'!$C$12:$C$60,'Udvaskning nøgletal'!$H$12:$H$60)</f>
        <v>0</v>
      </c>
      <c r="Z1374" s="10">
        <f>IF(X1374=1,LOOKUP(K1374,'Udvaskning nøgletal'!$C$12:$C$60,'Udvaskning nøgletal'!$E$12:$E$60)+Markniveau!Y1374*Markniveau!S1374/100,IF(X1374=2,LOOKUP(K1374,'Udvaskning nøgletal'!$C$12:$C$60,'Udvaskning nøgletal'!$F$12:$F$60)+Markniveau!Y1374*Markniveau!S1374/100,IF(X1374=3,LOOKUP(K1374,'Udvaskning nøgletal'!$C$12:$C$60,'Udvaskning nøgletal'!G1384:G1432)+Markniveau!Y1374*Markniveau!S1374/100,"")))</f>
        <v>125.85383557148924</v>
      </c>
      <c r="AA1374" s="10">
        <f t="shared" si="216"/>
        <v>76.770839698608441</v>
      </c>
      <c r="AB1374" s="10" t="str">
        <f t="shared" si="215"/>
        <v/>
      </c>
      <c r="AC1374" s="10" t="str">
        <f t="shared" si="217"/>
        <v/>
      </c>
      <c r="AD1374" s="10">
        <f>IF(AND(Q1374&gt;0,Q1374&lt;30,K1374&lt;8),Markniveau!Z1374*'Udvaskning nøgletal'!$I$12/100,IF(AND(Q1374&gt;0,Q1374&lt;30,K1374=216),Markniveau!Z1374*'Udvaskning nøgletal'!$I$34/100,Markniveau!Z1374))</f>
        <v>125.85383557148924</v>
      </c>
      <c r="AE1374" s="10">
        <f t="shared" si="223"/>
        <v>76.770839698608441</v>
      </c>
      <c r="AF1374" s="10" t="str">
        <f t="shared" si="218"/>
        <v/>
      </c>
      <c r="AG1374" s="10" t="str">
        <f t="shared" si="224"/>
        <v/>
      </c>
      <c r="AH1374" s="10" t="str">
        <f>IF(AND(Q1374&gt;0,Q1374&lt;30,K1374=216),'Udvaskning nøgletal'!$C$42,IF(AND(Q1374&gt;0,Q1374&lt;30,K1374&gt;7,K1374&lt;17),'Udvaskning nøgletal'!$C$61,IF(AND(Q1374&gt;0,Q1374&lt;30,K1374&lt;7),'Udvaskning nøgletal'!$C$62,"")))</f>
        <v/>
      </c>
      <c r="AI1374" s="10">
        <f t="shared" si="220"/>
        <v>216</v>
      </c>
      <c r="AJ1374" s="10">
        <f>IF($X1374=1,LOOKUP(AI1374,'Udvaskning nøgletal'!$C$12:$C$62,'Udvaskning nøgletal'!$E$12:$E$62)+Markniveau!$Y1374*Markniveau!$S1374/100,IF($X1374=2,LOOKUP(AI1374,'Udvaskning nøgletal'!$C$12:$C$62,'Udvaskning nøgletal'!$F$12:$F$62)+Markniveau!$Y1374*Markniveau!$S1374/100,IF($X1374=3,LOOKUP(AI1374,'Udvaskning nøgletal'!$C$12:$C$62,'Udvaskning nøgletal'!Q1384:Q1434)+Markniveau!$Y1374*Markniveau!$S1374/100,"")))</f>
        <v>125.85383557148924</v>
      </c>
      <c r="AK1374" s="10">
        <f t="shared" si="219"/>
        <v>76.770839698608441</v>
      </c>
      <c r="AL1374" s="10" t="str">
        <f t="shared" si="221"/>
        <v/>
      </c>
      <c r="AM1374" s="10" t="str">
        <f t="shared" si="222"/>
        <v/>
      </c>
    </row>
    <row r="1375" spans="1:39" x14ac:dyDescent="0.25">
      <c r="A1375" s="15">
        <v>64488414</v>
      </c>
      <c r="B1375" s="15">
        <v>20.73</v>
      </c>
      <c r="C1375" s="15">
        <v>501911</v>
      </c>
      <c r="D1375" s="15">
        <v>53992</v>
      </c>
      <c r="E1375" s="15" t="s">
        <v>1184</v>
      </c>
      <c r="F1375" s="15">
        <v>2011</v>
      </c>
      <c r="G1375" s="15">
        <v>20110324</v>
      </c>
      <c r="H1375" s="15">
        <v>244152</v>
      </c>
      <c r="I1375" s="15">
        <v>24.42</v>
      </c>
      <c r="J1375" s="6" t="s">
        <v>1185</v>
      </c>
      <c r="K1375" s="15">
        <v>216</v>
      </c>
      <c r="L1375" s="15" t="s">
        <v>116</v>
      </c>
      <c r="M1375" s="15" t="s">
        <v>5</v>
      </c>
      <c r="N1375" s="11" t="s">
        <v>1384</v>
      </c>
      <c r="O1375" s="11" t="s">
        <v>28</v>
      </c>
      <c r="P1375" s="11" t="s">
        <v>33</v>
      </c>
      <c r="Q1375" s="15">
        <v>0</v>
      </c>
      <c r="R1375" s="11" t="s">
        <v>1386</v>
      </c>
      <c r="S1375" s="10">
        <v>137.12321826657001</v>
      </c>
      <c r="T1375" s="15">
        <v>80</v>
      </c>
      <c r="U1375" s="15">
        <v>0</v>
      </c>
      <c r="V1375" s="15">
        <v>1</v>
      </c>
      <c r="W1375" s="15">
        <v>0</v>
      </c>
      <c r="X1375" s="15">
        <f>IF(O1375='Udvaskning nøgletal'!$D$65,1,IF(O1375='Udvaskning nøgletal'!$D$66,2,IF(O1375='Udvaskning nøgletal'!$D$67,3,IF(O1375='Udvaskning nøgletal'!$D$68,2,""))))</f>
        <v>1</v>
      </c>
      <c r="Y1375" s="15">
        <f>LOOKUP(K1375,'Udvaskning nøgletal'!$C$12:$C$60,'Udvaskning nøgletal'!$H$12:$H$60)</f>
        <v>0</v>
      </c>
      <c r="Z1375" s="10">
        <f>IF(X1375=1,LOOKUP(K1375,'Udvaskning nøgletal'!$C$12:$C$60,'Udvaskning nøgletal'!$E$12:$E$60)+Markniveau!Y1375*Markniveau!S1375/100,IF(X1375=2,LOOKUP(K1375,'Udvaskning nøgletal'!$C$12:$C$60,'Udvaskning nøgletal'!$F$12:$F$60)+Markniveau!Y1375*Markniveau!S1375/100,IF(X1375=3,LOOKUP(K1375,'Udvaskning nøgletal'!$C$12:$C$60,'Udvaskning nøgletal'!G1385:G1433)+Markniveau!Y1375*Markniveau!S1375/100,"")))</f>
        <v>125.85383557148924</v>
      </c>
      <c r="AA1375" s="10">
        <f t="shared" si="216"/>
        <v>3073.3506646557676</v>
      </c>
      <c r="AB1375" s="10" t="str">
        <f t="shared" si="215"/>
        <v/>
      </c>
      <c r="AC1375" s="10" t="str">
        <f t="shared" si="217"/>
        <v/>
      </c>
      <c r="AD1375" s="10">
        <f>IF(AND(Q1375&gt;0,Q1375&lt;30,K1375&lt;8),Markniveau!Z1375*'Udvaskning nøgletal'!$I$12/100,IF(AND(Q1375&gt;0,Q1375&lt;30,K1375=216),Markniveau!Z1375*'Udvaskning nøgletal'!$I$34/100,Markniveau!Z1375))</f>
        <v>125.85383557148924</v>
      </c>
      <c r="AE1375" s="10">
        <f t="shared" si="223"/>
        <v>3073.3506646557676</v>
      </c>
      <c r="AF1375" s="10" t="str">
        <f t="shared" si="218"/>
        <v/>
      </c>
      <c r="AG1375" s="10" t="str">
        <f t="shared" si="224"/>
        <v/>
      </c>
      <c r="AH1375" s="10" t="str">
        <f>IF(AND(Q1375&gt;0,Q1375&lt;30,K1375=216),'Udvaskning nøgletal'!$C$42,IF(AND(Q1375&gt;0,Q1375&lt;30,K1375&gt;7,K1375&lt;17),'Udvaskning nøgletal'!$C$61,IF(AND(Q1375&gt;0,Q1375&lt;30,K1375&lt;7),'Udvaskning nøgletal'!$C$62,"")))</f>
        <v/>
      </c>
      <c r="AI1375" s="10">
        <f t="shared" si="220"/>
        <v>216</v>
      </c>
      <c r="AJ1375" s="10">
        <f>IF($X1375=1,LOOKUP(AI1375,'Udvaskning nøgletal'!$C$12:$C$62,'Udvaskning nøgletal'!$E$12:$E$62)+Markniveau!$Y1375*Markniveau!$S1375/100,IF($X1375=2,LOOKUP(AI1375,'Udvaskning nøgletal'!$C$12:$C$62,'Udvaskning nøgletal'!$F$12:$F$62)+Markniveau!$Y1375*Markniveau!$S1375/100,IF($X1375=3,LOOKUP(AI1375,'Udvaskning nøgletal'!$C$12:$C$62,'Udvaskning nøgletal'!Q1385:Q1435)+Markniveau!$Y1375*Markniveau!$S1375/100,"")))</f>
        <v>125.85383557148924</v>
      </c>
      <c r="AK1375" s="10">
        <f t="shared" si="219"/>
        <v>3073.3506646557676</v>
      </c>
      <c r="AL1375" s="10" t="str">
        <f t="shared" si="221"/>
        <v/>
      </c>
      <c r="AM1375" s="10" t="str">
        <f t="shared" si="222"/>
        <v/>
      </c>
    </row>
    <row r="1376" spans="1:39" x14ac:dyDescent="0.25">
      <c r="A1376" s="15">
        <v>64488414</v>
      </c>
      <c r="B1376" s="15">
        <v>20.73</v>
      </c>
      <c r="C1376" s="15">
        <v>611590</v>
      </c>
      <c r="D1376" s="15">
        <v>53992</v>
      </c>
      <c r="E1376" s="15" t="s">
        <v>1179</v>
      </c>
      <c r="F1376" s="15">
        <v>2011</v>
      </c>
      <c r="G1376" s="15">
        <v>20110419</v>
      </c>
      <c r="H1376" s="15">
        <v>19762</v>
      </c>
      <c r="I1376" s="15">
        <v>1.98</v>
      </c>
      <c r="J1376" s="6" t="s">
        <v>164</v>
      </c>
      <c r="K1376" s="15">
        <v>216</v>
      </c>
      <c r="L1376" s="15" t="s">
        <v>116</v>
      </c>
      <c r="M1376" s="15" t="s">
        <v>5</v>
      </c>
      <c r="N1376" s="11" t="s">
        <v>1384</v>
      </c>
      <c r="O1376" s="11" t="s">
        <v>28</v>
      </c>
      <c r="P1376" s="11" t="s">
        <v>33</v>
      </c>
      <c r="Q1376" s="15">
        <v>0</v>
      </c>
      <c r="R1376" s="11" t="s">
        <v>1386</v>
      </c>
      <c r="S1376" s="10">
        <v>137.12321826657001</v>
      </c>
      <c r="T1376" s="15">
        <v>80</v>
      </c>
      <c r="U1376" s="15">
        <v>0</v>
      </c>
      <c r="V1376" s="15">
        <v>1</v>
      </c>
      <c r="W1376" s="15">
        <v>0</v>
      </c>
      <c r="X1376" s="15">
        <f>IF(O1376='Udvaskning nøgletal'!$D$65,1,IF(O1376='Udvaskning nøgletal'!$D$66,2,IF(O1376='Udvaskning nøgletal'!$D$67,3,IF(O1376='Udvaskning nøgletal'!$D$68,2,""))))</f>
        <v>1</v>
      </c>
      <c r="Y1376" s="15">
        <f>LOOKUP(K1376,'Udvaskning nøgletal'!$C$12:$C$60,'Udvaskning nøgletal'!$H$12:$H$60)</f>
        <v>0</v>
      </c>
      <c r="Z1376" s="10">
        <f>IF(X1376=1,LOOKUP(K1376,'Udvaskning nøgletal'!$C$12:$C$60,'Udvaskning nøgletal'!$E$12:$E$60)+Markniveau!Y1376*Markniveau!S1376/100,IF(X1376=2,LOOKUP(K1376,'Udvaskning nøgletal'!$C$12:$C$60,'Udvaskning nøgletal'!$F$12:$F$60)+Markniveau!Y1376*Markniveau!S1376/100,IF(X1376=3,LOOKUP(K1376,'Udvaskning nøgletal'!$C$12:$C$60,'Udvaskning nøgletal'!G1386:G1434)+Markniveau!Y1376*Markniveau!S1376/100,"")))</f>
        <v>125.85383557148924</v>
      </c>
      <c r="AA1376" s="10">
        <f t="shared" si="216"/>
        <v>249.1905944315487</v>
      </c>
      <c r="AB1376" s="10" t="str">
        <f t="shared" si="215"/>
        <v/>
      </c>
      <c r="AC1376" s="10" t="str">
        <f t="shared" si="217"/>
        <v/>
      </c>
      <c r="AD1376" s="10">
        <f>IF(AND(Q1376&gt;0,Q1376&lt;30,K1376&lt;8),Markniveau!Z1376*'Udvaskning nøgletal'!$I$12/100,IF(AND(Q1376&gt;0,Q1376&lt;30,K1376=216),Markniveau!Z1376*'Udvaskning nøgletal'!$I$34/100,Markniveau!Z1376))</f>
        <v>125.85383557148924</v>
      </c>
      <c r="AE1376" s="10">
        <f t="shared" si="223"/>
        <v>249.1905944315487</v>
      </c>
      <c r="AF1376" s="10" t="str">
        <f t="shared" si="218"/>
        <v/>
      </c>
      <c r="AG1376" s="10" t="str">
        <f t="shared" si="224"/>
        <v/>
      </c>
      <c r="AH1376" s="10" t="str">
        <f>IF(AND(Q1376&gt;0,Q1376&lt;30,K1376=216),'Udvaskning nøgletal'!$C$42,IF(AND(Q1376&gt;0,Q1376&lt;30,K1376&gt;7,K1376&lt;17),'Udvaskning nøgletal'!$C$61,IF(AND(Q1376&gt;0,Q1376&lt;30,K1376&lt;7),'Udvaskning nøgletal'!$C$62,"")))</f>
        <v/>
      </c>
      <c r="AI1376" s="10">
        <f t="shared" si="220"/>
        <v>216</v>
      </c>
      <c r="AJ1376" s="10">
        <f>IF($X1376=1,LOOKUP(AI1376,'Udvaskning nøgletal'!$C$12:$C$62,'Udvaskning nøgletal'!$E$12:$E$62)+Markniveau!$Y1376*Markniveau!$S1376/100,IF($X1376=2,LOOKUP(AI1376,'Udvaskning nøgletal'!$C$12:$C$62,'Udvaskning nøgletal'!$F$12:$F$62)+Markniveau!$Y1376*Markniveau!$S1376/100,IF($X1376=3,LOOKUP(AI1376,'Udvaskning nøgletal'!$C$12:$C$62,'Udvaskning nøgletal'!Q1386:Q1436)+Markniveau!$Y1376*Markniveau!$S1376/100,"")))</f>
        <v>125.85383557148924</v>
      </c>
      <c r="AK1376" s="10">
        <f t="shared" si="219"/>
        <v>249.1905944315487</v>
      </c>
      <c r="AL1376" s="10" t="str">
        <f t="shared" si="221"/>
        <v/>
      </c>
      <c r="AM1376" s="10" t="str">
        <f t="shared" si="222"/>
        <v/>
      </c>
    </row>
    <row r="1377" spans="1:39" x14ac:dyDescent="0.25">
      <c r="A1377" s="15">
        <v>64488414</v>
      </c>
      <c r="B1377" s="15">
        <v>20.73</v>
      </c>
      <c r="C1377" s="15">
        <v>612071</v>
      </c>
      <c r="D1377" s="15">
        <v>53992</v>
      </c>
      <c r="E1377" s="15" t="s">
        <v>1186</v>
      </c>
      <c r="F1377" s="15">
        <v>2011</v>
      </c>
      <c r="G1377" s="15">
        <v>20110324</v>
      </c>
      <c r="H1377" s="15">
        <v>8285</v>
      </c>
      <c r="I1377" s="15">
        <v>0.83</v>
      </c>
      <c r="J1377" s="6" t="s">
        <v>75</v>
      </c>
      <c r="K1377" s="15">
        <v>1</v>
      </c>
      <c r="L1377" s="15" t="s">
        <v>32</v>
      </c>
      <c r="M1377" s="15" t="s">
        <v>5</v>
      </c>
      <c r="N1377" s="11" t="s">
        <v>1384</v>
      </c>
      <c r="O1377" s="11" t="s">
        <v>28</v>
      </c>
      <c r="P1377" s="11" t="s">
        <v>33</v>
      </c>
      <c r="Q1377" s="15">
        <v>0</v>
      </c>
      <c r="R1377" s="11" t="s">
        <v>1386</v>
      </c>
      <c r="S1377" s="10">
        <v>137.12321826657001</v>
      </c>
      <c r="T1377" s="15">
        <v>80</v>
      </c>
      <c r="U1377" s="15">
        <v>0</v>
      </c>
      <c r="V1377" s="15">
        <v>1</v>
      </c>
      <c r="W1377" s="15">
        <v>0</v>
      </c>
      <c r="X1377" s="15">
        <f>IF(O1377='Udvaskning nøgletal'!$D$65,1,IF(O1377='Udvaskning nøgletal'!$D$66,2,IF(O1377='Udvaskning nøgletal'!$D$67,3,IF(O1377='Udvaskning nøgletal'!$D$68,2,""))))</f>
        <v>1</v>
      </c>
      <c r="Y1377" s="15">
        <f>LOOKUP(K1377,'Udvaskning nøgletal'!$C$12:$C$60,'Udvaskning nøgletal'!$H$12:$H$60)</f>
        <v>5</v>
      </c>
      <c r="Z1377" s="10">
        <f>IF(X1377=1,LOOKUP(K1377,'Udvaskning nøgletal'!$C$12:$C$60,'Udvaskning nøgletal'!$E$12:$E$60)+Markniveau!Y1377*Markniveau!S1377/100,IF(X1377=2,LOOKUP(K1377,'Udvaskning nøgletal'!$C$12:$C$60,'Udvaskning nøgletal'!$F$12:$F$60)+Markniveau!Y1377*Markniveau!S1377/100,IF(X1377=3,LOOKUP(K1377,'Udvaskning nøgletal'!$C$12:$C$60,'Udvaskning nøgletal'!G1387:G1435)+Markniveau!Y1377*Markniveau!S1377/100,"")))</f>
        <v>71.516160913328491</v>
      </c>
      <c r="AA1377" s="10">
        <f t="shared" si="216"/>
        <v>59.358413558062644</v>
      </c>
      <c r="AB1377" s="10" t="str">
        <f t="shared" si="215"/>
        <v/>
      </c>
      <c r="AC1377" s="10" t="str">
        <f t="shared" si="217"/>
        <v/>
      </c>
      <c r="AD1377" s="10">
        <f>IF(AND(Q1377&gt;0,Q1377&lt;30,K1377&lt;8),Markniveau!Z1377*'Udvaskning nøgletal'!$I$12/100,IF(AND(Q1377&gt;0,Q1377&lt;30,K1377=216),Markniveau!Z1377*'Udvaskning nøgletal'!$I$34/100,Markniveau!Z1377))</f>
        <v>71.516160913328491</v>
      </c>
      <c r="AE1377" s="10">
        <f t="shared" si="223"/>
        <v>59.358413558062644</v>
      </c>
      <c r="AF1377" s="10" t="str">
        <f t="shared" si="218"/>
        <v/>
      </c>
      <c r="AG1377" s="10" t="str">
        <f t="shared" si="224"/>
        <v/>
      </c>
      <c r="AH1377" s="10" t="str">
        <f>IF(AND(Q1377&gt;0,Q1377&lt;30,K1377=216),'Udvaskning nøgletal'!$C$42,IF(AND(Q1377&gt;0,Q1377&lt;30,K1377&gt;7,K1377&lt;17),'Udvaskning nøgletal'!$C$61,IF(AND(Q1377&gt;0,Q1377&lt;30,K1377&lt;7),'Udvaskning nøgletal'!$C$62,"")))</f>
        <v/>
      </c>
      <c r="AI1377" s="10">
        <f t="shared" si="220"/>
        <v>1</v>
      </c>
      <c r="AJ1377" s="10">
        <f>IF($X1377=1,LOOKUP(AI1377,'Udvaskning nøgletal'!$C$12:$C$62,'Udvaskning nøgletal'!$E$12:$E$62)+Markniveau!$Y1377*Markniveau!$S1377/100,IF($X1377=2,LOOKUP(AI1377,'Udvaskning nøgletal'!$C$12:$C$62,'Udvaskning nøgletal'!$F$12:$F$62)+Markniveau!$Y1377*Markniveau!$S1377/100,IF($X1377=3,LOOKUP(AI1377,'Udvaskning nøgletal'!$C$12:$C$62,'Udvaskning nøgletal'!Q1387:Q1437)+Markniveau!$Y1377*Markniveau!$S1377/100,"")))</f>
        <v>71.516160913328491</v>
      </c>
      <c r="AK1377" s="10">
        <f t="shared" si="219"/>
        <v>59.358413558062644</v>
      </c>
      <c r="AL1377" s="10" t="str">
        <f t="shared" si="221"/>
        <v/>
      </c>
      <c r="AM1377" s="10" t="str">
        <f t="shared" si="222"/>
        <v/>
      </c>
    </row>
    <row r="1378" spans="1:39" x14ac:dyDescent="0.25">
      <c r="A1378" s="15">
        <v>64488414</v>
      </c>
      <c r="B1378" s="15">
        <v>20.73</v>
      </c>
      <c r="C1378" s="15">
        <v>612072</v>
      </c>
      <c r="D1378" s="15">
        <v>53992</v>
      </c>
      <c r="E1378" s="15" t="s">
        <v>1183</v>
      </c>
      <c r="F1378" s="15">
        <v>2011</v>
      </c>
      <c r="G1378" s="15">
        <v>20110324</v>
      </c>
      <c r="H1378" s="15">
        <v>11467</v>
      </c>
      <c r="I1378" s="15">
        <v>1.1499999999999999</v>
      </c>
      <c r="J1378" s="6" t="s">
        <v>66</v>
      </c>
      <c r="K1378" s="15">
        <v>230</v>
      </c>
      <c r="L1378" s="15" t="s">
        <v>120</v>
      </c>
      <c r="M1378" s="15" t="s">
        <v>5</v>
      </c>
      <c r="N1378" s="11" t="s">
        <v>1384</v>
      </c>
      <c r="O1378" s="11" t="s">
        <v>28</v>
      </c>
      <c r="P1378" s="11" t="s">
        <v>33</v>
      </c>
      <c r="Q1378" s="15">
        <v>0</v>
      </c>
      <c r="R1378" s="11" t="s">
        <v>1386</v>
      </c>
      <c r="S1378" s="10">
        <v>137.12321826657001</v>
      </c>
      <c r="T1378" s="15">
        <v>80</v>
      </c>
      <c r="U1378" s="15">
        <v>0</v>
      </c>
      <c r="V1378" s="15">
        <v>1</v>
      </c>
      <c r="W1378" s="15">
        <v>0</v>
      </c>
      <c r="X1378" s="15">
        <f>IF(O1378='Udvaskning nøgletal'!$D$65,1,IF(O1378='Udvaskning nøgletal'!$D$66,2,IF(O1378='Udvaskning nøgletal'!$D$67,3,IF(O1378='Udvaskning nøgletal'!$D$68,2,""))))</f>
        <v>1</v>
      </c>
      <c r="Y1378" s="15">
        <f>LOOKUP(K1378,'Udvaskning nøgletal'!$C$12:$C$60,'Udvaskning nøgletal'!$H$12:$H$60)</f>
        <v>0</v>
      </c>
      <c r="Z1378" s="10">
        <f>IF(X1378=1,LOOKUP(K1378,'Udvaskning nøgletal'!$C$12:$C$60,'Udvaskning nøgletal'!$E$12:$E$60)+Markniveau!Y1378*Markniveau!S1378/100,IF(X1378=2,LOOKUP(K1378,'Udvaskning nøgletal'!$C$12:$C$60,'Udvaskning nøgletal'!$F$12:$F$60)+Markniveau!Y1378*Markniveau!S1378/100,IF(X1378=3,LOOKUP(K1378,'Udvaskning nøgletal'!$C$12:$C$60,'Udvaskning nøgletal'!G1388:G1436)+Markniveau!Y1378*Markniveau!S1378/100,"")))</f>
        <v>38.620385460262987</v>
      </c>
      <c r="AA1378" s="10">
        <f t="shared" si="216"/>
        <v>44.413443279302435</v>
      </c>
      <c r="AB1378" s="10" t="str">
        <f t="shared" si="215"/>
        <v/>
      </c>
      <c r="AC1378" s="10" t="str">
        <f t="shared" si="217"/>
        <v/>
      </c>
      <c r="AD1378" s="10">
        <f>IF(AND(Q1378&gt;0,Q1378&lt;30,K1378&lt;8),Markniveau!Z1378*'Udvaskning nøgletal'!$I$12/100,IF(AND(Q1378&gt;0,Q1378&lt;30,K1378=216),Markniveau!Z1378*'Udvaskning nøgletal'!$I$34/100,Markniveau!Z1378))</f>
        <v>38.620385460262987</v>
      </c>
      <c r="AE1378" s="10">
        <f t="shared" si="223"/>
        <v>44.413443279302435</v>
      </c>
      <c r="AF1378" s="10" t="str">
        <f t="shared" si="218"/>
        <v/>
      </c>
      <c r="AG1378" s="10" t="str">
        <f t="shared" si="224"/>
        <v/>
      </c>
      <c r="AH1378" s="10" t="str">
        <f>IF(AND(Q1378&gt;0,Q1378&lt;30,K1378=216),'Udvaskning nøgletal'!$C$42,IF(AND(Q1378&gt;0,Q1378&lt;30,K1378&gt;7,K1378&lt;17),'Udvaskning nøgletal'!$C$61,IF(AND(Q1378&gt;0,Q1378&lt;30,K1378&lt;7),'Udvaskning nøgletal'!$C$62,"")))</f>
        <v/>
      </c>
      <c r="AI1378" s="10">
        <f t="shared" si="220"/>
        <v>230</v>
      </c>
      <c r="AJ1378" s="10">
        <f>IF($X1378=1,LOOKUP(AI1378,'Udvaskning nøgletal'!$C$12:$C$62,'Udvaskning nøgletal'!$E$12:$E$62)+Markniveau!$Y1378*Markniveau!$S1378/100,IF($X1378=2,LOOKUP(AI1378,'Udvaskning nøgletal'!$C$12:$C$62,'Udvaskning nøgletal'!$F$12:$F$62)+Markniveau!$Y1378*Markniveau!$S1378/100,IF($X1378=3,LOOKUP(AI1378,'Udvaskning nøgletal'!$C$12:$C$62,'Udvaskning nøgletal'!Q1388:Q1438)+Markniveau!$Y1378*Markniveau!$S1378/100,"")))</f>
        <v>38.620385460262987</v>
      </c>
      <c r="AK1378" s="10">
        <f t="shared" si="219"/>
        <v>44.413443279302435</v>
      </c>
      <c r="AL1378" s="10" t="str">
        <f t="shared" si="221"/>
        <v/>
      </c>
      <c r="AM1378" s="10" t="str">
        <f t="shared" si="222"/>
        <v/>
      </c>
    </row>
    <row r="1379" spans="1:39" x14ac:dyDescent="0.25">
      <c r="A1379" s="15">
        <v>64488414</v>
      </c>
      <c r="B1379" s="15">
        <v>20.73</v>
      </c>
      <c r="C1379" s="15">
        <v>612073</v>
      </c>
      <c r="D1379" s="15">
        <v>53992</v>
      </c>
      <c r="E1379" s="15" t="s">
        <v>1183</v>
      </c>
      <c r="F1379" s="15">
        <v>2011</v>
      </c>
      <c r="G1379" s="15">
        <v>20110324</v>
      </c>
      <c r="H1379" s="15">
        <v>10076</v>
      </c>
      <c r="I1379" s="15">
        <v>1.01</v>
      </c>
      <c r="J1379" s="6" t="s">
        <v>133</v>
      </c>
      <c r="K1379" s="15">
        <v>230</v>
      </c>
      <c r="L1379" s="15" t="s">
        <v>120</v>
      </c>
      <c r="M1379" s="15" t="s">
        <v>5</v>
      </c>
      <c r="N1379" s="11" t="s">
        <v>1384</v>
      </c>
      <c r="O1379" s="11" t="s">
        <v>28</v>
      </c>
      <c r="P1379" s="11" t="s">
        <v>33</v>
      </c>
      <c r="Q1379" s="15">
        <v>0</v>
      </c>
      <c r="R1379" s="11" t="s">
        <v>1386</v>
      </c>
      <c r="S1379" s="10">
        <v>137.12321826657001</v>
      </c>
      <c r="T1379" s="15">
        <v>80</v>
      </c>
      <c r="U1379" s="15">
        <v>0</v>
      </c>
      <c r="V1379" s="15">
        <v>1</v>
      </c>
      <c r="W1379" s="15">
        <v>0</v>
      </c>
      <c r="X1379" s="15">
        <f>IF(O1379='Udvaskning nøgletal'!$D$65,1,IF(O1379='Udvaskning nøgletal'!$D$66,2,IF(O1379='Udvaskning nøgletal'!$D$67,3,IF(O1379='Udvaskning nøgletal'!$D$68,2,""))))</f>
        <v>1</v>
      </c>
      <c r="Y1379" s="15">
        <f>LOOKUP(K1379,'Udvaskning nøgletal'!$C$12:$C$60,'Udvaskning nøgletal'!$H$12:$H$60)</f>
        <v>0</v>
      </c>
      <c r="Z1379" s="10">
        <f>IF(X1379=1,LOOKUP(K1379,'Udvaskning nøgletal'!$C$12:$C$60,'Udvaskning nøgletal'!$E$12:$E$60)+Markniveau!Y1379*Markniveau!S1379/100,IF(X1379=2,LOOKUP(K1379,'Udvaskning nøgletal'!$C$12:$C$60,'Udvaskning nøgletal'!$F$12:$F$60)+Markniveau!Y1379*Markniveau!S1379/100,IF(X1379=3,LOOKUP(K1379,'Udvaskning nøgletal'!$C$12:$C$60,'Udvaskning nøgletal'!G1389:G1437)+Markniveau!Y1379*Markniveau!S1379/100,"")))</f>
        <v>38.620385460262987</v>
      </c>
      <c r="AA1379" s="10">
        <f t="shared" si="216"/>
        <v>39.006589314865614</v>
      </c>
      <c r="AB1379" s="10" t="str">
        <f t="shared" si="215"/>
        <v/>
      </c>
      <c r="AC1379" s="10" t="str">
        <f t="shared" si="217"/>
        <v/>
      </c>
      <c r="AD1379" s="10">
        <f>IF(AND(Q1379&gt;0,Q1379&lt;30,K1379&lt;8),Markniveau!Z1379*'Udvaskning nøgletal'!$I$12/100,IF(AND(Q1379&gt;0,Q1379&lt;30,K1379=216),Markniveau!Z1379*'Udvaskning nøgletal'!$I$34/100,Markniveau!Z1379))</f>
        <v>38.620385460262987</v>
      </c>
      <c r="AE1379" s="10">
        <f t="shared" si="223"/>
        <v>39.006589314865614</v>
      </c>
      <c r="AF1379" s="10" t="str">
        <f t="shared" si="218"/>
        <v/>
      </c>
      <c r="AG1379" s="10" t="str">
        <f t="shared" si="224"/>
        <v/>
      </c>
      <c r="AH1379" s="10" t="str">
        <f>IF(AND(Q1379&gt;0,Q1379&lt;30,K1379=216),'Udvaskning nøgletal'!$C$42,IF(AND(Q1379&gt;0,Q1379&lt;30,K1379&gt;7,K1379&lt;17),'Udvaskning nøgletal'!$C$61,IF(AND(Q1379&gt;0,Q1379&lt;30,K1379&lt;7),'Udvaskning nøgletal'!$C$62,"")))</f>
        <v/>
      </c>
      <c r="AI1379" s="10">
        <f t="shared" si="220"/>
        <v>230</v>
      </c>
      <c r="AJ1379" s="10">
        <f>IF($X1379=1,LOOKUP(AI1379,'Udvaskning nøgletal'!$C$12:$C$62,'Udvaskning nøgletal'!$E$12:$E$62)+Markniveau!$Y1379*Markniveau!$S1379/100,IF($X1379=2,LOOKUP(AI1379,'Udvaskning nøgletal'!$C$12:$C$62,'Udvaskning nøgletal'!$F$12:$F$62)+Markniveau!$Y1379*Markniveau!$S1379/100,IF($X1379=3,LOOKUP(AI1379,'Udvaskning nøgletal'!$C$12:$C$62,'Udvaskning nøgletal'!Q1389:Q1439)+Markniveau!$Y1379*Markniveau!$S1379/100,"")))</f>
        <v>38.620385460262987</v>
      </c>
      <c r="AK1379" s="10">
        <f t="shared" si="219"/>
        <v>39.006589314865614</v>
      </c>
      <c r="AL1379" s="10" t="str">
        <f t="shared" si="221"/>
        <v/>
      </c>
      <c r="AM1379" s="10" t="str">
        <f t="shared" si="222"/>
        <v/>
      </c>
    </row>
    <row r="1380" spans="1:39" x14ac:dyDescent="0.25">
      <c r="A1380" s="15">
        <v>64488414</v>
      </c>
      <c r="B1380" s="15">
        <v>20.73</v>
      </c>
      <c r="C1380" s="15">
        <v>612074</v>
      </c>
      <c r="D1380" s="15">
        <v>53992</v>
      </c>
      <c r="E1380" s="15" t="s">
        <v>1187</v>
      </c>
      <c r="F1380" s="15">
        <v>2011</v>
      </c>
      <c r="G1380" s="15">
        <v>20110324</v>
      </c>
      <c r="H1380" s="15">
        <v>7065</v>
      </c>
      <c r="I1380" s="15">
        <v>0.71</v>
      </c>
      <c r="J1380" s="6" t="s">
        <v>1188</v>
      </c>
      <c r="K1380" s="15">
        <v>252</v>
      </c>
      <c r="L1380" s="15" t="s">
        <v>41</v>
      </c>
      <c r="M1380" s="15" t="s">
        <v>4</v>
      </c>
      <c r="N1380" s="11" t="s">
        <v>1384</v>
      </c>
      <c r="O1380" s="11" t="s">
        <v>28</v>
      </c>
      <c r="P1380" s="11" t="s">
        <v>33</v>
      </c>
      <c r="Q1380" s="15">
        <v>0</v>
      </c>
      <c r="R1380" s="11" t="s">
        <v>1386</v>
      </c>
      <c r="S1380" s="10">
        <v>137.12321826657001</v>
      </c>
      <c r="T1380" s="15">
        <v>80</v>
      </c>
      <c r="U1380" s="15">
        <v>0</v>
      </c>
      <c r="V1380" s="15">
        <v>1</v>
      </c>
      <c r="W1380" s="15">
        <v>0</v>
      </c>
      <c r="X1380" s="15">
        <f>IF(O1380='Udvaskning nøgletal'!$D$65,1,IF(O1380='Udvaskning nøgletal'!$D$66,2,IF(O1380='Udvaskning nøgletal'!$D$67,3,IF(O1380='Udvaskning nøgletal'!$D$68,2,""))))</f>
        <v>1</v>
      </c>
      <c r="Y1380" s="15">
        <f>LOOKUP(K1380,'Udvaskning nøgletal'!$C$12:$C$60,'Udvaskning nøgletal'!$H$12:$H$60)</f>
        <v>0</v>
      </c>
      <c r="Z1380" s="10">
        <f>IF(X1380=1,LOOKUP(K1380,'Udvaskning nøgletal'!$C$12:$C$60,'Udvaskning nøgletal'!$E$12:$E$60)+Markniveau!Y1380*Markniveau!S1380/100,IF(X1380=2,LOOKUP(K1380,'Udvaskning nøgletal'!$C$12:$C$60,'Udvaskning nøgletal'!$F$12:$F$60)+Markniveau!Y1380*Markniveau!S1380/100,IF(X1380=3,LOOKUP(K1380,'Udvaskning nøgletal'!$C$12:$C$60,'Udvaskning nøgletal'!G1390:G1438)+Markniveau!Y1380*Markniveau!S1380/100,"")))</f>
        <v>21.2</v>
      </c>
      <c r="AA1380" s="10">
        <f t="shared" si="216"/>
        <v>15.052</v>
      </c>
      <c r="AB1380" s="10" t="str">
        <f t="shared" si="215"/>
        <v/>
      </c>
      <c r="AC1380" s="10" t="str">
        <f t="shared" si="217"/>
        <v/>
      </c>
      <c r="AD1380" s="10">
        <f>IF(AND(Q1380&gt;0,Q1380&lt;30,K1380&lt;8),Markniveau!Z1380*'Udvaskning nøgletal'!$I$12/100,IF(AND(Q1380&gt;0,Q1380&lt;30,K1380=216),Markniveau!Z1380*'Udvaskning nøgletal'!$I$34/100,Markniveau!Z1380))</f>
        <v>21.2</v>
      </c>
      <c r="AE1380" s="10">
        <f t="shared" si="223"/>
        <v>15.052</v>
      </c>
      <c r="AF1380" s="10" t="str">
        <f t="shared" si="218"/>
        <v/>
      </c>
      <c r="AG1380" s="10" t="str">
        <f t="shared" si="224"/>
        <v/>
      </c>
      <c r="AH1380" s="10" t="str">
        <f>IF(AND(Q1380&gt;0,Q1380&lt;30,K1380=216),'Udvaskning nøgletal'!$C$42,IF(AND(Q1380&gt;0,Q1380&lt;30,K1380&gt;7,K1380&lt;17),'Udvaskning nøgletal'!$C$61,IF(AND(Q1380&gt;0,Q1380&lt;30,K1380&lt;7),'Udvaskning nøgletal'!$C$62,"")))</f>
        <v/>
      </c>
      <c r="AI1380" s="10">
        <f t="shared" si="220"/>
        <v>252</v>
      </c>
      <c r="AJ1380" s="10">
        <f>IF($X1380=1,LOOKUP(AI1380,'Udvaskning nøgletal'!$C$12:$C$62,'Udvaskning nøgletal'!$E$12:$E$62)+Markniveau!$Y1380*Markniveau!$S1380/100,IF($X1380=2,LOOKUP(AI1380,'Udvaskning nøgletal'!$C$12:$C$62,'Udvaskning nøgletal'!$F$12:$F$62)+Markniveau!$Y1380*Markniveau!$S1380/100,IF($X1380=3,LOOKUP(AI1380,'Udvaskning nøgletal'!$C$12:$C$62,'Udvaskning nøgletal'!Q1390:Q1440)+Markniveau!$Y1380*Markniveau!$S1380/100,"")))</f>
        <v>21.2</v>
      </c>
      <c r="AK1380" s="10">
        <f t="shared" si="219"/>
        <v>15.052</v>
      </c>
      <c r="AL1380" s="10" t="str">
        <f t="shared" si="221"/>
        <v/>
      </c>
      <c r="AM1380" s="10" t="str">
        <f t="shared" si="222"/>
        <v/>
      </c>
    </row>
    <row r="1381" spans="1:39" x14ac:dyDescent="0.25">
      <c r="A1381" s="15">
        <v>64488414</v>
      </c>
      <c r="B1381" s="15">
        <v>20.73</v>
      </c>
      <c r="C1381" s="15">
        <v>612075</v>
      </c>
      <c r="D1381" s="15">
        <v>53992</v>
      </c>
      <c r="E1381" s="15" t="s">
        <v>1189</v>
      </c>
      <c r="F1381" s="15">
        <v>2011</v>
      </c>
      <c r="G1381" s="15">
        <v>20110324</v>
      </c>
      <c r="H1381" s="15">
        <v>5382</v>
      </c>
      <c r="I1381" s="15">
        <v>0.54</v>
      </c>
      <c r="J1381" s="6" t="s">
        <v>1190</v>
      </c>
      <c r="K1381" s="15">
        <v>252</v>
      </c>
      <c r="L1381" s="15" t="s">
        <v>41</v>
      </c>
      <c r="M1381" s="15" t="s">
        <v>4</v>
      </c>
      <c r="N1381" s="11" t="s">
        <v>1384</v>
      </c>
      <c r="O1381" s="11" t="s">
        <v>28</v>
      </c>
      <c r="P1381" s="11" t="s">
        <v>33</v>
      </c>
      <c r="Q1381" s="15">
        <v>0</v>
      </c>
      <c r="R1381" s="11" t="s">
        <v>1386</v>
      </c>
      <c r="S1381" s="10">
        <v>137.12321826657001</v>
      </c>
      <c r="T1381" s="15">
        <v>80</v>
      </c>
      <c r="U1381" s="15">
        <v>0</v>
      </c>
      <c r="V1381" s="15">
        <v>1</v>
      </c>
      <c r="W1381" s="15">
        <v>0</v>
      </c>
      <c r="X1381" s="15">
        <f>IF(O1381='Udvaskning nøgletal'!$D$65,1,IF(O1381='Udvaskning nøgletal'!$D$66,2,IF(O1381='Udvaskning nøgletal'!$D$67,3,IF(O1381='Udvaskning nøgletal'!$D$68,2,""))))</f>
        <v>1</v>
      </c>
      <c r="Y1381" s="15">
        <f>LOOKUP(K1381,'Udvaskning nøgletal'!$C$12:$C$60,'Udvaskning nøgletal'!$H$12:$H$60)</f>
        <v>0</v>
      </c>
      <c r="Z1381" s="10">
        <f>IF(X1381=1,LOOKUP(K1381,'Udvaskning nøgletal'!$C$12:$C$60,'Udvaskning nøgletal'!$E$12:$E$60)+Markniveau!Y1381*Markniveau!S1381/100,IF(X1381=2,LOOKUP(K1381,'Udvaskning nøgletal'!$C$12:$C$60,'Udvaskning nøgletal'!$F$12:$F$60)+Markniveau!Y1381*Markniveau!S1381/100,IF(X1381=3,LOOKUP(K1381,'Udvaskning nøgletal'!$C$12:$C$60,'Udvaskning nøgletal'!G1391:G1439)+Markniveau!Y1381*Markniveau!S1381/100,"")))</f>
        <v>21.2</v>
      </c>
      <c r="AA1381" s="10">
        <f t="shared" si="216"/>
        <v>11.448</v>
      </c>
      <c r="AB1381" s="10" t="str">
        <f t="shared" si="215"/>
        <v/>
      </c>
      <c r="AC1381" s="10" t="str">
        <f t="shared" si="217"/>
        <v/>
      </c>
      <c r="AD1381" s="10">
        <f>IF(AND(Q1381&gt;0,Q1381&lt;30,K1381&lt;8),Markniveau!Z1381*'Udvaskning nøgletal'!$I$12/100,IF(AND(Q1381&gt;0,Q1381&lt;30,K1381=216),Markniveau!Z1381*'Udvaskning nøgletal'!$I$34/100,Markniveau!Z1381))</f>
        <v>21.2</v>
      </c>
      <c r="AE1381" s="10">
        <f t="shared" si="223"/>
        <v>11.448</v>
      </c>
      <c r="AF1381" s="10" t="str">
        <f t="shared" si="218"/>
        <v/>
      </c>
      <c r="AG1381" s="10" t="str">
        <f t="shared" si="224"/>
        <v/>
      </c>
      <c r="AH1381" s="10" t="str">
        <f>IF(AND(Q1381&gt;0,Q1381&lt;30,K1381=216),'Udvaskning nøgletal'!$C$42,IF(AND(Q1381&gt;0,Q1381&lt;30,K1381&gt;7,K1381&lt;17),'Udvaskning nøgletal'!$C$61,IF(AND(Q1381&gt;0,Q1381&lt;30,K1381&lt;7),'Udvaskning nøgletal'!$C$62,"")))</f>
        <v/>
      </c>
      <c r="AI1381" s="10">
        <f t="shared" si="220"/>
        <v>252</v>
      </c>
      <c r="AJ1381" s="10">
        <f>IF($X1381=1,LOOKUP(AI1381,'Udvaskning nøgletal'!$C$12:$C$62,'Udvaskning nøgletal'!$E$12:$E$62)+Markniveau!$Y1381*Markniveau!$S1381/100,IF($X1381=2,LOOKUP(AI1381,'Udvaskning nøgletal'!$C$12:$C$62,'Udvaskning nøgletal'!$F$12:$F$62)+Markniveau!$Y1381*Markniveau!$S1381/100,IF($X1381=3,LOOKUP(AI1381,'Udvaskning nøgletal'!$C$12:$C$62,'Udvaskning nøgletal'!Q1391:Q1441)+Markniveau!$Y1381*Markniveau!$S1381/100,"")))</f>
        <v>21.2</v>
      </c>
      <c r="AK1381" s="10">
        <f t="shared" si="219"/>
        <v>11.448</v>
      </c>
      <c r="AL1381" s="10" t="str">
        <f t="shared" si="221"/>
        <v/>
      </c>
      <c r="AM1381" s="10" t="str">
        <f t="shared" si="222"/>
        <v/>
      </c>
    </row>
    <row r="1382" spans="1:39" x14ac:dyDescent="0.25">
      <c r="A1382" s="15">
        <v>64488414</v>
      </c>
      <c r="B1382" s="15">
        <v>20.73</v>
      </c>
      <c r="C1382" s="15">
        <v>612561</v>
      </c>
      <c r="D1382" s="15">
        <v>53992</v>
      </c>
      <c r="E1382" s="15" t="s">
        <v>1189</v>
      </c>
      <c r="F1382" s="15">
        <v>2011</v>
      </c>
      <c r="G1382" s="15">
        <v>20110324</v>
      </c>
      <c r="H1382" s="15">
        <v>11259</v>
      </c>
      <c r="I1382" s="15">
        <v>1.1299999999999999</v>
      </c>
      <c r="J1382" s="6" t="s">
        <v>60</v>
      </c>
      <c r="K1382" s="15">
        <v>1</v>
      </c>
      <c r="L1382" s="15" t="s">
        <v>32</v>
      </c>
      <c r="M1382" s="15" t="s">
        <v>5</v>
      </c>
      <c r="N1382" s="11" t="s">
        <v>1384</v>
      </c>
      <c r="O1382" s="11" t="s">
        <v>28</v>
      </c>
      <c r="P1382" s="11" t="s">
        <v>33</v>
      </c>
      <c r="Q1382" s="15">
        <v>0</v>
      </c>
      <c r="R1382" s="11" t="s">
        <v>1386</v>
      </c>
      <c r="S1382" s="10">
        <v>137.12321826657001</v>
      </c>
      <c r="T1382" s="15">
        <v>80</v>
      </c>
      <c r="U1382" s="15">
        <v>0</v>
      </c>
      <c r="V1382" s="15">
        <v>1</v>
      </c>
      <c r="W1382" s="15">
        <v>0</v>
      </c>
      <c r="X1382" s="15">
        <f>IF(O1382='Udvaskning nøgletal'!$D$65,1,IF(O1382='Udvaskning nøgletal'!$D$66,2,IF(O1382='Udvaskning nøgletal'!$D$67,3,IF(O1382='Udvaskning nøgletal'!$D$68,2,""))))</f>
        <v>1</v>
      </c>
      <c r="Y1382" s="15">
        <f>LOOKUP(K1382,'Udvaskning nøgletal'!$C$12:$C$60,'Udvaskning nøgletal'!$H$12:$H$60)</f>
        <v>5</v>
      </c>
      <c r="Z1382" s="10">
        <f>IF(X1382=1,LOOKUP(K1382,'Udvaskning nøgletal'!$C$12:$C$60,'Udvaskning nøgletal'!$E$12:$E$60)+Markniveau!Y1382*Markniveau!S1382/100,IF(X1382=2,LOOKUP(K1382,'Udvaskning nøgletal'!$C$12:$C$60,'Udvaskning nøgletal'!$F$12:$F$60)+Markniveau!Y1382*Markniveau!S1382/100,IF(X1382=3,LOOKUP(K1382,'Udvaskning nøgletal'!$C$12:$C$60,'Udvaskning nøgletal'!G1392:G1440)+Markniveau!Y1382*Markniveau!S1382/100,"")))</f>
        <v>71.516160913328491</v>
      </c>
      <c r="AA1382" s="10">
        <f t="shared" si="216"/>
        <v>80.813261832061187</v>
      </c>
      <c r="AB1382" s="10" t="str">
        <f t="shared" si="215"/>
        <v/>
      </c>
      <c r="AC1382" s="10" t="str">
        <f t="shared" si="217"/>
        <v/>
      </c>
      <c r="AD1382" s="10">
        <f>IF(AND(Q1382&gt;0,Q1382&lt;30,K1382&lt;8),Markniveau!Z1382*'Udvaskning nøgletal'!$I$12/100,IF(AND(Q1382&gt;0,Q1382&lt;30,K1382=216),Markniveau!Z1382*'Udvaskning nøgletal'!$I$34/100,Markniveau!Z1382))</f>
        <v>71.516160913328491</v>
      </c>
      <c r="AE1382" s="10">
        <f t="shared" si="223"/>
        <v>80.813261832061187</v>
      </c>
      <c r="AF1382" s="10" t="str">
        <f t="shared" si="218"/>
        <v/>
      </c>
      <c r="AG1382" s="10" t="str">
        <f t="shared" si="224"/>
        <v/>
      </c>
      <c r="AH1382" s="10" t="str">
        <f>IF(AND(Q1382&gt;0,Q1382&lt;30,K1382=216),'Udvaskning nøgletal'!$C$42,IF(AND(Q1382&gt;0,Q1382&lt;30,K1382&gt;7,K1382&lt;17),'Udvaskning nøgletal'!$C$61,IF(AND(Q1382&gt;0,Q1382&lt;30,K1382&lt;7),'Udvaskning nøgletal'!$C$62,"")))</f>
        <v/>
      </c>
      <c r="AI1382" s="10">
        <f t="shared" si="220"/>
        <v>1</v>
      </c>
      <c r="AJ1382" s="10">
        <f>IF($X1382=1,LOOKUP(AI1382,'Udvaskning nøgletal'!$C$12:$C$62,'Udvaskning nøgletal'!$E$12:$E$62)+Markniveau!$Y1382*Markniveau!$S1382/100,IF($X1382=2,LOOKUP(AI1382,'Udvaskning nøgletal'!$C$12:$C$62,'Udvaskning nøgletal'!$F$12:$F$62)+Markniveau!$Y1382*Markniveau!$S1382/100,IF($X1382=3,LOOKUP(AI1382,'Udvaskning nøgletal'!$C$12:$C$62,'Udvaskning nøgletal'!Q1392:Q1442)+Markniveau!$Y1382*Markniveau!$S1382/100,"")))</f>
        <v>71.516160913328491</v>
      </c>
      <c r="AK1382" s="10">
        <f t="shared" si="219"/>
        <v>80.813261832061187</v>
      </c>
      <c r="AL1382" s="10" t="str">
        <f t="shared" si="221"/>
        <v/>
      </c>
      <c r="AM1382" s="10" t="str">
        <f t="shared" si="222"/>
        <v/>
      </c>
    </row>
    <row r="1383" spans="1:39" x14ac:dyDescent="0.25">
      <c r="A1383" s="15">
        <v>64488414</v>
      </c>
      <c r="B1383" s="15">
        <v>20.73</v>
      </c>
      <c r="C1383" s="15">
        <v>612562</v>
      </c>
      <c r="D1383" s="15">
        <v>53992</v>
      </c>
      <c r="E1383" s="15" t="s">
        <v>1191</v>
      </c>
      <c r="F1383" s="15">
        <v>2011</v>
      </c>
      <c r="G1383" s="15">
        <v>20110324</v>
      </c>
      <c r="H1383" s="15">
        <v>6345</v>
      </c>
      <c r="I1383" s="15">
        <v>0.63</v>
      </c>
      <c r="J1383" s="6" t="s">
        <v>76</v>
      </c>
      <c r="K1383" s="15">
        <v>251</v>
      </c>
      <c r="L1383" s="15" t="s">
        <v>355</v>
      </c>
      <c r="M1383" s="15" t="s">
        <v>4</v>
      </c>
      <c r="N1383" s="11" t="s">
        <v>1384</v>
      </c>
      <c r="O1383" s="11" t="s">
        <v>28</v>
      </c>
      <c r="P1383" s="11" t="s">
        <v>33</v>
      </c>
      <c r="Q1383" s="15">
        <v>0</v>
      </c>
      <c r="R1383" s="11" t="s">
        <v>1386</v>
      </c>
      <c r="S1383" s="10">
        <v>137.12321826657001</v>
      </c>
      <c r="T1383" s="15">
        <v>80</v>
      </c>
      <c r="U1383" s="15">
        <v>0</v>
      </c>
      <c r="V1383" s="15">
        <v>1</v>
      </c>
      <c r="W1383" s="15">
        <v>0</v>
      </c>
      <c r="X1383" s="15">
        <f>IF(O1383='Udvaskning nøgletal'!$D$65,1,IF(O1383='Udvaskning nøgletal'!$D$66,2,IF(O1383='Udvaskning nøgletal'!$D$67,3,IF(O1383='Udvaskning nøgletal'!$D$68,2,""))))</f>
        <v>1</v>
      </c>
      <c r="Y1383" s="15">
        <f>LOOKUP(K1383,'Udvaskning nøgletal'!$C$12:$C$60,'Udvaskning nøgletal'!$H$12:$H$60)</f>
        <v>0</v>
      </c>
      <c r="Z1383" s="10">
        <f>IF(X1383=1,LOOKUP(K1383,'Udvaskning nøgletal'!$C$12:$C$60,'Udvaskning nøgletal'!$E$12:$E$60)+Markniveau!Y1383*Markniveau!S1383/100,IF(X1383=2,LOOKUP(K1383,'Udvaskning nøgletal'!$C$12:$C$60,'Udvaskning nøgletal'!$F$12:$F$60)+Markniveau!Y1383*Markniveau!S1383/100,IF(X1383=3,LOOKUP(K1383,'Udvaskning nøgletal'!$C$12:$C$60,'Udvaskning nøgletal'!G1393:G1441)+Markniveau!Y1383*Markniveau!S1383/100,"")))</f>
        <v>21.2</v>
      </c>
      <c r="AA1383" s="10">
        <f t="shared" si="216"/>
        <v>13.356</v>
      </c>
      <c r="AB1383" s="10" t="str">
        <f t="shared" si="215"/>
        <v/>
      </c>
      <c r="AC1383" s="10" t="str">
        <f t="shared" si="217"/>
        <v/>
      </c>
      <c r="AD1383" s="10">
        <f>IF(AND(Q1383&gt;0,Q1383&lt;30,K1383&lt;8),Markniveau!Z1383*'Udvaskning nøgletal'!$I$12/100,IF(AND(Q1383&gt;0,Q1383&lt;30,K1383=216),Markniveau!Z1383*'Udvaskning nøgletal'!$I$34/100,Markniveau!Z1383))</f>
        <v>21.2</v>
      </c>
      <c r="AE1383" s="10">
        <f t="shared" si="223"/>
        <v>13.356</v>
      </c>
      <c r="AF1383" s="10" t="str">
        <f t="shared" si="218"/>
        <v/>
      </c>
      <c r="AG1383" s="10" t="str">
        <f t="shared" si="224"/>
        <v/>
      </c>
      <c r="AH1383" s="10" t="str">
        <f>IF(AND(Q1383&gt;0,Q1383&lt;30,K1383=216),'Udvaskning nøgletal'!$C$42,IF(AND(Q1383&gt;0,Q1383&lt;30,K1383&gt;7,K1383&lt;17),'Udvaskning nøgletal'!$C$61,IF(AND(Q1383&gt;0,Q1383&lt;30,K1383&lt;7),'Udvaskning nøgletal'!$C$62,"")))</f>
        <v/>
      </c>
      <c r="AI1383" s="10">
        <f t="shared" si="220"/>
        <v>251</v>
      </c>
      <c r="AJ1383" s="10">
        <f>IF($X1383=1,LOOKUP(AI1383,'Udvaskning nøgletal'!$C$12:$C$62,'Udvaskning nøgletal'!$E$12:$E$62)+Markniveau!$Y1383*Markniveau!$S1383/100,IF($X1383=2,LOOKUP(AI1383,'Udvaskning nøgletal'!$C$12:$C$62,'Udvaskning nøgletal'!$F$12:$F$62)+Markniveau!$Y1383*Markniveau!$S1383/100,IF($X1383=3,LOOKUP(AI1383,'Udvaskning nøgletal'!$C$12:$C$62,'Udvaskning nøgletal'!Q1393:Q1443)+Markniveau!$Y1383*Markniveau!$S1383/100,"")))</f>
        <v>21.2</v>
      </c>
      <c r="AK1383" s="10">
        <f t="shared" si="219"/>
        <v>13.356</v>
      </c>
      <c r="AL1383" s="10" t="str">
        <f t="shared" si="221"/>
        <v/>
      </c>
      <c r="AM1383" s="10" t="str">
        <f t="shared" si="222"/>
        <v/>
      </c>
    </row>
    <row r="1384" spans="1:39" x14ac:dyDescent="0.25">
      <c r="A1384" s="15">
        <v>64488414</v>
      </c>
      <c r="B1384" s="15">
        <v>20.73</v>
      </c>
      <c r="C1384" s="15">
        <v>612563</v>
      </c>
      <c r="D1384" s="15">
        <v>53992</v>
      </c>
      <c r="E1384" s="15" t="s">
        <v>1191</v>
      </c>
      <c r="F1384" s="15">
        <v>2011</v>
      </c>
      <c r="G1384" s="15">
        <v>20110324</v>
      </c>
      <c r="H1384" s="15">
        <v>9959</v>
      </c>
      <c r="I1384" s="15">
        <v>1</v>
      </c>
      <c r="J1384" s="6" t="s">
        <v>63</v>
      </c>
      <c r="K1384" s="15">
        <v>1</v>
      </c>
      <c r="L1384" s="15" t="s">
        <v>32</v>
      </c>
      <c r="M1384" s="15" t="s">
        <v>5</v>
      </c>
      <c r="N1384" s="11" t="s">
        <v>1384</v>
      </c>
      <c r="O1384" s="11" t="s">
        <v>28</v>
      </c>
      <c r="P1384" s="11" t="s">
        <v>33</v>
      </c>
      <c r="Q1384" s="15">
        <v>0</v>
      </c>
      <c r="R1384" s="11" t="s">
        <v>1386</v>
      </c>
      <c r="S1384" s="10">
        <v>137.12321826657001</v>
      </c>
      <c r="T1384" s="15">
        <v>80</v>
      </c>
      <c r="U1384" s="15">
        <v>0</v>
      </c>
      <c r="V1384" s="15">
        <v>1</v>
      </c>
      <c r="W1384" s="15">
        <v>0</v>
      </c>
      <c r="X1384" s="15">
        <f>IF(O1384='Udvaskning nøgletal'!$D$65,1,IF(O1384='Udvaskning nøgletal'!$D$66,2,IF(O1384='Udvaskning nøgletal'!$D$67,3,IF(O1384='Udvaskning nøgletal'!$D$68,2,""))))</f>
        <v>1</v>
      </c>
      <c r="Y1384" s="15">
        <f>LOOKUP(K1384,'Udvaskning nøgletal'!$C$12:$C$60,'Udvaskning nøgletal'!$H$12:$H$60)</f>
        <v>5</v>
      </c>
      <c r="Z1384" s="10">
        <f>IF(X1384=1,LOOKUP(K1384,'Udvaskning nøgletal'!$C$12:$C$60,'Udvaskning nøgletal'!$E$12:$E$60)+Markniveau!Y1384*Markniveau!S1384/100,IF(X1384=2,LOOKUP(K1384,'Udvaskning nøgletal'!$C$12:$C$60,'Udvaskning nøgletal'!$F$12:$F$60)+Markniveau!Y1384*Markniveau!S1384/100,IF(X1384=3,LOOKUP(K1384,'Udvaskning nøgletal'!$C$12:$C$60,'Udvaskning nøgletal'!G1394:G1442)+Markniveau!Y1384*Markniveau!S1384/100,"")))</f>
        <v>71.516160913328491</v>
      </c>
      <c r="AA1384" s="10">
        <f t="shared" si="216"/>
        <v>71.516160913328491</v>
      </c>
      <c r="AB1384" s="10" t="str">
        <f t="shared" si="215"/>
        <v/>
      </c>
      <c r="AC1384" s="10" t="str">
        <f t="shared" si="217"/>
        <v/>
      </c>
      <c r="AD1384" s="10">
        <f>IF(AND(Q1384&gt;0,Q1384&lt;30,K1384&lt;8),Markniveau!Z1384*'Udvaskning nøgletal'!$I$12/100,IF(AND(Q1384&gt;0,Q1384&lt;30,K1384=216),Markniveau!Z1384*'Udvaskning nøgletal'!$I$34/100,Markniveau!Z1384))</f>
        <v>71.516160913328491</v>
      </c>
      <c r="AE1384" s="10">
        <f t="shared" si="223"/>
        <v>71.516160913328491</v>
      </c>
      <c r="AF1384" s="10" t="str">
        <f t="shared" si="218"/>
        <v/>
      </c>
      <c r="AG1384" s="10" t="str">
        <f t="shared" si="224"/>
        <v/>
      </c>
      <c r="AH1384" s="10" t="str">
        <f>IF(AND(Q1384&gt;0,Q1384&lt;30,K1384=216),'Udvaskning nøgletal'!$C$42,IF(AND(Q1384&gt;0,Q1384&lt;30,K1384&gt;7,K1384&lt;17),'Udvaskning nøgletal'!$C$61,IF(AND(Q1384&gt;0,Q1384&lt;30,K1384&lt;7),'Udvaskning nøgletal'!$C$62,"")))</f>
        <v/>
      </c>
      <c r="AI1384" s="10">
        <f t="shared" si="220"/>
        <v>1</v>
      </c>
      <c r="AJ1384" s="10">
        <f>IF($X1384=1,LOOKUP(AI1384,'Udvaskning nøgletal'!$C$12:$C$62,'Udvaskning nøgletal'!$E$12:$E$62)+Markniveau!$Y1384*Markniveau!$S1384/100,IF($X1384=2,LOOKUP(AI1384,'Udvaskning nøgletal'!$C$12:$C$62,'Udvaskning nøgletal'!$F$12:$F$62)+Markniveau!$Y1384*Markniveau!$S1384/100,IF($X1384=3,LOOKUP(AI1384,'Udvaskning nøgletal'!$C$12:$C$62,'Udvaskning nøgletal'!Q1394:Q1444)+Markniveau!$Y1384*Markniveau!$S1384/100,"")))</f>
        <v>71.516160913328491</v>
      </c>
      <c r="AK1384" s="10">
        <f t="shared" si="219"/>
        <v>71.516160913328491</v>
      </c>
      <c r="AL1384" s="10" t="str">
        <f t="shared" si="221"/>
        <v/>
      </c>
      <c r="AM1384" s="10" t="str">
        <f t="shared" si="222"/>
        <v/>
      </c>
    </row>
    <row r="1385" spans="1:39" x14ac:dyDescent="0.25">
      <c r="A1385" s="15">
        <v>64488414</v>
      </c>
      <c r="B1385" s="15">
        <v>20.73</v>
      </c>
      <c r="C1385" s="15">
        <v>612564</v>
      </c>
      <c r="D1385" s="15">
        <v>53992</v>
      </c>
      <c r="E1385" s="15" t="s">
        <v>1192</v>
      </c>
      <c r="F1385" s="15">
        <v>2011</v>
      </c>
      <c r="G1385" s="15">
        <v>20110324</v>
      </c>
      <c r="H1385" s="15">
        <v>3916</v>
      </c>
      <c r="I1385" s="15">
        <v>0.39</v>
      </c>
      <c r="J1385" s="6" t="s">
        <v>682</v>
      </c>
      <c r="K1385" s="15">
        <v>252</v>
      </c>
      <c r="L1385" s="15" t="s">
        <v>41</v>
      </c>
      <c r="M1385" s="15" t="s">
        <v>4</v>
      </c>
      <c r="N1385" s="11" t="s">
        <v>1406</v>
      </c>
      <c r="O1385" s="11" t="s">
        <v>46</v>
      </c>
      <c r="P1385" s="11" t="s">
        <v>33</v>
      </c>
      <c r="Q1385" s="15">
        <v>0</v>
      </c>
      <c r="R1385" s="11" t="s">
        <v>1386</v>
      </c>
      <c r="S1385" s="10">
        <v>137.12321826657001</v>
      </c>
      <c r="T1385" s="15">
        <v>80</v>
      </c>
      <c r="U1385" s="15">
        <v>0</v>
      </c>
      <c r="V1385" s="15">
        <v>1</v>
      </c>
      <c r="W1385" s="15">
        <v>0</v>
      </c>
      <c r="X1385" s="15">
        <f>IF(O1385='Udvaskning nøgletal'!$D$65,1,IF(O1385='Udvaskning nøgletal'!$D$66,2,IF(O1385='Udvaskning nøgletal'!$D$67,3,IF(O1385='Udvaskning nøgletal'!$D$68,2,""))))</f>
        <v>2</v>
      </c>
      <c r="Y1385" s="15">
        <f>LOOKUP(K1385,'Udvaskning nøgletal'!$C$12:$C$60,'Udvaskning nøgletal'!$H$12:$H$60)</f>
        <v>0</v>
      </c>
      <c r="Z1385" s="10">
        <f>IF(X1385=1,LOOKUP(K1385,'Udvaskning nøgletal'!$C$12:$C$60,'Udvaskning nøgletal'!$E$12:$E$60)+Markniveau!Y1385*Markniveau!S1385/100,IF(X1385=2,LOOKUP(K1385,'Udvaskning nøgletal'!$C$12:$C$60,'Udvaskning nøgletal'!$F$12:$F$60)+Markniveau!Y1385*Markniveau!S1385/100,IF(X1385=3,LOOKUP(K1385,'Udvaskning nøgletal'!$C$12:$C$60,'Udvaskning nøgletal'!G1395:G1443)+Markniveau!Y1385*Markniveau!S1385/100,"")))</f>
        <v>21.2</v>
      </c>
      <c r="AA1385" s="10">
        <f t="shared" si="216"/>
        <v>8.2680000000000007</v>
      </c>
      <c r="AB1385" s="10" t="str">
        <f t="shared" si="215"/>
        <v/>
      </c>
      <c r="AC1385" s="10" t="str">
        <f t="shared" si="217"/>
        <v/>
      </c>
      <c r="AD1385" s="10">
        <f>IF(AND(Q1385&gt;0,Q1385&lt;30,K1385&lt;8),Markniveau!Z1385*'Udvaskning nøgletal'!$I$12/100,IF(AND(Q1385&gt;0,Q1385&lt;30,K1385=216),Markniveau!Z1385*'Udvaskning nøgletal'!$I$34/100,Markniveau!Z1385))</f>
        <v>21.2</v>
      </c>
      <c r="AE1385" s="10">
        <f t="shared" si="223"/>
        <v>8.2680000000000007</v>
      </c>
      <c r="AF1385" s="10" t="str">
        <f t="shared" si="218"/>
        <v/>
      </c>
      <c r="AG1385" s="10" t="str">
        <f t="shared" si="224"/>
        <v/>
      </c>
      <c r="AH1385" s="10" t="str">
        <f>IF(AND(Q1385&gt;0,Q1385&lt;30,K1385=216),'Udvaskning nøgletal'!$C$42,IF(AND(Q1385&gt;0,Q1385&lt;30,K1385&gt;7,K1385&lt;17),'Udvaskning nøgletal'!$C$61,IF(AND(Q1385&gt;0,Q1385&lt;30,K1385&lt;7),'Udvaskning nøgletal'!$C$62,"")))</f>
        <v/>
      </c>
      <c r="AI1385" s="10">
        <f t="shared" si="220"/>
        <v>252</v>
      </c>
      <c r="AJ1385" s="10">
        <f>IF($X1385=1,LOOKUP(AI1385,'Udvaskning nøgletal'!$C$12:$C$62,'Udvaskning nøgletal'!$E$12:$E$62)+Markniveau!$Y1385*Markniveau!$S1385/100,IF($X1385=2,LOOKUP(AI1385,'Udvaskning nøgletal'!$C$12:$C$62,'Udvaskning nøgletal'!$F$12:$F$62)+Markniveau!$Y1385*Markniveau!$S1385/100,IF($X1385=3,LOOKUP(AI1385,'Udvaskning nøgletal'!$C$12:$C$62,'Udvaskning nøgletal'!Q1395:Q1445)+Markniveau!$Y1385*Markniveau!$S1385/100,"")))</f>
        <v>21.2</v>
      </c>
      <c r="AK1385" s="10">
        <f t="shared" si="219"/>
        <v>8.2680000000000007</v>
      </c>
      <c r="AL1385" s="10" t="str">
        <f t="shared" si="221"/>
        <v/>
      </c>
      <c r="AM1385" s="10" t="str">
        <f t="shared" si="222"/>
        <v/>
      </c>
    </row>
    <row r="1386" spans="1:39" x14ac:dyDescent="0.25">
      <c r="A1386" s="15">
        <v>64488414</v>
      </c>
      <c r="B1386" s="15">
        <v>20.73</v>
      </c>
      <c r="C1386" s="15">
        <v>612565</v>
      </c>
      <c r="D1386" s="15">
        <v>53992</v>
      </c>
      <c r="E1386" s="15" t="s">
        <v>1193</v>
      </c>
      <c r="F1386" s="15">
        <v>2011</v>
      </c>
      <c r="G1386" s="15">
        <v>20110324</v>
      </c>
      <c r="H1386" s="15">
        <v>3219</v>
      </c>
      <c r="I1386" s="15">
        <v>0.32</v>
      </c>
      <c r="J1386" s="6" t="s">
        <v>1194</v>
      </c>
      <c r="K1386" s="15">
        <v>252</v>
      </c>
      <c r="L1386" s="15" t="s">
        <v>41</v>
      </c>
      <c r="M1386" s="15" t="s">
        <v>4</v>
      </c>
      <c r="N1386" s="11" t="s">
        <v>1406</v>
      </c>
      <c r="O1386" s="11" t="s">
        <v>46</v>
      </c>
      <c r="P1386" s="11" t="s">
        <v>33</v>
      </c>
      <c r="Q1386" s="15">
        <v>0</v>
      </c>
      <c r="R1386" s="11" t="s">
        <v>1386</v>
      </c>
      <c r="S1386" s="10">
        <v>137.12321826657001</v>
      </c>
      <c r="T1386" s="15">
        <v>80</v>
      </c>
      <c r="U1386" s="15">
        <v>0</v>
      </c>
      <c r="V1386" s="15">
        <v>1</v>
      </c>
      <c r="W1386" s="15">
        <v>0</v>
      </c>
      <c r="X1386" s="15">
        <f>IF(O1386='Udvaskning nøgletal'!$D$65,1,IF(O1386='Udvaskning nøgletal'!$D$66,2,IF(O1386='Udvaskning nøgletal'!$D$67,3,IF(O1386='Udvaskning nøgletal'!$D$68,2,""))))</f>
        <v>2</v>
      </c>
      <c r="Y1386" s="15">
        <f>LOOKUP(K1386,'Udvaskning nøgletal'!$C$12:$C$60,'Udvaskning nøgletal'!$H$12:$H$60)</f>
        <v>0</v>
      </c>
      <c r="Z1386" s="10">
        <f>IF(X1386=1,LOOKUP(K1386,'Udvaskning nøgletal'!$C$12:$C$60,'Udvaskning nøgletal'!$E$12:$E$60)+Markniveau!Y1386*Markniveau!S1386/100,IF(X1386=2,LOOKUP(K1386,'Udvaskning nøgletal'!$C$12:$C$60,'Udvaskning nøgletal'!$F$12:$F$60)+Markniveau!Y1386*Markniveau!S1386/100,IF(X1386=3,LOOKUP(K1386,'Udvaskning nøgletal'!$C$12:$C$60,'Udvaskning nøgletal'!G1396:G1444)+Markniveau!Y1386*Markniveau!S1386/100,"")))</f>
        <v>21.2</v>
      </c>
      <c r="AA1386" s="10">
        <f t="shared" si="216"/>
        <v>6.7839999999999998</v>
      </c>
      <c r="AB1386" s="10" t="str">
        <f t="shared" si="215"/>
        <v/>
      </c>
      <c r="AC1386" s="10" t="str">
        <f t="shared" si="217"/>
        <v/>
      </c>
      <c r="AD1386" s="10">
        <f>IF(AND(Q1386&gt;0,Q1386&lt;30,K1386&lt;8),Markniveau!Z1386*'Udvaskning nøgletal'!$I$12/100,IF(AND(Q1386&gt;0,Q1386&lt;30,K1386=216),Markniveau!Z1386*'Udvaskning nøgletal'!$I$34/100,Markniveau!Z1386))</f>
        <v>21.2</v>
      </c>
      <c r="AE1386" s="10">
        <f t="shared" si="223"/>
        <v>6.7839999999999998</v>
      </c>
      <c r="AF1386" s="10" t="str">
        <f t="shared" si="218"/>
        <v/>
      </c>
      <c r="AG1386" s="10" t="str">
        <f t="shared" si="224"/>
        <v/>
      </c>
      <c r="AH1386" s="10" t="str">
        <f>IF(AND(Q1386&gt;0,Q1386&lt;30,K1386=216),'Udvaskning nøgletal'!$C$42,IF(AND(Q1386&gt;0,Q1386&lt;30,K1386&gt;7,K1386&lt;17),'Udvaskning nøgletal'!$C$61,IF(AND(Q1386&gt;0,Q1386&lt;30,K1386&lt;7),'Udvaskning nøgletal'!$C$62,"")))</f>
        <v/>
      </c>
      <c r="AI1386" s="10">
        <f t="shared" si="220"/>
        <v>252</v>
      </c>
      <c r="AJ1386" s="10">
        <f>IF($X1386=1,LOOKUP(AI1386,'Udvaskning nøgletal'!$C$12:$C$62,'Udvaskning nøgletal'!$E$12:$E$62)+Markniveau!$Y1386*Markniveau!$S1386/100,IF($X1386=2,LOOKUP(AI1386,'Udvaskning nøgletal'!$C$12:$C$62,'Udvaskning nøgletal'!$F$12:$F$62)+Markniveau!$Y1386*Markniveau!$S1386/100,IF($X1386=3,LOOKUP(AI1386,'Udvaskning nøgletal'!$C$12:$C$62,'Udvaskning nøgletal'!Q1396:Q1446)+Markniveau!$Y1386*Markniveau!$S1386/100,"")))</f>
        <v>21.2</v>
      </c>
      <c r="AK1386" s="10">
        <f t="shared" si="219"/>
        <v>6.7839999999999998</v>
      </c>
      <c r="AL1386" s="10" t="str">
        <f t="shared" si="221"/>
        <v/>
      </c>
      <c r="AM1386" s="10" t="str">
        <f t="shared" si="222"/>
        <v/>
      </c>
    </row>
    <row r="1387" spans="1:39" x14ac:dyDescent="0.25">
      <c r="A1387" s="15">
        <v>64488414</v>
      </c>
      <c r="B1387" s="15">
        <v>20.73</v>
      </c>
      <c r="C1387" s="15">
        <v>612566</v>
      </c>
      <c r="D1387" s="15">
        <v>53992</v>
      </c>
      <c r="E1387" s="15" t="s">
        <v>1193</v>
      </c>
      <c r="F1387" s="15">
        <v>2011</v>
      </c>
      <c r="G1387" s="15">
        <v>20110324</v>
      </c>
      <c r="H1387" s="15">
        <v>7577</v>
      </c>
      <c r="I1387" s="15">
        <v>0.76</v>
      </c>
      <c r="J1387" s="6" t="s">
        <v>194</v>
      </c>
      <c r="K1387" s="15">
        <v>1</v>
      </c>
      <c r="L1387" s="15" t="s">
        <v>32</v>
      </c>
      <c r="M1387" s="15" t="s">
        <v>5</v>
      </c>
      <c r="N1387" s="11" t="s">
        <v>1406</v>
      </c>
      <c r="O1387" s="11" t="s">
        <v>46</v>
      </c>
      <c r="P1387" s="11" t="s">
        <v>33</v>
      </c>
      <c r="Q1387" s="15">
        <v>0</v>
      </c>
      <c r="R1387" s="11" t="s">
        <v>1386</v>
      </c>
      <c r="S1387" s="10">
        <v>137.12321826657001</v>
      </c>
      <c r="T1387" s="15">
        <v>80</v>
      </c>
      <c r="U1387" s="15">
        <v>0</v>
      </c>
      <c r="V1387" s="15">
        <v>1</v>
      </c>
      <c r="W1387" s="15">
        <v>0</v>
      </c>
      <c r="X1387" s="15">
        <f>IF(O1387='Udvaskning nøgletal'!$D$65,1,IF(O1387='Udvaskning nøgletal'!$D$66,2,IF(O1387='Udvaskning nøgletal'!$D$67,3,IF(O1387='Udvaskning nøgletal'!$D$68,2,""))))</f>
        <v>2</v>
      </c>
      <c r="Y1387" s="15">
        <f>LOOKUP(K1387,'Udvaskning nøgletal'!$C$12:$C$60,'Udvaskning nøgletal'!$H$12:$H$60)</f>
        <v>5</v>
      </c>
      <c r="Z1387" s="10">
        <f>IF(X1387=1,LOOKUP(K1387,'Udvaskning nøgletal'!$C$12:$C$60,'Udvaskning nøgletal'!$E$12:$E$60)+Markniveau!Y1387*Markniveau!S1387/100,IF(X1387=2,LOOKUP(K1387,'Udvaskning nøgletal'!$C$12:$C$60,'Udvaskning nøgletal'!$F$12:$F$60)+Markniveau!Y1387*Markniveau!S1387/100,IF(X1387=3,LOOKUP(K1387,'Udvaskning nøgletal'!$C$12:$C$60,'Udvaskning nøgletal'!G1397:G1445)+Markniveau!Y1387*Markniveau!S1387/100,"")))</f>
        <v>57.736160913328504</v>
      </c>
      <c r="AA1387" s="10">
        <f t="shared" si="216"/>
        <v>43.879482294129666</v>
      </c>
      <c r="AB1387" s="10" t="str">
        <f t="shared" si="215"/>
        <v/>
      </c>
      <c r="AC1387" s="10" t="str">
        <f t="shared" si="217"/>
        <v/>
      </c>
      <c r="AD1387" s="10">
        <f>IF(AND(Q1387&gt;0,Q1387&lt;30,K1387&lt;8),Markniveau!Z1387*'Udvaskning nøgletal'!$I$12/100,IF(AND(Q1387&gt;0,Q1387&lt;30,K1387=216),Markniveau!Z1387*'Udvaskning nøgletal'!$I$34/100,Markniveau!Z1387))</f>
        <v>57.736160913328504</v>
      </c>
      <c r="AE1387" s="10">
        <f t="shared" si="223"/>
        <v>43.879482294129666</v>
      </c>
      <c r="AF1387" s="10" t="str">
        <f t="shared" si="218"/>
        <v/>
      </c>
      <c r="AG1387" s="10" t="str">
        <f t="shared" si="224"/>
        <v/>
      </c>
      <c r="AH1387" s="10" t="str">
        <f>IF(AND(Q1387&gt;0,Q1387&lt;30,K1387=216),'Udvaskning nøgletal'!$C$42,IF(AND(Q1387&gt;0,Q1387&lt;30,K1387&gt;7,K1387&lt;17),'Udvaskning nøgletal'!$C$61,IF(AND(Q1387&gt;0,Q1387&lt;30,K1387&lt;7),'Udvaskning nøgletal'!$C$62,"")))</f>
        <v/>
      </c>
      <c r="AI1387" s="10">
        <f t="shared" si="220"/>
        <v>1</v>
      </c>
      <c r="AJ1387" s="10">
        <f>IF($X1387=1,LOOKUP(AI1387,'Udvaskning nøgletal'!$C$12:$C$62,'Udvaskning nøgletal'!$E$12:$E$62)+Markniveau!$Y1387*Markniveau!$S1387/100,IF($X1387=2,LOOKUP(AI1387,'Udvaskning nøgletal'!$C$12:$C$62,'Udvaskning nøgletal'!$F$12:$F$62)+Markniveau!$Y1387*Markniveau!$S1387/100,IF($X1387=3,LOOKUP(AI1387,'Udvaskning nøgletal'!$C$12:$C$62,'Udvaskning nøgletal'!Q1397:Q1447)+Markniveau!$Y1387*Markniveau!$S1387/100,"")))</f>
        <v>57.736160913328504</v>
      </c>
      <c r="AK1387" s="10">
        <f t="shared" si="219"/>
        <v>43.879482294129666</v>
      </c>
      <c r="AL1387" s="10" t="str">
        <f t="shared" si="221"/>
        <v/>
      </c>
      <c r="AM1387" s="10" t="str">
        <f t="shared" si="222"/>
        <v/>
      </c>
    </row>
    <row r="1388" spans="1:39" x14ac:dyDescent="0.25">
      <c r="A1388" s="15">
        <v>64488414</v>
      </c>
      <c r="B1388" s="15">
        <v>20.73</v>
      </c>
      <c r="C1388" s="15">
        <v>612567</v>
      </c>
      <c r="D1388" s="15">
        <v>53992</v>
      </c>
      <c r="E1388" s="15" t="s">
        <v>1193</v>
      </c>
      <c r="F1388" s="15">
        <v>2011</v>
      </c>
      <c r="G1388" s="15">
        <v>20110324</v>
      </c>
      <c r="H1388" s="15">
        <v>32093</v>
      </c>
      <c r="I1388" s="15">
        <v>3.21</v>
      </c>
      <c r="J1388" s="6" t="s">
        <v>65</v>
      </c>
      <c r="K1388" s="15">
        <v>1</v>
      </c>
      <c r="L1388" s="15" t="s">
        <v>32</v>
      </c>
      <c r="M1388" s="15" t="s">
        <v>5</v>
      </c>
      <c r="N1388" s="11" t="s">
        <v>1406</v>
      </c>
      <c r="O1388" s="11" t="s">
        <v>46</v>
      </c>
      <c r="P1388" s="11" t="s">
        <v>33</v>
      </c>
      <c r="Q1388" s="15">
        <v>0</v>
      </c>
      <c r="R1388" s="11" t="s">
        <v>1386</v>
      </c>
      <c r="S1388" s="10">
        <v>137.12321826657001</v>
      </c>
      <c r="T1388" s="15">
        <v>80</v>
      </c>
      <c r="U1388" s="15">
        <v>0</v>
      </c>
      <c r="V1388" s="15">
        <v>1</v>
      </c>
      <c r="W1388" s="15">
        <v>0</v>
      </c>
      <c r="X1388" s="15">
        <f>IF(O1388='Udvaskning nøgletal'!$D$65,1,IF(O1388='Udvaskning nøgletal'!$D$66,2,IF(O1388='Udvaskning nøgletal'!$D$67,3,IF(O1388='Udvaskning nøgletal'!$D$68,2,""))))</f>
        <v>2</v>
      </c>
      <c r="Y1388" s="15">
        <f>LOOKUP(K1388,'Udvaskning nøgletal'!$C$12:$C$60,'Udvaskning nøgletal'!$H$12:$H$60)</f>
        <v>5</v>
      </c>
      <c r="Z1388" s="10">
        <f>IF(X1388=1,LOOKUP(K1388,'Udvaskning nøgletal'!$C$12:$C$60,'Udvaskning nøgletal'!$E$12:$E$60)+Markniveau!Y1388*Markniveau!S1388/100,IF(X1388=2,LOOKUP(K1388,'Udvaskning nøgletal'!$C$12:$C$60,'Udvaskning nøgletal'!$F$12:$F$60)+Markniveau!Y1388*Markniveau!S1388/100,IF(X1388=3,LOOKUP(K1388,'Udvaskning nøgletal'!$C$12:$C$60,'Udvaskning nøgletal'!G1398:G1446)+Markniveau!Y1388*Markniveau!S1388/100,"")))</f>
        <v>57.736160913328504</v>
      </c>
      <c r="AA1388" s="10">
        <f t="shared" si="216"/>
        <v>185.33307653178449</v>
      </c>
      <c r="AB1388" s="10" t="str">
        <f t="shared" si="215"/>
        <v/>
      </c>
      <c r="AC1388" s="10" t="str">
        <f t="shared" si="217"/>
        <v/>
      </c>
      <c r="AD1388" s="10">
        <f>IF(AND(Q1388&gt;0,Q1388&lt;30,K1388&lt;8),Markniveau!Z1388*'Udvaskning nøgletal'!$I$12/100,IF(AND(Q1388&gt;0,Q1388&lt;30,K1388=216),Markniveau!Z1388*'Udvaskning nøgletal'!$I$34/100,Markniveau!Z1388))</f>
        <v>57.736160913328504</v>
      </c>
      <c r="AE1388" s="10">
        <f t="shared" si="223"/>
        <v>185.33307653178449</v>
      </c>
      <c r="AF1388" s="10" t="str">
        <f t="shared" si="218"/>
        <v/>
      </c>
      <c r="AG1388" s="10" t="str">
        <f t="shared" si="224"/>
        <v/>
      </c>
      <c r="AH1388" s="10" t="str">
        <f>IF(AND(Q1388&gt;0,Q1388&lt;30,K1388=216),'Udvaskning nøgletal'!$C$42,IF(AND(Q1388&gt;0,Q1388&lt;30,K1388&gt;7,K1388&lt;17),'Udvaskning nøgletal'!$C$61,IF(AND(Q1388&gt;0,Q1388&lt;30,K1388&lt;7),'Udvaskning nøgletal'!$C$62,"")))</f>
        <v/>
      </c>
      <c r="AI1388" s="10">
        <f t="shared" si="220"/>
        <v>1</v>
      </c>
      <c r="AJ1388" s="10">
        <f>IF($X1388=1,LOOKUP(AI1388,'Udvaskning nøgletal'!$C$12:$C$62,'Udvaskning nøgletal'!$E$12:$E$62)+Markniveau!$Y1388*Markniveau!$S1388/100,IF($X1388=2,LOOKUP(AI1388,'Udvaskning nøgletal'!$C$12:$C$62,'Udvaskning nøgletal'!$F$12:$F$62)+Markniveau!$Y1388*Markniveau!$S1388/100,IF($X1388=3,LOOKUP(AI1388,'Udvaskning nøgletal'!$C$12:$C$62,'Udvaskning nøgletal'!Q1398:Q1448)+Markniveau!$Y1388*Markniveau!$S1388/100,"")))</f>
        <v>57.736160913328504</v>
      </c>
      <c r="AK1388" s="10">
        <f t="shared" si="219"/>
        <v>185.33307653178449</v>
      </c>
      <c r="AL1388" s="10" t="str">
        <f t="shared" si="221"/>
        <v/>
      </c>
      <c r="AM1388" s="10" t="str">
        <f t="shared" si="222"/>
        <v/>
      </c>
    </row>
    <row r="1389" spans="1:39" x14ac:dyDescent="0.25">
      <c r="A1389" s="15">
        <v>64488414</v>
      </c>
      <c r="B1389" s="15">
        <v>20.73</v>
      </c>
      <c r="C1389" s="15">
        <v>612568</v>
      </c>
      <c r="D1389" s="15">
        <v>53992</v>
      </c>
      <c r="E1389" s="15" t="s">
        <v>1183</v>
      </c>
      <c r="F1389" s="15">
        <v>2011</v>
      </c>
      <c r="G1389" s="15">
        <v>20110324</v>
      </c>
      <c r="H1389" s="15">
        <v>17842</v>
      </c>
      <c r="I1389" s="15">
        <v>1.78</v>
      </c>
      <c r="J1389" s="6" t="s">
        <v>176</v>
      </c>
      <c r="K1389" s="15">
        <v>260</v>
      </c>
      <c r="L1389" s="15" t="s">
        <v>45</v>
      </c>
      <c r="M1389" s="15" t="s">
        <v>5</v>
      </c>
      <c r="N1389" s="11" t="s">
        <v>1406</v>
      </c>
      <c r="O1389" s="11" t="s">
        <v>46</v>
      </c>
      <c r="P1389" s="11" t="s">
        <v>33</v>
      </c>
      <c r="Q1389" s="15">
        <v>0</v>
      </c>
      <c r="R1389" s="11" t="s">
        <v>1386</v>
      </c>
      <c r="S1389" s="10">
        <v>137.12321826657001</v>
      </c>
      <c r="T1389" s="15">
        <v>80</v>
      </c>
      <c r="U1389" s="15">
        <v>0</v>
      </c>
      <c r="V1389" s="15">
        <v>1</v>
      </c>
      <c r="W1389" s="15">
        <v>0</v>
      </c>
      <c r="X1389" s="15">
        <f>IF(O1389='Udvaskning nøgletal'!$D$65,1,IF(O1389='Udvaskning nøgletal'!$D$66,2,IF(O1389='Udvaskning nøgletal'!$D$67,3,IF(O1389='Udvaskning nøgletal'!$D$68,2,""))))</f>
        <v>2</v>
      </c>
      <c r="Y1389" s="15">
        <f>LOOKUP(K1389,'Udvaskning nøgletal'!$C$12:$C$60,'Udvaskning nøgletal'!$H$12:$H$60)</f>
        <v>0</v>
      </c>
      <c r="Z1389" s="10">
        <f>IF(X1389=1,LOOKUP(K1389,'Udvaskning nøgletal'!$C$12:$C$60,'Udvaskning nøgletal'!$E$12:$E$60)+Markniveau!Y1389*Markniveau!S1389/100,IF(X1389=2,LOOKUP(K1389,'Udvaskning nøgletal'!$C$12:$C$60,'Udvaskning nøgletal'!$F$12:$F$60)+Markniveau!Y1389*Markniveau!S1389/100,IF(X1389=3,LOOKUP(K1389,'Udvaskning nøgletal'!$C$12:$C$60,'Udvaskning nøgletal'!G1399:G1447)+Markniveau!Y1389*Markniveau!S1389/100,"")))</f>
        <v>27.331185321443094</v>
      </c>
      <c r="AA1389" s="10">
        <f t="shared" si="216"/>
        <v>48.649509872168707</v>
      </c>
      <c r="AB1389" s="10" t="str">
        <f t="shared" si="215"/>
        <v/>
      </c>
      <c r="AC1389" s="10" t="str">
        <f t="shared" si="217"/>
        <v/>
      </c>
      <c r="AD1389" s="10">
        <f>IF(AND(Q1389&gt;0,Q1389&lt;30,K1389&lt;8),Markniveau!Z1389*'Udvaskning nøgletal'!$I$12/100,IF(AND(Q1389&gt;0,Q1389&lt;30,K1389=216),Markniveau!Z1389*'Udvaskning nøgletal'!$I$34/100,Markniveau!Z1389))</f>
        <v>27.331185321443094</v>
      </c>
      <c r="AE1389" s="10">
        <f t="shared" si="223"/>
        <v>48.649509872168707</v>
      </c>
      <c r="AF1389" s="10" t="str">
        <f t="shared" si="218"/>
        <v/>
      </c>
      <c r="AG1389" s="10" t="str">
        <f t="shared" si="224"/>
        <v/>
      </c>
      <c r="AH1389" s="10" t="str">
        <f>IF(AND(Q1389&gt;0,Q1389&lt;30,K1389=216),'Udvaskning nøgletal'!$C$42,IF(AND(Q1389&gt;0,Q1389&lt;30,K1389&gt;7,K1389&lt;17),'Udvaskning nøgletal'!$C$61,IF(AND(Q1389&gt;0,Q1389&lt;30,K1389&lt;7),'Udvaskning nøgletal'!$C$62,"")))</f>
        <v/>
      </c>
      <c r="AI1389" s="10">
        <f t="shared" si="220"/>
        <v>260</v>
      </c>
      <c r="AJ1389" s="10">
        <f>IF($X1389=1,LOOKUP(AI1389,'Udvaskning nøgletal'!$C$12:$C$62,'Udvaskning nøgletal'!$E$12:$E$62)+Markniveau!$Y1389*Markniveau!$S1389/100,IF($X1389=2,LOOKUP(AI1389,'Udvaskning nøgletal'!$C$12:$C$62,'Udvaskning nøgletal'!$F$12:$F$62)+Markniveau!$Y1389*Markniveau!$S1389/100,IF($X1389=3,LOOKUP(AI1389,'Udvaskning nøgletal'!$C$12:$C$62,'Udvaskning nøgletal'!Q1399:Q1449)+Markniveau!$Y1389*Markniveau!$S1389/100,"")))</f>
        <v>27.331185321443094</v>
      </c>
      <c r="AK1389" s="10">
        <f t="shared" si="219"/>
        <v>48.649509872168707</v>
      </c>
      <c r="AL1389" s="10" t="str">
        <f t="shared" si="221"/>
        <v/>
      </c>
      <c r="AM1389" s="10" t="str">
        <f t="shared" si="222"/>
        <v/>
      </c>
    </row>
    <row r="1390" spans="1:39" x14ac:dyDescent="0.25">
      <c r="A1390" s="15">
        <v>64488414</v>
      </c>
      <c r="B1390" s="15">
        <v>20.73</v>
      </c>
      <c r="C1390" s="15">
        <v>613040</v>
      </c>
      <c r="D1390" s="15">
        <v>53992</v>
      </c>
      <c r="E1390" s="15" t="s">
        <v>1195</v>
      </c>
      <c r="F1390" s="15">
        <v>2011</v>
      </c>
      <c r="G1390" s="15">
        <v>20110324</v>
      </c>
      <c r="H1390" s="15">
        <v>11102</v>
      </c>
      <c r="I1390" s="15">
        <v>1.1100000000000001</v>
      </c>
      <c r="J1390" s="6" t="s">
        <v>162</v>
      </c>
      <c r="K1390" s="15">
        <v>252</v>
      </c>
      <c r="L1390" s="15" t="s">
        <v>41</v>
      </c>
      <c r="M1390" s="15" t="s">
        <v>4</v>
      </c>
      <c r="N1390" s="11" t="s">
        <v>1390</v>
      </c>
      <c r="O1390" s="11" t="s">
        <v>42</v>
      </c>
      <c r="P1390" s="11" t="s">
        <v>33</v>
      </c>
      <c r="Q1390" s="15">
        <v>0</v>
      </c>
      <c r="R1390" s="11" t="s">
        <v>1386</v>
      </c>
      <c r="S1390" s="10">
        <v>137.12321826657001</v>
      </c>
      <c r="T1390" s="15">
        <v>80</v>
      </c>
      <c r="U1390" s="15">
        <v>0</v>
      </c>
      <c r="V1390" s="15">
        <v>1</v>
      </c>
      <c r="W1390" s="15">
        <v>0</v>
      </c>
      <c r="X1390" s="15">
        <f>IF(O1390='Udvaskning nøgletal'!$D$65,1,IF(O1390='Udvaskning nøgletal'!$D$66,2,IF(O1390='Udvaskning nøgletal'!$D$67,3,IF(O1390='Udvaskning nøgletal'!$D$68,2,""))))</f>
        <v>2</v>
      </c>
      <c r="Y1390" s="15">
        <f>LOOKUP(K1390,'Udvaskning nøgletal'!$C$12:$C$60,'Udvaskning nøgletal'!$H$12:$H$60)</f>
        <v>0</v>
      </c>
      <c r="Z1390" s="10">
        <f>IF(X1390=1,LOOKUP(K1390,'Udvaskning nøgletal'!$C$12:$C$60,'Udvaskning nøgletal'!$E$12:$E$60)+Markniveau!Y1390*Markniveau!S1390/100,IF(X1390=2,LOOKUP(K1390,'Udvaskning nøgletal'!$C$12:$C$60,'Udvaskning nøgletal'!$F$12:$F$60)+Markniveau!Y1390*Markniveau!S1390/100,IF(X1390=3,LOOKUP(K1390,'Udvaskning nøgletal'!$C$12:$C$60,'Udvaskning nøgletal'!G1400:G1448)+Markniveau!Y1390*Markniveau!S1390/100,"")))</f>
        <v>21.2</v>
      </c>
      <c r="AA1390" s="10">
        <f t="shared" si="216"/>
        <v>23.532</v>
      </c>
      <c r="AB1390" s="10" t="str">
        <f t="shared" si="215"/>
        <v/>
      </c>
      <c r="AC1390" s="10" t="str">
        <f t="shared" si="217"/>
        <v/>
      </c>
      <c r="AD1390" s="10">
        <f>IF(AND(Q1390&gt;0,Q1390&lt;30,K1390&lt;8),Markniveau!Z1390*'Udvaskning nøgletal'!$I$12/100,IF(AND(Q1390&gt;0,Q1390&lt;30,K1390=216),Markniveau!Z1390*'Udvaskning nøgletal'!$I$34/100,Markniveau!Z1390))</f>
        <v>21.2</v>
      </c>
      <c r="AE1390" s="10">
        <f t="shared" si="223"/>
        <v>23.532</v>
      </c>
      <c r="AF1390" s="10" t="str">
        <f t="shared" si="218"/>
        <v/>
      </c>
      <c r="AG1390" s="10" t="str">
        <f t="shared" si="224"/>
        <v/>
      </c>
      <c r="AH1390" s="10" t="str">
        <f>IF(AND(Q1390&gt;0,Q1390&lt;30,K1390=216),'Udvaskning nøgletal'!$C$42,IF(AND(Q1390&gt;0,Q1390&lt;30,K1390&gt;7,K1390&lt;17),'Udvaskning nøgletal'!$C$61,IF(AND(Q1390&gt;0,Q1390&lt;30,K1390&lt;7),'Udvaskning nøgletal'!$C$62,"")))</f>
        <v/>
      </c>
      <c r="AI1390" s="10">
        <f t="shared" si="220"/>
        <v>252</v>
      </c>
      <c r="AJ1390" s="10">
        <f>IF($X1390=1,LOOKUP(AI1390,'Udvaskning nøgletal'!$C$12:$C$62,'Udvaskning nøgletal'!$E$12:$E$62)+Markniveau!$Y1390*Markniveau!$S1390/100,IF($X1390=2,LOOKUP(AI1390,'Udvaskning nøgletal'!$C$12:$C$62,'Udvaskning nøgletal'!$F$12:$F$62)+Markniveau!$Y1390*Markniveau!$S1390/100,IF($X1390=3,LOOKUP(AI1390,'Udvaskning nøgletal'!$C$12:$C$62,'Udvaskning nøgletal'!Q1400:Q1450)+Markniveau!$Y1390*Markniveau!$S1390/100,"")))</f>
        <v>21.2</v>
      </c>
      <c r="AK1390" s="10">
        <f t="shared" si="219"/>
        <v>23.532</v>
      </c>
      <c r="AL1390" s="10" t="str">
        <f t="shared" si="221"/>
        <v/>
      </c>
      <c r="AM1390" s="10" t="str">
        <f t="shared" si="222"/>
        <v/>
      </c>
    </row>
    <row r="1391" spans="1:39" x14ac:dyDescent="0.25">
      <c r="A1391" s="15">
        <v>64488414</v>
      </c>
      <c r="B1391" s="15">
        <v>20.73</v>
      </c>
      <c r="C1391" s="15">
        <v>613041</v>
      </c>
      <c r="D1391" s="15">
        <v>53992</v>
      </c>
      <c r="E1391" s="15" t="s">
        <v>1183</v>
      </c>
      <c r="F1391" s="15">
        <v>2011</v>
      </c>
      <c r="G1391" s="15">
        <v>20110324</v>
      </c>
      <c r="H1391" s="15">
        <v>4956</v>
      </c>
      <c r="I1391" s="15">
        <v>0.5</v>
      </c>
      <c r="J1391" s="6" t="s">
        <v>498</v>
      </c>
      <c r="K1391" s="15">
        <v>252</v>
      </c>
      <c r="L1391" s="15" t="s">
        <v>41</v>
      </c>
      <c r="M1391" s="15" t="s">
        <v>4</v>
      </c>
      <c r="N1391" s="11" t="s">
        <v>1384</v>
      </c>
      <c r="O1391" s="11" t="s">
        <v>28</v>
      </c>
      <c r="P1391" s="11" t="s">
        <v>33</v>
      </c>
      <c r="Q1391" s="15">
        <v>0</v>
      </c>
      <c r="R1391" s="11" t="s">
        <v>1386</v>
      </c>
      <c r="S1391" s="10">
        <v>137.12321826657001</v>
      </c>
      <c r="T1391" s="15">
        <v>80</v>
      </c>
      <c r="U1391" s="15">
        <v>0</v>
      </c>
      <c r="V1391" s="15">
        <v>1</v>
      </c>
      <c r="W1391" s="15">
        <v>0</v>
      </c>
      <c r="X1391" s="15">
        <f>IF(O1391='Udvaskning nøgletal'!$D$65,1,IF(O1391='Udvaskning nøgletal'!$D$66,2,IF(O1391='Udvaskning nøgletal'!$D$67,3,IF(O1391='Udvaskning nøgletal'!$D$68,2,""))))</f>
        <v>1</v>
      </c>
      <c r="Y1391" s="15">
        <f>LOOKUP(K1391,'Udvaskning nøgletal'!$C$12:$C$60,'Udvaskning nøgletal'!$H$12:$H$60)</f>
        <v>0</v>
      </c>
      <c r="Z1391" s="10">
        <f>IF(X1391=1,LOOKUP(K1391,'Udvaskning nøgletal'!$C$12:$C$60,'Udvaskning nøgletal'!$E$12:$E$60)+Markniveau!Y1391*Markniveau!S1391/100,IF(X1391=2,LOOKUP(K1391,'Udvaskning nøgletal'!$C$12:$C$60,'Udvaskning nøgletal'!$F$12:$F$60)+Markniveau!Y1391*Markniveau!S1391/100,IF(X1391=3,LOOKUP(K1391,'Udvaskning nøgletal'!$C$12:$C$60,'Udvaskning nøgletal'!G1401:G1449)+Markniveau!Y1391*Markniveau!S1391/100,"")))</f>
        <v>21.2</v>
      </c>
      <c r="AA1391" s="10">
        <f t="shared" si="216"/>
        <v>10.6</v>
      </c>
      <c r="AB1391" s="10" t="str">
        <f t="shared" si="215"/>
        <v/>
      </c>
      <c r="AC1391" s="10" t="str">
        <f t="shared" si="217"/>
        <v/>
      </c>
      <c r="AD1391" s="10">
        <f>IF(AND(Q1391&gt;0,Q1391&lt;30,K1391&lt;8),Markniveau!Z1391*'Udvaskning nøgletal'!$I$12/100,IF(AND(Q1391&gt;0,Q1391&lt;30,K1391=216),Markniveau!Z1391*'Udvaskning nøgletal'!$I$34/100,Markniveau!Z1391))</f>
        <v>21.2</v>
      </c>
      <c r="AE1391" s="10">
        <f t="shared" si="223"/>
        <v>10.6</v>
      </c>
      <c r="AF1391" s="10" t="str">
        <f t="shared" si="218"/>
        <v/>
      </c>
      <c r="AG1391" s="10" t="str">
        <f t="shared" si="224"/>
        <v/>
      </c>
      <c r="AH1391" s="10" t="str">
        <f>IF(AND(Q1391&gt;0,Q1391&lt;30,K1391=216),'Udvaskning nøgletal'!$C$42,IF(AND(Q1391&gt;0,Q1391&lt;30,K1391&gt;7,K1391&lt;17),'Udvaskning nøgletal'!$C$61,IF(AND(Q1391&gt;0,Q1391&lt;30,K1391&lt;7),'Udvaskning nøgletal'!$C$62,"")))</f>
        <v/>
      </c>
      <c r="AI1391" s="10">
        <f t="shared" si="220"/>
        <v>252</v>
      </c>
      <c r="AJ1391" s="10">
        <f>IF($X1391=1,LOOKUP(AI1391,'Udvaskning nøgletal'!$C$12:$C$62,'Udvaskning nøgletal'!$E$12:$E$62)+Markniveau!$Y1391*Markniveau!$S1391/100,IF($X1391=2,LOOKUP(AI1391,'Udvaskning nøgletal'!$C$12:$C$62,'Udvaskning nøgletal'!$F$12:$F$62)+Markniveau!$Y1391*Markniveau!$S1391/100,IF($X1391=3,LOOKUP(AI1391,'Udvaskning nøgletal'!$C$12:$C$62,'Udvaskning nøgletal'!Q1401:Q1451)+Markniveau!$Y1391*Markniveau!$S1391/100,"")))</f>
        <v>21.2</v>
      </c>
      <c r="AK1391" s="10">
        <f t="shared" si="219"/>
        <v>10.6</v>
      </c>
      <c r="AL1391" s="10" t="str">
        <f t="shared" si="221"/>
        <v/>
      </c>
      <c r="AM1391" s="10" t="str">
        <f t="shared" si="222"/>
        <v/>
      </c>
    </row>
    <row r="1392" spans="1:39" x14ac:dyDescent="0.25">
      <c r="A1392" s="15">
        <v>64488414</v>
      </c>
      <c r="B1392" s="15">
        <v>20.73</v>
      </c>
      <c r="C1392" s="15">
        <v>613042</v>
      </c>
      <c r="D1392" s="15">
        <v>53992</v>
      </c>
      <c r="E1392" s="15" t="s">
        <v>1183</v>
      </c>
      <c r="F1392" s="15">
        <v>2011</v>
      </c>
      <c r="G1392" s="15">
        <v>20110324</v>
      </c>
      <c r="H1392" s="15">
        <v>25618</v>
      </c>
      <c r="I1392" s="15">
        <v>2.56</v>
      </c>
      <c r="J1392" s="6" t="s">
        <v>55</v>
      </c>
      <c r="K1392" s="15">
        <v>260</v>
      </c>
      <c r="L1392" s="15" t="s">
        <v>45</v>
      </c>
      <c r="M1392" s="15" t="s">
        <v>5</v>
      </c>
      <c r="N1392" s="11" t="s">
        <v>1384</v>
      </c>
      <c r="O1392" s="11" t="s">
        <v>28</v>
      </c>
      <c r="P1392" s="11" t="s">
        <v>33</v>
      </c>
      <c r="Q1392" s="15">
        <v>0</v>
      </c>
      <c r="R1392" s="11" t="s">
        <v>1386</v>
      </c>
      <c r="S1392" s="10">
        <v>137.12321826657001</v>
      </c>
      <c r="T1392" s="15">
        <v>80</v>
      </c>
      <c r="U1392" s="15">
        <v>0</v>
      </c>
      <c r="V1392" s="15">
        <v>1</v>
      </c>
      <c r="W1392" s="15">
        <v>0</v>
      </c>
      <c r="X1392" s="15">
        <f>IF(O1392='Udvaskning nøgletal'!$D$65,1,IF(O1392='Udvaskning nøgletal'!$D$66,2,IF(O1392='Udvaskning nøgletal'!$D$67,3,IF(O1392='Udvaskning nøgletal'!$D$68,2,""))))</f>
        <v>1</v>
      </c>
      <c r="Y1392" s="15">
        <f>LOOKUP(K1392,'Udvaskning nøgletal'!$C$12:$C$60,'Udvaskning nøgletal'!$H$12:$H$60)</f>
        <v>0</v>
      </c>
      <c r="Z1392" s="10">
        <f>IF(X1392=1,LOOKUP(K1392,'Udvaskning nøgletal'!$C$12:$C$60,'Udvaskning nøgletal'!$E$12:$E$60)+Markniveau!Y1392*Markniveau!S1392/100,IF(X1392=2,LOOKUP(K1392,'Udvaskning nøgletal'!$C$12:$C$60,'Udvaskning nøgletal'!$F$12:$F$60)+Markniveau!Y1392*Markniveau!S1392/100,IF(X1392=3,LOOKUP(K1392,'Udvaskning nøgletal'!$C$12:$C$60,'Udvaskning nøgletal'!G1402:G1450)+Markniveau!Y1392*Markniveau!S1392/100,"")))</f>
        <v>33.723295792149436</v>
      </c>
      <c r="AA1392" s="10">
        <f t="shared" si="216"/>
        <v>86.331637227902561</v>
      </c>
      <c r="AB1392" s="10" t="str">
        <f t="shared" si="215"/>
        <v/>
      </c>
      <c r="AC1392" s="10" t="str">
        <f t="shared" si="217"/>
        <v/>
      </c>
      <c r="AD1392" s="10">
        <f>IF(AND(Q1392&gt;0,Q1392&lt;30,K1392&lt;8),Markniveau!Z1392*'Udvaskning nøgletal'!$I$12/100,IF(AND(Q1392&gt;0,Q1392&lt;30,K1392=216),Markniveau!Z1392*'Udvaskning nøgletal'!$I$34/100,Markniveau!Z1392))</f>
        <v>33.723295792149436</v>
      </c>
      <c r="AE1392" s="10">
        <f t="shared" si="223"/>
        <v>86.331637227902561</v>
      </c>
      <c r="AF1392" s="10" t="str">
        <f t="shared" si="218"/>
        <v/>
      </c>
      <c r="AG1392" s="10" t="str">
        <f t="shared" si="224"/>
        <v/>
      </c>
      <c r="AH1392" s="10" t="str">
        <f>IF(AND(Q1392&gt;0,Q1392&lt;30,K1392=216),'Udvaskning nøgletal'!$C$42,IF(AND(Q1392&gt;0,Q1392&lt;30,K1392&gt;7,K1392&lt;17),'Udvaskning nøgletal'!$C$61,IF(AND(Q1392&gt;0,Q1392&lt;30,K1392&lt;7),'Udvaskning nøgletal'!$C$62,"")))</f>
        <v/>
      </c>
      <c r="AI1392" s="10">
        <f t="shared" si="220"/>
        <v>260</v>
      </c>
      <c r="AJ1392" s="10">
        <f>IF($X1392=1,LOOKUP(AI1392,'Udvaskning nøgletal'!$C$12:$C$62,'Udvaskning nøgletal'!$E$12:$E$62)+Markniveau!$Y1392*Markniveau!$S1392/100,IF($X1392=2,LOOKUP(AI1392,'Udvaskning nøgletal'!$C$12:$C$62,'Udvaskning nøgletal'!$F$12:$F$62)+Markniveau!$Y1392*Markniveau!$S1392/100,IF($X1392=3,LOOKUP(AI1392,'Udvaskning nøgletal'!$C$12:$C$62,'Udvaskning nøgletal'!Q1402:Q1452)+Markniveau!$Y1392*Markniveau!$S1392/100,"")))</f>
        <v>33.723295792149436</v>
      </c>
      <c r="AK1392" s="10">
        <f t="shared" si="219"/>
        <v>86.331637227902561</v>
      </c>
      <c r="AL1392" s="10" t="str">
        <f t="shared" si="221"/>
        <v/>
      </c>
      <c r="AM1392" s="10" t="str">
        <f t="shared" si="222"/>
        <v/>
      </c>
    </row>
    <row r="1393" spans="1:39" x14ac:dyDescent="0.25">
      <c r="A1393" s="15">
        <v>64488414</v>
      </c>
      <c r="B1393" s="15">
        <v>20.73</v>
      </c>
      <c r="C1393" s="15">
        <v>613043</v>
      </c>
      <c r="D1393" s="15">
        <v>53992</v>
      </c>
      <c r="E1393" s="15" t="s">
        <v>1183</v>
      </c>
      <c r="F1393" s="15">
        <v>2011</v>
      </c>
      <c r="G1393" s="15">
        <v>20110324</v>
      </c>
      <c r="H1393" s="15">
        <v>6469</v>
      </c>
      <c r="I1393" s="15">
        <v>0.65</v>
      </c>
      <c r="J1393" s="6" t="s">
        <v>199</v>
      </c>
      <c r="K1393" s="15">
        <v>260</v>
      </c>
      <c r="L1393" s="15" t="s">
        <v>45</v>
      </c>
      <c r="M1393" s="15" t="s">
        <v>5</v>
      </c>
      <c r="N1393" s="11" t="s">
        <v>1406</v>
      </c>
      <c r="O1393" s="11" t="s">
        <v>46</v>
      </c>
      <c r="P1393" s="11" t="s">
        <v>33</v>
      </c>
      <c r="Q1393" s="15">
        <v>0</v>
      </c>
      <c r="R1393" s="11" t="s">
        <v>1386</v>
      </c>
      <c r="S1393" s="10">
        <v>137.12321826657001</v>
      </c>
      <c r="T1393" s="15">
        <v>80</v>
      </c>
      <c r="U1393" s="15">
        <v>0</v>
      </c>
      <c r="V1393" s="15">
        <v>1</v>
      </c>
      <c r="W1393" s="15">
        <v>0</v>
      </c>
      <c r="X1393" s="15">
        <f>IF(O1393='Udvaskning nøgletal'!$D$65,1,IF(O1393='Udvaskning nøgletal'!$D$66,2,IF(O1393='Udvaskning nøgletal'!$D$67,3,IF(O1393='Udvaskning nøgletal'!$D$68,2,""))))</f>
        <v>2</v>
      </c>
      <c r="Y1393" s="15">
        <f>LOOKUP(K1393,'Udvaskning nøgletal'!$C$12:$C$60,'Udvaskning nøgletal'!$H$12:$H$60)</f>
        <v>0</v>
      </c>
      <c r="Z1393" s="10">
        <f>IF(X1393=1,LOOKUP(K1393,'Udvaskning nøgletal'!$C$12:$C$60,'Udvaskning nøgletal'!$E$12:$E$60)+Markniveau!Y1393*Markniveau!S1393/100,IF(X1393=2,LOOKUP(K1393,'Udvaskning nøgletal'!$C$12:$C$60,'Udvaskning nøgletal'!$F$12:$F$60)+Markniveau!Y1393*Markniveau!S1393/100,IF(X1393=3,LOOKUP(K1393,'Udvaskning nøgletal'!$C$12:$C$60,'Udvaskning nøgletal'!G1403:G1451)+Markniveau!Y1393*Markniveau!S1393/100,"")))</f>
        <v>27.331185321443094</v>
      </c>
      <c r="AA1393" s="10">
        <f t="shared" si="216"/>
        <v>17.765270458938012</v>
      </c>
      <c r="AB1393" s="10" t="str">
        <f t="shared" si="215"/>
        <v/>
      </c>
      <c r="AC1393" s="10" t="str">
        <f t="shared" si="217"/>
        <v/>
      </c>
      <c r="AD1393" s="10">
        <f>IF(AND(Q1393&gt;0,Q1393&lt;30,K1393&lt;8),Markniveau!Z1393*'Udvaskning nøgletal'!$I$12/100,IF(AND(Q1393&gt;0,Q1393&lt;30,K1393=216),Markniveau!Z1393*'Udvaskning nøgletal'!$I$34/100,Markniveau!Z1393))</f>
        <v>27.331185321443094</v>
      </c>
      <c r="AE1393" s="10">
        <f t="shared" si="223"/>
        <v>17.765270458938012</v>
      </c>
      <c r="AF1393" s="10" t="str">
        <f t="shared" si="218"/>
        <v/>
      </c>
      <c r="AG1393" s="10" t="str">
        <f t="shared" si="224"/>
        <v/>
      </c>
      <c r="AH1393" s="10" t="str">
        <f>IF(AND(Q1393&gt;0,Q1393&lt;30,K1393=216),'Udvaskning nøgletal'!$C$42,IF(AND(Q1393&gt;0,Q1393&lt;30,K1393&gt;7,K1393&lt;17),'Udvaskning nøgletal'!$C$61,IF(AND(Q1393&gt;0,Q1393&lt;30,K1393&lt;7),'Udvaskning nøgletal'!$C$62,"")))</f>
        <v/>
      </c>
      <c r="AI1393" s="10">
        <f t="shared" si="220"/>
        <v>260</v>
      </c>
      <c r="AJ1393" s="10">
        <f>IF($X1393=1,LOOKUP(AI1393,'Udvaskning nøgletal'!$C$12:$C$62,'Udvaskning nøgletal'!$E$12:$E$62)+Markniveau!$Y1393*Markniveau!$S1393/100,IF($X1393=2,LOOKUP(AI1393,'Udvaskning nøgletal'!$C$12:$C$62,'Udvaskning nøgletal'!$F$12:$F$62)+Markniveau!$Y1393*Markniveau!$S1393/100,IF($X1393=3,LOOKUP(AI1393,'Udvaskning nøgletal'!$C$12:$C$62,'Udvaskning nøgletal'!Q1403:Q1453)+Markniveau!$Y1393*Markniveau!$S1393/100,"")))</f>
        <v>27.331185321443094</v>
      </c>
      <c r="AK1393" s="10">
        <f t="shared" si="219"/>
        <v>17.765270458938012</v>
      </c>
      <c r="AL1393" s="10" t="str">
        <f t="shared" si="221"/>
        <v/>
      </c>
      <c r="AM1393" s="10" t="str">
        <f t="shared" si="222"/>
        <v/>
      </c>
    </row>
    <row r="1394" spans="1:39" x14ac:dyDescent="0.25">
      <c r="A1394" s="15">
        <v>64488414</v>
      </c>
      <c r="B1394" s="15">
        <v>20.73</v>
      </c>
      <c r="C1394" s="15">
        <v>613044</v>
      </c>
      <c r="D1394" s="15">
        <v>53992</v>
      </c>
      <c r="E1394" s="15" t="s">
        <v>1183</v>
      </c>
      <c r="F1394" s="15">
        <v>2011</v>
      </c>
      <c r="G1394" s="15">
        <v>20110324</v>
      </c>
      <c r="H1394" s="15">
        <v>2516</v>
      </c>
      <c r="I1394" s="15">
        <v>0.25</v>
      </c>
      <c r="J1394" s="6" t="s">
        <v>495</v>
      </c>
      <c r="K1394" s="15">
        <v>260</v>
      </c>
      <c r="L1394" s="15" t="s">
        <v>45</v>
      </c>
      <c r="M1394" s="15" t="s">
        <v>5</v>
      </c>
      <c r="N1394" s="11" t="s">
        <v>1384</v>
      </c>
      <c r="O1394" s="11" t="s">
        <v>28</v>
      </c>
      <c r="P1394" s="11" t="s">
        <v>33</v>
      </c>
      <c r="Q1394" s="15">
        <v>0</v>
      </c>
      <c r="R1394" s="11" t="s">
        <v>1386</v>
      </c>
      <c r="S1394" s="10">
        <v>137.12321826657001</v>
      </c>
      <c r="T1394" s="15">
        <v>80</v>
      </c>
      <c r="U1394" s="15">
        <v>0</v>
      </c>
      <c r="V1394" s="15">
        <v>1</v>
      </c>
      <c r="W1394" s="15">
        <v>0</v>
      </c>
      <c r="X1394" s="15">
        <f>IF(O1394='Udvaskning nøgletal'!$D$65,1,IF(O1394='Udvaskning nøgletal'!$D$66,2,IF(O1394='Udvaskning nøgletal'!$D$67,3,IF(O1394='Udvaskning nøgletal'!$D$68,2,""))))</f>
        <v>1</v>
      </c>
      <c r="Y1394" s="15">
        <f>LOOKUP(K1394,'Udvaskning nøgletal'!$C$12:$C$60,'Udvaskning nøgletal'!$H$12:$H$60)</f>
        <v>0</v>
      </c>
      <c r="Z1394" s="10">
        <f>IF(X1394=1,LOOKUP(K1394,'Udvaskning nøgletal'!$C$12:$C$60,'Udvaskning nøgletal'!$E$12:$E$60)+Markniveau!Y1394*Markniveau!S1394/100,IF(X1394=2,LOOKUP(K1394,'Udvaskning nøgletal'!$C$12:$C$60,'Udvaskning nøgletal'!$F$12:$F$60)+Markniveau!Y1394*Markniveau!S1394/100,IF(X1394=3,LOOKUP(K1394,'Udvaskning nøgletal'!$C$12:$C$60,'Udvaskning nøgletal'!G1404:G1452)+Markniveau!Y1394*Markniveau!S1394/100,"")))</f>
        <v>33.723295792149436</v>
      </c>
      <c r="AA1394" s="10">
        <f t="shared" si="216"/>
        <v>8.430823948037359</v>
      </c>
      <c r="AB1394" s="10" t="str">
        <f t="shared" si="215"/>
        <v/>
      </c>
      <c r="AC1394" s="10" t="str">
        <f t="shared" si="217"/>
        <v/>
      </c>
      <c r="AD1394" s="10">
        <f>IF(AND(Q1394&gt;0,Q1394&lt;30,K1394&lt;8),Markniveau!Z1394*'Udvaskning nøgletal'!$I$12/100,IF(AND(Q1394&gt;0,Q1394&lt;30,K1394=216),Markniveau!Z1394*'Udvaskning nøgletal'!$I$34/100,Markniveau!Z1394))</f>
        <v>33.723295792149436</v>
      </c>
      <c r="AE1394" s="10">
        <f t="shared" si="223"/>
        <v>8.430823948037359</v>
      </c>
      <c r="AF1394" s="10" t="str">
        <f t="shared" si="218"/>
        <v/>
      </c>
      <c r="AG1394" s="10" t="str">
        <f t="shared" si="224"/>
        <v/>
      </c>
      <c r="AH1394" s="10" t="str">
        <f>IF(AND(Q1394&gt;0,Q1394&lt;30,K1394=216),'Udvaskning nøgletal'!$C$42,IF(AND(Q1394&gt;0,Q1394&lt;30,K1394&gt;7,K1394&lt;17),'Udvaskning nøgletal'!$C$61,IF(AND(Q1394&gt;0,Q1394&lt;30,K1394&lt;7),'Udvaskning nøgletal'!$C$62,"")))</f>
        <v/>
      </c>
      <c r="AI1394" s="10">
        <f t="shared" si="220"/>
        <v>260</v>
      </c>
      <c r="AJ1394" s="10">
        <f>IF($X1394=1,LOOKUP(AI1394,'Udvaskning nøgletal'!$C$12:$C$62,'Udvaskning nøgletal'!$E$12:$E$62)+Markniveau!$Y1394*Markniveau!$S1394/100,IF($X1394=2,LOOKUP(AI1394,'Udvaskning nøgletal'!$C$12:$C$62,'Udvaskning nøgletal'!$F$12:$F$62)+Markniveau!$Y1394*Markniveau!$S1394/100,IF($X1394=3,LOOKUP(AI1394,'Udvaskning nøgletal'!$C$12:$C$62,'Udvaskning nøgletal'!Q1404:Q1454)+Markniveau!$Y1394*Markniveau!$S1394/100,"")))</f>
        <v>33.723295792149436</v>
      </c>
      <c r="AK1394" s="10">
        <f t="shared" si="219"/>
        <v>8.430823948037359</v>
      </c>
      <c r="AL1394" s="10" t="str">
        <f t="shared" si="221"/>
        <v/>
      </c>
      <c r="AM1394" s="10" t="str">
        <f t="shared" si="222"/>
        <v/>
      </c>
    </row>
    <row r="1395" spans="1:39" x14ac:dyDescent="0.25">
      <c r="A1395" s="15">
        <v>64488414</v>
      </c>
      <c r="B1395" s="15">
        <v>20.73</v>
      </c>
      <c r="C1395" s="15">
        <v>613045</v>
      </c>
      <c r="D1395" s="15">
        <v>53992</v>
      </c>
      <c r="E1395" s="15" t="s">
        <v>1183</v>
      </c>
      <c r="F1395" s="15">
        <v>2011</v>
      </c>
      <c r="G1395" s="15">
        <v>20110324</v>
      </c>
      <c r="H1395" s="15">
        <v>84821</v>
      </c>
      <c r="I1395" s="15">
        <v>8.48</v>
      </c>
      <c r="J1395" s="6" t="s">
        <v>93</v>
      </c>
      <c r="K1395" s="15">
        <v>260</v>
      </c>
      <c r="L1395" s="15" t="s">
        <v>45</v>
      </c>
      <c r="M1395" s="15" t="s">
        <v>5</v>
      </c>
      <c r="N1395" s="11" t="s">
        <v>1406</v>
      </c>
      <c r="O1395" s="11" t="s">
        <v>46</v>
      </c>
      <c r="P1395" s="11" t="s">
        <v>33</v>
      </c>
      <c r="Q1395" s="15">
        <v>0</v>
      </c>
      <c r="R1395" s="11" t="s">
        <v>1386</v>
      </c>
      <c r="S1395" s="10">
        <v>137.12321826657001</v>
      </c>
      <c r="T1395" s="15">
        <v>80</v>
      </c>
      <c r="U1395" s="15">
        <v>0</v>
      </c>
      <c r="V1395" s="15">
        <v>1</v>
      </c>
      <c r="W1395" s="15">
        <v>0</v>
      </c>
      <c r="X1395" s="15">
        <f>IF(O1395='Udvaskning nøgletal'!$D$65,1,IF(O1395='Udvaskning nøgletal'!$D$66,2,IF(O1395='Udvaskning nøgletal'!$D$67,3,IF(O1395='Udvaskning nøgletal'!$D$68,2,""))))</f>
        <v>2</v>
      </c>
      <c r="Y1395" s="15">
        <f>LOOKUP(K1395,'Udvaskning nøgletal'!$C$12:$C$60,'Udvaskning nøgletal'!$H$12:$H$60)</f>
        <v>0</v>
      </c>
      <c r="Z1395" s="10">
        <f>IF(X1395=1,LOOKUP(K1395,'Udvaskning nøgletal'!$C$12:$C$60,'Udvaskning nøgletal'!$E$12:$E$60)+Markniveau!Y1395*Markniveau!S1395/100,IF(X1395=2,LOOKUP(K1395,'Udvaskning nøgletal'!$C$12:$C$60,'Udvaskning nøgletal'!$F$12:$F$60)+Markniveau!Y1395*Markniveau!S1395/100,IF(X1395=3,LOOKUP(K1395,'Udvaskning nøgletal'!$C$12:$C$60,'Udvaskning nøgletal'!G1405:G1453)+Markniveau!Y1395*Markniveau!S1395/100,"")))</f>
        <v>27.331185321443094</v>
      </c>
      <c r="AA1395" s="10">
        <f t="shared" si="216"/>
        <v>231.76845152583743</v>
      </c>
      <c r="AB1395" s="10" t="str">
        <f t="shared" si="215"/>
        <v/>
      </c>
      <c r="AC1395" s="10" t="str">
        <f t="shared" si="217"/>
        <v/>
      </c>
      <c r="AD1395" s="10">
        <f>IF(AND(Q1395&gt;0,Q1395&lt;30,K1395&lt;8),Markniveau!Z1395*'Udvaskning nøgletal'!$I$12/100,IF(AND(Q1395&gt;0,Q1395&lt;30,K1395=216),Markniveau!Z1395*'Udvaskning nøgletal'!$I$34/100,Markniveau!Z1395))</f>
        <v>27.331185321443094</v>
      </c>
      <c r="AE1395" s="10">
        <f t="shared" si="223"/>
        <v>231.76845152583743</v>
      </c>
      <c r="AF1395" s="10" t="str">
        <f t="shared" si="218"/>
        <v/>
      </c>
      <c r="AG1395" s="10" t="str">
        <f t="shared" si="224"/>
        <v/>
      </c>
      <c r="AH1395" s="10" t="str">
        <f>IF(AND(Q1395&gt;0,Q1395&lt;30,K1395=216),'Udvaskning nøgletal'!$C$42,IF(AND(Q1395&gt;0,Q1395&lt;30,K1395&gt;7,K1395&lt;17),'Udvaskning nøgletal'!$C$61,IF(AND(Q1395&gt;0,Q1395&lt;30,K1395&lt;7),'Udvaskning nøgletal'!$C$62,"")))</f>
        <v/>
      </c>
      <c r="AI1395" s="10">
        <f t="shared" si="220"/>
        <v>260</v>
      </c>
      <c r="AJ1395" s="10">
        <f>IF($X1395=1,LOOKUP(AI1395,'Udvaskning nøgletal'!$C$12:$C$62,'Udvaskning nøgletal'!$E$12:$E$62)+Markniveau!$Y1395*Markniveau!$S1395/100,IF($X1395=2,LOOKUP(AI1395,'Udvaskning nøgletal'!$C$12:$C$62,'Udvaskning nøgletal'!$F$12:$F$62)+Markniveau!$Y1395*Markniveau!$S1395/100,IF($X1395=3,LOOKUP(AI1395,'Udvaskning nøgletal'!$C$12:$C$62,'Udvaskning nøgletal'!Q1405:Q1455)+Markniveau!$Y1395*Markniveau!$S1395/100,"")))</f>
        <v>27.331185321443094</v>
      </c>
      <c r="AK1395" s="10">
        <f t="shared" si="219"/>
        <v>231.76845152583743</v>
      </c>
      <c r="AL1395" s="10" t="str">
        <f t="shared" si="221"/>
        <v/>
      </c>
      <c r="AM1395" s="10" t="str">
        <f t="shared" si="222"/>
        <v/>
      </c>
    </row>
    <row r="1396" spans="1:39" x14ac:dyDescent="0.25">
      <c r="A1396" s="15">
        <v>64488414</v>
      </c>
      <c r="B1396" s="15">
        <v>20.73</v>
      </c>
      <c r="C1396" s="15">
        <v>613046</v>
      </c>
      <c r="D1396" s="15">
        <v>53992</v>
      </c>
      <c r="E1396" s="15" t="s">
        <v>1183</v>
      </c>
      <c r="F1396" s="15">
        <v>2011</v>
      </c>
      <c r="G1396" s="15">
        <v>20110324</v>
      </c>
      <c r="H1396" s="15">
        <v>55716</v>
      </c>
      <c r="I1396" s="15">
        <v>5.57</v>
      </c>
      <c r="J1396" s="6" t="s">
        <v>141</v>
      </c>
      <c r="K1396" s="15">
        <v>260</v>
      </c>
      <c r="L1396" s="15" t="s">
        <v>45</v>
      </c>
      <c r="M1396" s="15" t="s">
        <v>5</v>
      </c>
      <c r="N1396" s="11" t="s">
        <v>1406</v>
      </c>
      <c r="O1396" s="11" t="s">
        <v>46</v>
      </c>
      <c r="P1396" s="11" t="s">
        <v>33</v>
      </c>
      <c r="Q1396" s="15">
        <v>0</v>
      </c>
      <c r="R1396" s="11" t="s">
        <v>1386</v>
      </c>
      <c r="S1396" s="10">
        <v>137.12321826657001</v>
      </c>
      <c r="T1396" s="15">
        <v>80</v>
      </c>
      <c r="U1396" s="15">
        <v>0</v>
      </c>
      <c r="V1396" s="15">
        <v>1</v>
      </c>
      <c r="W1396" s="15">
        <v>0</v>
      </c>
      <c r="X1396" s="15">
        <f>IF(O1396='Udvaskning nøgletal'!$D$65,1,IF(O1396='Udvaskning nøgletal'!$D$66,2,IF(O1396='Udvaskning nøgletal'!$D$67,3,IF(O1396='Udvaskning nøgletal'!$D$68,2,""))))</f>
        <v>2</v>
      </c>
      <c r="Y1396" s="15">
        <f>LOOKUP(K1396,'Udvaskning nøgletal'!$C$12:$C$60,'Udvaskning nøgletal'!$H$12:$H$60)</f>
        <v>0</v>
      </c>
      <c r="Z1396" s="10">
        <f>IF(X1396=1,LOOKUP(K1396,'Udvaskning nøgletal'!$C$12:$C$60,'Udvaskning nøgletal'!$E$12:$E$60)+Markniveau!Y1396*Markniveau!S1396/100,IF(X1396=2,LOOKUP(K1396,'Udvaskning nøgletal'!$C$12:$C$60,'Udvaskning nøgletal'!$F$12:$F$60)+Markniveau!Y1396*Markniveau!S1396/100,IF(X1396=3,LOOKUP(K1396,'Udvaskning nøgletal'!$C$12:$C$60,'Udvaskning nøgletal'!G1406:G1454)+Markniveau!Y1396*Markniveau!S1396/100,"")))</f>
        <v>27.331185321443094</v>
      </c>
      <c r="AA1396" s="10">
        <f t="shared" si="216"/>
        <v>152.23470224043805</v>
      </c>
      <c r="AB1396" s="10" t="str">
        <f t="shared" si="215"/>
        <v/>
      </c>
      <c r="AC1396" s="10" t="str">
        <f t="shared" si="217"/>
        <v/>
      </c>
      <c r="AD1396" s="10">
        <f>IF(AND(Q1396&gt;0,Q1396&lt;30,K1396&lt;8),Markniveau!Z1396*'Udvaskning nøgletal'!$I$12/100,IF(AND(Q1396&gt;0,Q1396&lt;30,K1396=216),Markniveau!Z1396*'Udvaskning nøgletal'!$I$34/100,Markniveau!Z1396))</f>
        <v>27.331185321443094</v>
      </c>
      <c r="AE1396" s="10">
        <f t="shared" si="223"/>
        <v>152.23470224043805</v>
      </c>
      <c r="AF1396" s="10" t="str">
        <f t="shared" si="218"/>
        <v/>
      </c>
      <c r="AG1396" s="10" t="str">
        <f t="shared" si="224"/>
        <v/>
      </c>
      <c r="AH1396" s="10" t="str">
        <f>IF(AND(Q1396&gt;0,Q1396&lt;30,K1396=216),'Udvaskning nøgletal'!$C$42,IF(AND(Q1396&gt;0,Q1396&lt;30,K1396&gt;7,K1396&lt;17),'Udvaskning nøgletal'!$C$61,IF(AND(Q1396&gt;0,Q1396&lt;30,K1396&lt;7),'Udvaskning nøgletal'!$C$62,"")))</f>
        <v/>
      </c>
      <c r="AI1396" s="10">
        <f t="shared" si="220"/>
        <v>260</v>
      </c>
      <c r="AJ1396" s="10">
        <f>IF($X1396=1,LOOKUP(AI1396,'Udvaskning nøgletal'!$C$12:$C$62,'Udvaskning nøgletal'!$E$12:$E$62)+Markniveau!$Y1396*Markniveau!$S1396/100,IF($X1396=2,LOOKUP(AI1396,'Udvaskning nøgletal'!$C$12:$C$62,'Udvaskning nøgletal'!$F$12:$F$62)+Markniveau!$Y1396*Markniveau!$S1396/100,IF($X1396=3,LOOKUP(AI1396,'Udvaskning nøgletal'!$C$12:$C$62,'Udvaskning nøgletal'!Q1406:Q1456)+Markniveau!$Y1396*Markniveau!$S1396/100,"")))</f>
        <v>27.331185321443094</v>
      </c>
      <c r="AK1396" s="10">
        <f t="shared" si="219"/>
        <v>152.23470224043805</v>
      </c>
      <c r="AL1396" s="10" t="str">
        <f t="shared" si="221"/>
        <v/>
      </c>
      <c r="AM1396" s="10" t="str">
        <f t="shared" si="222"/>
        <v/>
      </c>
    </row>
    <row r="1397" spans="1:39" x14ac:dyDescent="0.25">
      <c r="A1397" s="15">
        <v>64488414</v>
      </c>
      <c r="B1397" s="15">
        <v>20.73</v>
      </c>
      <c r="C1397" s="15">
        <v>613047</v>
      </c>
      <c r="D1397" s="15">
        <v>53992</v>
      </c>
      <c r="E1397" s="15" t="s">
        <v>1196</v>
      </c>
      <c r="F1397" s="15">
        <v>2011</v>
      </c>
      <c r="G1397" s="15">
        <v>20110324</v>
      </c>
      <c r="H1397" s="15">
        <v>66494</v>
      </c>
      <c r="I1397" s="15">
        <v>6.65</v>
      </c>
      <c r="J1397" s="6" t="s">
        <v>1197</v>
      </c>
      <c r="K1397" s="15">
        <v>14</v>
      </c>
      <c r="L1397" s="15" t="s">
        <v>83</v>
      </c>
      <c r="M1397" s="15" t="s">
        <v>5</v>
      </c>
      <c r="N1397" s="11" t="s">
        <v>1384</v>
      </c>
      <c r="O1397" s="11" t="s">
        <v>28</v>
      </c>
      <c r="P1397" s="11" t="s">
        <v>33</v>
      </c>
      <c r="Q1397" s="15">
        <v>0</v>
      </c>
      <c r="R1397" s="11" t="s">
        <v>1386</v>
      </c>
      <c r="S1397" s="10">
        <v>137.12321826657001</v>
      </c>
      <c r="T1397" s="15">
        <v>80</v>
      </c>
      <c r="U1397" s="15">
        <v>0</v>
      </c>
      <c r="V1397" s="15">
        <v>1</v>
      </c>
      <c r="W1397" s="15">
        <v>0</v>
      </c>
      <c r="X1397" s="15">
        <f>IF(O1397='Udvaskning nøgletal'!$D$65,1,IF(O1397='Udvaskning nøgletal'!$D$66,2,IF(O1397='Udvaskning nøgletal'!$D$67,3,IF(O1397='Udvaskning nøgletal'!$D$68,2,""))))</f>
        <v>1</v>
      </c>
      <c r="Y1397" s="15">
        <f>LOOKUP(K1397,'Udvaskning nøgletal'!$C$12:$C$60,'Udvaskning nøgletal'!$H$12:$H$60)</f>
        <v>5</v>
      </c>
      <c r="Z1397" s="10">
        <f>IF(X1397=1,LOOKUP(K1397,'Udvaskning nøgletal'!$C$12:$C$60,'Udvaskning nøgletal'!$E$12:$E$60)+Markniveau!Y1397*Markniveau!S1397/100,IF(X1397=2,LOOKUP(K1397,'Udvaskning nøgletal'!$C$12:$C$60,'Udvaskning nøgletal'!$F$12:$F$60)+Markniveau!Y1397*Markniveau!S1397/100,IF(X1397=3,LOOKUP(K1397,'Udvaskning nøgletal'!$C$12:$C$60,'Udvaskning nøgletal'!G1407:G1455)+Markniveau!Y1397*Markniveau!S1397/100,"")))</f>
        <v>71.516160913328491</v>
      </c>
      <c r="AA1397" s="10">
        <f t="shared" si="216"/>
        <v>475.58247007363451</v>
      </c>
      <c r="AB1397" s="10" t="str">
        <f t="shared" si="215"/>
        <v/>
      </c>
      <c r="AC1397" s="10" t="str">
        <f t="shared" si="217"/>
        <v/>
      </c>
      <c r="AD1397" s="10">
        <f>IF(AND(Q1397&gt;0,Q1397&lt;30,K1397&lt;8),Markniveau!Z1397*'Udvaskning nøgletal'!$I$12/100,IF(AND(Q1397&gt;0,Q1397&lt;30,K1397=216),Markniveau!Z1397*'Udvaskning nøgletal'!$I$34/100,Markniveau!Z1397))</f>
        <v>71.516160913328491</v>
      </c>
      <c r="AE1397" s="10">
        <f t="shared" si="223"/>
        <v>475.58247007363451</v>
      </c>
      <c r="AF1397" s="10" t="str">
        <f t="shared" si="218"/>
        <v/>
      </c>
      <c r="AG1397" s="10" t="str">
        <f t="shared" si="224"/>
        <v/>
      </c>
      <c r="AH1397" s="10" t="str">
        <f>IF(AND(Q1397&gt;0,Q1397&lt;30,K1397=216),'Udvaskning nøgletal'!$C$42,IF(AND(Q1397&gt;0,Q1397&lt;30,K1397&gt;7,K1397&lt;17),'Udvaskning nøgletal'!$C$61,IF(AND(Q1397&gt;0,Q1397&lt;30,K1397&lt;7),'Udvaskning nøgletal'!$C$62,"")))</f>
        <v/>
      </c>
      <c r="AI1397" s="10">
        <f t="shared" si="220"/>
        <v>14</v>
      </c>
      <c r="AJ1397" s="10">
        <f>IF($X1397=1,LOOKUP(AI1397,'Udvaskning nøgletal'!$C$12:$C$62,'Udvaskning nøgletal'!$E$12:$E$62)+Markniveau!$Y1397*Markniveau!$S1397/100,IF($X1397=2,LOOKUP(AI1397,'Udvaskning nøgletal'!$C$12:$C$62,'Udvaskning nøgletal'!$F$12:$F$62)+Markniveau!$Y1397*Markniveau!$S1397/100,IF($X1397=3,LOOKUP(AI1397,'Udvaskning nøgletal'!$C$12:$C$62,'Udvaskning nøgletal'!Q1407:Q1457)+Markniveau!$Y1397*Markniveau!$S1397/100,"")))</f>
        <v>71.516160913328491</v>
      </c>
      <c r="AK1397" s="10">
        <f t="shared" si="219"/>
        <v>475.58247007363451</v>
      </c>
      <c r="AL1397" s="10" t="str">
        <f t="shared" si="221"/>
        <v/>
      </c>
      <c r="AM1397" s="10" t="str">
        <f t="shared" si="222"/>
        <v/>
      </c>
    </row>
    <row r="1398" spans="1:39" x14ac:dyDescent="0.25">
      <c r="A1398" s="15">
        <v>64488414</v>
      </c>
      <c r="B1398" s="15">
        <v>20.73</v>
      </c>
      <c r="C1398" s="15">
        <v>613533</v>
      </c>
      <c r="D1398" s="15">
        <v>53992</v>
      </c>
      <c r="E1398" s="15" t="s">
        <v>1196</v>
      </c>
      <c r="F1398" s="15">
        <v>2011</v>
      </c>
      <c r="G1398" s="15">
        <v>20110324</v>
      </c>
      <c r="H1398" s="15">
        <v>47689</v>
      </c>
      <c r="I1398" s="15">
        <v>4.7699999999999996</v>
      </c>
      <c r="J1398" s="6" t="s">
        <v>1198</v>
      </c>
      <c r="K1398" s="15">
        <v>1</v>
      </c>
      <c r="L1398" s="15" t="s">
        <v>32</v>
      </c>
      <c r="M1398" s="15" t="s">
        <v>5</v>
      </c>
      <c r="N1398" s="11" t="s">
        <v>1384</v>
      </c>
      <c r="O1398" s="11" t="s">
        <v>28</v>
      </c>
      <c r="P1398" s="11" t="s">
        <v>33</v>
      </c>
      <c r="Q1398" s="15">
        <v>0</v>
      </c>
      <c r="R1398" s="11" t="s">
        <v>1386</v>
      </c>
      <c r="S1398" s="10">
        <v>137.12321826657001</v>
      </c>
      <c r="T1398" s="15">
        <v>80</v>
      </c>
      <c r="U1398" s="15">
        <v>0</v>
      </c>
      <c r="V1398" s="15">
        <v>1</v>
      </c>
      <c r="W1398" s="15">
        <v>0</v>
      </c>
      <c r="X1398" s="15">
        <f>IF(O1398='Udvaskning nøgletal'!$D$65,1,IF(O1398='Udvaskning nøgletal'!$D$66,2,IF(O1398='Udvaskning nøgletal'!$D$67,3,IF(O1398='Udvaskning nøgletal'!$D$68,2,""))))</f>
        <v>1</v>
      </c>
      <c r="Y1398" s="15">
        <f>LOOKUP(K1398,'Udvaskning nøgletal'!$C$12:$C$60,'Udvaskning nøgletal'!$H$12:$H$60)</f>
        <v>5</v>
      </c>
      <c r="Z1398" s="10">
        <f>IF(X1398=1,LOOKUP(K1398,'Udvaskning nøgletal'!$C$12:$C$60,'Udvaskning nøgletal'!$E$12:$E$60)+Markniveau!Y1398*Markniveau!S1398/100,IF(X1398=2,LOOKUP(K1398,'Udvaskning nøgletal'!$C$12:$C$60,'Udvaskning nøgletal'!$F$12:$F$60)+Markniveau!Y1398*Markniveau!S1398/100,IF(X1398=3,LOOKUP(K1398,'Udvaskning nøgletal'!$C$12:$C$60,'Udvaskning nøgletal'!G1408:G1456)+Markniveau!Y1398*Markniveau!S1398/100,"")))</f>
        <v>71.516160913328491</v>
      </c>
      <c r="AA1398" s="10">
        <f t="shared" si="216"/>
        <v>341.13208755657689</v>
      </c>
      <c r="AB1398" s="10" t="str">
        <f t="shared" si="215"/>
        <v/>
      </c>
      <c r="AC1398" s="10" t="str">
        <f t="shared" si="217"/>
        <v/>
      </c>
      <c r="AD1398" s="10">
        <f>IF(AND(Q1398&gt;0,Q1398&lt;30,K1398&lt;8),Markniveau!Z1398*'Udvaskning nøgletal'!$I$12/100,IF(AND(Q1398&gt;0,Q1398&lt;30,K1398=216),Markniveau!Z1398*'Udvaskning nøgletal'!$I$34/100,Markniveau!Z1398))</f>
        <v>71.516160913328491</v>
      </c>
      <c r="AE1398" s="10">
        <f t="shared" si="223"/>
        <v>341.13208755657689</v>
      </c>
      <c r="AF1398" s="10" t="str">
        <f t="shared" si="218"/>
        <v/>
      </c>
      <c r="AG1398" s="10" t="str">
        <f t="shared" si="224"/>
        <v/>
      </c>
      <c r="AH1398" s="10" t="str">
        <f>IF(AND(Q1398&gt;0,Q1398&lt;30,K1398=216),'Udvaskning nøgletal'!$C$42,IF(AND(Q1398&gt;0,Q1398&lt;30,K1398&gt;7,K1398&lt;17),'Udvaskning nøgletal'!$C$61,IF(AND(Q1398&gt;0,Q1398&lt;30,K1398&lt;7),'Udvaskning nøgletal'!$C$62,"")))</f>
        <v/>
      </c>
      <c r="AI1398" s="10">
        <f t="shared" si="220"/>
        <v>1</v>
      </c>
      <c r="AJ1398" s="10">
        <f>IF($X1398=1,LOOKUP(AI1398,'Udvaskning nøgletal'!$C$12:$C$62,'Udvaskning nøgletal'!$E$12:$E$62)+Markniveau!$Y1398*Markniveau!$S1398/100,IF($X1398=2,LOOKUP(AI1398,'Udvaskning nøgletal'!$C$12:$C$62,'Udvaskning nøgletal'!$F$12:$F$62)+Markniveau!$Y1398*Markniveau!$S1398/100,IF($X1398=3,LOOKUP(AI1398,'Udvaskning nøgletal'!$C$12:$C$62,'Udvaskning nøgletal'!Q1408:Q1458)+Markniveau!$Y1398*Markniveau!$S1398/100,"")))</f>
        <v>71.516160913328491</v>
      </c>
      <c r="AK1398" s="10">
        <f t="shared" si="219"/>
        <v>341.13208755657689</v>
      </c>
      <c r="AL1398" s="10" t="str">
        <f t="shared" si="221"/>
        <v/>
      </c>
      <c r="AM1398" s="10" t="str">
        <f t="shared" si="222"/>
        <v/>
      </c>
    </row>
    <row r="1399" spans="1:39" x14ac:dyDescent="0.25">
      <c r="A1399" s="15">
        <v>64488414</v>
      </c>
      <c r="B1399" s="15">
        <v>20.73</v>
      </c>
      <c r="C1399" s="15">
        <v>613534</v>
      </c>
      <c r="D1399" s="15">
        <v>53992</v>
      </c>
      <c r="E1399" s="15" t="s">
        <v>1181</v>
      </c>
      <c r="F1399" s="15">
        <v>2011</v>
      </c>
      <c r="G1399" s="15">
        <v>20110324</v>
      </c>
      <c r="H1399" s="15">
        <v>6661</v>
      </c>
      <c r="I1399" s="15">
        <v>0.67</v>
      </c>
      <c r="J1399" s="6" t="s">
        <v>728</v>
      </c>
      <c r="K1399" s="15">
        <v>216</v>
      </c>
      <c r="L1399" s="15" t="s">
        <v>116</v>
      </c>
      <c r="M1399" s="15" t="s">
        <v>5</v>
      </c>
      <c r="N1399" s="11" t="s">
        <v>1384</v>
      </c>
      <c r="O1399" s="11" t="s">
        <v>28</v>
      </c>
      <c r="P1399" s="11" t="s">
        <v>33</v>
      </c>
      <c r="Q1399" s="15">
        <v>0</v>
      </c>
      <c r="R1399" s="11" t="s">
        <v>1386</v>
      </c>
      <c r="S1399" s="10">
        <v>137.12321826657001</v>
      </c>
      <c r="T1399" s="15">
        <v>80</v>
      </c>
      <c r="U1399" s="15">
        <v>0</v>
      </c>
      <c r="V1399" s="15">
        <v>1</v>
      </c>
      <c r="W1399" s="15">
        <v>0</v>
      </c>
      <c r="X1399" s="15">
        <f>IF(O1399='Udvaskning nøgletal'!$D$65,1,IF(O1399='Udvaskning nøgletal'!$D$66,2,IF(O1399='Udvaskning nøgletal'!$D$67,3,IF(O1399='Udvaskning nøgletal'!$D$68,2,""))))</f>
        <v>1</v>
      </c>
      <c r="Y1399" s="15">
        <f>LOOKUP(K1399,'Udvaskning nøgletal'!$C$12:$C$60,'Udvaskning nøgletal'!$H$12:$H$60)</f>
        <v>0</v>
      </c>
      <c r="Z1399" s="10">
        <f>IF(X1399=1,LOOKUP(K1399,'Udvaskning nøgletal'!$C$12:$C$60,'Udvaskning nøgletal'!$E$12:$E$60)+Markniveau!Y1399*Markniveau!S1399/100,IF(X1399=2,LOOKUP(K1399,'Udvaskning nøgletal'!$C$12:$C$60,'Udvaskning nøgletal'!$F$12:$F$60)+Markniveau!Y1399*Markniveau!S1399/100,IF(X1399=3,LOOKUP(K1399,'Udvaskning nøgletal'!$C$12:$C$60,'Udvaskning nøgletal'!G1409:G1457)+Markniveau!Y1399*Markniveau!S1399/100,"")))</f>
        <v>125.85383557148924</v>
      </c>
      <c r="AA1399" s="10">
        <f t="shared" si="216"/>
        <v>84.322069832897796</v>
      </c>
      <c r="AB1399" s="10" t="str">
        <f t="shared" si="215"/>
        <v/>
      </c>
      <c r="AC1399" s="10" t="str">
        <f t="shared" si="217"/>
        <v/>
      </c>
      <c r="AD1399" s="10">
        <f>IF(AND(Q1399&gt;0,Q1399&lt;30,K1399&lt;8),Markniveau!Z1399*'Udvaskning nøgletal'!$I$12/100,IF(AND(Q1399&gt;0,Q1399&lt;30,K1399=216),Markniveau!Z1399*'Udvaskning nøgletal'!$I$34/100,Markniveau!Z1399))</f>
        <v>125.85383557148924</v>
      </c>
      <c r="AE1399" s="10">
        <f t="shared" si="223"/>
        <v>84.322069832897796</v>
      </c>
      <c r="AF1399" s="10" t="str">
        <f t="shared" si="218"/>
        <v/>
      </c>
      <c r="AG1399" s="10" t="str">
        <f t="shared" si="224"/>
        <v/>
      </c>
      <c r="AH1399" s="10" t="str">
        <f>IF(AND(Q1399&gt;0,Q1399&lt;30,K1399=216),'Udvaskning nøgletal'!$C$42,IF(AND(Q1399&gt;0,Q1399&lt;30,K1399&gt;7,K1399&lt;17),'Udvaskning nøgletal'!$C$61,IF(AND(Q1399&gt;0,Q1399&lt;30,K1399&lt;7),'Udvaskning nøgletal'!$C$62,"")))</f>
        <v/>
      </c>
      <c r="AI1399" s="10">
        <f t="shared" si="220"/>
        <v>216</v>
      </c>
      <c r="AJ1399" s="10">
        <f>IF($X1399=1,LOOKUP(AI1399,'Udvaskning nøgletal'!$C$12:$C$62,'Udvaskning nøgletal'!$E$12:$E$62)+Markniveau!$Y1399*Markniveau!$S1399/100,IF($X1399=2,LOOKUP(AI1399,'Udvaskning nøgletal'!$C$12:$C$62,'Udvaskning nøgletal'!$F$12:$F$62)+Markniveau!$Y1399*Markniveau!$S1399/100,IF($X1399=3,LOOKUP(AI1399,'Udvaskning nøgletal'!$C$12:$C$62,'Udvaskning nøgletal'!Q1409:Q1459)+Markniveau!$Y1399*Markniveau!$S1399/100,"")))</f>
        <v>125.85383557148924</v>
      </c>
      <c r="AK1399" s="10">
        <f t="shared" si="219"/>
        <v>84.322069832897796</v>
      </c>
      <c r="AL1399" s="10" t="str">
        <f t="shared" si="221"/>
        <v/>
      </c>
      <c r="AM1399" s="10" t="str">
        <f t="shared" si="222"/>
        <v/>
      </c>
    </row>
    <row r="1400" spans="1:39" x14ac:dyDescent="0.25">
      <c r="A1400" s="15">
        <v>64488414</v>
      </c>
      <c r="B1400" s="15">
        <v>20.73</v>
      </c>
      <c r="C1400" s="15">
        <v>613536</v>
      </c>
      <c r="D1400" s="15">
        <v>53992</v>
      </c>
      <c r="E1400" s="15" t="s">
        <v>1199</v>
      </c>
      <c r="F1400" s="15">
        <v>2011</v>
      </c>
      <c r="G1400" s="15">
        <v>20110324</v>
      </c>
      <c r="H1400" s="15">
        <v>105346</v>
      </c>
      <c r="I1400" s="15">
        <v>10.53</v>
      </c>
      <c r="J1400" s="6" t="s">
        <v>301</v>
      </c>
      <c r="K1400" s="15">
        <v>1</v>
      </c>
      <c r="L1400" s="15" t="s">
        <v>32</v>
      </c>
      <c r="M1400" s="15" t="s">
        <v>5</v>
      </c>
      <c r="N1400" s="11" t="s">
        <v>1384</v>
      </c>
      <c r="O1400" s="11" t="s">
        <v>28</v>
      </c>
      <c r="P1400" s="11" t="s">
        <v>33</v>
      </c>
      <c r="Q1400" s="15">
        <v>0</v>
      </c>
      <c r="R1400" s="11" t="s">
        <v>1386</v>
      </c>
      <c r="S1400" s="10">
        <v>137.12321826657001</v>
      </c>
      <c r="T1400" s="15">
        <v>80</v>
      </c>
      <c r="U1400" s="15">
        <v>0</v>
      </c>
      <c r="V1400" s="15">
        <v>1</v>
      </c>
      <c r="W1400" s="15">
        <v>0</v>
      </c>
      <c r="X1400" s="15">
        <f>IF(O1400='Udvaskning nøgletal'!$D$65,1,IF(O1400='Udvaskning nøgletal'!$D$66,2,IF(O1400='Udvaskning nøgletal'!$D$67,3,IF(O1400='Udvaskning nøgletal'!$D$68,2,""))))</f>
        <v>1</v>
      </c>
      <c r="Y1400" s="15">
        <f>LOOKUP(K1400,'Udvaskning nøgletal'!$C$12:$C$60,'Udvaskning nøgletal'!$H$12:$H$60)</f>
        <v>5</v>
      </c>
      <c r="Z1400" s="10">
        <f>IF(X1400=1,LOOKUP(K1400,'Udvaskning nøgletal'!$C$12:$C$60,'Udvaskning nøgletal'!$E$12:$E$60)+Markniveau!Y1400*Markniveau!S1400/100,IF(X1400=2,LOOKUP(K1400,'Udvaskning nøgletal'!$C$12:$C$60,'Udvaskning nøgletal'!$F$12:$F$60)+Markniveau!Y1400*Markniveau!S1400/100,IF(X1400=3,LOOKUP(K1400,'Udvaskning nøgletal'!$C$12:$C$60,'Udvaskning nøgletal'!G1410:G1458)+Markniveau!Y1400*Markniveau!S1400/100,"")))</f>
        <v>71.516160913328491</v>
      </c>
      <c r="AA1400" s="10">
        <f t="shared" si="216"/>
        <v>753.065174417349</v>
      </c>
      <c r="AB1400" s="10" t="str">
        <f t="shared" si="215"/>
        <v/>
      </c>
      <c r="AC1400" s="10" t="str">
        <f t="shared" si="217"/>
        <v/>
      </c>
      <c r="AD1400" s="10">
        <f>IF(AND(Q1400&gt;0,Q1400&lt;30,K1400&lt;8),Markniveau!Z1400*'Udvaskning nøgletal'!$I$12/100,IF(AND(Q1400&gt;0,Q1400&lt;30,K1400=216),Markniveau!Z1400*'Udvaskning nøgletal'!$I$34/100,Markniveau!Z1400))</f>
        <v>71.516160913328491</v>
      </c>
      <c r="AE1400" s="10">
        <f t="shared" si="223"/>
        <v>753.065174417349</v>
      </c>
      <c r="AF1400" s="10" t="str">
        <f t="shared" si="218"/>
        <v/>
      </c>
      <c r="AG1400" s="10" t="str">
        <f t="shared" si="224"/>
        <v/>
      </c>
      <c r="AH1400" s="10" t="str">
        <f>IF(AND(Q1400&gt;0,Q1400&lt;30,K1400=216),'Udvaskning nøgletal'!$C$42,IF(AND(Q1400&gt;0,Q1400&lt;30,K1400&gt;7,K1400&lt;17),'Udvaskning nøgletal'!$C$61,IF(AND(Q1400&gt;0,Q1400&lt;30,K1400&lt;7),'Udvaskning nøgletal'!$C$62,"")))</f>
        <v/>
      </c>
      <c r="AI1400" s="10">
        <f t="shared" si="220"/>
        <v>1</v>
      </c>
      <c r="AJ1400" s="10">
        <f>IF($X1400=1,LOOKUP(AI1400,'Udvaskning nøgletal'!$C$12:$C$62,'Udvaskning nøgletal'!$E$12:$E$62)+Markniveau!$Y1400*Markniveau!$S1400/100,IF($X1400=2,LOOKUP(AI1400,'Udvaskning nøgletal'!$C$12:$C$62,'Udvaskning nøgletal'!$F$12:$F$62)+Markniveau!$Y1400*Markniveau!$S1400/100,IF($X1400=3,LOOKUP(AI1400,'Udvaskning nøgletal'!$C$12:$C$62,'Udvaskning nøgletal'!Q1410:Q1460)+Markniveau!$Y1400*Markniveau!$S1400/100,"")))</f>
        <v>71.516160913328491</v>
      </c>
      <c r="AK1400" s="10">
        <f t="shared" si="219"/>
        <v>753.065174417349</v>
      </c>
      <c r="AL1400" s="10" t="str">
        <f t="shared" si="221"/>
        <v/>
      </c>
      <c r="AM1400" s="10" t="str">
        <f t="shared" si="222"/>
        <v/>
      </c>
    </row>
    <row r="1401" spans="1:39" x14ac:dyDescent="0.25">
      <c r="A1401" s="15">
        <v>64488414</v>
      </c>
      <c r="B1401" s="15">
        <v>20.73</v>
      </c>
      <c r="C1401" s="15">
        <v>613537</v>
      </c>
      <c r="D1401" s="15">
        <v>53992</v>
      </c>
      <c r="E1401" s="15" t="s">
        <v>1180</v>
      </c>
      <c r="F1401" s="15">
        <v>2011</v>
      </c>
      <c r="G1401" s="15">
        <v>20110324</v>
      </c>
      <c r="H1401" s="15">
        <v>37133</v>
      </c>
      <c r="I1401" s="15">
        <v>3.71</v>
      </c>
      <c r="J1401" s="6" t="s">
        <v>479</v>
      </c>
      <c r="K1401" s="15">
        <v>216</v>
      </c>
      <c r="L1401" s="15" t="s">
        <v>116</v>
      </c>
      <c r="M1401" s="15" t="s">
        <v>5</v>
      </c>
      <c r="N1401" s="11" t="s">
        <v>1384</v>
      </c>
      <c r="O1401" s="11" t="s">
        <v>28</v>
      </c>
      <c r="P1401" s="11" t="s">
        <v>33</v>
      </c>
      <c r="Q1401" s="15">
        <v>0</v>
      </c>
      <c r="R1401" s="11" t="s">
        <v>1386</v>
      </c>
      <c r="S1401" s="10">
        <v>137.12321826657001</v>
      </c>
      <c r="T1401" s="15">
        <v>80</v>
      </c>
      <c r="U1401" s="15">
        <v>0</v>
      </c>
      <c r="V1401" s="15">
        <v>1</v>
      </c>
      <c r="W1401" s="15">
        <v>0</v>
      </c>
      <c r="X1401" s="15">
        <f>IF(O1401='Udvaskning nøgletal'!$D$65,1,IF(O1401='Udvaskning nøgletal'!$D$66,2,IF(O1401='Udvaskning nøgletal'!$D$67,3,IF(O1401='Udvaskning nøgletal'!$D$68,2,""))))</f>
        <v>1</v>
      </c>
      <c r="Y1401" s="15">
        <f>LOOKUP(K1401,'Udvaskning nøgletal'!$C$12:$C$60,'Udvaskning nøgletal'!$H$12:$H$60)</f>
        <v>0</v>
      </c>
      <c r="Z1401" s="10">
        <f>IF(X1401=1,LOOKUP(K1401,'Udvaskning nøgletal'!$C$12:$C$60,'Udvaskning nøgletal'!$E$12:$E$60)+Markniveau!Y1401*Markniveau!S1401/100,IF(X1401=2,LOOKUP(K1401,'Udvaskning nøgletal'!$C$12:$C$60,'Udvaskning nøgletal'!$F$12:$F$60)+Markniveau!Y1401*Markniveau!S1401/100,IF(X1401=3,LOOKUP(K1401,'Udvaskning nøgletal'!$C$12:$C$60,'Udvaskning nøgletal'!G1411:G1459)+Markniveau!Y1401*Markniveau!S1401/100,"")))</f>
        <v>125.85383557148924</v>
      </c>
      <c r="AA1401" s="10">
        <f t="shared" si="216"/>
        <v>466.91772997022508</v>
      </c>
      <c r="AB1401" s="10" t="str">
        <f t="shared" si="215"/>
        <v/>
      </c>
      <c r="AC1401" s="10" t="str">
        <f t="shared" si="217"/>
        <v/>
      </c>
      <c r="AD1401" s="10">
        <f>IF(AND(Q1401&gt;0,Q1401&lt;30,K1401&lt;8),Markniveau!Z1401*'Udvaskning nøgletal'!$I$12/100,IF(AND(Q1401&gt;0,Q1401&lt;30,K1401=216),Markniveau!Z1401*'Udvaskning nøgletal'!$I$34/100,Markniveau!Z1401))</f>
        <v>125.85383557148924</v>
      </c>
      <c r="AE1401" s="10">
        <f t="shared" si="223"/>
        <v>466.91772997022508</v>
      </c>
      <c r="AF1401" s="10" t="str">
        <f t="shared" si="218"/>
        <v/>
      </c>
      <c r="AG1401" s="10" t="str">
        <f t="shared" si="224"/>
        <v/>
      </c>
      <c r="AH1401" s="10" t="str">
        <f>IF(AND(Q1401&gt;0,Q1401&lt;30,K1401=216),'Udvaskning nøgletal'!$C$42,IF(AND(Q1401&gt;0,Q1401&lt;30,K1401&gt;7,K1401&lt;17),'Udvaskning nøgletal'!$C$61,IF(AND(Q1401&gt;0,Q1401&lt;30,K1401&lt;7),'Udvaskning nøgletal'!$C$62,"")))</f>
        <v/>
      </c>
      <c r="AI1401" s="10">
        <f t="shared" si="220"/>
        <v>216</v>
      </c>
      <c r="AJ1401" s="10">
        <f>IF($X1401=1,LOOKUP(AI1401,'Udvaskning nøgletal'!$C$12:$C$62,'Udvaskning nøgletal'!$E$12:$E$62)+Markniveau!$Y1401*Markniveau!$S1401/100,IF($X1401=2,LOOKUP(AI1401,'Udvaskning nøgletal'!$C$12:$C$62,'Udvaskning nøgletal'!$F$12:$F$62)+Markniveau!$Y1401*Markniveau!$S1401/100,IF($X1401=3,LOOKUP(AI1401,'Udvaskning nøgletal'!$C$12:$C$62,'Udvaskning nøgletal'!Q1411:Q1461)+Markniveau!$Y1401*Markniveau!$S1401/100,"")))</f>
        <v>125.85383557148924</v>
      </c>
      <c r="AK1401" s="10">
        <f t="shared" si="219"/>
        <v>466.91772997022508</v>
      </c>
      <c r="AL1401" s="10" t="str">
        <f t="shared" si="221"/>
        <v/>
      </c>
      <c r="AM1401" s="10" t="str">
        <f t="shared" si="222"/>
        <v/>
      </c>
    </row>
    <row r="1402" spans="1:39" x14ac:dyDescent="0.25">
      <c r="A1402" s="15">
        <v>64488414</v>
      </c>
      <c r="B1402" s="15">
        <v>20.73</v>
      </c>
      <c r="C1402" s="15">
        <v>613538</v>
      </c>
      <c r="D1402" s="15">
        <v>53992</v>
      </c>
      <c r="E1402" s="15" t="s">
        <v>1200</v>
      </c>
      <c r="F1402" s="15">
        <v>2011</v>
      </c>
      <c r="G1402" s="15">
        <v>20110324</v>
      </c>
      <c r="H1402" s="15">
        <v>26123</v>
      </c>
      <c r="I1402" s="15">
        <v>2.61</v>
      </c>
      <c r="J1402" s="6" t="s">
        <v>840</v>
      </c>
      <c r="K1402" s="15">
        <v>1</v>
      </c>
      <c r="L1402" s="15" t="s">
        <v>32</v>
      </c>
      <c r="M1402" s="15" t="s">
        <v>5</v>
      </c>
      <c r="N1402" s="11" t="s">
        <v>1384</v>
      </c>
      <c r="O1402" s="11" t="s">
        <v>28</v>
      </c>
      <c r="P1402" s="11" t="s">
        <v>33</v>
      </c>
      <c r="Q1402" s="15">
        <v>0</v>
      </c>
      <c r="R1402" s="11" t="s">
        <v>1386</v>
      </c>
      <c r="S1402" s="10">
        <v>137.12321826657001</v>
      </c>
      <c r="T1402" s="15">
        <v>80</v>
      </c>
      <c r="U1402" s="15">
        <v>0</v>
      </c>
      <c r="V1402" s="15">
        <v>1</v>
      </c>
      <c r="W1402" s="15">
        <v>0</v>
      </c>
      <c r="X1402" s="15">
        <f>IF(O1402='Udvaskning nøgletal'!$D$65,1,IF(O1402='Udvaskning nøgletal'!$D$66,2,IF(O1402='Udvaskning nøgletal'!$D$67,3,IF(O1402='Udvaskning nøgletal'!$D$68,2,""))))</f>
        <v>1</v>
      </c>
      <c r="Y1402" s="15">
        <f>LOOKUP(K1402,'Udvaskning nøgletal'!$C$12:$C$60,'Udvaskning nøgletal'!$H$12:$H$60)</f>
        <v>5</v>
      </c>
      <c r="Z1402" s="10">
        <f>IF(X1402=1,LOOKUP(K1402,'Udvaskning nøgletal'!$C$12:$C$60,'Udvaskning nøgletal'!$E$12:$E$60)+Markniveau!Y1402*Markniveau!S1402/100,IF(X1402=2,LOOKUP(K1402,'Udvaskning nøgletal'!$C$12:$C$60,'Udvaskning nøgletal'!$F$12:$F$60)+Markniveau!Y1402*Markniveau!S1402/100,IF(X1402=3,LOOKUP(K1402,'Udvaskning nøgletal'!$C$12:$C$60,'Udvaskning nøgletal'!G1412:G1460)+Markniveau!Y1402*Markniveau!S1402/100,"")))</f>
        <v>71.516160913328491</v>
      </c>
      <c r="AA1402" s="10">
        <f t="shared" si="216"/>
        <v>186.65717998378736</v>
      </c>
      <c r="AB1402" s="10" t="str">
        <f t="shared" si="215"/>
        <v/>
      </c>
      <c r="AC1402" s="10" t="str">
        <f t="shared" si="217"/>
        <v/>
      </c>
      <c r="AD1402" s="10">
        <f>IF(AND(Q1402&gt;0,Q1402&lt;30,K1402&lt;8),Markniveau!Z1402*'Udvaskning nøgletal'!$I$12/100,IF(AND(Q1402&gt;0,Q1402&lt;30,K1402=216),Markniveau!Z1402*'Udvaskning nøgletal'!$I$34/100,Markniveau!Z1402))</f>
        <v>71.516160913328491</v>
      </c>
      <c r="AE1402" s="10">
        <f t="shared" si="223"/>
        <v>186.65717998378736</v>
      </c>
      <c r="AF1402" s="10" t="str">
        <f t="shared" si="218"/>
        <v/>
      </c>
      <c r="AG1402" s="10" t="str">
        <f t="shared" si="224"/>
        <v/>
      </c>
      <c r="AH1402" s="10" t="str">
        <f>IF(AND(Q1402&gt;0,Q1402&lt;30,K1402=216),'Udvaskning nøgletal'!$C$42,IF(AND(Q1402&gt;0,Q1402&lt;30,K1402&gt;7,K1402&lt;17),'Udvaskning nøgletal'!$C$61,IF(AND(Q1402&gt;0,Q1402&lt;30,K1402&lt;7),'Udvaskning nøgletal'!$C$62,"")))</f>
        <v/>
      </c>
      <c r="AI1402" s="10">
        <f t="shared" si="220"/>
        <v>1</v>
      </c>
      <c r="AJ1402" s="10">
        <f>IF($X1402=1,LOOKUP(AI1402,'Udvaskning nøgletal'!$C$12:$C$62,'Udvaskning nøgletal'!$E$12:$E$62)+Markniveau!$Y1402*Markniveau!$S1402/100,IF($X1402=2,LOOKUP(AI1402,'Udvaskning nøgletal'!$C$12:$C$62,'Udvaskning nøgletal'!$F$12:$F$62)+Markniveau!$Y1402*Markniveau!$S1402/100,IF($X1402=3,LOOKUP(AI1402,'Udvaskning nøgletal'!$C$12:$C$62,'Udvaskning nøgletal'!Q1412:Q1462)+Markniveau!$Y1402*Markniveau!$S1402/100,"")))</f>
        <v>71.516160913328491</v>
      </c>
      <c r="AK1402" s="10">
        <f t="shared" si="219"/>
        <v>186.65717998378736</v>
      </c>
      <c r="AL1402" s="10" t="str">
        <f t="shared" si="221"/>
        <v/>
      </c>
      <c r="AM1402" s="10" t="str">
        <f t="shared" si="222"/>
        <v/>
      </c>
    </row>
    <row r="1403" spans="1:39" x14ac:dyDescent="0.25">
      <c r="A1403" s="15">
        <v>64488414</v>
      </c>
      <c r="B1403" s="15">
        <v>20.73</v>
      </c>
      <c r="C1403" s="15">
        <v>614005</v>
      </c>
      <c r="D1403" s="15">
        <v>53992</v>
      </c>
      <c r="E1403" s="15" t="s">
        <v>1201</v>
      </c>
      <c r="F1403" s="15">
        <v>2011</v>
      </c>
      <c r="G1403" s="15">
        <v>20110324</v>
      </c>
      <c r="H1403" s="15">
        <v>62501</v>
      </c>
      <c r="I1403" s="15">
        <v>6.25</v>
      </c>
      <c r="J1403" s="6" t="s">
        <v>69</v>
      </c>
      <c r="K1403" s="15">
        <v>1</v>
      </c>
      <c r="L1403" s="15" t="s">
        <v>32</v>
      </c>
      <c r="M1403" s="15" t="s">
        <v>5</v>
      </c>
      <c r="N1403" s="11" t="s">
        <v>1384</v>
      </c>
      <c r="O1403" s="11" t="s">
        <v>28</v>
      </c>
      <c r="P1403" s="11" t="s">
        <v>29</v>
      </c>
      <c r="Q1403" s="15">
        <v>95</v>
      </c>
      <c r="R1403" s="11" t="s">
        <v>3</v>
      </c>
      <c r="S1403" s="10">
        <v>137.12321826657001</v>
      </c>
      <c r="T1403" s="15">
        <v>80</v>
      </c>
      <c r="U1403" s="15">
        <v>0</v>
      </c>
      <c r="V1403" s="15">
        <v>1</v>
      </c>
      <c r="W1403" s="15">
        <v>0</v>
      </c>
      <c r="X1403" s="15">
        <f>IF(O1403='Udvaskning nøgletal'!$D$65,1,IF(O1403='Udvaskning nøgletal'!$D$66,2,IF(O1403='Udvaskning nøgletal'!$D$67,3,IF(O1403='Udvaskning nøgletal'!$D$68,2,""))))</f>
        <v>1</v>
      </c>
      <c r="Y1403" s="15">
        <f>LOOKUP(K1403,'Udvaskning nøgletal'!$C$12:$C$60,'Udvaskning nøgletal'!$H$12:$H$60)</f>
        <v>5</v>
      </c>
      <c r="Z1403" s="10">
        <f>IF(X1403=1,LOOKUP(K1403,'Udvaskning nøgletal'!$C$12:$C$60,'Udvaskning nøgletal'!$E$12:$E$60)+Markniveau!Y1403*Markniveau!S1403/100,IF(X1403=2,LOOKUP(K1403,'Udvaskning nøgletal'!$C$12:$C$60,'Udvaskning nøgletal'!$F$12:$F$60)+Markniveau!Y1403*Markniveau!S1403/100,IF(X1403=3,LOOKUP(K1403,'Udvaskning nøgletal'!$C$12:$C$60,'Udvaskning nøgletal'!G1413:G1461)+Markniveau!Y1403*Markniveau!S1403/100,"")))</f>
        <v>71.516160913328491</v>
      </c>
      <c r="AA1403" s="10">
        <f t="shared" si="216"/>
        <v>446.97600570830309</v>
      </c>
      <c r="AB1403" s="10">
        <f t="shared" si="215"/>
        <v>3.5758080456664243</v>
      </c>
      <c r="AC1403" s="10">
        <f t="shared" si="217"/>
        <v>22.348800285415152</v>
      </c>
      <c r="AD1403" s="10">
        <f>IF(AND(Q1403&gt;0,Q1403&lt;30,K1403&lt;8),Markniveau!Z1403*'Udvaskning nøgletal'!$I$12/100,IF(AND(Q1403&gt;0,Q1403&lt;30,K1403=216),Markniveau!Z1403*'Udvaskning nøgletal'!$I$34/100,Markniveau!Z1403))</f>
        <v>71.516160913328491</v>
      </c>
      <c r="AE1403" s="10">
        <f t="shared" si="223"/>
        <v>446.97600570830309</v>
      </c>
      <c r="AF1403" s="10">
        <f t="shared" si="218"/>
        <v>3.5758080456664243</v>
      </c>
      <c r="AG1403" s="10">
        <f t="shared" si="224"/>
        <v>22.348800285415152</v>
      </c>
      <c r="AH1403" s="10" t="str">
        <f>IF(AND(Q1403&gt;0,Q1403&lt;30,K1403=216),'Udvaskning nøgletal'!$C$42,IF(AND(Q1403&gt;0,Q1403&lt;30,K1403&gt;7,K1403&lt;17),'Udvaskning nøgletal'!$C$61,IF(AND(Q1403&gt;0,Q1403&lt;30,K1403&lt;7),'Udvaskning nøgletal'!$C$62,"")))</f>
        <v/>
      </c>
      <c r="AI1403" s="10">
        <f t="shared" si="220"/>
        <v>1</v>
      </c>
      <c r="AJ1403" s="10">
        <f>IF($X1403=1,LOOKUP(AI1403,'Udvaskning nøgletal'!$C$12:$C$62,'Udvaskning nøgletal'!$E$12:$E$62)+Markniveau!$Y1403*Markniveau!$S1403/100,IF($X1403=2,LOOKUP(AI1403,'Udvaskning nøgletal'!$C$12:$C$62,'Udvaskning nøgletal'!$F$12:$F$62)+Markniveau!$Y1403*Markniveau!$S1403/100,IF($X1403=3,LOOKUP(AI1403,'Udvaskning nøgletal'!$C$12:$C$62,'Udvaskning nøgletal'!Q1413:Q1463)+Markniveau!$Y1403*Markniveau!$S1403/100,"")))</f>
        <v>71.516160913328491</v>
      </c>
      <c r="AK1403" s="10">
        <f t="shared" si="219"/>
        <v>446.97600570830309</v>
      </c>
      <c r="AL1403" s="10">
        <f t="shared" si="221"/>
        <v>3.5758080456664243</v>
      </c>
      <c r="AM1403" s="10">
        <f t="shared" si="222"/>
        <v>22.348800285415152</v>
      </c>
    </row>
    <row r="1404" spans="1:39" x14ac:dyDescent="0.25">
      <c r="A1404" s="15">
        <v>64488414</v>
      </c>
      <c r="B1404" s="15">
        <v>20.73</v>
      </c>
      <c r="C1404" s="15">
        <v>614006</v>
      </c>
      <c r="D1404" s="15">
        <v>53992</v>
      </c>
      <c r="E1404" s="15" t="s">
        <v>1202</v>
      </c>
      <c r="F1404" s="15">
        <v>2011</v>
      </c>
      <c r="G1404" s="15">
        <v>20110324</v>
      </c>
      <c r="H1404" s="15">
        <v>21017</v>
      </c>
      <c r="I1404" s="15">
        <v>2.1</v>
      </c>
      <c r="J1404" s="6" t="s">
        <v>86</v>
      </c>
      <c r="K1404" s="15">
        <v>251</v>
      </c>
      <c r="L1404" s="15" t="s">
        <v>355</v>
      </c>
      <c r="M1404" s="15" t="s">
        <v>4</v>
      </c>
      <c r="N1404" s="11" t="s">
        <v>1391</v>
      </c>
      <c r="O1404" s="11" t="s">
        <v>46</v>
      </c>
      <c r="P1404" s="11" t="s">
        <v>29</v>
      </c>
      <c r="Q1404" s="15">
        <v>95</v>
      </c>
      <c r="R1404" s="11" t="s">
        <v>3</v>
      </c>
      <c r="S1404" s="10">
        <v>137.12321826657001</v>
      </c>
      <c r="T1404" s="15">
        <v>80</v>
      </c>
      <c r="U1404" s="15">
        <v>0</v>
      </c>
      <c r="V1404" s="15">
        <v>1</v>
      </c>
      <c r="W1404" s="15">
        <v>0</v>
      </c>
      <c r="X1404" s="15">
        <f>IF(O1404='Udvaskning nøgletal'!$D$65,1,IF(O1404='Udvaskning nøgletal'!$D$66,2,IF(O1404='Udvaskning nøgletal'!$D$67,3,IF(O1404='Udvaskning nøgletal'!$D$68,2,""))))</f>
        <v>2</v>
      </c>
      <c r="Y1404" s="15">
        <f>LOOKUP(K1404,'Udvaskning nøgletal'!$C$12:$C$60,'Udvaskning nøgletal'!$H$12:$H$60)</f>
        <v>0</v>
      </c>
      <c r="Z1404" s="10">
        <f>IF(X1404=1,LOOKUP(K1404,'Udvaskning nøgletal'!$C$12:$C$60,'Udvaskning nøgletal'!$E$12:$E$60)+Markniveau!Y1404*Markniveau!S1404/100,IF(X1404=2,LOOKUP(K1404,'Udvaskning nøgletal'!$C$12:$C$60,'Udvaskning nøgletal'!$F$12:$F$60)+Markniveau!Y1404*Markniveau!S1404/100,IF(X1404=3,LOOKUP(K1404,'Udvaskning nøgletal'!$C$12:$C$60,'Udvaskning nøgletal'!G1414:G1462)+Markniveau!Y1404*Markniveau!S1404/100,"")))</f>
        <v>21.2</v>
      </c>
      <c r="AA1404" s="10">
        <f t="shared" si="216"/>
        <v>44.52</v>
      </c>
      <c r="AB1404" s="10">
        <f t="shared" si="215"/>
        <v>1.06</v>
      </c>
      <c r="AC1404" s="10">
        <f t="shared" si="217"/>
        <v>2.2260000000000004</v>
      </c>
      <c r="AD1404" s="10">
        <f>IF(AND(Q1404&gt;0,Q1404&lt;30,K1404&lt;8),Markniveau!Z1404*'Udvaskning nøgletal'!$I$12/100,IF(AND(Q1404&gt;0,Q1404&lt;30,K1404=216),Markniveau!Z1404*'Udvaskning nøgletal'!$I$34/100,Markniveau!Z1404))</f>
        <v>21.2</v>
      </c>
      <c r="AE1404" s="10">
        <f t="shared" si="223"/>
        <v>44.52</v>
      </c>
      <c r="AF1404" s="10">
        <f t="shared" si="218"/>
        <v>1.06</v>
      </c>
      <c r="AG1404" s="10">
        <f t="shared" si="224"/>
        <v>2.2260000000000004</v>
      </c>
      <c r="AH1404" s="10" t="str">
        <f>IF(AND(Q1404&gt;0,Q1404&lt;30,K1404=216),'Udvaskning nøgletal'!$C$42,IF(AND(Q1404&gt;0,Q1404&lt;30,K1404&gt;7,K1404&lt;17),'Udvaskning nøgletal'!$C$61,IF(AND(Q1404&gt;0,Q1404&lt;30,K1404&lt;7),'Udvaskning nøgletal'!$C$62,"")))</f>
        <v/>
      </c>
      <c r="AI1404" s="10">
        <f t="shared" si="220"/>
        <v>251</v>
      </c>
      <c r="AJ1404" s="10">
        <f>IF($X1404=1,LOOKUP(AI1404,'Udvaskning nøgletal'!$C$12:$C$62,'Udvaskning nøgletal'!$E$12:$E$62)+Markniveau!$Y1404*Markniveau!$S1404/100,IF($X1404=2,LOOKUP(AI1404,'Udvaskning nøgletal'!$C$12:$C$62,'Udvaskning nøgletal'!$F$12:$F$62)+Markniveau!$Y1404*Markniveau!$S1404/100,IF($X1404=3,LOOKUP(AI1404,'Udvaskning nøgletal'!$C$12:$C$62,'Udvaskning nøgletal'!Q1414:Q1464)+Markniveau!$Y1404*Markniveau!$S1404/100,"")))</f>
        <v>21.2</v>
      </c>
      <c r="AK1404" s="10">
        <f t="shared" si="219"/>
        <v>44.52</v>
      </c>
      <c r="AL1404" s="10">
        <f t="shared" si="221"/>
        <v>1.06</v>
      </c>
      <c r="AM1404" s="10">
        <f t="shared" si="222"/>
        <v>2.2260000000000004</v>
      </c>
    </row>
    <row r="1405" spans="1:39" x14ac:dyDescent="0.25">
      <c r="A1405" s="15">
        <v>64488414</v>
      </c>
      <c r="B1405" s="15">
        <v>20.73</v>
      </c>
      <c r="C1405" s="15">
        <v>614007</v>
      </c>
      <c r="D1405" s="15">
        <v>53992</v>
      </c>
      <c r="E1405" s="15" t="s">
        <v>1202</v>
      </c>
      <c r="F1405" s="15">
        <v>2011</v>
      </c>
      <c r="G1405" s="15">
        <v>20110324</v>
      </c>
      <c r="H1405" s="15">
        <v>42456</v>
      </c>
      <c r="I1405" s="15">
        <v>4.25</v>
      </c>
      <c r="J1405" s="6" t="s">
        <v>91</v>
      </c>
      <c r="K1405" s="15">
        <v>1</v>
      </c>
      <c r="L1405" s="15" t="s">
        <v>32</v>
      </c>
      <c r="M1405" s="15" t="s">
        <v>5</v>
      </c>
      <c r="N1405" s="11" t="s">
        <v>1384</v>
      </c>
      <c r="O1405" s="11" t="s">
        <v>28</v>
      </c>
      <c r="P1405" s="11" t="s">
        <v>29</v>
      </c>
      <c r="Q1405" s="15">
        <v>95</v>
      </c>
      <c r="R1405" s="11" t="s">
        <v>3</v>
      </c>
      <c r="S1405" s="10">
        <v>137.12321826657001</v>
      </c>
      <c r="T1405" s="15">
        <v>80</v>
      </c>
      <c r="U1405" s="15">
        <v>0</v>
      </c>
      <c r="V1405" s="15">
        <v>1</v>
      </c>
      <c r="W1405" s="15">
        <v>0</v>
      </c>
      <c r="X1405" s="15">
        <f>IF(O1405='Udvaskning nøgletal'!$D$65,1,IF(O1405='Udvaskning nøgletal'!$D$66,2,IF(O1405='Udvaskning nøgletal'!$D$67,3,IF(O1405='Udvaskning nøgletal'!$D$68,2,""))))</f>
        <v>1</v>
      </c>
      <c r="Y1405" s="15">
        <f>LOOKUP(K1405,'Udvaskning nøgletal'!$C$12:$C$60,'Udvaskning nøgletal'!$H$12:$H$60)</f>
        <v>5</v>
      </c>
      <c r="Z1405" s="10">
        <f>IF(X1405=1,LOOKUP(K1405,'Udvaskning nøgletal'!$C$12:$C$60,'Udvaskning nøgletal'!$E$12:$E$60)+Markniveau!Y1405*Markniveau!S1405/100,IF(X1405=2,LOOKUP(K1405,'Udvaskning nøgletal'!$C$12:$C$60,'Udvaskning nøgletal'!$F$12:$F$60)+Markniveau!Y1405*Markniveau!S1405/100,IF(X1405=3,LOOKUP(K1405,'Udvaskning nøgletal'!$C$12:$C$60,'Udvaskning nøgletal'!G1415:G1463)+Markniveau!Y1405*Markniveau!S1405/100,"")))</f>
        <v>71.516160913328491</v>
      </c>
      <c r="AA1405" s="10">
        <f t="shared" si="216"/>
        <v>303.94368388164611</v>
      </c>
      <c r="AB1405" s="10">
        <f t="shared" si="215"/>
        <v>3.5758080456664243</v>
      </c>
      <c r="AC1405" s="10">
        <f t="shared" si="217"/>
        <v>15.197184194082304</v>
      </c>
      <c r="AD1405" s="10">
        <f>IF(AND(Q1405&gt;0,Q1405&lt;30,K1405&lt;8),Markniveau!Z1405*'Udvaskning nøgletal'!$I$12/100,IF(AND(Q1405&gt;0,Q1405&lt;30,K1405=216),Markniveau!Z1405*'Udvaskning nøgletal'!$I$34/100,Markniveau!Z1405))</f>
        <v>71.516160913328491</v>
      </c>
      <c r="AE1405" s="10">
        <f t="shared" si="223"/>
        <v>303.94368388164611</v>
      </c>
      <c r="AF1405" s="10">
        <f t="shared" si="218"/>
        <v>3.5758080456664243</v>
      </c>
      <c r="AG1405" s="10">
        <f t="shared" si="224"/>
        <v>15.197184194082304</v>
      </c>
      <c r="AH1405" s="10" t="str">
        <f>IF(AND(Q1405&gt;0,Q1405&lt;30,K1405=216),'Udvaskning nøgletal'!$C$42,IF(AND(Q1405&gt;0,Q1405&lt;30,K1405&gt;7,K1405&lt;17),'Udvaskning nøgletal'!$C$61,IF(AND(Q1405&gt;0,Q1405&lt;30,K1405&lt;7),'Udvaskning nøgletal'!$C$62,"")))</f>
        <v/>
      </c>
      <c r="AI1405" s="10">
        <f t="shared" si="220"/>
        <v>1</v>
      </c>
      <c r="AJ1405" s="10">
        <f>IF($X1405=1,LOOKUP(AI1405,'Udvaskning nøgletal'!$C$12:$C$62,'Udvaskning nøgletal'!$E$12:$E$62)+Markniveau!$Y1405*Markniveau!$S1405/100,IF($X1405=2,LOOKUP(AI1405,'Udvaskning nøgletal'!$C$12:$C$62,'Udvaskning nøgletal'!$F$12:$F$62)+Markniveau!$Y1405*Markniveau!$S1405/100,IF($X1405=3,LOOKUP(AI1405,'Udvaskning nøgletal'!$C$12:$C$62,'Udvaskning nøgletal'!Q1415:Q1465)+Markniveau!$Y1405*Markniveau!$S1405/100,"")))</f>
        <v>71.516160913328491</v>
      </c>
      <c r="AK1405" s="10">
        <f t="shared" si="219"/>
        <v>303.94368388164611</v>
      </c>
      <c r="AL1405" s="10">
        <f t="shared" si="221"/>
        <v>3.5758080456664243</v>
      </c>
      <c r="AM1405" s="10">
        <f t="shared" si="222"/>
        <v>15.197184194082304</v>
      </c>
    </row>
    <row r="1406" spans="1:39" x14ac:dyDescent="0.25">
      <c r="A1406" s="15">
        <v>64488414</v>
      </c>
      <c r="B1406" s="15">
        <v>20.73</v>
      </c>
      <c r="C1406" s="15">
        <v>614008</v>
      </c>
      <c r="D1406" s="15">
        <v>53992</v>
      </c>
      <c r="E1406" s="15" t="s">
        <v>559</v>
      </c>
      <c r="F1406" s="15">
        <v>2011</v>
      </c>
      <c r="G1406" s="15">
        <v>20110324</v>
      </c>
      <c r="H1406" s="15">
        <v>3496</v>
      </c>
      <c r="I1406" s="15">
        <v>0.35</v>
      </c>
      <c r="J1406" s="6" t="s">
        <v>61</v>
      </c>
      <c r="K1406" s="15">
        <v>1</v>
      </c>
      <c r="L1406" s="15" t="s">
        <v>32</v>
      </c>
      <c r="M1406" s="15" t="s">
        <v>5</v>
      </c>
      <c r="N1406" s="11" t="s">
        <v>1384</v>
      </c>
      <c r="O1406" s="11" t="s">
        <v>28</v>
      </c>
      <c r="P1406" s="11" t="s">
        <v>29</v>
      </c>
      <c r="Q1406" s="15">
        <v>95</v>
      </c>
      <c r="R1406" s="11" t="s">
        <v>3</v>
      </c>
      <c r="S1406" s="10">
        <v>137.12321826657001</v>
      </c>
      <c r="T1406" s="15">
        <v>80</v>
      </c>
      <c r="U1406" s="15">
        <v>0</v>
      </c>
      <c r="V1406" s="15">
        <v>1</v>
      </c>
      <c r="W1406" s="15">
        <v>0</v>
      </c>
      <c r="X1406" s="15">
        <f>IF(O1406='Udvaskning nøgletal'!$D$65,1,IF(O1406='Udvaskning nøgletal'!$D$66,2,IF(O1406='Udvaskning nøgletal'!$D$67,3,IF(O1406='Udvaskning nøgletal'!$D$68,2,""))))</f>
        <v>1</v>
      </c>
      <c r="Y1406" s="15">
        <f>LOOKUP(K1406,'Udvaskning nøgletal'!$C$12:$C$60,'Udvaskning nøgletal'!$H$12:$H$60)</f>
        <v>5</v>
      </c>
      <c r="Z1406" s="10">
        <f>IF(X1406=1,LOOKUP(K1406,'Udvaskning nøgletal'!$C$12:$C$60,'Udvaskning nøgletal'!$E$12:$E$60)+Markniveau!Y1406*Markniveau!S1406/100,IF(X1406=2,LOOKUP(K1406,'Udvaskning nøgletal'!$C$12:$C$60,'Udvaskning nøgletal'!$F$12:$F$60)+Markniveau!Y1406*Markniveau!S1406/100,IF(X1406=3,LOOKUP(K1406,'Udvaskning nøgletal'!$C$12:$C$60,'Udvaskning nøgletal'!G1416:G1464)+Markniveau!Y1406*Markniveau!S1406/100,"")))</f>
        <v>71.516160913328491</v>
      </c>
      <c r="AA1406" s="10">
        <f t="shared" si="216"/>
        <v>25.030656319664971</v>
      </c>
      <c r="AB1406" s="10">
        <f t="shared" si="215"/>
        <v>3.5758080456664243</v>
      </c>
      <c r="AC1406" s="10">
        <f t="shared" si="217"/>
        <v>1.2515328159832484</v>
      </c>
      <c r="AD1406" s="10">
        <f>IF(AND(Q1406&gt;0,Q1406&lt;30,K1406&lt;8),Markniveau!Z1406*'Udvaskning nøgletal'!$I$12/100,IF(AND(Q1406&gt;0,Q1406&lt;30,K1406=216),Markniveau!Z1406*'Udvaskning nøgletal'!$I$34/100,Markniveau!Z1406))</f>
        <v>71.516160913328491</v>
      </c>
      <c r="AE1406" s="10">
        <f t="shared" si="223"/>
        <v>25.030656319664971</v>
      </c>
      <c r="AF1406" s="10">
        <f t="shared" si="218"/>
        <v>3.5758080456664243</v>
      </c>
      <c r="AG1406" s="10">
        <f t="shared" si="224"/>
        <v>1.2515328159832484</v>
      </c>
      <c r="AH1406" s="10" t="str">
        <f>IF(AND(Q1406&gt;0,Q1406&lt;30,K1406=216),'Udvaskning nøgletal'!$C$42,IF(AND(Q1406&gt;0,Q1406&lt;30,K1406&gt;7,K1406&lt;17),'Udvaskning nøgletal'!$C$61,IF(AND(Q1406&gt;0,Q1406&lt;30,K1406&lt;7),'Udvaskning nøgletal'!$C$62,"")))</f>
        <v/>
      </c>
      <c r="AI1406" s="10">
        <f t="shared" si="220"/>
        <v>1</v>
      </c>
      <c r="AJ1406" s="10">
        <f>IF($X1406=1,LOOKUP(AI1406,'Udvaskning nøgletal'!$C$12:$C$62,'Udvaskning nøgletal'!$E$12:$E$62)+Markniveau!$Y1406*Markniveau!$S1406/100,IF($X1406=2,LOOKUP(AI1406,'Udvaskning nøgletal'!$C$12:$C$62,'Udvaskning nøgletal'!$F$12:$F$62)+Markniveau!$Y1406*Markniveau!$S1406/100,IF($X1406=3,LOOKUP(AI1406,'Udvaskning nøgletal'!$C$12:$C$62,'Udvaskning nøgletal'!Q1416:Q1466)+Markniveau!$Y1406*Markniveau!$S1406/100,"")))</f>
        <v>71.516160913328491</v>
      </c>
      <c r="AK1406" s="10">
        <f t="shared" si="219"/>
        <v>25.030656319664971</v>
      </c>
      <c r="AL1406" s="10">
        <f t="shared" si="221"/>
        <v>3.5758080456664243</v>
      </c>
      <c r="AM1406" s="10">
        <f t="shared" si="222"/>
        <v>1.2515328159832484</v>
      </c>
    </row>
    <row r="1407" spans="1:39" x14ac:dyDescent="0.25">
      <c r="A1407" s="15">
        <v>64488414</v>
      </c>
      <c r="B1407" s="15">
        <v>20.73</v>
      </c>
      <c r="C1407" s="15">
        <v>614009</v>
      </c>
      <c r="D1407" s="15">
        <v>53992</v>
      </c>
      <c r="E1407" s="15" t="s">
        <v>441</v>
      </c>
      <c r="F1407" s="15">
        <v>2011</v>
      </c>
      <c r="G1407" s="15">
        <v>20110324</v>
      </c>
      <c r="H1407" s="15">
        <v>35870</v>
      </c>
      <c r="I1407" s="15">
        <v>3.59</v>
      </c>
      <c r="J1407" s="6" t="s">
        <v>58</v>
      </c>
      <c r="K1407" s="15">
        <v>230</v>
      </c>
      <c r="L1407" s="15" t="s">
        <v>120</v>
      </c>
      <c r="M1407" s="15" t="s">
        <v>5</v>
      </c>
      <c r="N1407" s="11" t="s">
        <v>1391</v>
      </c>
      <c r="O1407" s="11" t="s">
        <v>46</v>
      </c>
      <c r="P1407" s="11" t="s">
        <v>29</v>
      </c>
      <c r="Q1407" s="15">
        <v>95</v>
      </c>
      <c r="R1407" s="11" t="s">
        <v>3</v>
      </c>
      <c r="S1407" s="10">
        <v>137.12321826657001</v>
      </c>
      <c r="T1407" s="15">
        <v>80</v>
      </c>
      <c r="U1407" s="15">
        <v>0</v>
      </c>
      <c r="V1407" s="15">
        <v>1</v>
      </c>
      <c r="W1407" s="15">
        <v>0</v>
      </c>
      <c r="X1407" s="15">
        <f>IF(O1407='Udvaskning nøgletal'!$D$65,1,IF(O1407='Udvaskning nøgletal'!$D$66,2,IF(O1407='Udvaskning nøgletal'!$D$67,3,IF(O1407='Udvaskning nøgletal'!$D$68,2,""))))</f>
        <v>2</v>
      </c>
      <c r="Y1407" s="15">
        <f>LOOKUP(K1407,'Udvaskning nøgletal'!$C$12:$C$60,'Udvaskning nøgletal'!$H$12:$H$60)</f>
        <v>0</v>
      </c>
      <c r="Z1407" s="10">
        <f>IF(X1407=1,LOOKUP(K1407,'Udvaskning nøgletal'!$C$12:$C$60,'Udvaskning nøgletal'!$E$12:$E$60)+Markniveau!Y1407*Markniveau!S1407/100,IF(X1407=2,LOOKUP(K1407,'Udvaskning nøgletal'!$C$12:$C$60,'Udvaskning nøgletal'!$F$12:$F$60)+Markniveau!Y1407*Markniveau!S1407/100,IF(X1407=3,LOOKUP(K1407,'Udvaskning nøgletal'!$C$12:$C$60,'Udvaskning nøgletal'!G1417:G1465)+Markniveau!Y1407*Markniveau!S1407/100,"")))</f>
        <v>31.161328188970323</v>
      </c>
      <c r="AA1407" s="10">
        <f t="shared" si="216"/>
        <v>111.86916819840346</v>
      </c>
      <c r="AB1407" s="10">
        <f t="shared" si="215"/>
        <v>1.5580664094485162</v>
      </c>
      <c r="AC1407" s="10">
        <f t="shared" si="217"/>
        <v>5.5934584099201725</v>
      </c>
      <c r="AD1407" s="10">
        <f>IF(AND(Q1407&gt;0,Q1407&lt;30,K1407&lt;8),Markniveau!Z1407*'Udvaskning nøgletal'!$I$12/100,IF(AND(Q1407&gt;0,Q1407&lt;30,K1407=216),Markniveau!Z1407*'Udvaskning nøgletal'!$I$34/100,Markniveau!Z1407))</f>
        <v>31.161328188970323</v>
      </c>
      <c r="AE1407" s="10">
        <f t="shared" si="223"/>
        <v>111.86916819840346</v>
      </c>
      <c r="AF1407" s="10">
        <f t="shared" si="218"/>
        <v>1.5580664094485162</v>
      </c>
      <c r="AG1407" s="10">
        <f t="shared" si="224"/>
        <v>5.5934584099201725</v>
      </c>
      <c r="AH1407" s="10" t="str">
        <f>IF(AND(Q1407&gt;0,Q1407&lt;30,K1407=216),'Udvaskning nøgletal'!$C$42,IF(AND(Q1407&gt;0,Q1407&lt;30,K1407&gt;7,K1407&lt;17),'Udvaskning nøgletal'!$C$61,IF(AND(Q1407&gt;0,Q1407&lt;30,K1407&lt;7),'Udvaskning nøgletal'!$C$62,"")))</f>
        <v/>
      </c>
      <c r="AI1407" s="10">
        <f t="shared" si="220"/>
        <v>230</v>
      </c>
      <c r="AJ1407" s="10">
        <f>IF($X1407=1,LOOKUP(AI1407,'Udvaskning nøgletal'!$C$12:$C$62,'Udvaskning nøgletal'!$E$12:$E$62)+Markniveau!$Y1407*Markniveau!$S1407/100,IF($X1407=2,LOOKUP(AI1407,'Udvaskning nøgletal'!$C$12:$C$62,'Udvaskning nøgletal'!$F$12:$F$62)+Markniveau!$Y1407*Markniveau!$S1407/100,IF($X1407=3,LOOKUP(AI1407,'Udvaskning nøgletal'!$C$12:$C$62,'Udvaskning nøgletal'!Q1417:Q1467)+Markniveau!$Y1407*Markniveau!$S1407/100,"")))</f>
        <v>31.161328188970323</v>
      </c>
      <c r="AK1407" s="10">
        <f t="shared" si="219"/>
        <v>111.86916819840346</v>
      </c>
      <c r="AL1407" s="10">
        <f t="shared" si="221"/>
        <v>1.5580664094485162</v>
      </c>
      <c r="AM1407" s="10">
        <f t="shared" si="222"/>
        <v>5.5934584099201725</v>
      </c>
    </row>
    <row r="1408" spans="1:39" x14ac:dyDescent="0.25">
      <c r="A1408" s="15">
        <v>64488414</v>
      </c>
      <c r="B1408" s="15">
        <v>20.73</v>
      </c>
      <c r="C1408" s="15">
        <v>614010</v>
      </c>
      <c r="D1408" s="15">
        <v>53992</v>
      </c>
      <c r="E1408" s="15" t="s">
        <v>661</v>
      </c>
      <c r="F1408" s="15">
        <v>2011</v>
      </c>
      <c r="G1408" s="15">
        <v>20110324</v>
      </c>
      <c r="H1408" s="15">
        <v>41897</v>
      </c>
      <c r="I1408" s="15">
        <v>4.1900000000000004</v>
      </c>
      <c r="J1408" s="6" t="s">
        <v>31</v>
      </c>
      <c r="K1408" s="15">
        <v>1</v>
      </c>
      <c r="L1408" s="15" t="s">
        <v>32</v>
      </c>
      <c r="M1408" s="15" t="s">
        <v>5</v>
      </c>
      <c r="N1408" s="11" t="s">
        <v>1391</v>
      </c>
      <c r="O1408" s="11" t="s">
        <v>46</v>
      </c>
      <c r="P1408" s="11" t="s">
        <v>29</v>
      </c>
      <c r="Q1408" s="15">
        <v>95</v>
      </c>
      <c r="R1408" s="11" t="s">
        <v>3</v>
      </c>
      <c r="S1408" s="10">
        <v>137.12321826657001</v>
      </c>
      <c r="T1408" s="15">
        <v>80</v>
      </c>
      <c r="U1408" s="15">
        <v>0</v>
      </c>
      <c r="V1408" s="15">
        <v>1</v>
      </c>
      <c r="W1408" s="15">
        <v>0</v>
      </c>
      <c r="X1408" s="15">
        <f>IF(O1408='Udvaskning nøgletal'!$D$65,1,IF(O1408='Udvaskning nøgletal'!$D$66,2,IF(O1408='Udvaskning nøgletal'!$D$67,3,IF(O1408='Udvaskning nøgletal'!$D$68,2,""))))</f>
        <v>2</v>
      </c>
      <c r="Y1408" s="15">
        <f>LOOKUP(K1408,'Udvaskning nøgletal'!$C$12:$C$60,'Udvaskning nøgletal'!$H$12:$H$60)</f>
        <v>5</v>
      </c>
      <c r="Z1408" s="10">
        <f>IF(X1408=1,LOOKUP(K1408,'Udvaskning nøgletal'!$C$12:$C$60,'Udvaskning nøgletal'!$E$12:$E$60)+Markniveau!Y1408*Markniveau!S1408/100,IF(X1408=2,LOOKUP(K1408,'Udvaskning nøgletal'!$C$12:$C$60,'Udvaskning nøgletal'!$F$12:$F$60)+Markniveau!Y1408*Markniveau!S1408/100,IF(X1408=3,LOOKUP(K1408,'Udvaskning nøgletal'!$C$12:$C$60,'Udvaskning nøgletal'!G1418:G1466)+Markniveau!Y1408*Markniveau!S1408/100,"")))</f>
        <v>57.736160913328504</v>
      </c>
      <c r="AA1408" s="10">
        <f t="shared" si="216"/>
        <v>241.91451422684645</v>
      </c>
      <c r="AB1408" s="10">
        <f t="shared" si="215"/>
        <v>2.8868080456664251</v>
      </c>
      <c r="AC1408" s="10">
        <f t="shared" si="217"/>
        <v>12.095725711342322</v>
      </c>
      <c r="AD1408" s="10">
        <f>IF(AND(Q1408&gt;0,Q1408&lt;30,K1408&lt;8),Markniveau!Z1408*'Udvaskning nøgletal'!$I$12/100,IF(AND(Q1408&gt;0,Q1408&lt;30,K1408=216),Markniveau!Z1408*'Udvaskning nøgletal'!$I$34/100,Markniveau!Z1408))</f>
        <v>57.736160913328504</v>
      </c>
      <c r="AE1408" s="10">
        <f t="shared" si="223"/>
        <v>241.91451422684645</v>
      </c>
      <c r="AF1408" s="10">
        <f t="shared" si="218"/>
        <v>2.8868080456664251</v>
      </c>
      <c r="AG1408" s="10">
        <f t="shared" si="224"/>
        <v>12.095725711342322</v>
      </c>
      <c r="AH1408" s="10" t="str">
        <f>IF(AND(Q1408&gt;0,Q1408&lt;30,K1408=216),'Udvaskning nøgletal'!$C$42,IF(AND(Q1408&gt;0,Q1408&lt;30,K1408&gt;7,K1408&lt;17),'Udvaskning nøgletal'!$C$61,IF(AND(Q1408&gt;0,Q1408&lt;30,K1408&lt;7),'Udvaskning nøgletal'!$C$62,"")))</f>
        <v/>
      </c>
      <c r="AI1408" s="10">
        <f t="shared" si="220"/>
        <v>1</v>
      </c>
      <c r="AJ1408" s="10">
        <f>IF($X1408=1,LOOKUP(AI1408,'Udvaskning nøgletal'!$C$12:$C$62,'Udvaskning nøgletal'!$E$12:$E$62)+Markniveau!$Y1408*Markniveau!$S1408/100,IF($X1408=2,LOOKUP(AI1408,'Udvaskning nøgletal'!$C$12:$C$62,'Udvaskning nøgletal'!$F$12:$F$62)+Markniveau!$Y1408*Markniveau!$S1408/100,IF($X1408=3,LOOKUP(AI1408,'Udvaskning nøgletal'!$C$12:$C$62,'Udvaskning nøgletal'!Q1418:Q1468)+Markniveau!$Y1408*Markniveau!$S1408/100,"")))</f>
        <v>57.736160913328504</v>
      </c>
      <c r="AK1408" s="10">
        <f t="shared" si="219"/>
        <v>241.91451422684645</v>
      </c>
      <c r="AL1408" s="10">
        <f t="shared" si="221"/>
        <v>2.8868080456664251</v>
      </c>
      <c r="AM1408" s="10">
        <f t="shared" si="222"/>
        <v>12.095725711342322</v>
      </c>
    </row>
    <row r="1409" spans="1:39" x14ac:dyDescent="0.25">
      <c r="A1409" s="15">
        <v>64488414</v>
      </c>
      <c r="B1409" s="15">
        <v>20.73</v>
      </c>
      <c r="C1409" s="15">
        <v>614012</v>
      </c>
      <c r="D1409" s="15">
        <v>53992</v>
      </c>
      <c r="E1409" s="15" t="s">
        <v>1200</v>
      </c>
      <c r="F1409" s="15">
        <v>2011</v>
      </c>
      <c r="G1409" s="15">
        <v>20110324</v>
      </c>
      <c r="H1409" s="15">
        <v>23641</v>
      </c>
      <c r="I1409" s="15">
        <v>2.36</v>
      </c>
      <c r="J1409" s="6" t="s">
        <v>849</v>
      </c>
      <c r="K1409" s="15">
        <v>1</v>
      </c>
      <c r="L1409" s="15" t="s">
        <v>32</v>
      </c>
      <c r="M1409" s="15" t="s">
        <v>5</v>
      </c>
      <c r="N1409" s="11" t="s">
        <v>1384</v>
      </c>
      <c r="O1409" s="11" t="s">
        <v>28</v>
      </c>
      <c r="P1409" s="11" t="s">
        <v>33</v>
      </c>
      <c r="Q1409" s="15">
        <v>0</v>
      </c>
      <c r="R1409" s="11" t="s">
        <v>1386</v>
      </c>
      <c r="S1409" s="10">
        <v>137.12321826657001</v>
      </c>
      <c r="T1409" s="15">
        <v>80</v>
      </c>
      <c r="U1409" s="15">
        <v>0</v>
      </c>
      <c r="V1409" s="15">
        <v>1</v>
      </c>
      <c r="W1409" s="15">
        <v>0</v>
      </c>
      <c r="X1409" s="15">
        <f>IF(O1409='Udvaskning nøgletal'!$D$65,1,IF(O1409='Udvaskning nøgletal'!$D$66,2,IF(O1409='Udvaskning nøgletal'!$D$67,3,IF(O1409='Udvaskning nøgletal'!$D$68,2,""))))</f>
        <v>1</v>
      </c>
      <c r="Y1409" s="15">
        <f>LOOKUP(K1409,'Udvaskning nøgletal'!$C$12:$C$60,'Udvaskning nøgletal'!$H$12:$H$60)</f>
        <v>5</v>
      </c>
      <c r="Z1409" s="10">
        <f>IF(X1409=1,LOOKUP(K1409,'Udvaskning nøgletal'!$C$12:$C$60,'Udvaskning nøgletal'!$E$12:$E$60)+Markniveau!Y1409*Markniveau!S1409/100,IF(X1409=2,LOOKUP(K1409,'Udvaskning nøgletal'!$C$12:$C$60,'Udvaskning nøgletal'!$F$12:$F$60)+Markniveau!Y1409*Markniveau!S1409/100,IF(X1409=3,LOOKUP(K1409,'Udvaskning nøgletal'!$C$12:$C$60,'Udvaskning nøgletal'!G1419:G1467)+Markniveau!Y1409*Markniveau!S1409/100,"")))</f>
        <v>71.516160913328491</v>
      </c>
      <c r="AA1409" s="10">
        <f t="shared" si="216"/>
        <v>168.77813975545524</v>
      </c>
      <c r="AB1409" s="10" t="str">
        <f t="shared" si="215"/>
        <v/>
      </c>
      <c r="AC1409" s="10" t="str">
        <f t="shared" si="217"/>
        <v/>
      </c>
      <c r="AD1409" s="10">
        <f>IF(AND(Q1409&gt;0,Q1409&lt;30,K1409&lt;8),Markniveau!Z1409*'Udvaskning nøgletal'!$I$12/100,IF(AND(Q1409&gt;0,Q1409&lt;30,K1409=216),Markniveau!Z1409*'Udvaskning nøgletal'!$I$34/100,Markniveau!Z1409))</f>
        <v>71.516160913328491</v>
      </c>
      <c r="AE1409" s="10">
        <f t="shared" si="223"/>
        <v>168.77813975545524</v>
      </c>
      <c r="AF1409" s="10" t="str">
        <f t="shared" si="218"/>
        <v/>
      </c>
      <c r="AG1409" s="10" t="str">
        <f t="shared" si="224"/>
        <v/>
      </c>
      <c r="AH1409" s="10" t="str">
        <f>IF(AND(Q1409&gt;0,Q1409&lt;30,K1409=216),'Udvaskning nøgletal'!$C$42,IF(AND(Q1409&gt;0,Q1409&lt;30,K1409&gt;7,K1409&lt;17),'Udvaskning nøgletal'!$C$61,IF(AND(Q1409&gt;0,Q1409&lt;30,K1409&lt;7),'Udvaskning nøgletal'!$C$62,"")))</f>
        <v/>
      </c>
      <c r="AI1409" s="10">
        <f t="shared" si="220"/>
        <v>1</v>
      </c>
      <c r="AJ1409" s="10">
        <f>IF($X1409=1,LOOKUP(AI1409,'Udvaskning nøgletal'!$C$12:$C$62,'Udvaskning nøgletal'!$E$12:$E$62)+Markniveau!$Y1409*Markniveau!$S1409/100,IF($X1409=2,LOOKUP(AI1409,'Udvaskning nøgletal'!$C$12:$C$62,'Udvaskning nøgletal'!$F$12:$F$62)+Markniveau!$Y1409*Markniveau!$S1409/100,IF($X1409=3,LOOKUP(AI1409,'Udvaskning nøgletal'!$C$12:$C$62,'Udvaskning nøgletal'!Q1419:Q1469)+Markniveau!$Y1409*Markniveau!$S1409/100,"")))</f>
        <v>71.516160913328491</v>
      </c>
      <c r="AK1409" s="10">
        <f t="shared" si="219"/>
        <v>168.77813975545524</v>
      </c>
      <c r="AL1409" s="10" t="str">
        <f t="shared" si="221"/>
        <v/>
      </c>
      <c r="AM1409" s="10" t="str">
        <f t="shared" si="222"/>
        <v/>
      </c>
    </row>
    <row r="1410" spans="1:39" x14ac:dyDescent="0.25">
      <c r="A1410" s="15">
        <v>64488414</v>
      </c>
      <c r="B1410" s="15">
        <v>20.73</v>
      </c>
      <c r="C1410" s="15">
        <v>141958</v>
      </c>
      <c r="D1410" s="15">
        <v>53992</v>
      </c>
      <c r="E1410" s="15" t="s">
        <v>1179</v>
      </c>
      <c r="F1410" s="15">
        <v>2011</v>
      </c>
      <c r="G1410" s="15">
        <v>20110420</v>
      </c>
      <c r="H1410" s="15">
        <v>7731</v>
      </c>
      <c r="I1410" s="15">
        <v>0.77</v>
      </c>
      <c r="J1410" s="6" t="s">
        <v>1526</v>
      </c>
      <c r="K1410" s="15">
        <v>216</v>
      </c>
      <c r="L1410" s="15" t="s">
        <v>116</v>
      </c>
      <c r="M1410" s="15" t="s">
        <v>5</v>
      </c>
      <c r="N1410" s="11" t="s">
        <v>1384</v>
      </c>
      <c r="O1410" s="11" t="s">
        <v>28</v>
      </c>
      <c r="P1410" s="11" t="s">
        <v>33</v>
      </c>
      <c r="Q1410" s="15">
        <v>0</v>
      </c>
      <c r="R1410" s="11" t="s">
        <v>1386</v>
      </c>
      <c r="S1410" s="10">
        <v>137.12321826657001</v>
      </c>
      <c r="T1410" s="15">
        <v>80</v>
      </c>
      <c r="U1410" s="15">
        <v>0</v>
      </c>
      <c r="V1410" s="15">
        <v>1</v>
      </c>
      <c r="W1410" s="15">
        <v>0</v>
      </c>
      <c r="X1410" s="15">
        <f>IF(O1410='Udvaskning nøgletal'!$D$65,1,IF(O1410='Udvaskning nøgletal'!$D$66,2,IF(O1410='Udvaskning nøgletal'!$D$67,3,IF(O1410='Udvaskning nøgletal'!$D$68,2,""))))</f>
        <v>1</v>
      </c>
      <c r="Y1410" s="15">
        <f>LOOKUP(K1410,'Udvaskning nøgletal'!$C$12:$C$60,'Udvaskning nøgletal'!$H$12:$H$60)</f>
        <v>0</v>
      </c>
      <c r="Z1410" s="10">
        <f>IF(X1410=1,LOOKUP(K1410,'Udvaskning nøgletal'!$C$12:$C$60,'Udvaskning nøgletal'!$E$12:$E$60)+Markniveau!Y1410*Markniveau!S1410/100,IF(X1410=2,LOOKUP(K1410,'Udvaskning nøgletal'!$C$12:$C$60,'Udvaskning nøgletal'!$F$12:$F$60)+Markniveau!Y1410*Markniveau!S1410/100,IF(X1410=3,LOOKUP(K1410,'Udvaskning nøgletal'!$C$12:$C$60,'Udvaskning nøgletal'!G1420:G1468)+Markniveau!Y1410*Markniveau!S1410/100,"")))</f>
        <v>125.85383557148924</v>
      </c>
      <c r="AA1410" s="10">
        <f t="shared" si="216"/>
        <v>96.907453390046712</v>
      </c>
      <c r="AB1410" s="10" t="str">
        <f t="shared" ref="AB1410:AB1473" si="225">IF(Q1410&gt;0,(100-Q1410)*Z1410/100,"")</f>
        <v/>
      </c>
      <c r="AC1410" s="10" t="str">
        <f t="shared" si="217"/>
        <v/>
      </c>
      <c r="AD1410" s="10">
        <f>IF(AND(Q1410&gt;0,Q1410&lt;30,K1410&lt;8),Markniveau!Z1410*'Udvaskning nøgletal'!$I$12/100,IF(AND(Q1410&gt;0,Q1410&lt;30,K1410=216),Markniveau!Z1410*'Udvaskning nøgletal'!$I$34/100,Markniveau!Z1410))</f>
        <v>125.85383557148924</v>
      </c>
      <c r="AE1410" s="10">
        <f t="shared" si="223"/>
        <v>96.907453390046712</v>
      </c>
      <c r="AF1410" s="10" t="str">
        <f t="shared" si="218"/>
        <v/>
      </c>
      <c r="AG1410" s="10" t="str">
        <f t="shared" si="224"/>
        <v/>
      </c>
      <c r="AH1410" s="10" t="str">
        <f>IF(AND(Q1410&gt;0,Q1410&lt;30,K1410=216),'Udvaskning nøgletal'!$C$42,IF(AND(Q1410&gt;0,Q1410&lt;30,K1410&gt;7,K1410&lt;17),'Udvaskning nøgletal'!$C$61,IF(AND(Q1410&gt;0,Q1410&lt;30,K1410&lt;7),'Udvaskning nøgletal'!$C$62,"")))</f>
        <v/>
      </c>
      <c r="AI1410" s="10">
        <f t="shared" si="220"/>
        <v>216</v>
      </c>
      <c r="AJ1410" s="10">
        <f>IF($X1410=1,LOOKUP(AI1410,'Udvaskning nøgletal'!$C$12:$C$62,'Udvaskning nøgletal'!$E$12:$E$62)+Markniveau!$Y1410*Markniveau!$S1410/100,IF($X1410=2,LOOKUP(AI1410,'Udvaskning nøgletal'!$C$12:$C$62,'Udvaskning nøgletal'!$F$12:$F$62)+Markniveau!$Y1410*Markniveau!$S1410/100,IF($X1410=3,LOOKUP(AI1410,'Udvaskning nøgletal'!$C$12:$C$62,'Udvaskning nøgletal'!Q1420:Q1470)+Markniveau!$Y1410*Markniveau!$S1410/100,"")))</f>
        <v>125.85383557148924</v>
      </c>
      <c r="AK1410" s="10">
        <f t="shared" si="219"/>
        <v>96.907453390046712</v>
      </c>
      <c r="AL1410" s="10" t="str">
        <f t="shared" si="221"/>
        <v/>
      </c>
      <c r="AM1410" s="10" t="str">
        <f t="shared" si="222"/>
        <v/>
      </c>
    </row>
    <row r="1411" spans="1:39" x14ac:dyDescent="0.25">
      <c r="A1411" s="15">
        <v>64488414</v>
      </c>
      <c r="B1411" s="15">
        <v>20.73</v>
      </c>
      <c r="C1411" s="15">
        <v>152821</v>
      </c>
      <c r="D1411" s="15">
        <v>53992</v>
      </c>
      <c r="E1411" s="15" t="s">
        <v>1179</v>
      </c>
      <c r="F1411" s="15">
        <v>2011</v>
      </c>
      <c r="G1411" s="15">
        <v>20110419</v>
      </c>
      <c r="H1411" s="15">
        <v>39354</v>
      </c>
      <c r="I1411" s="15">
        <v>3.94</v>
      </c>
      <c r="J1411" s="6" t="s">
        <v>173</v>
      </c>
      <c r="K1411" s="15">
        <v>1</v>
      </c>
      <c r="L1411" s="15" t="s">
        <v>32</v>
      </c>
      <c r="M1411" s="15" t="s">
        <v>5</v>
      </c>
      <c r="N1411" s="11" t="s">
        <v>1384</v>
      </c>
      <c r="O1411" s="11" t="s">
        <v>28</v>
      </c>
      <c r="P1411" s="11" t="s">
        <v>33</v>
      </c>
      <c r="Q1411" s="15">
        <v>0</v>
      </c>
      <c r="R1411" s="11" t="s">
        <v>1386</v>
      </c>
      <c r="S1411" s="10">
        <v>137.12321826657001</v>
      </c>
      <c r="T1411" s="15">
        <v>80</v>
      </c>
      <c r="U1411" s="15">
        <v>0</v>
      </c>
      <c r="V1411" s="15">
        <v>1</v>
      </c>
      <c r="W1411" s="15">
        <v>0</v>
      </c>
      <c r="X1411" s="15">
        <f>IF(O1411='Udvaskning nøgletal'!$D$65,1,IF(O1411='Udvaskning nøgletal'!$D$66,2,IF(O1411='Udvaskning nøgletal'!$D$67,3,IF(O1411='Udvaskning nøgletal'!$D$68,2,""))))</f>
        <v>1</v>
      </c>
      <c r="Y1411" s="15">
        <f>LOOKUP(K1411,'Udvaskning nøgletal'!$C$12:$C$60,'Udvaskning nøgletal'!$H$12:$H$60)</f>
        <v>5</v>
      </c>
      <c r="Z1411" s="10">
        <f>IF(X1411=1,LOOKUP(K1411,'Udvaskning nøgletal'!$C$12:$C$60,'Udvaskning nøgletal'!$E$12:$E$60)+Markniveau!Y1411*Markniveau!S1411/100,IF(X1411=2,LOOKUP(K1411,'Udvaskning nøgletal'!$C$12:$C$60,'Udvaskning nøgletal'!$F$12:$F$60)+Markniveau!Y1411*Markniveau!S1411/100,IF(X1411=3,LOOKUP(K1411,'Udvaskning nøgletal'!$C$12:$C$60,'Udvaskning nøgletal'!G1421:G1469)+Markniveau!Y1411*Markniveau!S1411/100,"")))</f>
        <v>71.516160913328491</v>
      </c>
      <c r="AA1411" s="10">
        <f t="shared" ref="AA1411:AA1474" si="226">Z1411*I1411</f>
        <v>281.77367399851425</v>
      </c>
      <c r="AB1411" s="10" t="str">
        <f t="shared" si="225"/>
        <v/>
      </c>
      <c r="AC1411" s="10" t="str">
        <f t="shared" ref="AC1411:AC1474" si="227">IF(Q1411&gt;0,AB1411*I1411,"")</f>
        <v/>
      </c>
      <c r="AD1411" s="10">
        <f>IF(AND(Q1411&gt;0,Q1411&lt;30,K1411&lt;8),Markniveau!Z1411*'Udvaskning nøgletal'!$I$12/100,IF(AND(Q1411&gt;0,Q1411&lt;30,K1411=216),Markniveau!Z1411*'Udvaskning nøgletal'!$I$34/100,Markniveau!Z1411))</f>
        <v>71.516160913328491</v>
      </c>
      <c r="AE1411" s="10">
        <f t="shared" si="223"/>
        <v>281.77367399851425</v>
      </c>
      <c r="AF1411" s="10" t="str">
        <f t="shared" ref="AF1411:AF1474" si="228">IF($Q1411&gt;0,(100-$Q1411)*$AD1411/100,"")</f>
        <v/>
      </c>
      <c r="AG1411" s="10" t="str">
        <f t="shared" si="224"/>
        <v/>
      </c>
      <c r="AH1411" s="10" t="str">
        <f>IF(AND(Q1411&gt;0,Q1411&lt;30,K1411=216),'Udvaskning nøgletal'!$C$42,IF(AND(Q1411&gt;0,Q1411&lt;30,K1411&gt;7,K1411&lt;17),'Udvaskning nøgletal'!$C$61,IF(AND(Q1411&gt;0,Q1411&lt;30,K1411&lt;7),'Udvaskning nøgletal'!$C$62,"")))</f>
        <v/>
      </c>
      <c r="AI1411" s="10">
        <f t="shared" si="220"/>
        <v>1</v>
      </c>
      <c r="AJ1411" s="10">
        <f>IF($X1411=1,LOOKUP(AI1411,'Udvaskning nøgletal'!$C$12:$C$62,'Udvaskning nøgletal'!$E$12:$E$62)+Markniveau!$Y1411*Markniveau!$S1411/100,IF($X1411=2,LOOKUP(AI1411,'Udvaskning nøgletal'!$C$12:$C$62,'Udvaskning nøgletal'!$F$12:$F$62)+Markniveau!$Y1411*Markniveau!$S1411/100,IF($X1411=3,LOOKUP(AI1411,'Udvaskning nøgletal'!$C$12:$C$62,'Udvaskning nøgletal'!Q1421:Q1471)+Markniveau!$Y1411*Markniveau!$S1411/100,"")))</f>
        <v>71.516160913328491</v>
      </c>
      <c r="AK1411" s="10">
        <f t="shared" ref="AK1411:AK1474" si="229">AJ1411*$I1411</f>
        <v>281.77367399851425</v>
      </c>
      <c r="AL1411" s="10" t="str">
        <f t="shared" si="221"/>
        <v/>
      </c>
      <c r="AM1411" s="10" t="str">
        <f t="shared" si="222"/>
        <v/>
      </c>
    </row>
    <row r="1412" spans="1:39" x14ac:dyDescent="0.25">
      <c r="A1412" s="15">
        <v>64882228</v>
      </c>
      <c r="B1412" s="15">
        <v>8.15</v>
      </c>
      <c r="C1412" s="15">
        <v>223261</v>
      </c>
      <c r="D1412" s="15">
        <v>156261</v>
      </c>
      <c r="E1412" s="15" t="s">
        <v>1203</v>
      </c>
      <c r="F1412" s="15">
        <v>2011</v>
      </c>
      <c r="G1412" s="15">
        <v>20110426</v>
      </c>
      <c r="H1412" s="15">
        <v>256698</v>
      </c>
      <c r="I1412" s="15">
        <v>25.67</v>
      </c>
      <c r="J1412" s="6" t="s">
        <v>61</v>
      </c>
      <c r="K1412" s="15">
        <v>11</v>
      </c>
      <c r="L1412" s="15" t="s">
        <v>102</v>
      </c>
      <c r="M1412" s="15" t="s">
        <v>5</v>
      </c>
      <c r="N1412" s="11" t="s">
        <v>1391</v>
      </c>
      <c r="O1412" s="11" t="s">
        <v>46</v>
      </c>
      <c r="P1412" s="11" t="s">
        <v>33</v>
      </c>
      <c r="Q1412" s="15">
        <v>0</v>
      </c>
      <c r="R1412" s="11" t="s">
        <v>1386</v>
      </c>
      <c r="S1412" s="10">
        <v>117.09590577678</v>
      </c>
      <c r="T1412" s="15">
        <v>80</v>
      </c>
      <c r="U1412" s="15">
        <v>0</v>
      </c>
      <c r="V1412" s="15">
        <v>0</v>
      </c>
      <c r="W1412" s="15">
        <v>0</v>
      </c>
      <c r="X1412" s="15">
        <f>IF(O1412='Udvaskning nøgletal'!$D$65,1,IF(O1412='Udvaskning nøgletal'!$D$66,2,IF(O1412='Udvaskning nøgletal'!$D$67,3,IF(O1412='Udvaskning nøgletal'!$D$68,2,""))))</f>
        <v>2</v>
      </c>
      <c r="Y1412" s="15">
        <f>LOOKUP(K1412,'Udvaskning nøgletal'!$C$12:$C$60,'Udvaskning nøgletal'!$H$12:$H$60)</f>
        <v>5</v>
      </c>
      <c r="Z1412" s="10">
        <f>IF(X1412=1,LOOKUP(K1412,'Udvaskning nøgletal'!$C$12:$C$60,'Udvaskning nøgletal'!$E$12:$E$60)+Markniveau!Y1412*Markniveau!S1412/100,IF(X1412=2,LOOKUP(K1412,'Udvaskning nøgletal'!$C$12:$C$60,'Udvaskning nøgletal'!$F$12:$F$60)+Markniveau!Y1412*Markniveau!S1412/100,IF(X1412=3,LOOKUP(K1412,'Udvaskning nøgletal'!$C$12:$C$60,'Udvaskning nøgletal'!G1422:G1470)+Markniveau!Y1412*Markniveau!S1412/100,"")))</f>
        <v>56.734795288839003</v>
      </c>
      <c r="AA1412" s="10">
        <f t="shared" si="226"/>
        <v>1456.3821950644972</v>
      </c>
      <c r="AB1412" s="10" t="str">
        <f t="shared" si="225"/>
        <v/>
      </c>
      <c r="AC1412" s="10" t="str">
        <f t="shared" si="227"/>
        <v/>
      </c>
      <c r="AD1412" s="10">
        <f>IF(AND(Q1412&gt;0,Q1412&lt;30,K1412&lt;8),Markniveau!Z1412*'Udvaskning nøgletal'!$I$12/100,IF(AND(Q1412&gt;0,Q1412&lt;30,K1412=216),Markniveau!Z1412*'Udvaskning nøgletal'!$I$34/100,Markniveau!Z1412))</f>
        <v>56.734795288839003</v>
      </c>
      <c r="AE1412" s="10">
        <f t="shared" si="223"/>
        <v>1456.3821950644972</v>
      </c>
      <c r="AF1412" s="10" t="str">
        <f t="shared" si="228"/>
        <v/>
      </c>
      <c r="AG1412" s="10" t="str">
        <f t="shared" si="224"/>
        <v/>
      </c>
      <c r="AH1412" s="10" t="str">
        <f>IF(AND(Q1412&gt;0,Q1412&lt;30,K1412=216),'Udvaskning nøgletal'!$C$42,IF(AND(Q1412&gt;0,Q1412&lt;30,K1412&gt;7,K1412&lt;17),'Udvaskning nøgletal'!$C$61,IF(AND(Q1412&gt;0,Q1412&lt;30,K1412&lt;7),'Udvaskning nøgletal'!$C$62,"")))</f>
        <v/>
      </c>
      <c r="AI1412" s="10">
        <f t="shared" si="220"/>
        <v>11</v>
      </c>
      <c r="AJ1412" s="10">
        <f>IF($X1412=1,LOOKUP(AI1412,'Udvaskning nøgletal'!$C$12:$C$62,'Udvaskning nøgletal'!$E$12:$E$62)+Markniveau!$Y1412*Markniveau!$S1412/100,IF($X1412=2,LOOKUP(AI1412,'Udvaskning nøgletal'!$C$12:$C$62,'Udvaskning nøgletal'!$F$12:$F$62)+Markniveau!$Y1412*Markniveau!$S1412/100,IF($X1412=3,LOOKUP(AI1412,'Udvaskning nøgletal'!$C$12:$C$62,'Udvaskning nøgletal'!Q1422:Q1472)+Markniveau!$Y1412*Markniveau!$S1412/100,"")))</f>
        <v>56.734795288839003</v>
      </c>
      <c r="AK1412" s="10">
        <f t="shared" si="229"/>
        <v>1456.3821950644972</v>
      </c>
      <c r="AL1412" s="10" t="str">
        <f t="shared" si="221"/>
        <v/>
      </c>
      <c r="AM1412" s="10" t="str">
        <f t="shared" si="222"/>
        <v/>
      </c>
    </row>
    <row r="1413" spans="1:39" x14ac:dyDescent="0.25">
      <c r="A1413" s="15">
        <v>64882228</v>
      </c>
      <c r="B1413" s="15">
        <v>8.15</v>
      </c>
      <c r="C1413" s="15">
        <v>248137</v>
      </c>
      <c r="D1413" s="15">
        <v>156261</v>
      </c>
      <c r="E1413" s="15" t="s">
        <v>1204</v>
      </c>
      <c r="F1413" s="15">
        <v>2011</v>
      </c>
      <c r="G1413" s="15">
        <v>20110426</v>
      </c>
      <c r="H1413" s="15">
        <v>18430</v>
      </c>
      <c r="I1413" s="15">
        <v>1.84</v>
      </c>
      <c r="J1413" s="6" t="s">
        <v>1398</v>
      </c>
      <c r="K1413" s="15">
        <v>11</v>
      </c>
      <c r="L1413" s="15" t="s">
        <v>102</v>
      </c>
      <c r="M1413" s="15" t="s">
        <v>5</v>
      </c>
      <c r="N1413" s="11" t="s">
        <v>1391</v>
      </c>
      <c r="O1413" s="11" t="s">
        <v>46</v>
      </c>
      <c r="P1413" s="11" t="s">
        <v>33</v>
      </c>
      <c r="Q1413" s="15">
        <v>95</v>
      </c>
      <c r="R1413" s="11" t="s">
        <v>3</v>
      </c>
      <c r="S1413" s="10">
        <v>117.09590577678</v>
      </c>
      <c r="T1413" s="15">
        <v>80</v>
      </c>
      <c r="U1413" s="15">
        <v>0</v>
      </c>
      <c r="V1413" s="15">
        <v>0</v>
      </c>
      <c r="W1413" s="15">
        <v>0</v>
      </c>
      <c r="X1413" s="15">
        <f>IF(O1413='Udvaskning nøgletal'!$D$65,1,IF(O1413='Udvaskning nøgletal'!$D$66,2,IF(O1413='Udvaskning nøgletal'!$D$67,3,IF(O1413='Udvaskning nøgletal'!$D$68,2,""))))</f>
        <v>2</v>
      </c>
      <c r="Y1413" s="15">
        <f>LOOKUP(K1413,'Udvaskning nøgletal'!$C$12:$C$60,'Udvaskning nøgletal'!$H$12:$H$60)</f>
        <v>5</v>
      </c>
      <c r="Z1413" s="10">
        <f>IF(X1413=1,LOOKUP(K1413,'Udvaskning nøgletal'!$C$12:$C$60,'Udvaskning nøgletal'!$E$12:$E$60)+Markniveau!Y1413*Markniveau!S1413/100,IF(X1413=2,LOOKUP(K1413,'Udvaskning nøgletal'!$C$12:$C$60,'Udvaskning nøgletal'!$F$12:$F$60)+Markniveau!Y1413*Markniveau!S1413/100,IF(X1413=3,LOOKUP(K1413,'Udvaskning nøgletal'!$C$12:$C$60,'Udvaskning nøgletal'!G1423:G1471)+Markniveau!Y1413*Markniveau!S1413/100,"")))</f>
        <v>56.734795288839003</v>
      </c>
      <c r="AA1413" s="10">
        <f t="shared" si="226"/>
        <v>104.39202333146378</v>
      </c>
      <c r="AB1413" s="10">
        <f t="shared" si="225"/>
        <v>2.8367397644419503</v>
      </c>
      <c r="AC1413" s="10">
        <f t="shared" si="227"/>
        <v>5.219601166573189</v>
      </c>
      <c r="AD1413" s="10">
        <f>IF(AND(Q1413&gt;0,Q1413&lt;30,K1413&lt;8),Markniveau!Z1413*'Udvaskning nøgletal'!$I$12/100,IF(AND(Q1413&gt;0,Q1413&lt;30,K1413=216),Markniveau!Z1413*'Udvaskning nøgletal'!$I$34/100,Markniveau!Z1413))</f>
        <v>56.734795288839003</v>
      </c>
      <c r="AE1413" s="10">
        <f t="shared" si="223"/>
        <v>104.39202333146378</v>
      </c>
      <c r="AF1413" s="10">
        <f t="shared" si="228"/>
        <v>2.8367397644419503</v>
      </c>
      <c r="AG1413" s="10">
        <f t="shared" si="224"/>
        <v>5.219601166573189</v>
      </c>
      <c r="AH1413" s="10" t="str">
        <f>IF(AND(Q1413&gt;0,Q1413&lt;30,K1413=216),'Udvaskning nøgletal'!$C$42,IF(AND(Q1413&gt;0,Q1413&lt;30,K1413&gt;7,K1413&lt;17),'Udvaskning nøgletal'!$C$61,IF(AND(Q1413&gt;0,Q1413&lt;30,K1413&lt;7),'Udvaskning nøgletal'!$C$62,"")))</f>
        <v/>
      </c>
      <c r="AI1413" s="10">
        <f t="shared" si="220"/>
        <v>11</v>
      </c>
      <c r="AJ1413" s="10">
        <f>IF($X1413=1,LOOKUP(AI1413,'Udvaskning nøgletal'!$C$12:$C$62,'Udvaskning nøgletal'!$E$12:$E$62)+Markniveau!$Y1413*Markniveau!$S1413/100,IF($X1413=2,LOOKUP(AI1413,'Udvaskning nøgletal'!$C$12:$C$62,'Udvaskning nøgletal'!$F$12:$F$62)+Markniveau!$Y1413*Markniveau!$S1413/100,IF($X1413=3,LOOKUP(AI1413,'Udvaskning nøgletal'!$C$12:$C$62,'Udvaskning nøgletal'!Q1423:Q1473)+Markniveau!$Y1413*Markniveau!$S1413/100,"")))</f>
        <v>56.734795288839003</v>
      </c>
      <c r="AK1413" s="10">
        <f t="shared" si="229"/>
        <v>104.39202333146378</v>
      </c>
      <c r="AL1413" s="10">
        <f t="shared" si="221"/>
        <v>2.8367397644419503</v>
      </c>
      <c r="AM1413" s="10">
        <f t="shared" si="222"/>
        <v>5.219601166573189</v>
      </c>
    </row>
    <row r="1414" spans="1:39" x14ac:dyDescent="0.25">
      <c r="A1414" s="15">
        <v>64882228</v>
      </c>
      <c r="B1414" s="15">
        <v>8.15</v>
      </c>
      <c r="C1414" s="15">
        <v>185047</v>
      </c>
      <c r="D1414" s="15">
        <v>156261</v>
      </c>
      <c r="E1414" s="15" t="s">
        <v>446</v>
      </c>
      <c r="F1414" s="15">
        <v>2011</v>
      </c>
      <c r="G1414" s="15">
        <v>20110426</v>
      </c>
      <c r="H1414" s="15">
        <v>18199</v>
      </c>
      <c r="I1414" s="15">
        <v>1.82</v>
      </c>
      <c r="J1414" s="6" t="s">
        <v>97</v>
      </c>
      <c r="K1414" s="15">
        <v>252</v>
      </c>
      <c r="L1414" s="15" t="s">
        <v>41</v>
      </c>
      <c r="M1414" s="15" t="s">
        <v>4</v>
      </c>
      <c r="N1414" s="11" t="s">
        <v>1384</v>
      </c>
      <c r="O1414" s="11" t="s">
        <v>28</v>
      </c>
      <c r="P1414" s="11" t="s">
        <v>33</v>
      </c>
      <c r="Q1414" s="15">
        <v>0</v>
      </c>
      <c r="R1414" s="11" t="s">
        <v>1386</v>
      </c>
      <c r="S1414" s="10">
        <v>117.09590577678</v>
      </c>
      <c r="T1414" s="15">
        <v>80</v>
      </c>
      <c r="U1414" s="15">
        <v>0</v>
      </c>
      <c r="V1414" s="15">
        <v>0</v>
      </c>
      <c r="W1414" s="15">
        <v>0</v>
      </c>
      <c r="X1414" s="15">
        <f>IF(O1414='Udvaskning nøgletal'!$D$65,1,IF(O1414='Udvaskning nøgletal'!$D$66,2,IF(O1414='Udvaskning nøgletal'!$D$67,3,IF(O1414='Udvaskning nøgletal'!$D$68,2,""))))</f>
        <v>1</v>
      </c>
      <c r="Y1414" s="15">
        <f>LOOKUP(K1414,'Udvaskning nøgletal'!$C$12:$C$60,'Udvaskning nøgletal'!$H$12:$H$60)</f>
        <v>0</v>
      </c>
      <c r="Z1414" s="10">
        <f>IF(X1414=1,LOOKUP(K1414,'Udvaskning nøgletal'!$C$12:$C$60,'Udvaskning nøgletal'!$E$12:$E$60)+Markniveau!Y1414*Markniveau!S1414/100,IF(X1414=2,LOOKUP(K1414,'Udvaskning nøgletal'!$C$12:$C$60,'Udvaskning nøgletal'!$F$12:$F$60)+Markniveau!Y1414*Markniveau!S1414/100,IF(X1414=3,LOOKUP(K1414,'Udvaskning nøgletal'!$C$12:$C$60,'Udvaskning nøgletal'!G1424:G1472)+Markniveau!Y1414*Markniveau!S1414/100,"")))</f>
        <v>21.2</v>
      </c>
      <c r="AA1414" s="10">
        <f t="shared" si="226"/>
        <v>38.584000000000003</v>
      </c>
      <c r="AB1414" s="10" t="str">
        <f t="shared" si="225"/>
        <v/>
      </c>
      <c r="AC1414" s="10" t="str">
        <f t="shared" si="227"/>
        <v/>
      </c>
      <c r="AD1414" s="10">
        <f>IF(AND(Q1414&gt;0,Q1414&lt;30,K1414&lt;8),Markniveau!Z1414*'Udvaskning nøgletal'!$I$12/100,IF(AND(Q1414&gt;0,Q1414&lt;30,K1414=216),Markniveau!Z1414*'Udvaskning nøgletal'!$I$34/100,Markniveau!Z1414))</f>
        <v>21.2</v>
      </c>
      <c r="AE1414" s="10">
        <f t="shared" si="223"/>
        <v>38.584000000000003</v>
      </c>
      <c r="AF1414" s="10" t="str">
        <f t="shared" si="228"/>
        <v/>
      </c>
      <c r="AG1414" s="10" t="str">
        <f t="shared" si="224"/>
        <v/>
      </c>
      <c r="AH1414" s="10" t="str">
        <f>IF(AND(Q1414&gt;0,Q1414&lt;30,K1414=216),'Udvaskning nøgletal'!$C$42,IF(AND(Q1414&gt;0,Q1414&lt;30,K1414&gt;7,K1414&lt;17),'Udvaskning nøgletal'!$C$61,IF(AND(Q1414&gt;0,Q1414&lt;30,K1414&lt;7),'Udvaskning nøgletal'!$C$62,"")))</f>
        <v/>
      </c>
      <c r="AI1414" s="10">
        <f t="shared" si="220"/>
        <v>252</v>
      </c>
      <c r="AJ1414" s="10">
        <f>IF($X1414=1,LOOKUP(AI1414,'Udvaskning nøgletal'!$C$12:$C$62,'Udvaskning nøgletal'!$E$12:$E$62)+Markniveau!$Y1414*Markniveau!$S1414/100,IF($X1414=2,LOOKUP(AI1414,'Udvaskning nøgletal'!$C$12:$C$62,'Udvaskning nøgletal'!$F$12:$F$62)+Markniveau!$Y1414*Markniveau!$S1414/100,IF($X1414=3,LOOKUP(AI1414,'Udvaskning nøgletal'!$C$12:$C$62,'Udvaskning nøgletal'!Q1424:Q1474)+Markniveau!$Y1414*Markniveau!$S1414/100,"")))</f>
        <v>21.2</v>
      </c>
      <c r="AK1414" s="10">
        <f t="shared" si="229"/>
        <v>38.584000000000003</v>
      </c>
      <c r="AL1414" s="10" t="str">
        <f t="shared" si="221"/>
        <v/>
      </c>
      <c r="AM1414" s="10" t="str">
        <f t="shared" si="222"/>
        <v/>
      </c>
    </row>
    <row r="1415" spans="1:39" x14ac:dyDescent="0.25">
      <c r="A1415" s="15">
        <v>64882228</v>
      </c>
      <c r="B1415" s="15">
        <v>8.15</v>
      </c>
      <c r="C1415" s="15">
        <v>185282</v>
      </c>
      <c r="D1415" s="15">
        <v>156261</v>
      </c>
      <c r="E1415" s="15" t="s">
        <v>486</v>
      </c>
      <c r="F1415" s="15">
        <v>2011</v>
      </c>
      <c r="G1415" s="15">
        <v>20110426</v>
      </c>
      <c r="H1415" s="15">
        <v>81539</v>
      </c>
      <c r="I1415" s="15">
        <v>8.15</v>
      </c>
      <c r="J1415" s="6" t="s">
        <v>37</v>
      </c>
      <c r="K1415" s="15">
        <v>11</v>
      </c>
      <c r="L1415" s="15" t="s">
        <v>102</v>
      </c>
      <c r="M1415" s="15" t="s">
        <v>5</v>
      </c>
      <c r="N1415" s="11" t="s">
        <v>1391</v>
      </c>
      <c r="O1415" s="11" t="s">
        <v>46</v>
      </c>
      <c r="P1415" s="11" t="s">
        <v>29</v>
      </c>
      <c r="Q1415" s="15">
        <v>95</v>
      </c>
      <c r="R1415" s="11" t="s">
        <v>3</v>
      </c>
      <c r="S1415" s="10">
        <v>117.09590577678</v>
      </c>
      <c r="T1415" s="15">
        <v>80</v>
      </c>
      <c r="U1415" s="15">
        <v>0</v>
      </c>
      <c r="V1415" s="15">
        <v>0</v>
      </c>
      <c r="W1415" s="15">
        <v>0</v>
      </c>
      <c r="X1415" s="15">
        <f>IF(O1415='Udvaskning nøgletal'!$D$65,1,IF(O1415='Udvaskning nøgletal'!$D$66,2,IF(O1415='Udvaskning nøgletal'!$D$67,3,IF(O1415='Udvaskning nøgletal'!$D$68,2,""))))</f>
        <v>2</v>
      </c>
      <c r="Y1415" s="15">
        <f>LOOKUP(K1415,'Udvaskning nøgletal'!$C$12:$C$60,'Udvaskning nøgletal'!$H$12:$H$60)</f>
        <v>5</v>
      </c>
      <c r="Z1415" s="10">
        <f>IF(X1415=1,LOOKUP(K1415,'Udvaskning nøgletal'!$C$12:$C$60,'Udvaskning nøgletal'!$E$12:$E$60)+Markniveau!Y1415*Markniveau!S1415/100,IF(X1415=2,LOOKUP(K1415,'Udvaskning nøgletal'!$C$12:$C$60,'Udvaskning nøgletal'!$F$12:$F$60)+Markniveau!Y1415*Markniveau!S1415/100,IF(X1415=3,LOOKUP(K1415,'Udvaskning nøgletal'!$C$12:$C$60,'Udvaskning nøgletal'!G1425:G1473)+Markniveau!Y1415*Markniveau!S1415/100,"")))</f>
        <v>56.734795288839003</v>
      </c>
      <c r="AA1415" s="10">
        <f t="shared" si="226"/>
        <v>462.38858160403788</v>
      </c>
      <c r="AB1415" s="10">
        <f t="shared" si="225"/>
        <v>2.8367397644419503</v>
      </c>
      <c r="AC1415" s="10">
        <f t="shared" si="227"/>
        <v>23.119429080201897</v>
      </c>
      <c r="AD1415" s="10">
        <f>IF(AND(Q1415&gt;0,Q1415&lt;30,K1415&lt;8),Markniveau!Z1415*'Udvaskning nøgletal'!$I$12/100,IF(AND(Q1415&gt;0,Q1415&lt;30,K1415=216),Markniveau!Z1415*'Udvaskning nøgletal'!$I$34/100,Markniveau!Z1415))</f>
        <v>56.734795288839003</v>
      </c>
      <c r="AE1415" s="10">
        <f t="shared" si="223"/>
        <v>462.38858160403788</v>
      </c>
      <c r="AF1415" s="10">
        <f t="shared" si="228"/>
        <v>2.8367397644419503</v>
      </c>
      <c r="AG1415" s="10">
        <f t="shared" si="224"/>
        <v>23.119429080201897</v>
      </c>
      <c r="AH1415" s="10" t="str">
        <f>IF(AND(Q1415&gt;0,Q1415&lt;30,K1415=216),'Udvaskning nøgletal'!$C$42,IF(AND(Q1415&gt;0,Q1415&lt;30,K1415&gt;7,K1415&lt;17),'Udvaskning nøgletal'!$C$61,IF(AND(Q1415&gt;0,Q1415&lt;30,K1415&lt;7),'Udvaskning nøgletal'!$C$62,"")))</f>
        <v/>
      </c>
      <c r="AI1415" s="10">
        <f t="shared" si="220"/>
        <v>11</v>
      </c>
      <c r="AJ1415" s="10">
        <f>IF($X1415=1,LOOKUP(AI1415,'Udvaskning nøgletal'!$C$12:$C$62,'Udvaskning nøgletal'!$E$12:$E$62)+Markniveau!$Y1415*Markniveau!$S1415/100,IF($X1415=2,LOOKUP(AI1415,'Udvaskning nøgletal'!$C$12:$C$62,'Udvaskning nøgletal'!$F$12:$F$62)+Markniveau!$Y1415*Markniveau!$S1415/100,IF($X1415=3,LOOKUP(AI1415,'Udvaskning nøgletal'!$C$12:$C$62,'Udvaskning nøgletal'!Q1425:Q1475)+Markniveau!$Y1415*Markniveau!$S1415/100,"")))</f>
        <v>56.734795288839003</v>
      </c>
      <c r="AK1415" s="10">
        <f t="shared" si="229"/>
        <v>462.38858160403788</v>
      </c>
      <c r="AL1415" s="10">
        <f t="shared" si="221"/>
        <v>2.8367397644419503</v>
      </c>
      <c r="AM1415" s="10">
        <f t="shared" si="222"/>
        <v>23.119429080201897</v>
      </c>
    </row>
    <row r="1416" spans="1:39" x14ac:dyDescent="0.25">
      <c r="A1416" s="15">
        <v>65255618</v>
      </c>
      <c r="B1416" s="15">
        <v>12.78</v>
      </c>
      <c r="C1416" s="15">
        <v>234390</v>
      </c>
      <c r="D1416" s="15">
        <v>18245</v>
      </c>
      <c r="E1416" s="15" t="s">
        <v>680</v>
      </c>
      <c r="F1416" s="15">
        <v>2011</v>
      </c>
      <c r="G1416" s="15">
        <v>20110418</v>
      </c>
      <c r="H1416" s="15">
        <v>27018</v>
      </c>
      <c r="I1416" s="15">
        <v>2.7</v>
      </c>
      <c r="J1416" s="6" t="s">
        <v>97</v>
      </c>
      <c r="K1416" s="15">
        <v>1</v>
      </c>
      <c r="L1416" s="15" t="s">
        <v>32</v>
      </c>
      <c r="M1416" s="15" t="s">
        <v>5</v>
      </c>
      <c r="N1416" s="11" t="s">
        <v>1384</v>
      </c>
      <c r="O1416" s="11" t="s">
        <v>28</v>
      </c>
      <c r="P1416" s="11" t="s">
        <v>33</v>
      </c>
      <c r="Q1416" s="15">
        <v>0</v>
      </c>
      <c r="R1416" s="11" t="s">
        <v>1386</v>
      </c>
      <c r="S1416" s="10">
        <v>131.59255429161999</v>
      </c>
      <c r="T1416" s="15">
        <v>80</v>
      </c>
      <c r="U1416" s="15">
        <v>0</v>
      </c>
      <c r="V1416" s="15">
        <v>0</v>
      </c>
      <c r="W1416" s="15">
        <v>0</v>
      </c>
      <c r="X1416" s="15">
        <f>IF(O1416='Udvaskning nøgletal'!$D$65,1,IF(O1416='Udvaskning nøgletal'!$D$66,2,IF(O1416='Udvaskning nøgletal'!$D$67,3,IF(O1416='Udvaskning nøgletal'!$D$68,2,""))))</f>
        <v>1</v>
      </c>
      <c r="Y1416" s="15">
        <f>LOOKUP(K1416,'Udvaskning nøgletal'!$C$12:$C$60,'Udvaskning nøgletal'!$H$12:$H$60)</f>
        <v>5</v>
      </c>
      <c r="Z1416" s="10">
        <f>IF(X1416=1,LOOKUP(K1416,'Udvaskning nøgletal'!$C$12:$C$60,'Udvaskning nøgletal'!$E$12:$E$60)+Markniveau!Y1416*Markniveau!S1416/100,IF(X1416=2,LOOKUP(K1416,'Udvaskning nøgletal'!$C$12:$C$60,'Udvaskning nøgletal'!$F$12:$F$60)+Markniveau!Y1416*Markniveau!S1416/100,IF(X1416=3,LOOKUP(K1416,'Udvaskning nøgletal'!$C$12:$C$60,'Udvaskning nøgletal'!G1426:G1474)+Markniveau!Y1416*Markniveau!S1416/100,"")))</f>
        <v>71.23962771458099</v>
      </c>
      <c r="AA1416" s="10">
        <f t="shared" si="226"/>
        <v>192.3469948293687</v>
      </c>
      <c r="AB1416" s="10" t="str">
        <f t="shared" si="225"/>
        <v/>
      </c>
      <c r="AC1416" s="10" t="str">
        <f t="shared" si="227"/>
        <v/>
      </c>
      <c r="AD1416" s="10">
        <f>IF(AND(Q1416&gt;0,Q1416&lt;30,K1416&lt;8),Markniveau!Z1416*'Udvaskning nøgletal'!$I$12/100,IF(AND(Q1416&gt;0,Q1416&lt;30,K1416=216),Markniveau!Z1416*'Udvaskning nøgletal'!$I$34/100,Markniveau!Z1416))</f>
        <v>71.23962771458099</v>
      </c>
      <c r="AE1416" s="10">
        <f t="shared" si="223"/>
        <v>192.3469948293687</v>
      </c>
      <c r="AF1416" s="10" t="str">
        <f t="shared" si="228"/>
        <v/>
      </c>
      <c r="AG1416" s="10" t="str">
        <f t="shared" si="224"/>
        <v/>
      </c>
      <c r="AH1416" s="10" t="str">
        <f>IF(AND(Q1416&gt;0,Q1416&lt;30,K1416=216),'Udvaskning nøgletal'!$C$42,IF(AND(Q1416&gt;0,Q1416&lt;30,K1416&gt;7,K1416&lt;17),'Udvaskning nøgletal'!$C$61,IF(AND(Q1416&gt;0,Q1416&lt;30,K1416&lt;7),'Udvaskning nøgletal'!$C$62,"")))</f>
        <v/>
      </c>
      <c r="AI1416" s="10">
        <f t="shared" ref="AI1416:AI1479" si="230">IF(SUM(AH1416)&gt;0,AH1416,K1416)</f>
        <v>1</v>
      </c>
      <c r="AJ1416" s="10">
        <f>IF($X1416=1,LOOKUP(AI1416,'Udvaskning nøgletal'!$C$12:$C$62,'Udvaskning nøgletal'!$E$12:$E$62)+Markniveau!$Y1416*Markniveau!$S1416/100,IF($X1416=2,LOOKUP(AI1416,'Udvaskning nøgletal'!$C$12:$C$62,'Udvaskning nøgletal'!$F$12:$F$62)+Markniveau!$Y1416*Markniveau!$S1416/100,IF($X1416=3,LOOKUP(AI1416,'Udvaskning nøgletal'!$C$12:$C$62,'Udvaskning nøgletal'!Q1426:Q1476)+Markniveau!$Y1416*Markniveau!$S1416/100,"")))</f>
        <v>71.23962771458099</v>
      </c>
      <c r="AK1416" s="10">
        <f t="shared" si="229"/>
        <v>192.3469948293687</v>
      </c>
      <c r="AL1416" s="10" t="str">
        <f t="shared" si="221"/>
        <v/>
      </c>
      <c r="AM1416" s="10" t="str">
        <f t="shared" si="222"/>
        <v/>
      </c>
    </row>
    <row r="1417" spans="1:39" x14ac:dyDescent="0.25">
      <c r="A1417" s="15">
        <v>65255618</v>
      </c>
      <c r="B1417" s="15">
        <v>12.78</v>
      </c>
      <c r="C1417" s="15">
        <v>234391</v>
      </c>
      <c r="D1417" s="15">
        <v>18245</v>
      </c>
      <c r="E1417" s="15" t="s">
        <v>679</v>
      </c>
      <c r="F1417" s="15">
        <v>2011</v>
      </c>
      <c r="G1417" s="15">
        <v>20110418</v>
      </c>
      <c r="H1417" s="15">
        <v>46638</v>
      </c>
      <c r="I1417" s="15">
        <v>4.66</v>
      </c>
      <c r="J1417" s="6" t="s">
        <v>31</v>
      </c>
      <c r="K1417" s="15">
        <v>11</v>
      </c>
      <c r="L1417" s="15" t="s">
        <v>102</v>
      </c>
      <c r="M1417" s="15" t="s">
        <v>5</v>
      </c>
      <c r="N1417" s="11" t="s">
        <v>1384</v>
      </c>
      <c r="O1417" s="11" t="s">
        <v>28</v>
      </c>
      <c r="P1417" s="11" t="s">
        <v>33</v>
      </c>
      <c r="Q1417" s="15">
        <v>0</v>
      </c>
      <c r="R1417" s="11" t="s">
        <v>1386</v>
      </c>
      <c r="S1417" s="10">
        <v>131.59255429161999</v>
      </c>
      <c r="T1417" s="15">
        <v>80</v>
      </c>
      <c r="U1417" s="15">
        <v>0</v>
      </c>
      <c r="V1417" s="15">
        <v>0</v>
      </c>
      <c r="W1417" s="15">
        <v>0</v>
      </c>
      <c r="X1417" s="15">
        <f>IF(O1417='Udvaskning nøgletal'!$D$65,1,IF(O1417='Udvaskning nøgletal'!$D$66,2,IF(O1417='Udvaskning nøgletal'!$D$67,3,IF(O1417='Udvaskning nøgletal'!$D$68,2,""))))</f>
        <v>1</v>
      </c>
      <c r="Y1417" s="15">
        <f>LOOKUP(K1417,'Udvaskning nøgletal'!$C$12:$C$60,'Udvaskning nøgletal'!$H$12:$H$60)</f>
        <v>5</v>
      </c>
      <c r="Z1417" s="10">
        <f>IF(X1417=1,LOOKUP(K1417,'Udvaskning nøgletal'!$C$12:$C$60,'Udvaskning nøgletal'!$E$12:$E$60)+Markniveau!Y1417*Markniveau!S1417/100,IF(X1417=2,LOOKUP(K1417,'Udvaskning nøgletal'!$C$12:$C$60,'Udvaskning nøgletal'!$F$12:$F$60)+Markniveau!Y1417*Markniveau!S1417/100,IF(X1417=3,LOOKUP(K1417,'Udvaskning nøgletal'!$C$12:$C$60,'Udvaskning nøgletal'!G1427:G1475)+Markniveau!Y1417*Markniveau!S1417/100,"")))</f>
        <v>71.23962771458099</v>
      </c>
      <c r="AA1417" s="10">
        <f t="shared" si="226"/>
        <v>331.97666514994745</v>
      </c>
      <c r="AB1417" s="10" t="str">
        <f t="shared" si="225"/>
        <v/>
      </c>
      <c r="AC1417" s="10" t="str">
        <f t="shared" si="227"/>
        <v/>
      </c>
      <c r="AD1417" s="10">
        <f>IF(AND(Q1417&gt;0,Q1417&lt;30,K1417&lt;8),Markniveau!Z1417*'Udvaskning nøgletal'!$I$12/100,IF(AND(Q1417&gt;0,Q1417&lt;30,K1417=216),Markniveau!Z1417*'Udvaskning nøgletal'!$I$34/100,Markniveau!Z1417))</f>
        <v>71.23962771458099</v>
      </c>
      <c r="AE1417" s="10">
        <f t="shared" si="223"/>
        <v>331.97666514994745</v>
      </c>
      <c r="AF1417" s="10" t="str">
        <f t="shared" si="228"/>
        <v/>
      </c>
      <c r="AG1417" s="10" t="str">
        <f t="shared" si="224"/>
        <v/>
      </c>
      <c r="AH1417" s="10" t="str">
        <f>IF(AND(Q1417&gt;0,Q1417&lt;30,K1417=216),'Udvaskning nøgletal'!$C$42,IF(AND(Q1417&gt;0,Q1417&lt;30,K1417&gt;7,K1417&lt;17),'Udvaskning nøgletal'!$C$61,IF(AND(Q1417&gt;0,Q1417&lt;30,K1417&lt;7),'Udvaskning nøgletal'!$C$62,"")))</f>
        <v/>
      </c>
      <c r="AI1417" s="10">
        <f t="shared" si="230"/>
        <v>11</v>
      </c>
      <c r="AJ1417" s="10">
        <f>IF($X1417=1,LOOKUP(AI1417,'Udvaskning nøgletal'!$C$12:$C$62,'Udvaskning nøgletal'!$E$12:$E$62)+Markniveau!$Y1417*Markniveau!$S1417/100,IF($X1417=2,LOOKUP(AI1417,'Udvaskning nøgletal'!$C$12:$C$62,'Udvaskning nøgletal'!$F$12:$F$62)+Markniveau!$Y1417*Markniveau!$S1417/100,IF($X1417=3,LOOKUP(AI1417,'Udvaskning nøgletal'!$C$12:$C$62,'Udvaskning nøgletal'!Q1427:Q1477)+Markniveau!$Y1417*Markniveau!$S1417/100,"")))</f>
        <v>71.23962771458099</v>
      </c>
      <c r="AK1417" s="10">
        <f t="shared" si="229"/>
        <v>331.97666514994745</v>
      </c>
      <c r="AL1417" s="10" t="str">
        <f t="shared" si="221"/>
        <v/>
      </c>
      <c r="AM1417" s="10" t="str">
        <f t="shared" si="222"/>
        <v/>
      </c>
    </row>
    <row r="1418" spans="1:39" x14ac:dyDescent="0.25">
      <c r="A1418" s="15">
        <v>65255618</v>
      </c>
      <c r="B1418" s="15">
        <v>12.78</v>
      </c>
      <c r="C1418" s="15">
        <v>234392</v>
      </c>
      <c r="D1418" s="15">
        <v>18245</v>
      </c>
      <c r="E1418" s="15" t="s">
        <v>340</v>
      </c>
      <c r="F1418" s="15">
        <v>2011</v>
      </c>
      <c r="G1418" s="15">
        <v>20110418</v>
      </c>
      <c r="H1418" s="15">
        <v>43809</v>
      </c>
      <c r="I1418" s="15">
        <v>4.38</v>
      </c>
      <c r="J1418" s="6" t="s">
        <v>36</v>
      </c>
      <c r="K1418" s="15">
        <v>1</v>
      </c>
      <c r="L1418" s="15" t="s">
        <v>32</v>
      </c>
      <c r="M1418" s="15" t="s">
        <v>5</v>
      </c>
      <c r="N1418" s="11" t="s">
        <v>1391</v>
      </c>
      <c r="O1418" s="11" t="s">
        <v>46</v>
      </c>
      <c r="P1418" s="11" t="s">
        <v>33</v>
      </c>
      <c r="Q1418" s="15">
        <v>0</v>
      </c>
      <c r="R1418" s="11" t="s">
        <v>1386</v>
      </c>
      <c r="S1418" s="10">
        <v>131.59255429161999</v>
      </c>
      <c r="T1418" s="15">
        <v>80</v>
      </c>
      <c r="U1418" s="15">
        <v>0</v>
      </c>
      <c r="V1418" s="15">
        <v>0</v>
      </c>
      <c r="W1418" s="15">
        <v>0</v>
      </c>
      <c r="X1418" s="15">
        <f>IF(O1418='Udvaskning nøgletal'!$D$65,1,IF(O1418='Udvaskning nøgletal'!$D$66,2,IF(O1418='Udvaskning nøgletal'!$D$67,3,IF(O1418='Udvaskning nøgletal'!$D$68,2,""))))</f>
        <v>2</v>
      </c>
      <c r="Y1418" s="15">
        <f>LOOKUP(K1418,'Udvaskning nøgletal'!$C$12:$C$60,'Udvaskning nøgletal'!$H$12:$H$60)</f>
        <v>5</v>
      </c>
      <c r="Z1418" s="10">
        <f>IF(X1418=1,LOOKUP(K1418,'Udvaskning nøgletal'!$C$12:$C$60,'Udvaskning nøgletal'!$E$12:$E$60)+Markniveau!Y1418*Markniveau!S1418/100,IF(X1418=2,LOOKUP(K1418,'Udvaskning nøgletal'!$C$12:$C$60,'Udvaskning nøgletal'!$F$12:$F$60)+Markniveau!Y1418*Markniveau!S1418/100,IF(X1418=3,LOOKUP(K1418,'Udvaskning nøgletal'!$C$12:$C$60,'Udvaskning nøgletal'!G1428:G1476)+Markniveau!Y1418*Markniveau!S1418/100,"")))</f>
        <v>57.459627714581003</v>
      </c>
      <c r="AA1418" s="10">
        <f t="shared" si="226"/>
        <v>251.6731693898648</v>
      </c>
      <c r="AB1418" s="10" t="str">
        <f t="shared" si="225"/>
        <v/>
      </c>
      <c r="AC1418" s="10" t="str">
        <f t="shared" si="227"/>
        <v/>
      </c>
      <c r="AD1418" s="10">
        <f>IF(AND(Q1418&gt;0,Q1418&lt;30,K1418&lt;8),Markniveau!Z1418*'Udvaskning nøgletal'!$I$12/100,IF(AND(Q1418&gt;0,Q1418&lt;30,K1418=216),Markniveau!Z1418*'Udvaskning nøgletal'!$I$34/100,Markniveau!Z1418))</f>
        <v>57.459627714581003</v>
      </c>
      <c r="AE1418" s="10">
        <f t="shared" si="223"/>
        <v>251.6731693898648</v>
      </c>
      <c r="AF1418" s="10" t="str">
        <f t="shared" si="228"/>
        <v/>
      </c>
      <c r="AG1418" s="10" t="str">
        <f t="shared" si="224"/>
        <v/>
      </c>
      <c r="AH1418" s="10" t="str">
        <f>IF(AND(Q1418&gt;0,Q1418&lt;30,K1418=216),'Udvaskning nøgletal'!$C$42,IF(AND(Q1418&gt;0,Q1418&lt;30,K1418&gt;7,K1418&lt;17),'Udvaskning nøgletal'!$C$61,IF(AND(Q1418&gt;0,Q1418&lt;30,K1418&lt;7),'Udvaskning nøgletal'!$C$62,"")))</f>
        <v/>
      </c>
      <c r="AI1418" s="10">
        <f t="shared" si="230"/>
        <v>1</v>
      </c>
      <c r="AJ1418" s="10">
        <f>IF($X1418=1,LOOKUP(AI1418,'Udvaskning nøgletal'!$C$12:$C$62,'Udvaskning nøgletal'!$E$12:$E$62)+Markniveau!$Y1418*Markniveau!$S1418/100,IF($X1418=2,LOOKUP(AI1418,'Udvaskning nøgletal'!$C$12:$C$62,'Udvaskning nøgletal'!$F$12:$F$62)+Markniveau!$Y1418*Markniveau!$S1418/100,IF($X1418=3,LOOKUP(AI1418,'Udvaskning nøgletal'!$C$12:$C$62,'Udvaskning nøgletal'!Q1428:Q1478)+Markniveau!$Y1418*Markniveau!$S1418/100,"")))</f>
        <v>57.459627714581003</v>
      </c>
      <c r="AK1418" s="10">
        <f t="shared" si="229"/>
        <v>251.6731693898648</v>
      </c>
      <c r="AL1418" s="10" t="str">
        <f t="shared" si="221"/>
        <v/>
      </c>
      <c r="AM1418" s="10" t="str">
        <f t="shared" si="222"/>
        <v/>
      </c>
    </row>
    <row r="1419" spans="1:39" x14ac:dyDescent="0.25">
      <c r="A1419" s="15">
        <v>65255618</v>
      </c>
      <c r="B1419" s="15">
        <v>12.78</v>
      </c>
      <c r="C1419" s="15">
        <v>234393</v>
      </c>
      <c r="D1419" s="15">
        <v>18245</v>
      </c>
      <c r="E1419" s="15" t="s">
        <v>669</v>
      </c>
      <c r="F1419" s="15">
        <v>2011</v>
      </c>
      <c r="G1419" s="15">
        <v>20110418</v>
      </c>
      <c r="H1419" s="15">
        <v>108270</v>
      </c>
      <c r="I1419" s="15">
        <v>10.83</v>
      </c>
      <c r="J1419" s="6" t="s">
        <v>35</v>
      </c>
      <c r="K1419" s="15">
        <v>1</v>
      </c>
      <c r="L1419" s="15" t="s">
        <v>32</v>
      </c>
      <c r="M1419" s="15" t="s">
        <v>5</v>
      </c>
      <c r="N1419" s="11" t="s">
        <v>1391</v>
      </c>
      <c r="O1419" s="11" t="s">
        <v>46</v>
      </c>
      <c r="P1419" s="11" t="s">
        <v>33</v>
      </c>
      <c r="Q1419" s="15">
        <v>0</v>
      </c>
      <c r="R1419" s="11" t="s">
        <v>1386</v>
      </c>
      <c r="S1419" s="10">
        <v>131.59255429161999</v>
      </c>
      <c r="T1419" s="15">
        <v>80</v>
      </c>
      <c r="U1419" s="15">
        <v>0</v>
      </c>
      <c r="V1419" s="15">
        <v>0</v>
      </c>
      <c r="W1419" s="15">
        <v>0</v>
      </c>
      <c r="X1419" s="15">
        <f>IF(O1419='Udvaskning nøgletal'!$D$65,1,IF(O1419='Udvaskning nøgletal'!$D$66,2,IF(O1419='Udvaskning nøgletal'!$D$67,3,IF(O1419='Udvaskning nøgletal'!$D$68,2,""))))</f>
        <v>2</v>
      </c>
      <c r="Y1419" s="15">
        <f>LOOKUP(K1419,'Udvaskning nøgletal'!$C$12:$C$60,'Udvaskning nøgletal'!$H$12:$H$60)</f>
        <v>5</v>
      </c>
      <c r="Z1419" s="10">
        <f>IF(X1419=1,LOOKUP(K1419,'Udvaskning nøgletal'!$C$12:$C$60,'Udvaskning nøgletal'!$E$12:$E$60)+Markniveau!Y1419*Markniveau!S1419/100,IF(X1419=2,LOOKUP(K1419,'Udvaskning nøgletal'!$C$12:$C$60,'Udvaskning nøgletal'!$F$12:$F$60)+Markniveau!Y1419*Markniveau!S1419/100,IF(X1419=3,LOOKUP(K1419,'Udvaskning nøgletal'!$C$12:$C$60,'Udvaskning nøgletal'!G1429:G1477)+Markniveau!Y1419*Markniveau!S1419/100,"")))</f>
        <v>57.459627714581003</v>
      </c>
      <c r="AA1419" s="10">
        <f t="shared" si="226"/>
        <v>622.28776814891228</v>
      </c>
      <c r="AB1419" s="10" t="str">
        <f t="shared" si="225"/>
        <v/>
      </c>
      <c r="AC1419" s="10" t="str">
        <f t="shared" si="227"/>
        <v/>
      </c>
      <c r="AD1419" s="10">
        <f>IF(AND(Q1419&gt;0,Q1419&lt;30,K1419&lt;8),Markniveau!Z1419*'Udvaskning nøgletal'!$I$12/100,IF(AND(Q1419&gt;0,Q1419&lt;30,K1419=216),Markniveau!Z1419*'Udvaskning nøgletal'!$I$34/100,Markniveau!Z1419))</f>
        <v>57.459627714581003</v>
      </c>
      <c r="AE1419" s="10">
        <f t="shared" si="223"/>
        <v>622.28776814891228</v>
      </c>
      <c r="AF1419" s="10" t="str">
        <f t="shared" si="228"/>
        <v/>
      </c>
      <c r="AG1419" s="10" t="str">
        <f t="shared" si="224"/>
        <v/>
      </c>
      <c r="AH1419" s="10" t="str">
        <f>IF(AND(Q1419&gt;0,Q1419&lt;30,K1419=216),'Udvaskning nøgletal'!$C$42,IF(AND(Q1419&gt;0,Q1419&lt;30,K1419&gt;7,K1419&lt;17),'Udvaskning nøgletal'!$C$61,IF(AND(Q1419&gt;0,Q1419&lt;30,K1419&lt;7),'Udvaskning nøgletal'!$C$62,"")))</f>
        <v/>
      </c>
      <c r="AI1419" s="10">
        <f t="shared" si="230"/>
        <v>1</v>
      </c>
      <c r="AJ1419" s="10">
        <f>IF($X1419=1,LOOKUP(AI1419,'Udvaskning nøgletal'!$C$12:$C$62,'Udvaskning nøgletal'!$E$12:$E$62)+Markniveau!$Y1419*Markniveau!$S1419/100,IF($X1419=2,LOOKUP(AI1419,'Udvaskning nøgletal'!$C$12:$C$62,'Udvaskning nøgletal'!$F$12:$F$62)+Markniveau!$Y1419*Markniveau!$S1419/100,IF($X1419=3,LOOKUP(AI1419,'Udvaskning nøgletal'!$C$12:$C$62,'Udvaskning nøgletal'!Q1429:Q1479)+Markniveau!$Y1419*Markniveau!$S1419/100,"")))</f>
        <v>57.459627714581003</v>
      </c>
      <c r="AK1419" s="10">
        <f t="shared" si="229"/>
        <v>622.28776814891228</v>
      </c>
      <c r="AL1419" s="10" t="str">
        <f t="shared" ref="AL1419:AL1482" si="231">IF($Q1419&gt;0,(100-$Q1419)*AJ1419/100,"")</f>
        <v/>
      </c>
      <c r="AM1419" s="10" t="str">
        <f t="shared" ref="AM1419:AM1482" si="232">IF($Q1419&gt;0,(100-$Q1419)*AJ1419/100*I1419,"")</f>
        <v/>
      </c>
    </row>
    <row r="1420" spans="1:39" x14ac:dyDescent="0.25">
      <c r="A1420" s="15">
        <v>65255618</v>
      </c>
      <c r="B1420" s="15">
        <v>12.78</v>
      </c>
      <c r="C1420" s="15">
        <v>234388</v>
      </c>
      <c r="D1420" s="15">
        <v>18245</v>
      </c>
      <c r="E1420" s="15" t="s">
        <v>679</v>
      </c>
      <c r="F1420" s="15">
        <v>2011</v>
      </c>
      <c r="G1420" s="15">
        <v>20110418</v>
      </c>
      <c r="H1420" s="15">
        <v>33260</v>
      </c>
      <c r="I1420" s="15">
        <v>3.33</v>
      </c>
      <c r="J1420" s="6" t="s">
        <v>1455</v>
      </c>
      <c r="K1420" s="15">
        <v>1</v>
      </c>
      <c r="L1420" s="15" t="s">
        <v>32</v>
      </c>
      <c r="M1420" s="15" t="s">
        <v>5</v>
      </c>
      <c r="N1420" s="11" t="s">
        <v>1384</v>
      </c>
      <c r="O1420" s="11" t="s">
        <v>28</v>
      </c>
      <c r="P1420" s="11" t="s">
        <v>33</v>
      </c>
      <c r="Q1420" s="15">
        <v>0</v>
      </c>
      <c r="R1420" s="11" t="s">
        <v>1386</v>
      </c>
      <c r="S1420" s="10">
        <v>131.59255429161999</v>
      </c>
      <c r="T1420" s="15">
        <v>80</v>
      </c>
      <c r="U1420" s="15">
        <v>0</v>
      </c>
      <c r="V1420" s="15">
        <v>0</v>
      </c>
      <c r="W1420" s="15">
        <v>0</v>
      </c>
      <c r="X1420" s="15">
        <f>IF(O1420='Udvaskning nøgletal'!$D$65,1,IF(O1420='Udvaskning nøgletal'!$D$66,2,IF(O1420='Udvaskning nøgletal'!$D$67,3,IF(O1420='Udvaskning nøgletal'!$D$68,2,""))))</f>
        <v>1</v>
      </c>
      <c r="Y1420" s="15">
        <f>LOOKUP(K1420,'Udvaskning nøgletal'!$C$12:$C$60,'Udvaskning nøgletal'!$H$12:$H$60)</f>
        <v>5</v>
      </c>
      <c r="Z1420" s="10">
        <f>IF(X1420=1,LOOKUP(K1420,'Udvaskning nøgletal'!$C$12:$C$60,'Udvaskning nøgletal'!$E$12:$E$60)+Markniveau!Y1420*Markniveau!S1420/100,IF(X1420=2,LOOKUP(K1420,'Udvaskning nøgletal'!$C$12:$C$60,'Udvaskning nøgletal'!$F$12:$F$60)+Markniveau!Y1420*Markniveau!S1420/100,IF(X1420=3,LOOKUP(K1420,'Udvaskning nøgletal'!$C$12:$C$60,'Udvaskning nøgletal'!G1430:G1478)+Markniveau!Y1420*Markniveau!S1420/100,"")))</f>
        <v>71.23962771458099</v>
      </c>
      <c r="AA1420" s="10">
        <f t="shared" si="226"/>
        <v>237.22796028955472</v>
      </c>
      <c r="AB1420" s="10" t="str">
        <f t="shared" si="225"/>
        <v/>
      </c>
      <c r="AC1420" s="10" t="str">
        <f t="shared" si="227"/>
        <v/>
      </c>
      <c r="AD1420" s="10">
        <f>IF(AND(Q1420&gt;0,Q1420&lt;30,K1420&lt;8),Markniveau!Z1420*'Udvaskning nøgletal'!$I$12/100,IF(AND(Q1420&gt;0,Q1420&lt;30,K1420=216),Markniveau!Z1420*'Udvaskning nøgletal'!$I$34/100,Markniveau!Z1420))</f>
        <v>71.23962771458099</v>
      </c>
      <c r="AE1420" s="10">
        <f t="shared" si="223"/>
        <v>237.22796028955472</v>
      </c>
      <c r="AF1420" s="10" t="str">
        <f t="shared" si="228"/>
        <v/>
      </c>
      <c r="AG1420" s="10" t="str">
        <f t="shared" si="224"/>
        <v/>
      </c>
      <c r="AH1420" s="10" t="str">
        <f>IF(AND(Q1420&gt;0,Q1420&lt;30,K1420=216),'Udvaskning nøgletal'!$C$42,IF(AND(Q1420&gt;0,Q1420&lt;30,K1420&gt;7,K1420&lt;17),'Udvaskning nøgletal'!$C$61,IF(AND(Q1420&gt;0,Q1420&lt;30,K1420&lt;7),'Udvaskning nøgletal'!$C$62,"")))</f>
        <v/>
      </c>
      <c r="AI1420" s="10">
        <f t="shared" si="230"/>
        <v>1</v>
      </c>
      <c r="AJ1420" s="10">
        <f>IF($X1420=1,LOOKUP(AI1420,'Udvaskning nøgletal'!$C$12:$C$62,'Udvaskning nøgletal'!$E$12:$E$62)+Markniveau!$Y1420*Markniveau!$S1420/100,IF($X1420=2,LOOKUP(AI1420,'Udvaskning nøgletal'!$C$12:$C$62,'Udvaskning nøgletal'!$F$12:$F$62)+Markniveau!$Y1420*Markniveau!$S1420/100,IF($X1420=3,LOOKUP(AI1420,'Udvaskning nøgletal'!$C$12:$C$62,'Udvaskning nøgletal'!Q1430:Q1480)+Markniveau!$Y1420*Markniveau!$S1420/100,"")))</f>
        <v>71.23962771458099</v>
      </c>
      <c r="AK1420" s="10">
        <f t="shared" si="229"/>
        <v>237.22796028955472</v>
      </c>
      <c r="AL1420" s="10" t="str">
        <f t="shared" si="231"/>
        <v/>
      </c>
      <c r="AM1420" s="10" t="str">
        <f t="shared" si="232"/>
        <v/>
      </c>
    </row>
    <row r="1421" spans="1:39" x14ac:dyDescent="0.25">
      <c r="A1421" s="15">
        <v>65255618</v>
      </c>
      <c r="B1421" s="15">
        <v>12.78</v>
      </c>
      <c r="C1421" s="15">
        <v>234389</v>
      </c>
      <c r="D1421" s="15">
        <v>18245</v>
      </c>
      <c r="E1421" s="15" t="s">
        <v>680</v>
      </c>
      <c r="F1421" s="15">
        <v>2011</v>
      </c>
      <c r="G1421" s="15">
        <v>20110418</v>
      </c>
      <c r="H1421" s="15">
        <v>127777</v>
      </c>
      <c r="I1421" s="15">
        <v>12.78</v>
      </c>
      <c r="J1421" s="6" t="s">
        <v>61</v>
      </c>
      <c r="K1421" s="15">
        <v>3</v>
      </c>
      <c r="L1421" s="15" t="s">
        <v>114</v>
      </c>
      <c r="M1421" s="15" t="s">
        <v>5</v>
      </c>
      <c r="N1421" s="11" t="s">
        <v>1384</v>
      </c>
      <c r="O1421" s="11" t="s">
        <v>28</v>
      </c>
      <c r="P1421" s="11" t="s">
        <v>29</v>
      </c>
      <c r="Q1421" s="15">
        <v>0</v>
      </c>
      <c r="R1421" s="11" t="s">
        <v>1386</v>
      </c>
      <c r="S1421" s="10">
        <v>131.59255429161999</v>
      </c>
      <c r="T1421" s="15">
        <v>80</v>
      </c>
      <c r="U1421" s="15">
        <v>0</v>
      </c>
      <c r="V1421" s="15">
        <v>0</v>
      </c>
      <c r="W1421" s="15">
        <v>0</v>
      </c>
      <c r="X1421" s="15">
        <f>IF(O1421='Udvaskning nøgletal'!$D$65,1,IF(O1421='Udvaskning nøgletal'!$D$66,2,IF(O1421='Udvaskning nøgletal'!$D$67,3,IF(O1421='Udvaskning nøgletal'!$D$68,2,""))))</f>
        <v>1</v>
      </c>
      <c r="Y1421" s="15">
        <f>LOOKUP(K1421,'Udvaskning nøgletal'!$C$12:$C$60,'Udvaskning nøgletal'!$H$12:$H$60)</f>
        <v>5</v>
      </c>
      <c r="Z1421" s="10">
        <f>IF(X1421=1,LOOKUP(K1421,'Udvaskning nøgletal'!$C$12:$C$60,'Udvaskning nøgletal'!$E$12:$E$60)+Markniveau!Y1421*Markniveau!S1421/100,IF(X1421=2,LOOKUP(K1421,'Udvaskning nøgletal'!$C$12:$C$60,'Udvaskning nøgletal'!$F$12:$F$60)+Markniveau!Y1421*Markniveau!S1421/100,IF(X1421=3,LOOKUP(K1421,'Udvaskning nøgletal'!$C$12:$C$60,'Udvaskning nøgletal'!G1431:G1479)+Markniveau!Y1421*Markniveau!S1421/100,"")))</f>
        <v>71.23962771458099</v>
      </c>
      <c r="AA1421" s="10">
        <f t="shared" si="226"/>
        <v>910.44244219234497</v>
      </c>
      <c r="AB1421" s="10" t="str">
        <f t="shared" si="225"/>
        <v/>
      </c>
      <c r="AC1421" s="10" t="str">
        <f t="shared" si="227"/>
        <v/>
      </c>
      <c r="AD1421" s="10">
        <f>IF(AND(Q1421&gt;0,Q1421&lt;30,K1421&lt;8),Markniveau!Z1421*'Udvaskning nøgletal'!$I$12/100,IF(AND(Q1421&gt;0,Q1421&lt;30,K1421=216),Markniveau!Z1421*'Udvaskning nøgletal'!$I$34/100,Markniveau!Z1421))</f>
        <v>71.23962771458099</v>
      </c>
      <c r="AE1421" s="10">
        <f t="shared" si="223"/>
        <v>910.44244219234497</v>
      </c>
      <c r="AF1421" s="10" t="str">
        <f t="shared" si="228"/>
        <v/>
      </c>
      <c r="AG1421" s="10" t="str">
        <f t="shared" si="224"/>
        <v/>
      </c>
      <c r="AH1421" s="10" t="str">
        <f>IF(AND(Q1421&gt;0,Q1421&lt;30,K1421=216),'Udvaskning nøgletal'!$C$42,IF(AND(Q1421&gt;0,Q1421&lt;30,K1421&gt;7,K1421&lt;17),'Udvaskning nøgletal'!$C$61,IF(AND(Q1421&gt;0,Q1421&lt;30,K1421&lt;7),'Udvaskning nøgletal'!$C$62,"")))</f>
        <v/>
      </c>
      <c r="AI1421" s="10">
        <f t="shared" si="230"/>
        <v>3</v>
      </c>
      <c r="AJ1421" s="10">
        <f>IF($X1421=1,LOOKUP(AI1421,'Udvaskning nøgletal'!$C$12:$C$62,'Udvaskning nøgletal'!$E$12:$E$62)+Markniveau!$Y1421*Markniveau!$S1421/100,IF($X1421=2,LOOKUP(AI1421,'Udvaskning nøgletal'!$C$12:$C$62,'Udvaskning nøgletal'!$F$12:$F$62)+Markniveau!$Y1421*Markniveau!$S1421/100,IF($X1421=3,LOOKUP(AI1421,'Udvaskning nøgletal'!$C$12:$C$62,'Udvaskning nøgletal'!Q1431:Q1481)+Markniveau!$Y1421*Markniveau!$S1421/100,"")))</f>
        <v>71.23962771458099</v>
      </c>
      <c r="AK1421" s="10">
        <f t="shared" si="229"/>
        <v>910.44244219234497</v>
      </c>
      <c r="AL1421" s="10" t="str">
        <f t="shared" si="231"/>
        <v/>
      </c>
      <c r="AM1421" s="10" t="str">
        <f t="shared" si="232"/>
        <v/>
      </c>
    </row>
    <row r="1422" spans="1:39" x14ac:dyDescent="0.25">
      <c r="A1422" s="15">
        <v>72101928</v>
      </c>
      <c r="B1422" s="15">
        <v>14.55</v>
      </c>
      <c r="C1422" s="15">
        <v>344236</v>
      </c>
      <c r="D1422" s="15">
        <v>80335</v>
      </c>
      <c r="E1422" s="15" t="s">
        <v>216</v>
      </c>
      <c r="F1422" s="15">
        <v>2011</v>
      </c>
      <c r="G1422" s="15">
        <v>20110210</v>
      </c>
      <c r="H1422" s="15">
        <v>4862</v>
      </c>
      <c r="I1422" s="15">
        <v>0.49</v>
      </c>
      <c r="J1422" s="6" t="s">
        <v>1188</v>
      </c>
      <c r="K1422" s="15">
        <v>264</v>
      </c>
      <c r="L1422" s="15" t="s">
        <v>207</v>
      </c>
      <c r="M1422" s="15" t="s">
        <v>4</v>
      </c>
      <c r="N1422" s="11" t="s">
        <v>1384</v>
      </c>
      <c r="O1422" s="11" t="s">
        <v>28</v>
      </c>
      <c r="P1422" s="11" t="s">
        <v>33</v>
      </c>
      <c r="Q1422" s="15">
        <v>25</v>
      </c>
      <c r="R1422" s="11" t="s">
        <v>7</v>
      </c>
      <c r="S1422" s="10">
        <v>66.773407587886993</v>
      </c>
      <c r="T1422" s="15">
        <v>80</v>
      </c>
      <c r="U1422" s="15">
        <v>0</v>
      </c>
      <c r="V1422" s="15">
        <v>0</v>
      </c>
      <c r="W1422" s="15">
        <v>0</v>
      </c>
      <c r="X1422" s="15">
        <f>IF(O1422='Udvaskning nøgletal'!$D$65,1,IF(O1422='Udvaskning nøgletal'!$D$66,2,IF(O1422='Udvaskning nøgletal'!$D$67,3,IF(O1422='Udvaskning nøgletal'!$D$68,2,""))))</f>
        <v>1</v>
      </c>
      <c r="Y1422" s="15">
        <f>LOOKUP(K1422,'Udvaskning nøgletal'!$C$12:$C$60,'Udvaskning nøgletal'!$H$12:$H$60)</f>
        <v>0</v>
      </c>
      <c r="Z1422" s="10">
        <f>IF(X1422=1,LOOKUP(K1422,'Udvaskning nøgletal'!$C$12:$C$60,'Udvaskning nøgletal'!$E$12:$E$60)+Markniveau!Y1422*Markniveau!S1422/100,IF(X1422=2,LOOKUP(K1422,'Udvaskning nøgletal'!$C$12:$C$60,'Udvaskning nøgletal'!$F$12:$F$60)+Markniveau!Y1422*Markniveau!S1422/100,IF(X1422=3,LOOKUP(K1422,'Udvaskning nøgletal'!$C$12:$C$60,'Udvaskning nøgletal'!G1432:G1480)+Markniveau!Y1422*Markniveau!S1422/100,"")))</f>
        <v>10.6</v>
      </c>
      <c r="AA1422" s="10">
        <f t="shared" si="226"/>
        <v>5.194</v>
      </c>
      <c r="AB1422" s="10">
        <f t="shared" si="225"/>
        <v>7.95</v>
      </c>
      <c r="AC1422" s="10">
        <f t="shared" si="227"/>
        <v>3.8955000000000002</v>
      </c>
      <c r="AD1422" s="10">
        <f>IF(AND(Q1422&gt;0,Q1422&lt;30,K1422&lt;8),Markniveau!Z1422*'Udvaskning nøgletal'!$I$12/100,IF(AND(Q1422&gt;0,Q1422&lt;30,K1422=216),Markniveau!Z1422*'Udvaskning nøgletal'!$I$34/100,Markniveau!Z1422))</f>
        <v>10.6</v>
      </c>
      <c r="AE1422" s="10">
        <f t="shared" si="223"/>
        <v>5.194</v>
      </c>
      <c r="AF1422" s="10">
        <f t="shared" si="228"/>
        <v>7.95</v>
      </c>
      <c r="AG1422" s="10">
        <f t="shared" si="224"/>
        <v>3.8955000000000002</v>
      </c>
      <c r="AH1422" s="10" t="str">
        <f>IF(AND(Q1422&gt;0,Q1422&lt;30,K1422=216),'Udvaskning nøgletal'!$C$42,IF(AND(Q1422&gt;0,Q1422&lt;30,K1422&gt;7,K1422&lt;17),'Udvaskning nøgletal'!$C$61,IF(AND(Q1422&gt;0,Q1422&lt;30,K1422&lt;7),'Udvaskning nøgletal'!$C$62,"")))</f>
        <v/>
      </c>
      <c r="AI1422" s="10">
        <f t="shared" si="230"/>
        <v>264</v>
      </c>
      <c r="AJ1422" s="10">
        <f>IF($X1422=1,LOOKUP(AI1422,'Udvaskning nøgletal'!$C$12:$C$62,'Udvaskning nøgletal'!$E$12:$E$62)+Markniveau!$Y1422*Markniveau!$S1422/100,IF($X1422=2,LOOKUP(AI1422,'Udvaskning nøgletal'!$C$12:$C$62,'Udvaskning nøgletal'!$F$12:$F$62)+Markniveau!$Y1422*Markniveau!$S1422/100,IF($X1422=3,LOOKUP(AI1422,'Udvaskning nøgletal'!$C$12:$C$62,'Udvaskning nøgletal'!Q1432:Q1482)+Markniveau!$Y1422*Markniveau!$S1422/100,"")))</f>
        <v>10.6</v>
      </c>
      <c r="AK1422" s="10">
        <f t="shared" si="229"/>
        <v>5.194</v>
      </c>
      <c r="AL1422" s="10">
        <f t="shared" si="231"/>
        <v>7.95</v>
      </c>
      <c r="AM1422" s="10">
        <f t="shared" si="232"/>
        <v>3.8955000000000002</v>
      </c>
    </row>
    <row r="1423" spans="1:39" x14ac:dyDescent="0.25">
      <c r="A1423" s="15">
        <v>72101928</v>
      </c>
      <c r="B1423" s="15">
        <v>14.55</v>
      </c>
      <c r="C1423" s="15">
        <v>344307</v>
      </c>
      <c r="D1423" s="15">
        <v>80335</v>
      </c>
      <c r="E1423" s="15" t="s">
        <v>216</v>
      </c>
      <c r="F1423" s="15">
        <v>2011</v>
      </c>
      <c r="G1423" s="15">
        <v>20110210</v>
      </c>
      <c r="H1423" s="15">
        <v>141844</v>
      </c>
      <c r="I1423" s="15">
        <v>14.18</v>
      </c>
      <c r="J1423" s="6" t="s">
        <v>63</v>
      </c>
      <c r="K1423" s="15">
        <v>11</v>
      </c>
      <c r="L1423" s="15" t="s">
        <v>102</v>
      </c>
      <c r="M1423" s="15" t="s">
        <v>5</v>
      </c>
      <c r="N1423" s="11" t="s">
        <v>1384</v>
      </c>
      <c r="O1423" s="11" t="s">
        <v>28</v>
      </c>
      <c r="P1423" s="11" t="s">
        <v>33</v>
      </c>
      <c r="Q1423" s="15">
        <v>25</v>
      </c>
      <c r="R1423" s="11" t="s">
        <v>7</v>
      </c>
      <c r="S1423" s="10">
        <v>66.773407587886993</v>
      </c>
      <c r="T1423" s="15">
        <v>80</v>
      </c>
      <c r="U1423" s="15">
        <v>0</v>
      </c>
      <c r="V1423" s="15">
        <v>0</v>
      </c>
      <c r="W1423" s="15">
        <v>0</v>
      </c>
      <c r="X1423" s="15">
        <f>IF(O1423='Udvaskning nøgletal'!$D$65,1,IF(O1423='Udvaskning nøgletal'!$D$66,2,IF(O1423='Udvaskning nøgletal'!$D$67,3,IF(O1423='Udvaskning nøgletal'!$D$68,2,""))))</f>
        <v>1</v>
      </c>
      <c r="Y1423" s="15">
        <f>LOOKUP(K1423,'Udvaskning nøgletal'!$C$12:$C$60,'Udvaskning nøgletal'!$H$12:$H$60)</f>
        <v>5</v>
      </c>
      <c r="Z1423" s="10">
        <f>IF(X1423=1,LOOKUP(K1423,'Udvaskning nøgletal'!$C$12:$C$60,'Udvaskning nøgletal'!$E$12:$E$60)+Markniveau!Y1423*Markniveau!S1423/100,IF(X1423=2,LOOKUP(K1423,'Udvaskning nøgletal'!$C$12:$C$60,'Udvaskning nøgletal'!$F$12:$F$60)+Markniveau!Y1423*Markniveau!S1423/100,IF(X1423=3,LOOKUP(K1423,'Udvaskning nøgletal'!$C$12:$C$60,'Udvaskning nøgletal'!G1433:G1481)+Markniveau!Y1423*Markniveau!S1423/100,"")))</f>
        <v>67.998670379394341</v>
      </c>
      <c r="AA1423" s="10">
        <f t="shared" si="226"/>
        <v>964.22114597981169</v>
      </c>
      <c r="AB1423" s="10">
        <f t="shared" si="225"/>
        <v>50.999002784545752</v>
      </c>
      <c r="AC1423" s="10">
        <f t="shared" si="227"/>
        <v>723.16585948485874</v>
      </c>
      <c r="AD1423" s="10">
        <f>IF(AND(Q1423&gt;0,Q1423&lt;30,K1423&lt;8),Markniveau!Z1423*'Udvaskning nøgletal'!$I$12/100,IF(AND(Q1423&gt;0,Q1423&lt;30,K1423=216),Markniveau!Z1423*'Udvaskning nøgletal'!$I$34/100,Markniveau!Z1423))</f>
        <v>67.998670379394341</v>
      </c>
      <c r="AE1423" s="10">
        <f t="shared" si="223"/>
        <v>964.22114597981169</v>
      </c>
      <c r="AF1423" s="10">
        <f t="shared" si="228"/>
        <v>50.999002784545752</v>
      </c>
      <c r="AG1423" s="10">
        <f t="shared" si="224"/>
        <v>723.16585948485874</v>
      </c>
      <c r="AH1423" s="10">
        <f>IF(AND(Q1423&gt;0,Q1423&lt;30,K1423=216),'Udvaskning nøgletal'!$C$42,IF(AND(Q1423&gt;0,Q1423&lt;30,K1423&gt;7,K1423&lt;17),'Udvaskning nøgletal'!$C$61,IF(AND(Q1423&gt;0,Q1423&lt;30,K1423&lt;7),'Udvaskning nøgletal'!$C$62,"")))</f>
        <v>1001</v>
      </c>
      <c r="AI1423" s="10">
        <f t="shared" si="230"/>
        <v>1001</v>
      </c>
      <c r="AJ1423" s="10">
        <f>IF($X1423=1,LOOKUP(AI1423,'Udvaskning nøgletal'!$C$12:$C$62,'Udvaskning nøgletal'!$E$12:$E$62)+Markniveau!$Y1423*Markniveau!$S1423/100,IF($X1423=2,LOOKUP(AI1423,'Udvaskning nøgletal'!$C$12:$C$62,'Udvaskning nøgletal'!$F$12:$F$62)+Markniveau!$Y1423*Markniveau!$S1423/100,IF($X1423=3,LOOKUP(AI1423,'Udvaskning nøgletal'!$C$12:$C$62,'Udvaskning nøgletal'!Q1433:Q1483)+Markniveau!$Y1423*Markniveau!$S1423/100,"")))</f>
        <v>33.838670379394351</v>
      </c>
      <c r="AK1423" s="10">
        <f t="shared" si="229"/>
        <v>479.83234597981186</v>
      </c>
      <c r="AL1423" s="10">
        <f t="shared" si="231"/>
        <v>25.379002784545765</v>
      </c>
      <c r="AM1423" s="10">
        <f t="shared" si="232"/>
        <v>359.87425948485895</v>
      </c>
    </row>
    <row r="1424" spans="1:39" x14ac:dyDescent="0.25">
      <c r="A1424" s="15">
        <v>72101928</v>
      </c>
      <c r="B1424" s="15">
        <v>14.55</v>
      </c>
      <c r="C1424" s="15">
        <v>344744</v>
      </c>
      <c r="D1424" s="15">
        <v>80335</v>
      </c>
      <c r="E1424" s="15" t="s">
        <v>216</v>
      </c>
      <c r="F1424" s="15">
        <v>2011</v>
      </c>
      <c r="G1424" s="15">
        <v>20110210</v>
      </c>
      <c r="H1424" s="15">
        <v>35092</v>
      </c>
      <c r="I1424" s="15">
        <v>3.51</v>
      </c>
      <c r="J1424" s="6" t="s">
        <v>76</v>
      </c>
      <c r="K1424" s="15">
        <v>11</v>
      </c>
      <c r="L1424" s="15" t="s">
        <v>102</v>
      </c>
      <c r="M1424" s="15" t="s">
        <v>5</v>
      </c>
      <c r="N1424" s="11" t="s">
        <v>1384</v>
      </c>
      <c r="O1424" s="11" t="s">
        <v>28</v>
      </c>
      <c r="P1424" s="11" t="s">
        <v>29</v>
      </c>
      <c r="Q1424" s="15">
        <v>25</v>
      </c>
      <c r="R1424" s="11" t="s">
        <v>7</v>
      </c>
      <c r="S1424" s="10">
        <v>66.773407587886993</v>
      </c>
      <c r="T1424" s="15">
        <v>80</v>
      </c>
      <c r="U1424" s="15">
        <v>0</v>
      </c>
      <c r="V1424" s="15">
        <v>0</v>
      </c>
      <c r="W1424" s="15">
        <v>0</v>
      </c>
      <c r="X1424" s="15">
        <f>IF(O1424='Udvaskning nøgletal'!$D$65,1,IF(O1424='Udvaskning nøgletal'!$D$66,2,IF(O1424='Udvaskning nøgletal'!$D$67,3,IF(O1424='Udvaskning nøgletal'!$D$68,2,""))))</f>
        <v>1</v>
      </c>
      <c r="Y1424" s="15">
        <f>LOOKUP(K1424,'Udvaskning nøgletal'!$C$12:$C$60,'Udvaskning nøgletal'!$H$12:$H$60)</f>
        <v>5</v>
      </c>
      <c r="Z1424" s="10">
        <f>IF(X1424=1,LOOKUP(K1424,'Udvaskning nøgletal'!$C$12:$C$60,'Udvaskning nøgletal'!$E$12:$E$60)+Markniveau!Y1424*Markniveau!S1424/100,IF(X1424=2,LOOKUP(K1424,'Udvaskning nøgletal'!$C$12:$C$60,'Udvaskning nøgletal'!$F$12:$F$60)+Markniveau!Y1424*Markniveau!S1424/100,IF(X1424=3,LOOKUP(K1424,'Udvaskning nøgletal'!$C$12:$C$60,'Udvaskning nøgletal'!G1434:G1482)+Markniveau!Y1424*Markniveau!S1424/100,"")))</f>
        <v>67.998670379394341</v>
      </c>
      <c r="AA1424" s="10">
        <f t="shared" si="226"/>
        <v>238.67533303167411</v>
      </c>
      <c r="AB1424" s="10">
        <f t="shared" si="225"/>
        <v>50.999002784545752</v>
      </c>
      <c r="AC1424" s="10">
        <f t="shared" si="227"/>
        <v>179.00649977375556</v>
      </c>
      <c r="AD1424" s="10">
        <f>IF(AND(Q1424&gt;0,Q1424&lt;30,K1424&lt;8),Markniveau!Z1424*'Udvaskning nøgletal'!$I$12/100,IF(AND(Q1424&gt;0,Q1424&lt;30,K1424=216),Markniveau!Z1424*'Udvaskning nøgletal'!$I$34/100,Markniveau!Z1424))</f>
        <v>67.998670379394341</v>
      </c>
      <c r="AE1424" s="10">
        <f t="shared" si="223"/>
        <v>238.67533303167411</v>
      </c>
      <c r="AF1424" s="10">
        <f t="shared" si="228"/>
        <v>50.999002784545752</v>
      </c>
      <c r="AG1424" s="10">
        <f t="shared" si="224"/>
        <v>179.00649977375556</v>
      </c>
      <c r="AH1424" s="10">
        <f>IF(AND(Q1424&gt;0,Q1424&lt;30,K1424=216),'Udvaskning nøgletal'!$C$42,IF(AND(Q1424&gt;0,Q1424&lt;30,K1424&gt;7,K1424&lt;17),'Udvaskning nøgletal'!$C$61,IF(AND(Q1424&gt;0,Q1424&lt;30,K1424&lt;7),'Udvaskning nøgletal'!$C$62,"")))</f>
        <v>1001</v>
      </c>
      <c r="AI1424" s="10">
        <f t="shared" si="230"/>
        <v>1001</v>
      </c>
      <c r="AJ1424" s="10">
        <f>IF($X1424=1,LOOKUP(AI1424,'Udvaskning nøgletal'!$C$12:$C$62,'Udvaskning nøgletal'!$E$12:$E$62)+Markniveau!$Y1424*Markniveau!$S1424/100,IF($X1424=2,LOOKUP(AI1424,'Udvaskning nøgletal'!$C$12:$C$62,'Udvaskning nøgletal'!$F$12:$F$62)+Markniveau!$Y1424*Markniveau!$S1424/100,IF($X1424=3,LOOKUP(AI1424,'Udvaskning nøgletal'!$C$12:$C$62,'Udvaskning nøgletal'!Q1434:Q1484)+Markniveau!$Y1424*Markniveau!$S1424/100,"")))</f>
        <v>33.838670379394351</v>
      </c>
      <c r="AK1424" s="10">
        <f t="shared" si="229"/>
        <v>118.77373303167417</v>
      </c>
      <c r="AL1424" s="10">
        <f t="shared" si="231"/>
        <v>25.379002784545765</v>
      </c>
      <c r="AM1424" s="10">
        <f t="shared" si="232"/>
        <v>89.080299773755627</v>
      </c>
    </row>
    <row r="1425" spans="1:39" x14ac:dyDescent="0.25">
      <c r="A1425" s="15">
        <v>72101928</v>
      </c>
      <c r="B1425" s="15">
        <v>14.55</v>
      </c>
      <c r="C1425" s="15">
        <v>344745</v>
      </c>
      <c r="D1425" s="15">
        <v>80335</v>
      </c>
      <c r="E1425" s="15" t="s">
        <v>216</v>
      </c>
      <c r="F1425" s="15">
        <v>2011</v>
      </c>
      <c r="G1425" s="15">
        <v>20110210</v>
      </c>
      <c r="H1425" s="15">
        <v>53752</v>
      </c>
      <c r="I1425" s="15">
        <v>5.38</v>
      </c>
      <c r="J1425" s="6" t="s">
        <v>134</v>
      </c>
      <c r="K1425" s="15">
        <v>11</v>
      </c>
      <c r="L1425" s="15" t="s">
        <v>102</v>
      </c>
      <c r="M1425" s="15" t="s">
        <v>5</v>
      </c>
      <c r="N1425" s="11" t="s">
        <v>1384</v>
      </c>
      <c r="O1425" s="11" t="s">
        <v>28</v>
      </c>
      <c r="P1425" s="11" t="s">
        <v>29</v>
      </c>
      <c r="Q1425" s="15">
        <v>95</v>
      </c>
      <c r="R1425" s="11" t="s">
        <v>3</v>
      </c>
      <c r="S1425" s="10">
        <v>66.773407587886993</v>
      </c>
      <c r="T1425" s="15">
        <v>80</v>
      </c>
      <c r="U1425" s="15">
        <v>0</v>
      </c>
      <c r="V1425" s="15">
        <v>0</v>
      </c>
      <c r="W1425" s="15">
        <v>0</v>
      </c>
      <c r="X1425" s="15">
        <f>IF(O1425='Udvaskning nøgletal'!$D$65,1,IF(O1425='Udvaskning nøgletal'!$D$66,2,IF(O1425='Udvaskning nøgletal'!$D$67,3,IF(O1425='Udvaskning nøgletal'!$D$68,2,""))))</f>
        <v>1</v>
      </c>
      <c r="Y1425" s="15">
        <f>LOOKUP(K1425,'Udvaskning nøgletal'!$C$12:$C$60,'Udvaskning nøgletal'!$H$12:$H$60)</f>
        <v>5</v>
      </c>
      <c r="Z1425" s="10">
        <f>IF(X1425=1,LOOKUP(K1425,'Udvaskning nøgletal'!$C$12:$C$60,'Udvaskning nøgletal'!$E$12:$E$60)+Markniveau!Y1425*Markniveau!S1425/100,IF(X1425=2,LOOKUP(K1425,'Udvaskning nøgletal'!$C$12:$C$60,'Udvaskning nøgletal'!$F$12:$F$60)+Markniveau!Y1425*Markniveau!S1425/100,IF(X1425=3,LOOKUP(K1425,'Udvaskning nøgletal'!$C$12:$C$60,'Udvaskning nøgletal'!G1435:G1483)+Markniveau!Y1425*Markniveau!S1425/100,"")))</f>
        <v>67.998670379394341</v>
      </c>
      <c r="AA1425" s="10">
        <f t="shared" si="226"/>
        <v>365.83284664114154</v>
      </c>
      <c r="AB1425" s="10">
        <f t="shared" si="225"/>
        <v>3.3999335189697173</v>
      </c>
      <c r="AC1425" s="10">
        <f t="shared" si="227"/>
        <v>18.29164233205708</v>
      </c>
      <c r="AD1425" s="10">
        <f>IF(AND(Q1425&gt;0,Q1425&lt;30,K1425&lt;8),Markniveau!Z1425*'Udvaskning nøgletal'!$I$12/100,IF(AND(Q1425&gt;0,Q1425&lt;30,K1425=216),Markniveau!Z1425*'Udvaskning nøgletal'!$I$34/100,Markniveau!Z1425))</f>
        <v>67.998670379394341</v>
      </c>
      <c r="AE1425" s="10">
        <f t="shared" ref="AE1425:AE1488" si="233">AD1425*I1425</f>
        <v>365.83284664114154</v>
      </c>
      <c r="AF1425" s="10">
        <f t="shared" si="228"/>
        <v>3.3999335189697173</v>
      </c>
      <c r="AG1425" s="10">
        <f t="shared" ref="AG1425:AG1488" si="234">IF($Q1425&gt;0,(100-$Q1425)*$AD1425/100*I1425,"")</f>
        <v>18.29164233205708</v>
      </c>
      <c r="AH1425" s="10" t="str">
        <f>IF(AND(Q1425&gt;0,Q1425&lt;30,K1425=216),'Udvaskning nøgletal'!$C$42,IF(AND(Q1425&gt;0,Q1425&lt;30,K1425&gt;7,K1425&lt;17),'Udvaskning nøgletal'!$C$61,IF(AND(Q1425&gt;0,Q1425&lt;30,K1425&lt;7),'Udvaskning nøgletal'!$C$62,"")))</f>
        <v/>
      </c>
      <c r="AI1425" s="10">
        <f t="shared" si="230"/>
        <v>11</v>
      </c>
      <c r="AJ1425" s="10">
        <f>IF($X1425=1,LOOKUP(AI1425,'Udvaskning nøgletal'!$C$12:$C$62,'Udvaskning nøgletal'!$E$12:$E$62)+Markniveau!$Y1425*Markniveau!$S1425/100,IF($X1425=2,LOOKUP(AI1425,'Udvaskning nøgletal'!$C$12:$C$62,'Udvaskning nøgletal'!$F$12:$F$62)+Markniveau!$Y1425*Markniveau!$S1425/100,IF($X1425=3,LOOKUP(AI1425,'Udvaskning nøgletal'!$C$12:$C$62,'Udvaskning nøgletal'!Q1435:Q1485)+Markniveau!$Y1425*Markniveau!$S1425/100,"")))</f>
        <v>67.998670379394341</v>
      </c>
      <c r="AK1425" s="10">
        <f t="shared" si="229"/>
        <v>365.83284664114154</v>
      </c>
      <c r="AL1425" s="10">
        <f t="shared" si="231"/>
        <v>3.3999335189697173</v>
      </c>
      <c r="AM1425" s="10">
        <f t="shared" si="232"/>
        <v>18.29164233205708</v>
      </c>
    </row>
    <row r="1426" spans="1:39" x14ac:dyDescent="0.25">
      <c r="A1426" s="15">
        <v>72101928</v>
      </c>
      <c r="B1426" s="15">
        <v>14.55</v>
      </c>
      <c r="C1426" s="15">
        <v>305438</v>
      </c>
      <c r="D1426" s="15">
        <v>80335</v>
      </c>
      <c r="E1426" s="15" t="s">
        <v>216</v>
      </c>
      <c r="F1426" s="15">
        <v>2011</v>
      </c>
      <c r="G1426" s="15">
        <v>20110210</v>
      </c>
      <c r="H1426" s="15">
        <v>56643</v>
      </c>
      <c r="I1426" s="15">
        <v>5.66</v>
      </c>
      <c r="J1426" s="6" t="s">
        <v>66</v>
      </c>
      <c r="K1426" s="15">
        <v>11</v>
      </c>
      <c r="L1426" s="15" t="s">
        <v>102</v>
      </c>
      <c r="M1426" s="15" t="s">
        <v>5</v>
      </c>
      <c r="N1426" s="11" t="s">
        <v>1384</v>
      </c>
      <c r="O1426" s="11" t="s">
        <v>28</v>
      </c>
      <c r="P1426" s="11" t="s">
        <v>29</v>
      </c>
      <c r="Q1426" s="15">
        <v>95</v>
      </c>
      <c r="R1426" s="11" t="s">
        <v>3</v>
      </c>
      <c r="S1426" s="10">
        <v>66.773407587886993</v>
      </c>
      <c r="T1426" s="15">
        <v>80</v>
      </c>
      <c r="U1426" s="15">
        <v>0</v>
      </c>
      <c r="V1426" s="15">
        <v>0</v>
      </c>
      <c r="W1426" s="15">
        <v>0</v>
      </c>
      <c r="X1426" s="15">
        <f>IF(O1426='Udvaskning nøgletal'!$D$65,1,IF(O1426='Udvaskning nøgletal'!$D$66,2,IF(O1426='Udvaskning nøgletal'!$D$67,3,IF(O1426='Udvaskning nøgletal'!$D$68,2,""))))</f>
        <v>1</v>
      </c>
      <c r="Y1426" s="15">
        <f>LOOKUP(K1426,'Udvaskning nøgletal'!$C$12:$C$60,'Udvaskning nøgletal'!$H$12:$H$60)</f>
        <v>5</v>
      </c>
      <c r="Z1426" s="10">
        <f>IF(X1426=1,LOOKUP(K1426,'Udvaskning nøgletal'!$C$12:$C$60,'Udvaskning nøgletal'!$E$12:$E$60)+Markniveau!Y1426*Markniveau!S1426/100,IF(X1426=2,LOOKUP(K1426,'Udvaskning nøgletal'!$C$12:$C$60,'Udvaskning nøgletal'!$F$12:$F$60)+Markniveau!Y1426*Markniveau!S1426/100,IF(X1426=3,LOOKUP(K1426,'Udvaskning nøgletal'!$C$12:$C$60,'Udvaskning nøgletal'!G1436:G1484)+Markniveau!Y1426*Markniveau!S1426/100,"")))</f>
        <v>67.998670379394341</v>
      </c>
      <c r="AA1426" s="10">
        <f t="shared" si="226"/>
        <v>384.87247434737196</v>
      </c>
      <c r="AB1426" s="10">
        <f t="shared" si="225"/>
        <v>3.3999335189697173</v>
      </c>
      <c r="AC1426" s="10">
        <f t="shared" si="227"/>
        <v>19.2436237173686</v>
      </c>
      <c r="AD1426" s="10">
        <f>IF(AND(Q1426&gt;0,Q1426&lt;30,K1426&lt;8),Markniveau!Z1426*'Udvaskning nøgletal'!$I$12/100,IF(AND(Q1426&gt;0,Q1426&lt;30,K1426=216),Markniveau!Z1426*'Udvaskning nøgletal'!$I$34/100,Markniveau!Z1426))</f>
        <v>67.998670379394341</v>
      </c>
      <c r="AE1426" s="10">
        <f t="shared" si="233"/>
        <v>384.87247434737196</v>
      </c>
      <c r="AF1426" s="10">
        <f t="shared" si="228"/>
        <v>3.3999335189697173</v>
      </c>
      <c r="AG1426" s="10">
        <f t="shared" si="234"/>
        <v>19.2436237173686</v>
      </c>
      <c r="AH1426" s="10" t="str">
        <f>IF(AND(Q1426&gt;0,Q1426&lt;30,K1426=216),'Udvaskning nøgletal'!$C$42,IF(AND(Q1426&gt;0,Q1426&lt;30,K1426&gt;7,K1426&lt;17),'Udvaskning nøgletal'!$C$61,IF(AND(Q1426&gt;0,Q1426&lt;30,K1426&lt;7),'Udvaskning nøgletal'!$C$62,"")))</f>
        <v/>
      </c>
      <c r="AI1426" s="10">
        <f t="shared" si="230"/>
        <v>11</v>
      </c>
      <c r="AJ1426" s="10">
        <f>IF($X1426=1,LOOKUP(AI1426,'Udvaskning nøgletal'!$C$12:$C$62,'Udvaskning nøgletal'!$E$12:$E$62)+Markniveau!$Y1426*Markniveau!$S1426/100,IF($X1426=2,LOOKUP(AI1426,'Udvaskning nøgletal'!$C$12:$C$62,'Udvaskning nøgletal'!$F$12:$F$62)+Markniveau!$Y1426*Markniveau!$S1426/100,IF($X1426=3,LOOKUP(AI1426,'Udvaskning nøgletal'!$C$12:$C$62,'Udvaskning nøgletal'!Q1436:Q1486)+Markniveau!$Y1426*Markniveau!$S1426/100,"")))</f>
        <v>67.998670379394341</v>
      </c>
      <c r="AK1426" s="10">
        <f t="shared" si="229"/>
        <v>384.87247434737196</v>
      </c>
      <c r="AL1426" s="10">
        <f t="shared" si="231"/>
        <v>3.3999335189697173</v>
      </c>
      <c r="AM1426" s="10">
        <f t="shared" si="232"/>
        <v>19.2436237173686</v>
      </c>
    </row>
    <row r="1427" spans="1:39" x14ac:dyDescent="0.25">
      <c r="A1427" s="15">
        <v>72101928</v>
      </c>
      <c r="B1427" s="15">
        <v>14.55</v>
      </c>
      <c r="C1427" s="15">
        <v>342096</v>
      </c>
      <c r="D1427" s="15">
        <v>80335</v>
      </c>
      <c r="E1427" s="15" t="s">
        <v>216</v>
      </c>
      <c r="F1427" s="15">
        <v>2011</v>
      </c>
      <c r="G1427" s="15">
        <v>20110210</v>
      </c>
      <c r="H1427" s="15">
        <v>4803</v>
      </c>
      <c r="I1427" s="15">
        <v>0.48</v>
      </c>
      <c r="J1427" s="6" t="s">
        <v>1205</v>
      </c>
      <c r="K1427" s="15">
        <v>264</v>
      </c>
      <c r="L1427" s="15" t="s">
        <v>207</v>
      </c>
      <c r="M1427" s="15" t="s">
        <v>4</v>
      </c>
      <c r="N1427" s="11" t="s">
        <v>1384</v>
      </c>
      <c r="O1427" s="11" t="s">
        <v>28</v>
      </c>
      <c r="P1427" s="11" t="s">
        <v>33</v>
      </c>
      <c r="Q1427" s="15">
        <v>25</v>
      </c>
      <c r="R1427" s="11" t="s">
        <v>7</v>
      </c>
      <c r="S1427" s="10">
        <v>66.773407587886993</v>
      </c>
      <c r="T1427" s="15">
        <v>80</v>
      </c>
      <c r="U1427" s="15">
        <v>0</v>
      </c>
      <c r="V1427" s="15">
        <v>0</v>
      </c>
      <c r="W1427" s="15">
        <v>0</v>
      </c>
      <c r="X1427" s="15">
        <f>IF(O1427='Udvaskning nøgletal'!$D$65,1,IF(O1427='Udvaskning nøgletal'!$D$66,2,IF(O1427='Udvaskning nøgletal'!$D$67,3,IF(O1427='Udvaskning nøgletal'!$D$68,2,""))))</f>
        <v>1</v>
      </c>
      <c r="Y1427" s="15">
        <f>LOOKUP(K1427,'Udvaskning nøgletal'!$C$12:$C$60,'Udvaskning nøgletal'!$H$12:$H$60)</f>
        <v>0</v>
      </c>
      <c r="Z1427" s="10">
        <f>IF(X1427=1,LOOKUP(K1427,'Udvaskning nøgletal'!$C$12:$C$60,'Udvaskning nøgletal'!$E$12:$E$60)+Markniveau!Y1427*Markniveau!S1427/100,IF(X1427=2,LOOKUP(K1427,'Udvaskning nøgletal'!$C$12:$C$60,'Udvaskning nøgletal'!$F$12:$F$60)+Markniveau!Y1427*Markniveau!S1427/100,IF(X1427=3,LOOKUP(K1427,'Udvaskning nøgletal'!$C$12:$C$60,'Udvaskning nøgletal'!G1437:G1485)+Markniveau!Y1427*Markniveau!S1427/100,"")))</f>
        <v>10.6</v>
      </c>
      <c r="AA1427" s="10">
        <f t="shared" si="226"/>
        <v>5.0880000000000001</v>
      </c>
      <c r="AB1427" s="10">
        <f t="shared" si="225"/>
        <v>7.95</v>
      </c>
      <c r="AC1427" s="10">
        <f t="shared" si="227"/>
        <v>3.8159999999999998</v>
      </c>
      <c r="AD1427" s="10">
        <f>IF(AND(Q1427&gt;0,Q1427&lt;30,K1427&lt;8),Markniveau!Z1427*'Udvaskning nøgletal'!$I$12/100,IF(AND(Q1427&gt;0,Q1427&lt;30,K1427=216),Markniveau!Z1427*'Udvaskning nøgletal'!$I$34/100,Markniveau!Z1427))</f>
        <v>10.6</v>
      </c>
      <c r="AE1427" s="10">
        <f t="shared" si="233"/>
        <v>5.0880000000000001</v>
      </c>
      <c r="AF1427" s="10">
        <f t="shared" si="228"/>
        <v>7.95</v>
      </c>
      <c r="AG1427" s="10">
        <f t="shared" si="234"/>
        <v>3.8159999999999998</v>
      </c>
      <c r="AH1427" s="10" t="str">
        <f>IF(AND(Q1427&gt;0,Q1427&lt;30,K1427=216),'Udvaskning nøgletal'!$C$42,IF(AND(Q1427&gt;0,Q1427&lt;30,K1427&gt;7,K1427&lt;17),'Udvaskning nøgletal'!$C$61,IF(AND(Q1427&gt;0,Q1427&lt;30,K1427&lt;7),'Udvaskning nøgletal'!$C$62,"")))</f>
        <v/>
      </c>
      <c r="AI1427" s="10">
        <f t="shared" si="230"/>
        <v>264</v>
      </c>
      <c r="AJ1427" s="10">
        <f>IF($X1427=1,LOOKUP(AI1427,'Udvaskning nøgletal'!$C$12:$C$62,'Udvaskning nøgletal'!$E$12:$E$62)+Markniveau!$Y1427*Markniveau!$S1427/100,IF($X1427=2,LOOKUP(AI1427,'Udvaskning nøgletal'!$C$12:$C$62,'Udvaskning nøgletal'!$F$12:$F$62)+Markniveau!$Y1427*Markniveau!$S1427/100,IF($X1427=3,LOOKUP(AI1427,'Udvaskning nøgletal'!$C$12:$C$62,'Udvaskning nøgletal'!Q1437:Q1487)+Markniveau!$Y1427*Markniveau!$S1427/100,"")))</f>
        <v>10.6</v>
      </c>
      <c r="AK1427" s="10">
        <f t="shared" si="229"/>
        <v>5.0880000000000001</v>
      </c>
      <c r="AL1427" s="10">
        <f t="shared" si="231"/>
        <v>7.95</v>
      </c>
      <c r="AM1427" s="10">
        <f t="shared" si="232"/>
        <v>3.8159999999999998</v>
      </c>
    </row>
    <row r="1428" spans="1:39" x14ac:dyDescent="0.25">
      <c r="A1428" s="15">
        <v>72112512</v>
      </c>
      <c r="B1428" s="15">
        <v>3.33</v>
      </c>
      <c r="C1428" s="15">
        <v>209069</v>
      </c>
      <c r="D1428" s="15">
        <v>43161</v>
      </c>
      <c r="E1428" s="15" t="s">
        <v>261</v>
      </c>
      <c r="F1428" s="15">
        <v>2011</v>
      </c>
      <c r="G1428" s="15">
        <v>20110416</v>
      </c>
      <c r="H1428" s="15">
        <v>2048</v>
      </c>
      <c r="I1428" s="15">
        <v>0.2</v>
      </c>
      <c r="J1428" s="6" t="s">
        <v>1402</v>
      </c>
      <c r="K1428" s="15">
        <v>263</v>
      </c>
      <c r="L1428" s="15" t="s">
        <v>39</v>
      </c>
      <c r="M1428" s="15" t="s">
        <v>5</v>
      </c>
      <c r="N1428" s="11" t="s">
        <v>1384</v>
      </c>
      <c r="O1428" s="11" t="s">
        <v>28</v>
      </c>
      <c r="P1428" s="11" t="s">
        <v>29</v>
      </c>
      <c r="Q1428" s="15">
        <v>95</v>
      </c>
      <c r="R1428" s="11" t="s">
        <v>3</v>
      </c>
      <c r="S1428" s="10">
        <v>173.74174174173999</v>
      </c>
      <c r="T1428" s="15">
        <v>80</v>
      </c>
      <c r="U1428" s="15">
        <v>0</v>
      </c>
      <c r="V1428" s="15">
        <v>0</v>
      </c>
      <c r="W1428" s="15">
        <v>0</v>
      </c>
      <c r="X1428" s="15">
        <f>IF(O1428='Udvaskning nøgletal'!$D$65,1,IF(O1428='Udvaskning nøgletal'!$D$66,2,IF(O1428='Udvaskning nøgletal'!$D$67,3,IF(O1428='Udvaskning nøgletal'!$D$68,2,""))))</f>
        <v>1</v>
      </c>
      <c r="Y1428" s="15">
        <f>LOOKUP(K1428,'Udvaskning nøgletal'!$C$12:$C$60,'Udvaskning nøgletal'!$H$12:$H$60)</f>
        <v>0</v>
      </c>
      <c r="Z1428" s="10">
        <f>IF(X1428=1,LOOKUP(K1428,'Udvaskning nøgletal'!$C$12:$C$60,'Udvaskning nøgletal'!$E$12:$E$60)+Markniveau!Y1428*Markniveau!S1428/100,IF(X1428=2,LOOKUP(K1428,'Udvaskning nøgletal'!$C$12:$C$60,'Udvaskning nøgletal'!$F$12:$F$60)+Markniveau!Y1428*Markniveau!S1428/100,IF(X1428=3,LOOKUP(K1428,'Udvaskning nøgletal'!$C$12:$C$60,'Udvaskning nøgletal'!G1438:G1486)+Markniveau!Y1428*Markniveau!S1428/100,"")))</f>
        <v>33.723295792149436</v>
      </c>
      <c r="AA1428" s="10">
        <f t="shared" si="226"/>
        <v>6.7446591584298874</v>
      </c>
      <c r="AB1428" s="10">
        <f t="shared" si="225"/>
        <v>1.6861647896074716</v>
      </c>
      <c r="AC1428" s="10">
        <f t="shared" si="227"/>
        <v>0.33723295792149433</v>
      </c>
      <c r="AD1428" s="10">
        <f>IF(AND(Q1428&gt;0,Q1428&lt;30,K1428&lt;8),Markniveau!Z1428*'Udvaskning nøgletal'!$I$12/100,IF(AND(Q1428&gt;0,Q1428&lt;30,K1428=216),Markniveau!Z1428*'Udvaskning nøgletal'!$I$34/100,Markniveau!Z1428))</f>
        <v>33.723295792149436</v>
      </c>
      <c r="AE1428" s="10">
        <f t="shared" si="233"/>
        <v>6.7446591584298874</v>
      </c>
      <c r="AF1428" s="10">
        <f t="shared" si="228"/>
        <v>1.6861647896074716</v>
      </c>
      <c r="AG1428" s="10">
        <f t="shared" si="234"/>
        <v>0.33723295792149433</v>
      </c>
      <c r="AH1428" s="10" t="str">
        <f>IF(AND(Q1428&gt;0,Q1428&lt;30,K1428=216),'Udvaskning nøgletal'!$C$42,IF(AND(Q1428&gt;0,Q1428&lt;30,K1428&gt;7,K1428&lt;17),'Udvaskning nøgletal'!$C$61,IF(AND(Q1428&gt;0,Q1428&lt;30,K1428&lt;7),'Udvaskning nøgletal'!$C$62,"")))</f>
        <v/>
      </c>
      <c r="AI1428" s="10">
        <f t="shared" si="230"/>
        <v>263</v>
      </c>
      <c r="AJ1428" s="10">
        <f>IF($X1428=1,LOOKUP(AI1428,'Udvaskning nøgletal'!$C$12:$C$62,'Udvaskning nøgletal'!$E$12:$E$62)+Markniveau!$Y1428*Markniveau!$S1428/100,IF($X1428=2,LOOKUP(AI1428,'Udvaskning nøgletal'!$C$12:$C$62,'Udvaskning nøgletal'!$F$12:$F$62)+Markniveau!$Y1428*Markniveau!$S1428/100,IF($X1428=3,LOOKUP(AI1428,'Udvaskning nøgletal'!$C$12:$C$62,'Udvaskning nøgletal'!Q1438:Q1488)+Markniveau!$Y1428*Markniveau!$S1428/100,"")))</f>
        <v>33.723295792149436</v>
      </c>
      <c r="AK1428" s="10">
        <f t="shared" si="229"/>
        <v>6.7446591584298874</v>
      </c>
      <c r="AL1428" s="10">
        <f t="shared" si="231"/>
        <v>1.6861647896074716</v>
      </c>
      <c r="AM1428" s="10">
        <f t="shared" si="232"/>
        <v>0.33723295792149433</v>
      </c>
    </row>
    <row r="1429" spans="1:39" x14ac:dyDescent="0.25">
      <c r="A1429" s="15">
        <v>72112512</v>
      </c>
      <c r="B1429" s="15">
        <v>3.33</v>
      </c>
      <c r="C1429" s="15">
        <v>133752</v>
      </c>
      <c r="D1429" s="15">
        <v>43161</v>
      </c>
      <c r="E1429" s="15" t="s">
        <v>1206</v>
      </c>
      <c r="F1429" s="15">
        <v>2011</v>
      </c>
      <c r="G1429" s="15">
        <v>20110416</v>
      </c>
      <c r="H1429" s="15">
        <v>14105</v>
      </c>
      <c r="I1429" s="15">
        <v>1.41</v>
      </c>
      <c r="J1429" s="6" t="s">
        <v>61</v>
      </c>
      <c r="K1429" s="15">
        <v>260</v>
      </c>
      <c r="L1429" s="15" t="s">
        <v>45</v>
      </c>
      <c r="M1429" s="15" t="s">
        <v>5</v>
      </c>
      <c r="N1429" s="11" t="s">
        <v>1384</v>
      </c>
      <c r="O1429" s="11" t="s">
        <v>28</v>
      </c>
      <c r="P1429" s="11" t="s">
        <v>29</v>
      </c>
      <c r="Q1429" s="15">
        <v>95</v>
      </c>
      <c r="R1429" s="11" t="s">
        <v>3</v>
      </c>
      <c r="S1429" s="10">
        <v>173.74174174173999</v>
      </c>
      <c r="T1429" s="15">
        <v>80</v>
      </c>
      <c r="U1429" s="15">
        <v>0</v>
      </c>
      <c r="V1429" s="15">
        <v>0</v>
      </c>
      <c r="W1429" s="15">
        <v>0</v>
      </c>
      <c r="X1429" s="15">
        <f>IF(O1429='Udvaskning nøgletal'!$D$65,1,IF(O1429='Udvaskning nøgletal'!$D$66,2,IF(O1429='Udvaskning nøgletal'!$D$67,3,IF(O1429='Udvaskning nøgletal'!$D$68,2,""))))</f>
        <v>1</v>
      </c>
      <c r="Y1429" s="15">
        <f>LOOKUP(K1429,'Udvaskning nøgletal'!$C$12:$C$60,'Udvaskning nøgletal'!$H$12:$H$60)</f>
        <v>0</v>
      </c>
      <c r="Z1429" s="10">
        <f>IF(X1429=1,LOOKUP(K1429,'Udvaskning nøgletal'!$C$12:$C$60,'Udvaskning nøgletal'!$E$12:$E$60)+Markniveau!Y1429*Markniveau!S1429/100,IF(X1429=2,LOOKUP(K1429,'Udvaskning nøgletal'!$C$12:$C$60,'Udvaskning nøgletal'!$F$12:$F$60)+Markniveau!Y1429*Markniveau!S1429/100,IF(X1429=3,LOOKUP(K1429,'Udvaskning nøgletal'!$C$12:$C$60,'Udvaskning nøgletal'!G1439:G1487)+Markniveau!Y1429*Markniveau!S1429/100,"")))</f>
        <v>33.723295792149436</v>
      </c>
      <c r="AA1429" s="10">
        <f t="shared" si="226"/>
        <v>47.549847066930703</v>
      </c>
      <c r="AB1429" s="10">
        <f t="shared" si="225"/>
        <v>1.6861647896074716</v>
      </c>
      <c r="AC1429" s="10">
        <f t="shared" si="227"/>
        <v>2.3774923533465349</v>
      </c>
      <c r="AD1429" s="10">
        <f>IF(AND(Q1429&gt;0,Q1429&lt;30,K1429&lt;8),Markniveau!Z1429*'Udvaskning nøgletal'!$I$12/100,IF(AND(Q1429&gt;0,Q1429&lt;30,K1429=216),Markniveau!Z1429*'Udvaskning nøgletal'!$I$34/100,Markniveau!Z1429))</f>
        <v>33.723295792149436</v>
      </c>
      <c r="AE1429" s="10">
        <f t="shared" si="233"/>
        <v>47.549847066930703</v>
      </c>
      <c r="AF1429" s="10">
        <f t="shared" si="228"/>
        <v>1.6861647896074716</v>
      </c>
      <c r="AG1429" s="10">
        <f t="shared" si="234"/>
        <v>2.3774923533465349</v>
      </c>
      <c r="AH1429" s="10" t="str">
        <f>IF(AND(Q1429&gt;0,Q1429&lt;30,K1429=216),'Udvaskning nøgletal'!$C$42,IF(AND(Q1429&gt;0,Q1429&lt;30,K1429&gt;7,K1429&lt;17),'Udvaskning nøgletal'!$C$61,IF(AND(Q1429&gt;0,Q1429&lt;30,K1429&lt;7),'Udvaskning nøgletal'!$C$62,"")))</f>
        <v/>
      </c>
      <c r="AI1429" s="10">
        <f t="shared" si="230"/>
        <v>260</v>
      </c>
      <c r="AJ1429" s="10">
        <f>IF($X1429=1,LOOKUP(AI1429,'Udvaskning nøgletal'!$C$12:$C$62,'Udvaskning nøgletal'!$E$12:$E$62)+Markniveau!$Y1429*Markniveau!$S1429/100,IF($X1429=2,LOOKUP(AI1429,'Udvaskning nøgletal'!$C$12:$C$62,'Udvaskning nøgletal'!$F$12:$F$62)+Markniveau!$Y1429*Markniveau!$S1429/100,IF($X1429=3,LOOKUP(AI1429,'Udvaskning nøgletal'!$C$12:$C$62,'Udvaskning nøgletal'!Q1439:Q1489)+Markniveau!$Y1429*Markniveau!$S1429/100,"")))</f>
        <v>33.723295792149436</v>
      </c>
      <c r="AK1429" s="10">
        <f t="shared" si="229"/>
        <v>47.549847066930703</v>
      </c>
      <c r="AL1429" s="10">
        <f t="shared" si="231"/>
        <v>1.6861647896074716</v>
      </c>
      <c r="AM1429" s="10">
        <f t="shared" si="232"/>
        <v>2.3774923533465349</v>
      </c>
    </row>
    <row r="1430" spans="1:39" x14ac:dyDescent="0.25">
      <c r="A1430" s="15">
        <v>72112512</v>
      </c>
      <c r="B1430" s="15">
        <v>3.33</v>
      </c>
      <c r="C1430" s="15">
        <v>191046</v>
      </c>
      <c r="D1430" s="15">
        <v>43161</v>
      </c>
      <c r="E1430" s="15" t="s">
        <v>1206</v>
      </c>
      <c r="F1430" s="15">
        <v>2011</v>
      </c>
      <c r="G1430" s="15">
        <v>20110416</v>
      </c>
      <c r="H1430" s="15">
        <v>17231</v>
      </c>
      <c r="I1430" s="15">
        <v>1.72</v>
      </c>
      <c r="J1430" s="6" t="s">
        <v>37</v>
      </c>
      <c r="K1430" s="15">
        <v>260</v>
      </c>
      <c r="L1430" s="15" t="s">
        <v>45</v>
      </c>
      <c r="M1430" s="15" t="s">
        <v>5</v>
      </c>
      <c r="N1430" s="11" t="s">
        <v>1384</v>
      </c>
      <c r="O1430" s="11" t="s">
        <v>28</v>
      </c>
      <c r="P1430" s="11" t="s">
        <v>29</v>
      </c>
      <c r="Q1430" s="15">
        <v>95</v>
      </c>
      <c r="R1430" s="11" t="s">
        <v>3</v>
      </c>
      <c r="S1430" s="10">
        <v>173.74174174173999</v>
      </c>
      <c r="T1430" s="15">
        <v>80</v>
      </c>
      <c r="U1430" s="15">
        <v>0</v>
      </c>
      <c r="V1430" s="15">
        <v>0</v>
      </c>
      <c r="W1430" s="15">
        <v>0</v>
      </c>
      <c r="X1430" s="15">
        <f>IF(O1430='Udvaskning nøgletal'!$D$65,1,IF(O1430='Udvaskning nøgletal'!$D$66,2,IF(O1430='Udvaskning nøgletal'!$D$67,3,IF(O1430='Udvaskning nøgletal'!$D$68,2,""))))</f>
        <v>1</v>
      </c>
      <c r="Y1430" s="15">
        <f>LOOKUP(K1430,'Udvaskning nøgletal'!$C$12:$C$60,'Udvaskning nøgletal'!$H$12:$H$60)</f>
        <v>0</v>
      </c>
      <c r="Z1430" s="10">
        <f>IF(X1430=1,LOOKUP(K1430,'Udvaskning nøgletal'!$C$12:$C$60,'Udvaskning nøgletal'!$E$12:$E$60)+Markniveau!Y1430*Markniveau!S1430/100,IF(X1430=2,LOOKUP(K1430,'Udvaskning nøgletal'!$C$12:$C$60,'Udvaskning nøgletal'!$F$12:$F$60)+Markniveau!Y1430*Markniveau!S1430/100,IF(X1430=3,LOOKUP(K1430,'Udvaskning nøgletal'!$C$12:$C$60,'Udvaskning nøgletal'!G1440:G1488)+Markniveau!Y1430*Markniveau!S1430/100,"")))</f>
        <v>33.723295792149436</v>
      </c>
      <c r="AA1430" s="10">
        <f t="shared" si="226"/>
        <v>58.004068762497027</v>
      </c>
      <c r="AB1430" s="10">
        <f t="shared" si="225"/>
        <v>1.6861647896074716</v>
      </c>
      <c r="AC1430" s="10">
        <f t="shared" si="227"/>
        <v>2.9002034381248509</v>
      </c>
      <c r="AD1430" s="10">
        <f>IF(AND(Q1430&gt;0,Q1430&lt;30,K1430&lt;8),Markniveau!Z1430*'Udvaskning nøgletal'!$I$12/100,IF(AND(Q1430&gt;0,Q1430&lt;30,K1430=216),Markniveau!Z1430*'Udvaskning nøgletal'!$I$34/100,Markniveau!Z1430))</f>
        <v>33.723295792149436</v>
      </c>
      <c r="AE1430" s="10">
        <f t="shared" si="233"/>
        <v>58.004068762497027</v>
      </c>
      <c r="AF1430" s="10">
        <f t="shared" si="228"/>
        <v>1.6861647896074716</v>
      </c>
      <c r="AG1430" s="10">
        <f t="shared" si="234"/>
        <v>2.9002034381248509</v>
      </c>
      <c r="AH1430" s="10" t="str">
        <f>IF(AND(Q1430&gt;0,Q1430&lt;30,K1430=216),'Udvaskning nøgletal'!$C$42,IF(AND(Q1430&gt;0,Q1430&lt;30,K1430&gt;7,K1430&lt;17),'Udvaskning nøgletal'!$C$61,IF(AND(Q1430&gt;0,Q1430&lt;30,K1430&lt;7),'Udvaskning nøgletal'!$C$62,"")))</f>
        <v/>
      </c>
      <c r="AI1430" s="10">
        <f t="shared" si="230"/>
        <v>260</v>
      </c>
      <c r="AJ1430" s="10">
        <f>IF($X1430=1,LOOKUP(AI1430,'Udvaskning nøgletal'!$C$12:$C$62,'Udvaskning nøgletal'!$E$12:$E$62)+Markniveau!$Y1430*Markniveau!$S1430/100,IF($X1430=2,LOOKUP(AI1430,'Udvaskning nøgletal'!$C$12:$C$62,'Udvaskning nøgletal'!$F$12:$F$62)+Markniveau!$Y1430*Markniveau!$S1430/100,IF($X1430=3,LOOKUP(AI1430,'Udvaskning nøgletal'!$C$12:$C$62,'Udvaskning nøgletal'!Q1440:Q1490)+Markniveau!$Y1430*Markniveau!$S1430/100,"")))</f>
        <v>33.723295792149436</v>
      </c>
      <c r="AK1430" s="10">
        <f t="shared" si="229"/>
        <v>58.004068762497027</v>
      </c>
      <c r="AL1430" s="10">
        <f t="shared" si="231"/>
        <v>1.6861647896074716</v>
      </c>
      <c r="AM1430" s="10">
        <f t="shared" si="232"/>
        <v>2.9002034381248509</v>
      </c>
    </row>
    <row r="1431" spans="1:39" x14ac:dyDescent="0.25">
      <c r="A1431" s="15">
        <v>72487214</v>
      </c>
      <c r="B1431" s="15">
        <v>339.74</v>
      </c>
      <c r="C1431" s="15">
        <v>116582</v>
      </c>
      <c r="D1431" s="15">
        <v>53562</v>
      </c>
      <c r="E1431" s="15" t="s">
        <v>307</v>
      </c>
      <c r="F1431" s="15">
        <v>2011</v>
      </c>
      <c r="G1431" s="15">
        <v>20110414</v>
      </c>
      <c r="H1431" s="15">
        <v>104273</v>
      </c>
      <c r="I1431" s="15">
        <v>10.43</v>
      </c>
      <c r="J1431" s="6" t="s">
        <v>1395</v>
      </c>
      <c r="K1431" s="15">
        <v>230</v>
      </c>
      <c r="L1431" s="15" t="s">
        <v>120</v>
      </c>
      <c r="M1431" s="15" t="s">
        <v>5</v>
      </c>
      <c r="N1431" s="11" t="s">
        <v>1384</v>
      </c>
      <c r="O1431" s="11" t="s">
        <v>28</v>
      </c>
      <c r="P1431" s="11" t="s">
        <v>29</v>
      </c>
      <c r="Q1431" s="15">
        <v>1</v>
      </c>
      <c r="R1431" s="11" t="s">
        <v>11</v>
      </c>
      <c r="S1431" s="10">
        <v>205.81939178997999</v>
      </c>
      <c r="T1431" s="15">
        <v>80</v>
      </c>
      <c r="U1431" s="15">
        <v>1</v>
      </c>
      <c r="V1431" s="15">
        <v>0</v>
      </c>
      <c r="W1431" s="15">
        <v>0</v>
      </c>
      <c r="X1431" s="15">
        <f>IF(O1431='Udvaskning nøgletal'!$D$65,1,IF(O1431='Udvaskning nøgletal'!$D$66,2,IF(O1431='Udvaskning nøgletal'!$D$67,3,IF(O1431='Udvaskning nøgletal'!$D$68,2,""))))</f>
        <v>1</v>
      </c>
      <c r="Y1431" s="15">
        <f>LOOKUP(K1431,'Udvaskning nøgletal'!$C$12:$C$60,'Udvaskning nøgletal'!$H$12:$H$60)</f>
        <v>0</v>
      </c>
      <c r="Z1431" s="10">
        <f>IF(X1431=1,LOOKUP(K1431,'Udvaskning nøgletal'!$C$12:$C$60,'Udvaskning nøgletal'!$E$12:$E$60)+Markniveau!Y1431*Markniveau!S1431/100,IF(X1431=2,LOOKUP(K1431,'Udvaskning nøgletal'!$C$12:$C$60,'Udvaskning nøgletal'!$F$12:$F$60)+Markniveau!Y1431*Markniveau!S1431/100,IF(X1431=3,LOOKUP(K1431,'Udvaskning nøgletal'!$C$12:$C$60,'Udvaskning nøgletal'!G1441:G1489)+Markniveau!Y1431*Markniveau!S1431/100,"")))</f>
        <v>38.620385460262987</v>
      </c>
      <c r="AA1431" s="10">
        <f t="shared" si="226"/>
        <v>402.81062035054293</v>
      </c>
      <c r="AB1431" s="10">
        <f t="shared" si="225"/>
        <v>38.234181605660353</v>
      </c>
      <c r="AC1431" s="10">
        <f t="shared" si="227"/>
        <v>398.78251414703749</v>
      </c>
      <c r="AD1431" s="10">
        <f>IF(AND(Q1431&gt;0,Q1431&lt;30,K1431&lt;8),Markniveau!Z1431*'Udvaskning nøgletal'!$I$12/100,IF(AND(Q1431&gt;0,Q1431&lt;30,K1431=216),Markniveau!Z1431*'Udvaskning nøgletal'!$I$34/100,Markniveau!Z1431))</f>
        <v>38.620385460262987</v>
      </c>
      <c r="AE1431" s="10">
        <f t="shared" si="233"/>
        <v>402.81062035054293</v>
      </c>
      <c r="AF1431" s="10">
        <f t="shared" si="228"/>
        <v>38.234181605660353</v>
      </c>
      <c r="AG1431" s="10">
        <f t="shared" si="234"/>
        <v>398.78251414703749</v>
      </c>
      <c r="AH1431" s="10" t="str">
        <f>IF(AND(Q1431&gt;0,Q1431&lt;30,K1431=216),'Udvaskning nøgletal'!$C$42,IF(AND(Q1431&gt;0,Q1431&lt;30,K1431&gt;7,K1431&lt;17),'Udvaskning nøgletal'!$C$61,IF(AND(Q1431&gt;0,Q1431&lt;30,K1431&lt;7),'Udvaskning nøgletal'!$C$62,"")))</f>
        <v/>
      </c>
      <c r="AI1431" s="10">
        <f t="shared" si="230"/>
        <v>230</v>
      </c>
      <c r="AJ1431" s="10">
        <f>IF($X1431=1,LOOKUP(AI1431,'Udvaskning nøgletal'!$C$12:$C$62,'Udvaskning nøgletal'!$E$12:$E$62)+Markniveau!$Y1431*Markniveau!$S1431/100,IF($X1431=2,LOOKUP(AI1431,'Udvaskning nøgletal'!$C$12:$C$62,'Udvaskning nøgletal'!$F$12:$F$62)+Markniveau!$Y1431*Markniveau!$S1431/100,IF($X1431=3,LOOKUP(AI1431,'Udvaskning nøgletal'!$C$12:$C$62,'Udvaskning nøgletal'!Q1441:Q1491)+Markniveau!$Y1431*Markniveau!$S1431/100,"")))</f>
        <v>38.620385460262987</v>
      </c>
      <c r="AK1431" s="10">
        <f t="shared" si="229"/>
        <v>402.81062035054293</v>
      </c>
      <c r="AL1431" s="10">
        <f t="shared" si="231"/>
        <v>38.234181605660353</v>
      </c>
      <c r="AM1431" s="10">
        <f t="shared" si="232"/>
        <v>398.78251414703749</v>
      </c>
    </row>
    <row r="1432" spans="1:39" x14ac:dyDescent="0.25">
      <c r="A1432" s="15">
        <v>72487214</v>
      </c>
      <c r="B1432" s="15">
        <v>339.74</v>
      </c>
      <c r="C1432" s="15">
        <v>117073</v>
      </c>
      <c r="D1432" s="15">
        <v>53562</v>
      </c>
      <c r="E1432" s="15" t="s">
        <v>1207</v>
      </c>
      <c r="F1432" s="15">
        <v>2011</v>
      </c>
      <c r="G1432" s="15">
        <v>20110425</v>
      </c>
      <c r="H1432" s="15">
        <v>50393</v>
      </c>
      <c r="I1432" s="15">
        <v>5.04</v>
      </c>
      <c r="J1432" s="6" t="s">
        <v>35</v>
      </c>
      <c r="K1432" s="15">
        <v>216</v>
      </c>
      <c r="L1432" s="15" t="s">
        <v>116</v>
      </c>
      <c r="M1432" s="15" t="s">
        <v>5</v>
      </c>
      <c r="N1432" s="11" t="s">
        <v>1406</v>
      </c>
      <c r="O1432" s="11" t="s">
        <v>46</v>
      </c>
      <c r="P1432" s="11" t="s">
        <v>29</v>
      </c>
      <c r="Q1432" s="15">
        <v>2</v>
      </c>
      <c r="R1432" s="11" t="s">
        <v>11</v>
      </c>
      <c r="S1432" s="10">
        <v>205.81939178997999</v>
      </c>
      <c r="T1432" s="15">
        <v>80</v>
      </c>
      <c r="U1432" s="15">
        <v>1</v>
      </c>
      <c r="V1432" s="15">
        <v>0</v>
      </c>
      <c r="W1432" s="15">
        <v>0</v>
      </c>
      <c r="X1432" s="15">
        <f>IF(O1432='Udvaskning nøgletal'!$D$65,1,IF(O1432='Udvaskning nøgletal'!$D$66,2,IF(O1432='Udvaskning nøgletal'!$D$67,3,IF(O1432='Udvaskning nøgletal'!$D$68,2,""))))</f>
        <v>2</v>
      </c>
      <c r="Y1432" s="15">
        <f>LOOKUP(K1432,'Udvaskning nøgletal'!$C$12:$C$60,'Udvaskning nøgletal'!$H$12:$H$60)</f>
        <v>0</v>
      </c>
      <c r="Z1432" s="10">
        <f>IF(X1432=1,LOOKUP(K1432,'Udvaskning nøgletal'!$C$12:$C$60,'Udvaskning nøgletal'!$E$12:$E$60)+Markniveau!Y1432*Markniveau!S1432/100,IF(X1432=2,LOOKUP(K1432,'Udvaskning nøgletal'!$C$12:$C$60,'Udvaskning nøgletal'!$F$12:$F$60)+Markniveau!Y1432*Markniveau!S1432/100,IF(X1432=3,LOOKUP(K1432,'Udvaskning nøgletal'!$C$12:$C$60,'Udvaskning nøgletal'!G1442:G1490)+Markniveau!Y1432*Markniveau!S1432/100,"")))</f>
        <v>101.66744640811392</v>
      </c>
      <c r="AA1432" s="10">
        <f t="shared" si="226"/>
        <v>512.40392989689417</v>
      </c>
      <c r="AB1432" s="10">
        <f t="shared" si="225"/>
        <v>99.634097479951635</v>
      </c>
      <c r="AC1432" s="10">
        <f t="shared" si="227"/>
        <v>502.15585129895624</v>
      </c>
      <c r="AD1432" s="10">
        <f>IF(AND(Q1432&gt;0,Q1432&lt;30,K1432&lt;8),Markniveau!Z1432*'Udvaskning nøgletal'!$I$12/100,IF(AND(Q1432&gt;0,Q1432&lt;30,K1432=216),Markniveau!Z1432*'Udvaskning nøgletal'!$I$34/100,Markniveau!Z1432))</f>
        <v>71.167212485679741</v>
      </c>
      <c r="AE1432" s="10">
        <f t="shared" si="233"/>
        <v>358.68275092782591</v>
      </c>
      <c r="AF1432" s="10">
        <f t="shared" si="228"/>
        <v>69.743868235966147</v>
      </c>
      <c r="AG1432" s="10">
        <f t="shared" si="234"/>
        <v>351.50909590926938</v>
      </c>
      <c r="AH1432" s="10">
        <f>IF(AND(Q1432&gt;0,Q1432&lt;30,K1432=216),'Udvaskning nøgletal'!$C$42,IF(AND(Q1432&gt;0,Q1432&lt;30,K1432&gt;7,K1432&lt;17),'Udvaskning nøgletal'!$C$61,IF(AND(Q1432&gt;0,Q1432&lt;30,K1432&lt;7),'Udvaskning nøgletal'!$C$62,"")))</f>
        <v>260</v>
      </c>
      <c r="AI1432" s="10">
        <f t="shared" si="230"/>
        <v>260</v>
      </c>
      <c r="AJ1432" s="10">
        <f>IF($X1432=1,LOOKUP(AI1432,'Udvaskning nøgletal'!$C$12:$C$62,'Udvaskning nøgletal'!$E$12:$E$62)+Markniveau!$Y1432*Markniveau!$S1432/100,IF($X1432=2,LOOKUP(AI1432,'Udvaskning nøgletal'!$C$12:$C$62,'Udvaskning nøgletal'!$F$12:$F$62)+Markniveau!$Y1432*Markniveau!$S1432/100,IF($X1432=3,LOOKUP(AI1432,'Udvaskning nøgletal'!$C$12:$C$62,'Udvaskning nøgletal'!Q1442:Q1492)+Markniveau!$Y1432*Markniveau!$S1432/100,"")))</f>
        <v>27.331185321443094</v>
      </c>
      <c r="AK1432" s="10">
        <f t="shared" si="229"/>
        <v>137.74917402007318</v>
      </c>
      <c r="AL1432" s="10">
        <f t="shared" si="231"/>
        <v>26.78456161501423</v>
      </c>
      <c r="AM1432" s="10">
        <f t="shared" si="232"/>
        <v>134.99419053967171</v>
      </c>
    </row>
    <row r="1433" spans="1:39" x14ac:dyDescent="0.25">
      <c r="A1433" s="15">
        <v>72487214</v>
      </c>
      <c r="B1433" s="15">
        <v>339.74</v>
      </c>
      <c r="C1433" s="15">
        <v>117564</v>
      </c>
      <c r="D1433" s="15">
        <v>53562</v>
      </c>
      <c r="E1433" s="15" t="s">
        <v>1208</v>
      </c>
      <c r="F1433" s="15">
        <v>2011</v>
      </c>
      <c r="G1433" s="15">
        <v>20110414</v>
      </c>
      <c r="H1433" s="15">
        <v>53868</v>
      </c>
      <c r="I1433" s="15">
        <v>5.39</v>
      </c>
      <c r="J1433" s="6" t="s">
        <v>53</v>
      </c>
      <c r="K1433" s="15">
        <v>216</v>
      </c>
      <c r="L1433" s="15" t="s">
        <v>116</v>
      </c>
      <c r="M1433" s="15" t="s">
        <v>5</v>
      </c>
      <c r="N1433" s="11" t="s">
        <v>1384</v>
      </c>
      <c r="O1433" s="11" t="s">
        <v>28</v>
      </c>
      <c r="P1433" s="11" t="s">
        <v>29</v>
      </c>
      <c r="Q1433" s="15">
        <v>1</v>
      </c>
      <c r="R1433" s="11" t="s">
        <v>11</v>
      </c>
      <c r="S1433" s="10">
        <v>205.81939178997999</v>
      </c>
      <c r="T1433" s="15">
        <v>80</v>
      </c>
      <c r="U1433" s="15">
        <v>1</v>
      </c>
      <c r="V1433" s="15">
        <v>0</v>
      </c>
      <c r="W1433" s="15">
        <v>0</v>
      </c>
      <c r="X1433" s="15">
        <f>IF(O1433='Udvaskning nøgletal'!$D$65,1,IF(O1433='Udvaskning nøgletal'!$D$66,2,IF(O1433='Udvaskning nøgletal'!$D$67,3,IF(O1433='Udvaskning nøgletal'!$D$68,2,""))))</f>
        <v>1</v>
      </c>
      <c r="Y1433" s="15">
        <f>LOOKUP(K1433,'Udvaskning nøgletal'!$C$12:$C$60,'Udvaskning nøgletal'!$H$12:$H$60)</f>
        <v>0</v>
      </c>
      <c r="Z1433" s="10">
        <f>IF(X1433=1,LOOKUP(K1433,'Udvaskning nøgletal'!$C$12:$C$60,'Udvaskning nøgletal'!$E$12:$E$60)+Markniveau!Y1433*Markniveau!S1433/100,IF(X1433=2,LOOKUP(K1433,'Udvaskning nøgletal'!$C$12:$C$60,'Udvaskning nøgletal'!$F$12:$F$60)+Markniveau!Y1433*Markniveau!S1433/100,IF(X1433=3,LOOKUP(K1433,'Udvaskning nøgletal'!$C$12:$C$60,'Udvaskning nøgletal'!G1443:G1491)+Markniveau!Y1433*Markniveau!S1433/100,"")))</f>
        <v>125.85383557148924</v>
      </c>
      <c r="AA1433" s="10">
        <f t="shared" si="226"/>
        <v>678.35217373032697</v>
      </c>
      <c r="AB1433" s="10">
        <f t="shared" si="225"/>
        <v>124.59529721577435</v>
      </c>
      <c r="AC1433" s="10">
        <f t="shared" si="227"/>
        <v>671.56865199302376</v>
      </c>
      <c r="AD1433" s="10">
        <f>IF(AND(Q1433&gt;0,Q1433&lt;30,K1433&lt;8),Markniveau!Z1433*'Udvaskning nøgletal'!$I$12/100,IF(AND(Q1433&gt;0,Q1433&lt;30,K1433=216),Markniveau!Z1433*'Udvaskning nøgletal'!$I$34/100,Markniveau!Z1433))</f>
        <v>88.097684900042481</v>
      </c>
      <c r="AE1433" s="10">
        <f t="shared" si="233"/>
        <v>474.84652161122892</v>
      </c>
      <c r="AF1433" s="10">
        <f t="shared" si="228"/>
        <v>87.216708051042062</v>
      </c>
      <c r="AG1433" s="10">
        <f t="shared" si="234"/>
        <v>470.09805639511666</v>
      </c>
      <c r="AH1433" s="10">
        <f>IF(AND(Q1433&gt;0,Q1433&lt;30,K1433=216),'Udvaskning nøgletal'!$C$42,IF(AND(Q1433&gt;0,Q1433&lt;30,K1433&gt;7,K1433&lt;17),'Udvaskning nøgletal'!$C$61,IF(AND(Q1433&gt;0,Q1433&lt;30,K1433&lt;7),'Udvaskning nøgletal'!$C$62,"")))</f>
        <v>260</v>
      </c>
      <c r="AI1433" s="10">
        <f t="shared" si="230"/>
        <v>260</v>
      </c>
      <c r="AJ1433" s="10">
        <f>IF($X1433=1,LOOKUP(AI1433,'Udvaskning nøgletal'!$C$12:$C$62,'Udvaskning nøgletal'!$E$12:$E$62)+Markniveau!$Y1433*Markniveau!$S1433/100,IF($X1433=2,LOOKUP(AI1433,'Udvaskning nøgletal'!$C$12:$C$62,'Udvaskning nøgletal'!$F$12:$F$62)+Markniveau!$Y1433*Markniveau!$S1433/100,IF($X1433=3,LOOKUP(AI1433,'Udvaskning nøgletal'!$C$12:$C$62,'Udvaskning nøgletal'!Q1443:Q1493)+Markniveau!$Y1433*Markniveau!$S1433/100,"")))</f>
        <v>33.723295792149436</v>
      </c>
      <c r="AK1433" s="10">
        <f t="shared" si="229"/>
        <v>181.76856431968545</v>
      </c>
      <c r="AL1433" s="10">
        <f t="shared" si="231"/>
        <v>33.386062834227943</v>
      </c>
      <c r="AM1433" s="10">
        <f t="shared" si="232"/>
        <v>179.9508786764886</v>
      </c>
    </row>
    <row r="1434" spans="1:39" x14ac:dyDescent="0.25">
      <c r="A1434" s="15">
        <v>72487214</v>
      </c>
      <c r="B1434" s="15">
        <v>339.74</v>
      </c>
      <c r="C1434" s="15">
        <v>118104</v>
      </c>
      <c r="D1434" s="15">
        <v>53562</v>
      </c>
      <c r="E1434" s="15" t="s">
        <v>1209</v>
      </c>
      <c r="F1434" s="15">
        <v>2011</v>
      </c>
      <c r="G1434" s="15">
        <v>20110414</v>
      </c>
      <c r="H1434" s="15">
        <v>4558</v>
      </c>
      <c r="I1434" s="15">
        <v>0.46</v>
      </c>
      <c r="J1434" s="6" t="s">
        <v>1527</v>
      </c>
      <c r="K1434" s="15">
        <v>251</v>
      </c>
      <c r="L1434" s="15" t="s">
        <v>355</v>
      </c>
      <c r="M1434" s="15" t="s">
        <v>4</v>
      </c>
      <c r="N1434" s="11" t="s">
        <v>1384</v>
      </c>
      <c r="O1434" s="11" t="s">
        <v>28</v>
      </c>
      <c r="P1434" s="11" t="s">
        <v>29</v>
      </c>
      <c r="Q1434" s="15">
        <v>95</v>
      </c>
      <c r="R1434" s="11" t="s">
        <v>3</v>
      </c>
      <c r="S1434" s="10">
        <v>205.81939178997999</v>
      </c>
      <c r="T1434" s="15">
        <v>80</v>
      </c>
      <c r="U1434" s="15">
        <v>1</v>
      </c>
      <c r="V1434" s="15">
        <v>0</v>
      </c>
      <c r="W1434" s="15">
        <v>0</v>
      </c>
      <c r="X1434" s="15">
        <f>IF(O1434='Udvaskning nøgletal'!$D$65,1,IF(O1434='Udvaskning nøgletal'!$D$66,2,IF(O1434='Udvaskning nøgletal'!$D$67,3,IF(O1434='Udvaskning nøgletal'!$D$68,2,""))))</f>
        <v>1</v>
      </c>
      <c r="Y1434" s="15">
        <f>LOOKUP(K1434,'Udvaskning nøgletal'!$C$12:$C$60,'Udvaskning nøgletal'!$H$12:$H$60)</f>
        <v>0</v>
      </c>
      <c r="Z1434" s="10">
        <f>IF(X1434=1,LOOKUP(K1434,'Udvaskning nøgletal'!$C$12:$C$60,'Udvaskning nøgletal'!$E$12:$E$60)+Markniveau!Y1434*Markniveau!S1434/100,IF(X1434=2,LOOKUP(K1434,'Udvaskning nøgletal'!$C$12:$C$60,'Udvaskning nøgletal'!$F$12:$F$60)+Markniveau!Y1434*Markniveau!S1434/100,IF(X1434=3,LOOKUP(K1434,'Udvaskning nøgletal'!$C$12:$C$60,'Udvaskning nøgletal'!G1444:G1492)+Markniveau!Y1434*Markniveau!S1434/100,"")))</f>
        <v>21.2</v>
      </c>
      <c r="AA1434" s="10">
        <f t="shared" si="226"/>
        <v>9.7520000000000007</v>
      </c>
      <c r="AB1434" s="10">
        <f t="shared" si="225"/>
        <v>1.06</v>
      </c>
      <c r="AC1434" s="10">
        <f t="shared" si="227"/>
        <v>0.48760000000000003</v>
      </c>
      <c r="AD1434" s="10">
        <f>IF(AND(Q1434&gt;0,Q1434&lt;30,K1434&lt;8),Markniveau!Z1434*'Udvaskning nøgletal'!$I$12/100,IF(AND(Q1434&gt;0,Q1434&lt;30,K1434=216),Markniveau!Z1434*'Udvaskning nøgletal'!$I$34/100,Markniveau!Z1434))</f>
        <v>21.2</v>
      </c>
      <c r="AE1434" s="10">
        <f t="shared" si="233"/>
        <v>9.7520000000000007</v>
      </c>
      <c r="AF1434" s="10">
        <f t="shared" si="228"/>
        <v>1.06</v>
      </c>
      <c r="AG1434" s="10">
        <f t="shared" si="234"/>
        <v>0.48760000000000003</v>
      </c>
      <c r="AH1434" s="10" t="str">
        <f>IF(AND(Q1434&gt;0,Q1434&lt;30,K1434=216),'Udvaskning nøgletal'!$C$42,IF(AND(Q1434&gt;0,Q1434&lt;30,K1434&gt;7,K1434&lt;17),'Udvaskning nøgletal'!$C$61,IF(AND(Q1434&gt;0,Q1434&lt;30,K1434&lt;7),'Udvaskning nøgletal'!$C$62,"")))</f>
        <v/>
      </c>
      <c r="AI1434" s="10">
        <f t="shared" si="230"/>
        <v>251</v>
      </c>
      <c r="AJ1434" s="10">
        <f>IF($X1434=1,LOOKUP(AI1434,'Udvaskning nøgletal'!$C$12:$C$62,'Udvaskning nøgletal'!$E$12:$E$62)+Markniveau!$Y1434*Markniveau!$S1434/100,IF($X1434=2,LOOKUP(AI1434,'Udvaskning nøgletal'!$C$12:$C$62,'Udvaskning nøgletal'!$F$12:$F$62)+Markniveau!$Y1434*Markniveau!$S1434/100,IF($X1434=3,LOOKUP(AI1434,'Udvaskning nøgletal'!$C$12:$C$62,'Udvaskning nøgletal'!Q1444:Q1494)+Markniveau!$Y1434*Markniveau!$S1434/100,"")))</f>
        <v>21.2</v>
      </c>
      <c r="AK1434" s="10">
        <f t="shared" si="229"/>
        <v>9.7520000000000007</v>
      </c>
      <c r="AL1434" s="10">
        <f t="shared" si="231"/>
        <v>1.06</v>
      </c>
      <c r="AM1434" s="10">
        <f t="shared" si="232"/>
        <v>0.48760000000000003</v>
      </c>
    </row>
    <row r="1435" spans="1:39" x14ac:dyDescent="0.25">
      <c r="A1435" s="15">
        <v>72487214</v>
      </c>
      <c r="B1435" s="15">
        <v>339.74</v>
      </c>
      <c r="C1435" s="15">
        <v>118106</v>
      </c>
      <c r="D1435" s="15">
        <v>53562</v>
      </c>
      <c r="E1435" s="15" t="s">
        <v>1210</v>
      </c>
      <c r="F1435" s="15">
        <v>2011</v>
      </c>
      <c r="G1435" s="15">
        <v>20110414</v>
      </c>
      <c r="H1435" s="15">
        <v>57092</v>
      </c>
      <c r="I1435" s="15">
        <v>5.71</v>
      </c>
      <c r="J1435" s="6" t="s">
        <v>87</v>
      </c>
      <c r="K1435" s="15">
        <v>216</v>
      </c>
      <c r="L1435" s="15" t="s">
        <v>116</v>
      </c>
      <c r="M1435" s="15" t="s">
        <v>5</v>
      </c>
      <c r="N1435" s="11" t="s">
        <v>1384</v>
      </c>
      <c r="O1435" s="11" t="s">
        <v>28</v>
      </c>
      <c r="P1435" s="11" t="s">
        <v>29</v>
      </c>
      <c r="Q1435" s="15">
        <v>95</v>
      </c>
      <c r="R1435" s="11" t="s">
        <v>3</v>
      </c>
      <c r="S1435" s="10">
        <v>205.81939178997999</v>
      </c>
      <c r="T1435" s="15">
        <v>80</v>
      </c>
      <c r="U1435" s="15">
        <v>1</v>
      </c>
      <c r="V1435" s="15">
        <v>0</v>
      </c>
      <c r="W1435" s="15">
        <v>0</v>
      </c>
      <c r="X1435" s="15">
        <f>IF(O1435='Udvaskning nøgletal'!$D$65,1,IF(O1435='Udvaskning nøgletal'!$D$66,2,IF(O1435='Udvaskning nøgletal'!$D$67,3,IF(O1435='Udvaskning nøgletal'!$D$68,2,""))))</f>
        <v>1</v>
      </c>
      <c r="Y1435" s="15">
        <f>LOOKUP(K1435,'Udvaskning nøgletal'!$C$12:$C$60,'Udvaskning nøgletal'!$H$12:$H$60)</f>
        <v>0</v>
      </c>
      <c r="Z1435" s="10">
        <f>IF(X1435=1,LOOKUP(K1435,'Udvaskning nøgletal'!$C$12:$C$60,'Udvaskning nøgletal'!$E$12:$E$60)+Markniveau!Y1435*Markniveau!S1435/100,IF(X1435=2,LOOKUP(K1435,'Udvaskning nøgletal'!$C$12:$C$60,'Udvaskning nøgletal'!$F$12:$F$60)+Markniveau!Y1435*Markniveau!S1435/100,IF(X1435=3,LOOKUP(K1435,'Udvaskning nøgletal'!$C$12:$C$60,'Udvaskning nøgletal'!G1445:G1493)+Markniveau!Y1435*Markniveau!S1435/100,"")))</f>
        <v>125.85383557148924</v>
      </c>
      <c r="AA1435" s="10">
        <f t="shared" si="226"/>
        <v>718.62540111320357</v>
      </c>
      <c r="AB1435" s="10">
        <f t="shared" si="225"/>
        <v>6.2926917785744623</v>
      </c>
      <c r="AC1435" s="10">
        <f t="shared" si="227"/>
        <v>35.931270055660178</v>
      </c>
      <c r="AD1435" s="10">
        <f>IF(AND(Q1435&gt;0,Q1435&lt;30,K1435&lt;8),Markniveau!Z1435*'Udvaskning nøgletal'!$I$12/100,IF(AND(Q1435&gt;0,Q1435&lt;30,K1435=216),Markniveau!Z1435*'Udvaskning nøgletal'!$I$34/100,Markniveau!Z1435))</f>
        <v>125.85383557148924</v>
      </c>
      <c r="AE1435" s="10">
        <f t="shared" si="233"/>
        <v>718.62540111320357</v>
      </c>
      <c r="AF1435" s="10">
        <f t="shared" si="228"/>
        <v>6.2926917785744623</v>
      </c>
      <c r="AG1435" s="10">
        <f t="shared" si="234"/>
        <v>35.931270055660178</v>
      </c>
      <c r="AH1435" s="10" t="str">
        <f>IF(AND(Q1435&gt;0,Q1435&lt;30,K1435=216),'Udvaskning nøgletal'!$C$42,IF(AND(Q1435&gt;0,Q1435&lt;30,K1435&gt;7,K1435&lt;17),'Udvaskning nøgletal'!$C$61,IF(AND(Q1435&gt;0,Q1435&lt;30,K1435&lt;7),'Udvaskning nøgletal'!$C$62,"")))</f>
        <v/>
      </c>
      <c r="AI1435" s="10">
        <f t="shared" si="230"/>
        <v>216</v>
      </c>
      <c r="AJ1435" s="10">
        <f>IF($X1435=1,LOOKUP(AI1435,'Udvaskning nøgletal'!$C$12:$C$62,'Udvaskning nøgletal'!$E$12:$E$62)+Markniveau!$Y1435*Markniveau!$S1435/100,IF($X1435=2,LOOKUP(AI1435,'Udvaskning nøgletal'!$C$12:$C$62,'Udvaskning nøgletal'!$F$12:$F$62)+Markniveau!$Y1435*Markniveau!$S1435/100,IF($X1435=3,LOOKUP(AI1435,'Udvaskning nøgletal'!$C$12:$C$62,'Udvaskning nøgletal'!Q1445:Q1495)+Markniveau!$Y1435*Markniveau!$S1435/100,"")))</f>
        <v>125.85383557148924</v>
      </c>
      <c r="AK1435" s="10">
        <f t="shared" si="229"/>
        <v>718.62540111320357</v>
      </c>
      <c r="AL1435" s="10">
        <f t="shared" si="231"/>
        <v>6.2926917785744623</v>
      </c>
      <c r="AM1435" s="10">
        <f t="shared" si="232"/>
        <v>35.931270055660178</v>
      </c>
    </row>
    <row r="1436" spans="1:39" x14ac:dyDescent="0.25">
      <c r="A1436" s="15">
        <v>72487214</v>
      </c>
      <c r="B1436" s="15">
        <v>339.74</v>
      </c>
      <c r="C1436" s="15">
        <v>118630</v>
      </c>
      <c r="D1436" s="15">
        <v>53562</v>
      </c>
      <c r="E1436" s="15" t="s">
        <v>1211</v>
      </c>
      <c r="F1436" s="15">
        <v>2011</v>
      </c>
      <c r="G1436" s="15">
        <v>20110414</v>
      </c>
      <c r="H1436" s="15">
        <v>39851</v>
      </c>
      <c r="I1436" s="15">
        <v>3.99</v>
      </c>
      <c r="J1436" s="6" t="s">
        <v>547</v>
      </c>
      <c r="K1436" s="15">
        <v>230</v>
      </c>
      <c r="L1436" s="15" t="s">
        <v>120</v>
      </c>
      <c r="M1436" s="15" t="s">
        <v>5</v>
      </c>
      <c r="N1436" s="11" t="s">
        <v>1406</v>
      </c>
      <c r="O1436" s="11" t="s">
        <v>46</v>
      </c>
      <c r="P1436" s="11" t="s">
        <v>29</v>
      </c>
      <c r="Q1436" s="15">
        <v>95</v>
      </c>
      <c r="R1436" s="11" t="s">
        <v>3</v>
      </c>
      <c r="S1436" s="10">
        <v>205.81939178997999</v>
      </c>
      <c r="T1436" s="15">
        <v>80</v>
      </c>
      <c r="U1436" s="15">
        <v>1</v>
      </c>
      <c r="V1436" s="15">
        <v>0</v>
      </c>
      <c r="W1436" s="15">
        <v>0</v>
      </c>
      <c r="X1436" s="15">
        <f>IF(O1436='Udvaskning nøgletal'!$D$65,1,IF(O1436='Udvaskning nøgletal'!$D$66,2,IF(O1436='Udvaskning nøgletal'!$D$67,3,IF(O1436='Udvaskning nøgletal'!$D$68,2,""))))</f>
        <v>2</v>
      </c>
      <c r="Y1436" s="15">
        <f>LOOKUP(K1436,'Udvaskning nøgletal'!$C$12:$C$60,'Udvaskning nøgletal'!$H$12:$H$60)</f>
        <v>0</v>
      </c>
      <c r="Z1436" s="10">
        <f>IF(X1436=1,LOOKUP(K1436,'Udvaskning nøgletal'!$C$12:$C$60,'Udvaskning nøgletal'!$E$12:$E$60)+Markniveau!Y1436*Markniveau!S1436/100,IF(X1436=2,LOOKUP(K1436,'Udvaskning nøgletal'!$C$12:$C$60,'Udvaskning nøgletal'!$F$12:$F$60)+Markniveau!Y1436*Markniveau!S1436/100,IF(X1436=3,LOOKUP(K1436,'Udvaskning nøgletal'!$C$12:$C$60,'Udvaskning nøgletal'!G1446:G1494)+Markniveau!Y1436*Markniveau!S1436/100,"")))</f>
        <v>31.161328188970323</v>
      </c>
      <c r="AA1436" s="10">
        <f t="shared" si="226"/>
        <v>124.3336994739916</v>
      </c>
      <c r="AB1436" s="10">
        <f t="shared" si="225"/>
        <v>1.5580664094485162</v>
      </c>
      <c r="AC1436" s="10">
        <f t="shared" si="227"/>
        <v>6.2166849736995795</v>
      </c>
      <c r="AD1436" s="10">
        <f>IF(AND(Q1436&gt;0,Q1436&lt;30,K1436&lt;8),Markniveau!Z1436*'Udvaskning nøgletal'!$I$12/100,IF(AND(Q1436&gt;0,Q1436&lt;30,K1436=216),Markniveau!Z1436*'Udvaskning nøgletal'!$I$34/100,Markniveau!Z1436))</f>
        <v>31.161328188970323</v>
      </c>
      <c r="AE1436" s="10">
        <f t="shared" si="233"/>
        <v>124.3336994739916</v>
      </c>
      <c r="AF1436" s="10">
        <f t="shared" si="228"/>
        <v>1.5580664094485162</v>
      </c>
      <c r="AG1436" s="10">
        <f t="shared" si="234"/>
        <v>6.2166849736995795</v>
      </c>
      <c r="AH1436" s="10" t="str">
        <f>IF(AND(Q1436&gt;0,Q1436&lt;30,K1436=216),'Udvaskning nøgletal'!$C$42,IF(AND(Q1436&gt;0,Q1436&lt;30,K1436&gt;7,K1436&lt;17),'Udvaskning nøgletal'!$C$61,IF(AND(Q1436&gt;0,Q1436&lt;30,K1436&lt;7),'Udvaskning nøgletal'!$C$62,"")))</f>
        <v/>
      </c>
      <c r="AI1436" s="10">
        <f t="shared" si="230"/>
        <v>230</v>
      </c>
      <c r="AJ1436" s="10">
        <f>IF($X1436=1,LOOKUP(AI1436,'Udvaskning nøgletal'!$C$12:$C$62,'Udvaskning nøgletal'!$E$12:$E$62)+Markniveau!$Y1436*Markniveau!$S1436/100,IF($X1436=2,LOOKUP(AI1436,'Udvaskning nøgletal'!$C$12:$C$62,'Udvaskning nøgletal'!$F$12:$F$62)+Markniveau!$Y1436*Markniveau!$S1436/100,IF($X1436=3,LOOKUP(AI1436,'Udvaskning nøgletal'!$C$12:$C$62,'Udvaskning nøgletal'!Q1446:Q1496)+Markniveau!$Y1436*Markniveau!$S1436/100,"")))</f>
        <v>31.161328188970323</v>
      </c>
      <c r="AK1436" s="10">
        <f t="shared" si="229"/>
        <v>124.3336994739916</v>
      </c>
      <c r="AL1436" s="10">
        <f t="shared" si="231"/>
        <v>1.5580664094485162</v>
      </c>
      <c r="AM1436" s="10">
        <f t="shared" si="232"/>
        <v>6.2166849736995795</v>
      </c>
    </row>
    <row r="1437" spans="1:39" x14ac:dyDescent="0.25">
      <c r="A1437" s="15">
        <v>72487214</v>
      </c>
      <c r="B1437" s="15">
        <v>339.74</v>
      </c>
      <c r="C1437" s="15">
        <v>119134</v>
      </c>
      <c r="D1437" s="15">
        <v>53562</v>
      </c>
      <c r="E1437" s="15" t="s">
        <v>1212</v>
      </c>
      <c r="F1437" s="15">
        <v>2011</v>
      </c>
      <c r="G1437" s="15">
        <v>20110414</v>
      </c>
      <c r="H1437" s="15">
        <v>9968</v>
      </c>
      <c r="I1437" s="15">
        <v>1</v>
      </c>
      <c r="J1437" s="6" t="s">
        <v>471</v>
      </c>
      <c r="K1437" s="15">
        <v>230</v>
      </c>
      <c r="L1437" s="15" t="s">
        <v>120</v>
      </c>
      <c r="M1437" s="15" t="s">
        <v>5</v>
      </c>
      <c r="N1437" s="11" t="s">
        <v>1406</v>
      </c>
      <c r="O1437" s="11" t="s">
        <v>46</v>
      </c>
      <c r="P1437" s="11" t="s">
        <v>29</v>
      </c>
      <c r="Q1437" s="15">
        <v>95</v>
      </c>
      <c r="R1437" s="11" t="s">
        <v>3</v>
      </c>
      <c r="S1437" s="10">
        <v>205.81939178997999</v>
      </c>
      <c r="T1437" s="15">
        <v>80</v>
      </c>
      <c r="U1437" s="15">
        <v>1</v>
      </c>
      <c r="V1437" s="15">
        <v>0</v>
      </c>
      <c r="W1437" s="15">
        <v>0</v>
      </c>
      <c r="X1437" s="15">
        <f>IF(O1437='Udvaskning nøgletal'!$D$65,1,IF(O1437='Udvaskning nøgletal'!$D$66,2,IF(O1437='Udvaskning nøgletal'!$D$67,3,IF(O1437='Udvaskning nøgletal'!$D$68,2,""))))</f>
        <v>2</v>
      </c>
      <c r="Y1437" s="15">
        <f>LOOKUP(K1437,'Udvaskning nøgletal'!$C$12:$C$60,'Udvaskning nøgletal'!$H$12:$H$60)</f>
        <v>0</v>
      </c>
      <c r="Z1437" s="10">
        <f>IF(X1437=1,LOOKUP(K1437,'Udvaskning nøgletal'!$C$12:$C$60,'Udvaskning nøgletal'!$E$12:$E$60)+Markniveau!Y1437*Markniveau!S1437/100,IF(X1437=2,LOOKUP(K1437,'Udvaskning nøgletal'!$C$12:$C$60,'Udvaskning nøgletal'!$F$12:$F$60)+Markniveau!Y1437*Markniveau!S1437/100,IF(X1437=3,LOOKUP(K1437,'Udvaskning nøgletal'!$C$12:$C$60,'Udvaskning nøgletal'!G1447:G1495)+Markniveau!Y1437*Markniveau!S1437/100,"")))</f>
        <v>31.161328188970323</v>
      </c>
      <c r="AA1437" s="10">
        <f t="shared" si="226"/>
        <v>31.161328188970323</v>
      </c>
      <c r="AB1437" s="10">
        <f t="shared" si="225"/>
        <v>1.5580664094485162</v>
      </c>
      <c r="AC1437" s="10">
        <f t="shared" si="227"/>
        <v>1.5580664094485162</v>
      </c>
      <c r="AD1437" s="10">
        <f>IF(AND(Q1437&gt;0,Q1437&lt;30,K1437&lt;8),Markniveau!Z1437*'Udvaskning nøgletal'!$I$12/100,IF(AND(Q1437&gt;0,Q1437&lt;30,K1437=216),Markniveau!Z1437*'Udvaskning nøgletal'!$I$34/100,Markniveau!Z1437))</f>
        <v>31.161328188970323</v>
      </c>
      <c r="AE1437" s="10">
        <f t="shared" si="233"/>
        <v>31.161328188970323</v>
      </c>
      <c r="AF1437" s="10">
        <f t="shared" si="228"/>
        <v>1.5580664094485162</v>
      </c>
      <c r="AG1437" s="10">
        <f t="shared" si="234"/>
        <v>1.5580664094485162</v>
      </c>
      <c r="AH1437" s="10" t="str">
        <f>IF(AND(Q1437&gt;0,Q1437&lt;30,K1437=216),'Udvaskning nøgletal'!$C$42,IF(AND(Q1437&gt;0,Q1437&lt;30,K1437&gt;7,K1437&lt;17),'Udvaskning nøgletal'!$C$61,IF(AND(Q1437&gt;0,Q1437&lt;30,K1437&lt;7),'Udvaskning nøgletal'!$C$62,"")))</f>
        <v/>
      </c>
      <c r="AI1437" s="10">
        <f t="shared" si="230"/>
        <v>230</v>
      </c>
      <c r="AJ1437" s="10">
        <f>IF($X1437=1,LOOKUP(AI1437,'Udvaskning nøgletal'!$C$12:$C$62,'Udvaskning nøgletal'!$E$12:$E$62)+Markniveau!$Y1437*Markniveau!$S1437/100,IF($X1437=2,LOOKUP(AI1437,'Udvaskning nøgletal'!$C$12:$C$62,'Udvaskning nøgletal'!$F$12:$F$62)+Markniveau!$Y1437*Markniveau!$S1437/100,IF($X1437=3,LOOKUP(AI1437,'Udvaskning nøgletal'!$C$12:$C$62,'Udvaskning nøgletal'!Q1447:Q1497)+Markniveau!$Y1437*Markniveau!$S1437/100,"")))</f>
        <v>31.161328188970323</v>
      </c>
      <c r="AK1437" s="10">
        <f t="shared" si="229"/>
        <v>31.161328188970323</v>
      </c>
      <c r="AL1437" s="10">
        <f t="shared" si="231"/>
        <v>1.5580664094485162</v>
      </c>
      <c r="AM1437" s="10">
        <f t="shared" si="232"/>
        <v>1.5580664094485162</v>
      </c>
    </row>
    <row r="1438" spans="1:39" x14ac:dyDescent="0.25">
      <c r="A1438" s="15">
        <v>72487214</v>
      </c>
      <c r="B1438" s="15">
        <v>339.74</v>
      </c>
      <c r="C1438" s="15">
        <v>119135</v>
      </c>
      <c r="D1438" s="15">
        <v>53562</v>
      </c>
      <c r="E1438" s="15" t="s">
        <v>300</v>
      </c>
      <c r="F1438" s="15">
        <v>2011</v>
      </c>
      <c r="G1438" s="15">
        <v>20110414</v>
      </c>
      <c r="H1438" s="15">
        <v>3213</v>
      </c>
      <c r="I1438" s="15">
        <v>0.32</v>
      </c>
      <c r="J1438" s="6" t="s">
        <v>835</v>
      </c>
      <c r="K1438" s="15">
        <v>252</v>
      </c>
      <c r="L1438" s="15" t="s">
        <v>41</v>
      </c>
      <c r="M1438" s="15" t="s">
        <v>4</v>
      </c>
      <c r="N1438" s="11" t="s">
        <v>1384</v>
      </c>
      <c r="O1438" s="11" t="s">
        <v>28</v>
      </c>
      <c r="P1438" s="11" t="s">
        <v>33</v>
      </c>
      <c r="Q1438" s="15">
        <v>90</v>
      </c>
      <c r="R1438" s="11" t="s">
        <v>8</v>
      </c>
      <c r="S1438" s="10">
        <v>205.81939178997999</v>
      </c>
      <c r="T1438" s="15">
        <v>80</v>
      </c>
      <c r="U1438" s="15">
        <v>1</v>
      </c>
      <c r="V1438" s="15">
        <v>0</v>
      </c>
      <c r="W1438" s="15">
        <v>0</v>
      </c>
      <c r="X1438" s="15">
        <f>IF(O1438='Udvaskning nøgletal'!$D$65,1,IF(O1438='Udvaskning nøgletal'!$D$66,2,IF(O1438='Udvaskning nøgletal'!$D$67,3,IF(O1438='Udvaskning nøgletal'!$D$68,2,""))))</f>
        <v>1</v>
      </c>
      <c r="Y1438" s="15">
        <f>LOOKUP(K1438,'Udvaskning nøgletal'!$C$12:$C$60,'Udvaskning nøgletal'!$H$12:$H$60)</f>
        <v>0</v>
      </c>
      <c r="Z1438" s="10">
        <f>IF(X1438=1,LOOKUP(K1438,'Udvaskning nøgletal'!$C$12:$C$60,'Udvaskning nøgletal'!$E$12:$E$60)+Markniveau!Y1438*Markniveau!S1438/100,IF(X1438=2,LOOKUP(K1438,'Udvaskning nøgletal'!$C$12:$C$60,'Udvaskning nøgletal'!$F$12:$F$60)+Markniveau!Y1438*Markniveau!S1438/100,IF(X1438=3,LOOKUP(K1438,'Udvaskning nøgletal'!$C$12:$C$60,'Udvaskning nøgletal'!G1448:G1496)+Markniveau!Y1438*Markniveau!S1438/100,"")))</f>
        <v>21.2</v>
      </c>
      <c r="AA1438" s="10">
        <f t="shared" si="226"/>
        <v>6.7839999999999998</v>
      </c>
      <c r="AB1438" s="10">
        <f t="shared" si="225"/>
        <v>2.12</v>
      </c>
      <c r="AC1438" s="10">
        <f t="shared" si="227"/>
        <v>0.6784</v>
      </c>
      <c r="AD1438" s="10">
        <f>IF(AND(Q1438&gt;0,Q1438&lt;30,K1438&lt;8),Markniveau!Z1438*'Udvaskning nøgletal'!$I$12/100,IF(AND(Q1438&gt;0,Q1438&lt;30,K1438=216),Markniveau!Z1438*'Udvaskning nøgletal'!$I$34/100,Markniveau!Z1438))</f>
        <v>21.2</v>
      </c>
      <c r="AE1438" s="10">
        <f t="shared" si="233"/>
        <v>6.7839999999999998</v>
      </c>
      <c r="AF1438" s="10">
        <f t="shared" si="228"/>
        <v>2.12</v>
      </c>
      <c r="AG1438" s="10">
        <f t="shared" si="234"/>
        <v>0.6784</v>
      </c>
      <c r="AH1438" s="10" t="str">
        <f>IF(AND(Q1438&gt;0,Q1438&lt;30,K1438=216),'Udvaskning nøgletal'!$C$42,IF(AND(Q1438&gt;0,Q1438&lt;30,K1438&gt;7,K1438&lt;17),'Udvaskning nøgletal'!$C$61,IF(AND(Q1438&gt;0,Q1438&lt;30,K1438&lt;7),'Udvaskning nøgletal'!$C$62,"")))</f>
        <v/>
      </c>
      <c r="AI1438" s="10">
        <f t="shared" si="230"/>
        <v>252</v>
      </c>
      <c r="AJ1438" s="10">
        <f>IF($X1438=1,LOOKUP(AI1438,'Udvaskning nøgletal'!$C$12:$C$62,'Udvaskning nøgletal'!$E$12:$E$62)+Markniveau!$Y1438*Markniveau!$S1438/100,IF($X1438=2,LOOKUP(AI1438,'Udvaskning nøgletal'!$C$12:$C$62,'Udvaskning nøgletal'!$F$12:$F$62)+Markniveau!$Y1438*Markniveau!$S1438/100,IF($X1438=3,LOOKUP(AI1438,'Udvaskning nøgletal'!$C$12:$C$62,'Udvaskning nøgletal'!Q1448:Q1498)+Markniveau!$Y1438*Markniveau!$S1438/100,"")))</f>
        <v>21.2</v>
      </c>
      <c r="AK1438" s="10">
        <f t="shared" si="229"/>
        <v>6.7839999999999998</v>
      </c>
      <c r="AL1438" s="10">
        <f t="shared" si="231"/>
        <v>2.12</v>
      </c>
      <c r="AM1438" s="10">
        <f t="shared" si="232"/>
        <v>0.6784</v>
      </c>
    </row>
    <row r="1439" spans="1:39" x14ac:dyDescent="0.25">
      <c r="A1439" s="15">
        <v>72487214</v>
      </c>
      <c r="B1439" s="15">
        <v>339.74</v>
      </c>
      <c r="C1439" s="15">
        <v>119137</v>
      </c>
      <c r="D1439" s="15">
        <v>53562</v>
      </c>
      <c r="E1439" s="15" t="s">
        <v>1213</v>
      </c>
      <c r="F1439" s="15">
        <v>2011</v>
      </c>
      <c r="G1439" s="15">
        <v>20110414</v>
      </c>
      <c r="H1439" s="15">
        <v>36257</v>
      </c>
      <c r="I1439" s="15">
        <v>3.63</v>
      </c>
      <c r="J1439" s="6" t="s">
        <v>133</v>
      </c>
      <c r="K1439" s="15">
        <v>216</v>
      </c>
      <c r="L1439" s="15" t="s">
        <v>116</v>
      </c>
      <c r="M1439" s="15" t="s">
        <v>5</v>
      </c>
      <c r="N1439" s="11" t="s">
        <v>1384</v>
      </c>
      <c r="O1439" s="11" t="s">
        <v>28</v>
      </c>
      <c r="P1439" s="11" t="s">
        <v>33</v>
      </c>
      <c r="Q1439" s="15">
        <v>0</v>
      </c>
      <c r="R1439" s="11" t="s">
        <v>1386</v>
      </c>
      <c r="S1439" s="10">
        <v>205.81939178997999</v>
      </c>
      <c r="T1439" s="15">
        <v>80</v>
      </c>
      <c r="U1439" s="15">
        <v>1</v>
      </c>
      <c r="V1439" s="15">
        <v>0</v>
      </c>
      <c r="W1439" s="15">
        <v>0</v>
      </c>
      <c r="X1439" s="15">
        <f>IF(O1439='Udvaskning nøgletal'!$D$65,1,IF(O1439='Udvaskning nøgletal'!$D$66,2,IF(O1439='Udvaskning nøgletal'!$D$67,3,IF(O1439='Udvaskning nøgletal'!$D$68,2,""))))</f>
        <v>1</v>
      </c>
      <c r="Y1439" s="15">
        <f>LOOKUP(K1439,'Udvaskning nøgletal'!$C$12:$C$60,'Udvaskning nøgletal'!$H$12:$H$60)</f>
        <v>0</v>
      </c>
      <c r="Z1439" s="10">
        <f>IF(X1439=1,LOOKUP(K1439,'Udvaskning nøgletal'!$C$12:$C$60,'Udvaskning nøgletal'!$E$12:$E$60)+Markniveau!Y1439*Markniveau!S1439/100,IF(X1439=2,LOOKUP(K1439,'Udvaskning nøgletal'!$C$12:$C$60,'Udvaskning nøgletal'!$F$12:$F$60)+Markniveau!Y1439*Markniveau!S1439/100,IF(X1439=3,LOOKUP(K1439,'Udvaskning nøgletal'!$C$12:$C$60,'Udvaskning nøgletal'!G1449:G1497)+Markniveau!Y1439*Markniveau!S1439/100,"")))</f>
        <v>125.85383557148924</v>
      </c>
      <c r="AA1439" s="10">
        <f t="shared" si="226"/>
        <v>456.84942312450596</v>
      </c>
      <c r="AB1439" s="10" t="str">
        <f t="shared" si="225"/>
        <v/>
      </c>
      <c r="AC1439" s="10" t="str">
        <f t="shared" si="227"/>
        <v/>
      </c>
      <c r="AD1439" s="10">
        <f>IF(AND(Q1439&gt;0,Q1439&lt;30,K1439&lt;8),Markniveau!Z1439*'Udvaskning nøgletal'!$I$12/100,IF(AND(Q1439&gt;0,Q1439&lt;30,K1439=216),Markniveau!Z1439*'Udvaskning nøgletal'!$I$34/100,Markniveau!Z1439))</f>
        <v>125.85383557148924</v>
      </c>
      <c r="AE1439" s="10">
        <f t="shared" si="233"/>
        <v>456.84942312450596</v>
      </c>
      <c r="AF1439" s="10" t="str">
        <f t="shared" si="228"/>
        <v/>
      </c>
      <c r="AG1439" s="10" t="str">
        <f t="shared" si="234"/>
        <v/>
      </c>
      <c r="AH1439" s="10" t="str">
        <f>IF(AND(Q1439&gt;0,Q1439&lt;30,K1439=216),'Udvaskning nøgletal'!$C$42,IF(AND(Q1439&gt;0,Q1439&lt;30,K1439&gt;7,K1439&lt;17),'Udvaskning nøgletal'!$C$61,IF(AND(Q1439&gt;0,Q1439&lt;30,K1439&lt;7),'Udvaskning nøgletal'!$C$62,"")))</f>
        <v/>
      </c>
      <c r="AI1439" s="10">
        <f t="shared" si="230"/>
        <v>216</v>
      </c>
      <c r="AJ1439" s="10">
        <f>IF($X1439=1,LOOKUP(AI1439,'Udvaskning nøgletal'!$C$12:$C$62,'Udvaskning nøgletal'!$E$12:$E$62)+Markniveau!$Y1439*Markniveau!$S1439/100,IF($X1439=2,LOOKUP(AI1439,'Udvaskning nøgletal'!$C$12:$C$62,'Udvaskning nøgletal'!$F$12:$F$62)+Markniveau!$Y1439*Markniveau!$S1439/100,IF($X1439=3,LOOKUP(AI1439,'Udvaskning nøgletal'!$C$12:$C$62,'Udvaskning nøgletal'!Q1449:Q1499)+Markniveau!$Y1439*Markniveau!$S1439/100,"")))</f>
        <v>125.85383557148924</v>
      </c>
      <c r="AK1439" s="10">
        <f t="shared" si="229"/>
        <v>456.84942312450596</v>
      </c>
      <c r="AL1439" s="10" t="str">
        <f t="shared" si="231"/>
        <v/>
      </c>
      <c r="AM1439" s="10" t="str">
        <f t="shared" si="232"/>
        <v/>
      </c>
    </row>
    <row r="1440" spans="1:39" x14ac:dyDescent="0.25">
      <c r="A1440" s="15">
        <v>72487214</v>
      </c>
      <c r="B1440" s="15">
        <v>339.74</v>
      </c>
      <c r="C1440" s="15">
        <v>146039</v>
      </c>
      <c r="D1440" s="15">
        <v>53562</v>
      </c>
      <c r="E1440" s="15" t="s">
        <v>449</v>
      </c>
      <c r="F1440" s="15">
        <v>2011</v>
      </c>
      <c r="G1440" s="15">
        <v>20110425</v>
      </c>
      <c r="H1440" s="15">
        <v>209396</v>
      </c>
      <c r="I1440" s="15">
        <v>20.94</v>
      </c>
      <c r="J1440" s="6" t="s">
        <v>980</v>
      </c>
      <c r="K1440" s="15">
        <v>216</v>
      </c>
      <c r="L1440" s="15" t="s">
        <v>116</v>
      </c>
      <c r="M1440" s="15" t="s">
        <v>5</v>
      </c>
      <c r="N1440" s="11" t="s">
        <v>1384</v>
      </c>
      <c r="O1440" s="11" t="s">
        <v>28</v>
      </c>
      <c r="P1440" s="11" t="s">
        <v>29</v>
      </c>
      <c r="Q1440" s="15">
        <v>95</v>
      </c>
      <c r="R1440" s="11" t="s">
        <v>3</v>
      </c>
      <c r="S1440" s="10">
        <v>205.81939178997999</v>
      </c>
      <c r="T1440" s="15">
        <v>80</v>
      </c>
      <c r="U1440" s="15">
        <v>1</v>
      </c>
      <c r="V1440" s="15">
        <v>0</v>
      </c>
      <c r="W1440" s="15">
        <v>0</v>
      </c>
      <c r="X1440" s="15">
        <f>IF(O1440='Udvaskning nøgletal'!$D$65,1,IF(O1440='Udvaskning nøgletal'!$D$66,2,IF(O1440='Udvaskning nøgletal'!$D$67,3,IF(O1440='Udvaskning nøgletal'!$D$68,2,""))))</f>
        <v>1</v>
      </c>
      <c r="Y1440" s="15">
        <f>LOOKUP(K1440,'Udvaskning nøgletal'!$C$12:$C$60,'Udvaskning nøgletal'!$H$12:$H$60)</f>
        <v>0</v>
      </c>
      <c r="Z1440" s="10">
        <f>IF(X1440=1,LOOKUP(K1440,'Udvaskning nøgletal'!$C$12:$C$60,'Udvaskning nøgletal'!$E$12:$E$60)+Markniveau!Y1440*Markniveau!S1440/100,IF(X1440=2,LOOKUP(K1440,'Udvaskning nøgletal'!$C$12:$C$60,'Udvaskning nøgletal'!$F$12:$F$60)+Markniveau!Y1440*Markniveau!S1440/100,IF(X1440=3,LOOKUP(K1440,'Udvaskning nøgletal'!$C$12:$C$60,'Udvaskning nøgletal'!G1450:G1498)+Markniveau!Y1440*Markniveau!S1440/100,"")))</f>
        <v>125.85383557148924</v>
      </c>
      <c r="AA1440" s="10">
        <f t="shared" si="226"/>
        <v>2635.3793168669849</v>
      </c>
      <c r="AB1440" s="10">
        <f t="shared" si="225"/>
        <v>6.2926917785744623</v>
      </c>
      <c r="AC1440" s="10">
        <f t="shared" si="227"/>
        <v>131.76896584334924</v>
      </c>
      <c r="AD1440" s="10">
        <f>IF(AND(Q1440&gt;0,Q1440&lt;30,K1440&lt;8),Markniveau!Z1440*'Udvaskning nøgletal'!$I$12/100,IF(AND(Q1440&gt;0,Q1440&lt;30,K1440=216),Markniveau!Z1440*'Udvaskning nøgletal'!$I$34/100,Markniveau!Z1440))</f>
        <v>125.85383557148924</v>
      </c>
      <c r="AE1440" s="10">
        <f t="shared" si="233"/>
        <v>2635.3793168669849</v>
      </c>
      <c r="AF1440" s="10">
        <f t="shared" si="228"/>
        <v>6.2926917785744623</v>
      </c>
      <c r="AG1440" s="10">
        <f t="shared" si="234"/>
        <v>131.76896584334924</v>
      </c>
      <c r="AH1440" s="10" t="str">
        <f>IF(AND(Q1440&gt;0,Q1440&lt;30,K1440=216),'Udvaskning nøgletal'!$C$42,IF(AND(Q1440&gt;0,Q1440&lt;30,K1440&gt;7,K1440&lt;17),'Udvaskning nøgletal'!$C$61,IF(AND(Q1440&gt;0,Q1440&lt;30,K1440&lt;7),'Udvaskning nøgletal'!$C$62,"")))</f>
        <v/>
      </c>
      <c r="AI1440" s="10">
        <f t="shared" si="230"/>
        <v>216</v>
      </c>
      <c r="AJ1440" s="10">
        <f>IF($X1440=1,LOOKUP(AI1440,'Udvaskning nøgletal'!$C$12:$C$62,'Udvaskning nøgletal'!$E$12:$E$62)+Markniveau!$Y1440*Markniveau!$S1440/100,IF($X1440=2,LOOKUP(AI1440,'Udvaskning nøgletal'!$C$12:$C$62,'Udvaskning nøgletal'!$F$12:$F$62)+Markniveau!$Y1440*Markniveau!$S1440/100,IF($X1440=3,LOOKUP(AI1440,'Udvaskning nøgletal'!$C$12:$C$62,'Udvaskning nøgletal'!Q1450:Q1500)+Markniveau!$Y1440*Markniveau!$S1440/100,"")))</f>
        <v>125.85383557148924</v>
      </c>
      <c r="AK1440" s="10">
        <f t="shared" si="229"/>
        <v>2635.3793168669849</v>
      </c>
      <c r="AL1440" s="10">
        <f t="shared" si="231"/>
        <v>6.2926917785744623</v>
      </c>
      <c r="AM1440" s="10">
        <f t="shared" si="232"/>
        <v>131.76896584334924</v>
      </c>
    </row>
    <row r="1441" spans="1:39" x14ac:dyDescent="0.25">
      <c r="A1441" s="15">
        <v>72487214</v>
      </c>
      <c r="B1441" s="15">
        <v>339.74</v>
      </c>
      <c r="C1441" s="15">
        <v>149974</v>
      </c>
      <c r="D1441" s="15">
        <v>53562</v>
      </c>
      <c r="E1441" s="15" t="s">
        <v>1214</v>
      </c>
      <c r="F1441" s="15">
        <v>2011</v>
      </c>
      <c r="G1441" s="15">
        <v>20110425</v>
      </c>
      <c r="H1441" s="15">
        <v>38212</v>
      </c>
      <c r="I1441" s="15">
        <v>3.82</v>
      </c>
      <c r="J1441" s="6" t="s">
        <v>1528</v>
      </c>
      <c r="K1441" s="15">
        <v>230</v>
      </c>
      <c r="L1441" s="15" t="s">
        <v>120</v>
      </c>
      <c r="M1441" s="15" t="s">
        <v>5</v>
      </c>
      <c r="N1441" s="11" t="s">
        <v>1384</v>
      </c>
      <c r="O1441" s="11" t="s">
        <v>28</v>
      </c>
      <c r="P1441" s="11" t="s">
        <v>29</v>
      </c>
      <c r="Q1441" s="15">
        <v>40</v>
      </c>
      <c r="R1441" s="11" t="s">
        <v>6</v>
      </c>
      <c r="S1441" s="10">
        <v>205.81939178997999</v>
      </c>
      <c r="T1441" s="15">
        <v>80</v>
      </c>
      <c r="U1441" s="15">
        <v>1</v>
      </c>
      <c r="V1441" s="15">
        <v>0</v>
      </c>
      <c r="W1441" s="15">
        <v>0</v>
      </c>
      <c r="X1441" s="15">
        <f>IF(O1441='Udvaskning nøgletal'!$D$65,1,IF(O1441='Udvaskning nøgletal'!$D$66,2,IF(O1441='Udvaskning nøgletal'!$D$67,3,IF(O1441='Udvaskning nøgletal'!$D$68,2,""))))</f>
        <v>1</v>
      </c>
      <c r="Y1441" s="15">
        <f>LOOKUP(K1441,'Udvaskning nøgletal'!$C$12:$C$60,'Udvaskning nøgletal'!$H$12:$H$60)</f>
        <v>0</v>
      </c>
      <c r="Z1441" s="10">
        <f>IF(X1441=1,LOOKUP(K1441,'Udvaskning nøgletal'!$C$12:$C$60,'Udvaskning nøgletal'!$E$12:$E$60)+Markniveau!Y1441*Markniveau!S1441/100,IF(X1441=2,LOOKUP(K1441,'Udvaskning nøgletal'!$C$12:$C$60,'Udvaskning nøgletal'!$F$12:$F$60)+Markniveau!Y1441*Markniveau!S1441/100,IF(X1441=3,LOOKUP(K1441,'Udvaskning nøgletal'!$C$12:$C$60,'Udvaskning nøgletal'!G1451:G1499)+Markniveau!Y1441*Markniveau!S1441/100,"")))</f>
        <v>38.620385460262987</v>
      </c>
      <c r="AA1441" s="10">
        <f t="shared" si="226"/>
        <v>147.52987245820461</v>
      </c>
      <c r="AB1441" s="10">
        <f t="shared" si="225"/>
        <v>23.172231276157792</v>
      </c>
      <c r="AC1441" s="10">
        <f t="shared" si="227"/>
        <v>88.517923474922767</v>
      </c>
      <c r="AD1441" s="10">
        <f>IF(AND(Q1441&gt;0,Q1441&lt;30,K1441&lt;8),Markniveau!Z1441*'Udvaskning nøgletal'!$I$12/100,IF(AND(Q1441&gt;0,Q1441&lt;30,K1441=216),Markniveau!Z1441*'Udvaskning nøgletal'!$I$34/100,Markniveau!Z1441))</f>
        <v>38.620385460262987</v>
      </c>
      <c r="AE1441" s="10">
        <f t="shared" si="233"/>
        <v>147.52987245820461</v>
      </c>
      <c r="AF1441" s="10">
        <f t="shared" si="228"/>
        <v>23.172231276157792</v>
      </c>
      <c r="AG1441" s="10">
        <f t="shared" si="234"/>
        <v>88.517923474922767</v>
      </c>
      <c r="AH1441" s="10" t="str">
        <f>IF(AND(Q1441&gt;0,Q1441&lt;30,K1441=216),'Udvaskning nøgletal'!$C$42,IF(AND(Q1441&gt;0,Q1441&lt;30,K1441&gt;7,K1441&lt;17),'Udvaskning nøgletal'!$C$61,IF(AND(Q1441&gt;0,Q1441&lt;30,K1441&lt;7),'Udvaskning nøgletal'!$C$62,"")))</f>
        <v/>
      </c>
      <c r="AI1441" s="10">
        <f t="shared" si="230"/>
        <v>230</v>
      </c>
      <c r="AJ1441" s="10">
        <f>IF($X1441=1,LOOKUP(AI1441,'Udvaskning nøgletal'!$C$12:$C$62,'Udvaskning nøgletal'!$E$12:$E$62)+Markniveau!$Y1441*Markniveau!$S1441/100,IF($X1441=2,LOOKUP(AI1441,'Udvaskning nøgletal'!$C$12:$C$62,'Udvaskning nøgletal'!$F$12:$F$62)+Markniveau!$Y1441*Markniveau!$S1441/100,IF($X1441=3,LOOKUP(AI1441,'Udvaskning nøgletal'!$C$12:$C$62,'Udvaskning nøgletal'!Q1451:Q1501)+Markniveau!$Y1441*Markniveau!$S1441/100,"")))</f>
        <v>38.620385460262987</v>
      </c>
      <c r="AK1441" s="10">
        <f t="shared" si="229"/>
        <v>147.52987245820461</v>
      </c>
      <c r="AL1441" s="10">
        <f t="shared" si="231"/>
        <v>23.172231276157792</v>
      </c>
      <c r="AM1441" s="10">
        <f t="shared" si="232"/>
        <v>88.517923474922767</v>
      </c>
    </row>
    <row r="1442" spans="1:39" x14ac:dyDescent="0.25">
      <c r="A1442" s="15">
        <v>72487214</v>
      </c>
      <c r="B1442" s="15">
        <v>339.74</v>
      </c>
      <c r="C1442" s="15">
        <v>151588</v>
      </c>
      <c r="D1442" s="15">
        <v>53562</v>
      </c>
      <c r="E1442" s="15" t="s">
        <v>1215</v>
      </c>
      <c r="F1442" s="15">
        <v>2011</v>
      </c>
      <c r="G1442" s="15">
        <v>20110425</v>
      </c>
      <c r="H1442" s="15">
        <v>51183</v>
      </c>
      <c r="I1442" s="15">
        <v>5.12</v>
      </c>
      <c r="J1442" s="6" t="s">
        <v>301</v>
      </c>
      <c r="K1442" s="15">
        <v>216</v>
      </c>
      <c r="L1442" s="15" t="s">
        <v>116</v>
      </c>
      <c r="M1442" s="15" t="s">
        <v>5</v>
      </c>
      <c r="N1442" s="11" t="s">
        <v>1384</v>
      </c>
      <c r="O1442" s="11" t="s">
        <v>28</v>
      </c>
      <c r="P1442" s="11" t="s">
        <v>33</v>
      </c>
      <c r="Q1442" s="15">
        <v>40</v>
      </c>
      <c r="R1442" s="11" t="s">
        <v>6</v>
      </c>
      <c r="S1442" s="10">
        <v>205.81939178997999</v>
      </c>
      <c r="T1442" s="15">
        <v>80</v>
      </c>
      <c r="U1442" s="15">
        <v>1</v>
      </c>
      <c r="V1442" s="15">
        <v>0</v>
      </c>
      <c r="W1442" s="15">
        <v>0</v>
      </c>
      <c r="X1442" s="15">
        <f>IF(O1442='Udvaskning nøgletal'!$D$65,1,IF(O1442='Udvaskning nøgletal'!$D$66,2,IF(O1442='Udvaskning nøgletal'!$D$67,3,IF(O1442='Udvaskning nøgletal'!$D$68,2,""))))</f>
        <v>1</v>
      </c>
      <c r="Y1442" s="15">
        <f>LOOKUP(K1442,'Udvaskning nøgletal'!$C$12:$C$60,'Udvaskning nøgletal'!$H$12:$H$60)</f>
        <v>0</v>
      </c>
      <c r="Z1442" s="10">
        <f>IF(X1442=1,LOOKUP(K1442,'Udvaskning nøgletal'!$C$12:$C$60,'Udvaskning nøgletal'!$E$12:$E$60)+Markniveau!Y1442*Markniveau!S1442/100,IF(X1442=2,LOOKUP(K1442,'Udvaskning nøgletal'!$C$12:$C$60,'Udvaskning nøgletal'!$F$12:$F$60)+Markniveau!Y1442*Markniveau!S1442/100,IF(X1442=3,LOOKUP(K1442,'Udvaskning nøgletal'!$C$12:$C$60,'Udvaskning nøgletal'!G1452:G1500)+Markniveau!Y1442*Markniveau!S1442/100,"")))</f>
        <v>125.85383557148924</v>
      </c>
      <c r="AA1442" s="10">
        <f t="shared" si="226"/>
        <v>644.37163812602489</v>
      </c>
      <c r="AB1442" s="10">
        <f t="shared" si="225"/>
        <v>75.512301342893537</v>
      </c>
      <c r="AC1442" s="10">
        <f t="shared" si="227"/>
        <v>386.62298287561492</v>
      </c>
      <c r="AD1442" s="10">
        <f>IF(AND(Q1442&gt;0,Q1442&lt;30,K1442&lt;8),Markniveau!Z1442*'Udvaskning nøgletal'!$I$12/100,IF(AND(Q1442&gt;0,Q1442&lt;30,K1442=216),Markniveau!Z1442*'Udvaskning nøgletal'!$I$34/100,Markniveau!Z1442))</f>
        <v>125.85383557148924</v>
      </c>
      <c r="AE1442" s="10">
        <f t="shared" si="233"/>
        <v>644.37163812602489</v>
      </c>
      <c r="AF1442" s="10">
        <f t="shared" si="228"/>
        <v>75.512301342893537</v>
      </c>
      <c r="AG1442" s="10">
        <f t="shared" si="234"/>
        <v>386.62298287561492</v>
      </c>
      <c r="AH1442" s="10" t="str">
        <f>IF(AND(Q1442&gt;0,Q1442&lt;30,K1442=216),'Udvaskning nøgletal'!$C$42,IF(AND(Q1442&gt;0,Q1442&lt;30,K1442&gt;7,K1442&lt;17),'Udvaskning nøgletal'!$C$61,IF(AND(Q1442&gt;0,Q1442&lt;30,K1442&lt;7),'Udvaskning nøgletal'!$C$62,"")))</f>
        <v/>
      </c>
      <c r="AI1442" s="10">
        <f t="shared" si="230"/>
        <v>216</v>
      </c>
      <c r="AJ1442" s="10">
        <f>IF($X1442=1,LOOKUP(AI1442,'Udvaskning nøgletal'!$C$12:$C$62,'Udvaskning nøgletal'!$E$12:$E$62)+Markniveau!$Y1442*Markniveau!$S1442/100,IF($X1442=2,LOOKUP(AI1442,'Udvaskning nøgletal'!$C$12:$C$62,'Udvaskning nøgletal'!$F$12:$F$62)+Markniveau!$Y1442*Markniveau!$S1442/100,IF($X1442=3,LOOKUP(AI1442,'Udvaskning nøgletal'!$C$12:$C$62,'Udvaskning nøgletal'!Q1452:Q1502)+Markniveau!$Y1442*Markniveau!$S1442/100,"")))</f>
        <v>125.85383557148924</v>
      </c>
      <c r="AK1442" s="10">
        <f t="shared" si="229"/>
        <v>644.37163812602489</v>
      </c>
      <c r="AL1442" s="10">
        <f t="shared" si="231"/>
        <v>75.512301342893537</v>
      </c>
      <c r="AM1442" s="10">
        <f t="shared" si="232"/>
        <v>386.62298287561492</v>
      </c>
    </row>
    <row r="1443" spans="1:39" x14ac:dyDescent="0.25">
      <c r="A1443" s="15">
        <v>72487214</v>
      </c>
      <c r="B1443" s="15">
        <v>339.74</v>
      </c>
      <c r="C1443" s="15">
        <v>152099</v>
      </c>
      <c r="D1443" s="15">
        <v>53562</v>
      </c>
      <c r="E1443" s="15" t="s">
        <v>1216</v>
      </c>
      <c r="F1443" s="15">
        <v>2011</v>
      </c>
      <c r="G1443" s="15">
        <v>20110425</v>
      </c>
      <c r="H1443" s="15">
        <v>13338</v>
      </c>
      <c r="I1443" s="15">
        <v>1.33</v>
      </c>
      <c r="J1443" s="6" t="s">
        <v>545</v>
      </c>
      <c r="K1443" s="15">
        <v>251</v>
      </c>
      <c r="L1443" s="15" t="s">
        <v>355</v>
      </c>
      <c r="M1443" s="15" t="s">
        <v>4</v>
      </c>
      <c r="N1443" s="11" t="s">
        <v>1390</v>
      </c>
      <c r="O1443" s="11" t="s">
        <v>42</v>
      </c>
      <c r="P1443" s="11" t="s">
        <v>29</v>
      </c>
      <c r="Q1443" s="15">
        <v>95</v>
      </c>
      <c r="R1443" s="11" t="s">
        <v>3</v>
      </c>
      <c r="S1443" s="10">
        <v>205.81939178997999</v>
      </c>
      <c r="T1443" s="15">
        <v>80</v>
      </c>
      <c r="U1443" s="15">
        <v>1</v>
      </c>
      <c r="V1443" s="15">
        <v>0</v>
      </c>
      <c r="W1443" s="15">
        <v>0</v>
      </c>
      <c r="X1443" s="15">
        <f>IF(O1443='Udvaskning nøgletal'!$D$65,1,IF(O1443='Udvaskning nøgletal'!$D$66,2,IF(O1443='Udvaskning nøgletal'!$D$67,3,IF(O1443='Udvaskning nøgletal'!$D$68,2,""))))</f>
        <v>2</v>
      </c>
      <c r="Y1443" s="15">
        <f>LOOKUP(K1443,'Udvaskning nøgletal'!$C$12:$C$60,'Udvaskning nøgletal'!$H$12:$H$60)</f>
        <v>0</v>
      </c>
      <c r="Z1443" s="10">
        <f>IF(X1443=1,LOOKUP(K1443,'Udvaskning nøgletal'!$C$12:$C$60,'Udvaskning nøgletal'!$E$12:$E$60)+Markniveau!Y1443*Markniveau!S1443/100,IF(X1443=2,LOOKUP(K1443,'Udvaskning nøgletal'!$C$12:$C$60,'Udvaskning nøgletal'!$F$12:$F$60)+Markniveau!Y1443*Markniveau!S1443/100,IF(X1443=3,LOOKUP(K1443,'Udvaskning nøgletal'!$C$12:$C$60,'Udvaskning nøgletal'!G1453:G1501)+Markniveau!Y1443*Markniveau!S1443/100,"")))</f>
        <v>21.2</v>
      </c>
      <c r="AA1443" s="10">
        <f t="shared" si="226"/>
        <v>28.196000000000002</v>
      </c>
      <c r="AB1443" s="10">
        <f t="shared" si="225"/>
        <v>1.06</v>
      </c>
      <c r="AC1443" s="10">
        <f t="shared" si="227"/>
        <v>1.4098000000000002</v>
      </c>
      <c r="AD1443" s="10">
        <f>IF(AND(Q1443&gt;0,Q1443&lt;30,K1443&lt;8),Markniveau!Z1443*'Udvaskning nøgletal'!$I$12/100,IF(AND(Q1443&gt;0,Q1443&lt;30,K1443=216),Markniveau!Z1443*'Udvaskning nøgletal'!$I$34/100,Markniveau!Z1443))</f>
        <v>21.2</v>
      </c>
      <c r="AE1443" s="10">
        <f t="shared" si="233"/>
        <v>28.196000000000002</v>
      </c>
      <c r="AF1443" s="10">
        <f t="shared" si="228"/>
        <v>1.06</v>
      </c>
      <c r="AG1443" s="10">
        <f t="shared" si="234"/>
        <v>1.4098000000000002</v>
      </c>
      <c r="AH1443" s="10" t="str">
        <f>IF(AND(Q1443&gt;0,Q1443&lt;30,K1443=216),'Udvaskning nøgletal'!$C$42,IF(AND(Q1443&gt;0,Q1443&lt;30,K1443&gt;7,K1443&lt;17),'Udvaskning nøgletal'!$C$61,IF(AND(Q1443&gt;0,Q1443&lt;30,K1443&lt;7),'Udvaskning nøgletal'!$C$62,"")))</f>
        <v/>
      </c>
      <c r="AI1443" s="10">
        <f t="shared" si="230"/>
        <v>251</v>
      </c>
      <c r="AJ1443" s="10">
        <f>IF($X1443=1,LOOKUP(AI1443,'Udvaskning nøgletal'!$C$12:$C$62,'Udvaskning nøgletal'!$E$12:$E$62)+Markniveau!$Y1443*Markniveau!$S1443/100,IF($X1443=2,LOOKUP(AI1443,'Udvaskning nøgletal'!$C$12:$C$62,'Udvaskning nøgletal'!$F$12:$F$62)+Markniveau!$Y1443*Markniveau!$S1443/100,IF($X1443=3,LOOKUP(AI1443,'Udvaskning nøgletal'!$C$12:$C$62,'Udvaskning nøgletal'!Q1453:Q1503)+Markniveau!$Y1443*Markniveau!$S1443/100,"")))</f>
        <v>21.2</v>
      </c>
      <c r="AK1443" s="10">
        <f t="shared" si="229"/>
        <v>28.196000000000002</v>
      </c>
      <c r="AL1443" s="10">
        <f t="shared" si="231"/>
        <v>1.06</v>
      </c>
      <c r="AM1443" s="10">
        <f t="shared" si="232"/>
        <v>1.4098000000000002</v>
      </c>
    </row>
    <row r="1444" spans="1:39" x14ac:dyDescent="0.25">
      <c r="A1444" s="15">
        <v>72487214</v>
      </c>
      <c r="B1444" s="15">
        <v>339.74</v>
      </c>
      <c r="C1444" s="15">
        <v>153439</v>
      </c>
      <c r="D1444" s="15">
        <v>53562</v>
      </c>
      <c r="E1444" s="15" t="s">
        <v>1217</v>
      </c>
      <c r="F1444" s="15">
        <v>2011</v>
      </c>
      <c r="G1444" s="15">
        <v>20110425</v>
      </c>
      <c r="H1444" s="15">
        <v>38276</v>
      </c>
      <c r="I1444" s="15">
        <v>3.83</v>
      </c>
      <c r="J1444" s="6" t="s">
        <v>36</v>
      </c>
      <c r="K1444" s="15">
        <v>216</v>
      </c>
      <c r="L1444" s="15" t="s">
        <v>116</v>
      </c>
      <c r="M1444" s="15" t="s">
        <v>5</v>
      </c>
      <c r="N1444" s="11" t="s">
        <v>1384</v>
      </c>
      <c r="O1444" s="11" t="s">
        <v>28</v>
      </c>
      <c r="P1444" s="11" t="s">
        <v>29</v>
      </c>
      <c r="Q1444" s="15">
        <v>95</v>
      </c>
      <c r="R1444" s="11" t="s">
        <v>3</v>
      </c>
      <c r="S1444" s="10">
        <v>205.81939178997999</v>
      </c>
      <c r="T1444" s="15">
        <v>80</v>
      </c>
      <c r="U1444" s="15">
        <v>1</v>
      </c>
      <c r="V1444" s="15">
        <v>0</v>
      </c>
      <c r="W1444" s="15">
        <v>0</v>
      </c>
      <c r="X1444" s="15">
        <f>IF(O1444='Udvaskning nøgletal'!$D$65,1,IF(O1444='Udvaskning nøgletal'!$D$66,2,IF(O1444='Udvaskning nøgletal'!$D$67,3,IF(O1444='Udvaskning nøgletal'!$D$68,2,""))))</f>
        <v>1</v>
      </c>
      <c r="Y1444" s="15">
        <f>LOOKUP(K1444,'Udvaskning nøgletal'!$C$12:$C$60,'Udvaskning nøgletal'!$H$12:$H$60)</f>
        <v>0</v>
      </c>
      <c r="Z1444" s="10">
        <f>IF(X1444=1,LOOKUP(K1444,'Udvaskning nøgletal'!$C$12:$C$60,'Udvaskning nøgletal'!$E$12:$E$60)+Markniveau!Y1444*Markniveau!S1444/100,IF(X1444=2,LOOKUP(K1444,'Udvaskning nøgletal'!$C$12:$C$60,'Udvaskning nøgletal'!$F$12:$F$60)+Markniveau!Y1444*Markniveau!S1444/100,IF(X1444=3,LOOKUP(K1444,'Udvaskning nøgletal'!$C$12:$C$60,'Udvaskning nøgletal'!G1454:G1502)+Markniveau!Y1444*Markniveau!S1444/100,"")))</f>
        <v>125.85383557148924</v>
      </c>
      <c r="AA1444" s="10">
        <f t="shared" si="226"/>
        <v>482.02019023880382</v>
      </c>
      <c r="AB1444" s="10">
        <f t="shared" si="225"/>
        <v>6.2926917785744623</v>
      </c>
      <c r="AC1444" s="10">
        <f t="shared" si="227"/>
        <v>24.101009511940191</v>
      </c>
      <c r="AD1444" s="10">
        <f>IF(AND(Q1444&gt;0,Q1444&lt;30,K1444&lt;8),Markniveau!Z1444*'Udvaskning nøgletal'!$I$12/100,IF(AND(Q1444&gt;0,Q1444&lt;30,K1444=216),Markniveau!Z1444*'Udvaskning nøgletal'!$I$34/100,Markniveau!Z1444))</f>
        <v>125.85383557148924</v>
      </c>
      <c r="AE1444" s="10">
        <f t="shared" si="233"/>
        <v>482.02019023880382</v>
      </c>
      <c r="AF1444" s="10">
        <f t="shared" si="228"/>
        <v>6.2926917785744623</v>
      </c>
      <c r="AG1444" s="10">
        <f t="shared" si="234"/>
        <v>24.101009511940191</v>
      </c>
      <c r="AH1444" s="10" t="str">
        <f>IF(AND(Q1444&gt;0,Q1444&lt;30,K1444=216),'Udvaskning nøgletal'!$C$42,IF(AND(Q1444&gt;0,Q1444&lt;30,K1444&gt;7,K1444&lt;17),'Udvaskning nøgletal'!$C$61,IF(AND(Q1444&gt;0,Q1444&lt;30,K1444&lt;7),'Udvaskning nøgletal'!$C$62,"")))</f>
        <v/>
      </c>
      <c r="AI1444" s="10">
        <f t="shared" si="230"/>
        <v>216</v>
      </c>
      <c r="AJ1444" s="10">
        <f>IF($X1444=1,LOOKUP(AI1444,'Udvaskning nøgletal'!$C$12:$C$62,'Udvaskning nøgletal'!$E$12:$E$62)+Markniveau!$Y1444*Markniveau!$S1444/100,IF($X1444=2,LOOKUP(AI1444,'Udvaskning nøgletal'!$C$12:$C$62,'Udvaskning nøgletal'!$F$12:$F$62)+Markniveau!$Y1444*Markniveau!$S1444/100,IF($X1444=3,LOOKUP(AI1444,'Udvaskning nøgletal'!$C$12:$C$62,'Udvaskning nøgletal'!Q1454:Q1504)+Markniveau!$Y1444*Markniveau!$S1444/100,"")))</f>
        <v>125.85383557148924</v>
      </c>
      <c r="AK1444" s="10">
        <f t="shared" si="229"/>
        <v>482.02019023880382</v>
      </c>
      <c r="AL1444" s="10">
        <f t="shared" si="231"/>
        <v>6.2926917785744623</v>
      </c>
      <c r="AM1444" s="10">
        <f t="shared" si="232"/>
        <v>24.101009511940191</v>
      </c>
    </row>
    <row r="1445" spans="1:39" x14ac:dyDescent="0.25">
      <c r="A1445" s="15">
        <v>72487214</v>
      </c>
      <c r="B1445" s="15">
        <v>339.74</v>
      </c>
      <c r="C1445" s="15">
        <v>154860</v>
      </c>
      <c r="D1445" s="15">
        <v>53562</v>
      </c>
      <c r="E1445" s="15" t="s">
        <v>390</v>
      </c>
      <c r="F1445" s="15">
        <v>2011</v>
      </c>
      <c r="G1445" s="15">
        <v>20110425</v>
      </c>
      <c r="H1445" s="15">
        <v>57684</v>
      </c>
      <c r="I1445" s="15">
        <v>5.77</v>
      </c>
      <c r="J1445" s="6" t="s">
        <v>194</v>
      </c>
      <c r="K1445" s="15">
        <v>230</v>
      </c>
      <c r="L1445" s="15" t="s">
        <v>120</v>
      </c>
      <c r="M1445" s="15" t="s">
        <v>5</v>
      </c>
      <c r="N1445" s="11" t="s">
        <v>1406</v>
      </c>
      <c r="O1445" s="11" t="s">
        <v>46</v>
      </c>
      <c r="P1445" s="11" t="s">
        <v>29</v>
      </c>
      <c r="Q1445" s="15">
        <v>95</v>
      </c>
      <c r="R1445" s="11" t="s">
        <v>3</v>
      </c>
      <c r="S1445" s="10">
        <v>205.81939178997999</v>
      </c>
      <c r="T1445" s="15">
        <v>80</v>
      </c>
      <c r="U1445" s="15">
        <v>1</v>
      </c>
      <c r="V1445" s="15">
        <v>0</v>
      </c>
      <c r="W1445" s="15">
        <v>0</v>
      </c>
      <c r="X1445" s="15">
        <f>IF(O1445='Udvaskning nøgletal'!$D$65,1,IF(O1445='Udvaskning nøgletal'!$D$66,2,IF(O1445='Udvaskning nøgletal'!$D$67,3,IF(O1445='Udvaskning nøgletal'!$D$68,2,""))))</f>
        <v>2</v>
      </c>
      <c r="Y1445" s="15">
        <f>LOOKUP(K1445,'Udvaskning nøgletal'!$C$12:$C$60,'Udvaskning nøgletal'!$H$12:$H$60)</f>
        <v>0</v>
      </c>
      <c r="Z1445" s="10">
        <f>IF(X1445=1,LOOKUP(K1445,'Udvaskning nøgletal'!$C$12:$C$60,'Udvaskning nøgletal'!$E$12:$E$60)+Markniveau!Y1445*Markniveau!S1445/100,IF(X1445=2,LOOKUP(K1445,'Udvaskning nøgletal'!$C$12:$C$60,'Udvaskning nøgletal'!$F$12:$F$60)+Markniveau!Y1445*Markniveau!S1445/100,IF(X1445=3,LOOKUP(K1445,'Udvaskning nøgletal'!$C$12:$C$60,'Udvaskning nøgletal'!G1455:G1503)+Markniveau!Y1445*Markniveau!S1445/100,"")))</f>
        <v>31.161328188970323</v>
      </c>
      <c r="AA1445" s="10">
        <f t="shared" si="226"/>
        <v>179.80086365035876</v>
      </c>
      <c r="AB1445" s="10">
        <f t="shared" si="225"/>
        <v>1.5580664094485162</v>
      </c>
      <c r="AC1445" s="10">
        <f t="shared" si="227"/>
        <v>8.9900431825179368</v>
      </c>
      <c r="AD1445" s="10">
        <f>IF(AND(Q1445&gt;0,Q1445&lt;30,K1445&lt;8),Markniveau!Z1445*'Udvaskning nøgletal'!$I$12/100,IF(AND(Q1445&gt;0,Q1445&lt;30,K1445=216),Markniveau!Z1445*'Udvaskning nøgletal'!$I$34/100,Markniveau!Z1445))</f>
        <v>31.161328188970323</v>
      </c>
      <c r="AE1445" s="10">
        <f t="shared" si="233"/>
        <v>179.80086365035876</v>
      </c>
      <c r="AF1445" s="10">
        <f t="shared" si="228"/>
        <v>1.5580664094485162</v>
      </c>
      <c r="AG1445" s="10">
        <f t="shared" si="234"/>
        <v>8.9900431825179368</v>
      </c>
      <c r="AH1445" s="10" t="str">
        <f>IF(AND(Q1445&gt;0,Q1445&lt;30,K1445=216),'Udvaskning nøgletal'!$C$42,IF(AND(Q1445&gt;0,Q1445&lt;30,K1445&gt;7,K1445&lt;17),'Udvaskning nøgletal'!$C$61,IF(AND(Q1445&gt;0,Q1445&lt;30,K1445&lt;7),'Udvaskning nøgletal'!$C$62,"")))</f>
        <v/>
      </c>
      <c r="AI1445" s="10">
        <f t="shared" si="230"/>
        <v>230</v>
      </c>
      <c r="AJ1445" s="10">
        <f>IF($X1445=1,LOOKUP(AI1445,'Udvaskning nøgletal'!$C$12:$C$62,'Udvaskning nøgletal'!$E$12:$E$62)+Markniveau!$Y1445*Markniveau!$S1445/100,IF($X1445=2,LOOKUP(AI1445,'Udvaskning nøgletal'!$C$12:$C$62,'Udvaskning nøgletal'!$F$12:$F$62)+Markniveau!$Y1445*Markniveau!$S1445/100,IF($X1445=3,LOOKUP(AI1445,'Udvaskning nøgletal'!$C$12:$C$62,'Udvaskning nøgletal'!Q1455:Q1505)+Markniveau!$Y1445*Markniveau!$S1445/100,"")))</f>
        <v>31.161328188970323</v>
      </c>
      <c r="AK1445" s="10">
        <f t="shared" si="229"/>
        <v>179.80086365035876</v>
      </c>
      <c r="AL1445" s="10">
        <f t="shared" si="231"/>
        <v>1.5580664094485162</v>
      </c>
      <c r="AM1445" s="10">
        <f t="shared" si="232"/>
        <v>8.9900431825179368</v>
      </c>
    </row>
    <row r="1446" spans="1:39" x14ac:dyDescent="0.25">
      <c r="A1446" s="15">
        <v>72487214</v>
      </c>
      <c r="B1446" s="15">
        <v>339.74</v>
      </c>
      <c r="C1446" s="15">
        <v>160434</v>
      </c>
      <c r="D1446" s="15">
        <v>53562</v>
      </c>
      <c r="E1446" s="15" t="s">
        <v>1218</v>
      </c>
      <c r="F1446" s="15">
        <v>2011</v>
      </c>
      <c r="G1446" s="15">
        <v>20110425</v>
      </c>
      <c r="H1446" s="15">
        <v>94829</v>
      </c>
      <c r="I1446" s="15">
        <v>9.48</v>
      </c>
      <c r="J1446" s="6" t="s">
        <v>97</v>
      </c>
      <c r="K1446" s="15">
        <v>216</v>
      </c>
      <c r="L1446" s="15" t="s">
        <v>116</v>
      </c>
      <c r="M1446" s="15" t="s">
        <v>5</v>
      </c>
      <c r="N1446" s="11" t="s">
        <v>1384</v>
      </c>
      <c r="O1446" s="11" t="s">
        <v>28</v>
      </c>
      <c r="P1446" s="11" t="s">
        <v>29</v>
      </c>
      <c r="Q1446" s="15">
        <v>95</v>
      </c>
      <c r="R1446" s="11" t="s">
        <v>3</v>
      </c>
      <c r="S1446" s="10">
        <v>205.81939178997999</v>
      </c>
      <c r="T1446" s="15">
        <v>80</v>
      </c>
      <c r="U1446" s="15">
        <v>1</v>
      </c>
      <c r="V1446" s="15">
        <v>0</v>
      </c>
      <c r="W1446" s="15">
        <v>0</v>
      </c>
      <c r="X1446" s="15">
        <f>IF(O1446='Udvaskning nøgletal'!$D$65,1,IF(O1446='Udvaskning nøgletal'!$D$66,2,IF(O1446='Udvaskning nøgletal'!$D$67,3,IF(O1446='Udvaskning nøgletal'!$D$68,2,""))))</f>
        <v>1</v>
      </c>
      <c r="Y1446" s="15">
        <f>LOOKUP(K1446,'Udvaskning nøgletal'!$C$12:$C$60,'Udvaskning nøgletal'!$H$12:$H$60)</f>
        <v>0</v>
      </c>
      <c r="Z1446" s="10">
        <f>IF(X1446=1,LOOKUP(K1446,'Udvaskning nøgletal'!$C$12:$C$60,'Udvaskning nøgletal'!$E$12:$E$60)+Markniveau!Y1446*Markniveau!S1446/100,IF(X1446=2,LOOKUP(K1446,'Udvaskning nøgletal'!$C$12:$C$60,'Udvaskning nøgletal'!$F$12:$F$60)+Markniveau!Y1446*Markniveau!S1446/100,IF(X1446=3,LOOKUP(K1446,'Udvaskning nøgletal'!$C$12:$C$60,'Udvaskning nøgletal'!G1456:G1504)+Markniveau!Y1446*Markniveau!S1446/100,"")))</f>
        <v>125.85383557148924</v>
      </c>
      <c r="AA1446" s="10">
        <f t="shared" si="226"/>
        <v>1193.094361217718</v>
      </c>
      <c r="AB1446" s="10">
        <f t="shared" si="225"/>
        <v>6.2926917785744623</v>
      </c>
      <c r="AC1446" s="10">
        <f t="shared" si="227"/>
        <v>59.654718060885905</v>
      </c>
      <c r="AD1446" s="10">
        <f>IF(AND(Q1446&gt;0,Q1446&lt;30,K1446&lt;8),Markniveau!Z1446*'Udvaskning nøgletal'!$I$12/100,IF(AND(Q1446&gt;0,Q1446&lt;30,K1446=216),Markniveau!Z1446*'Udvaskning nøgletal'!$I$34/100,Markniveau!Z1446))</f>
        <v>125.85383557148924</v>
      </c>
      <c r="AE1446" s="10">
        <f t="shared" si="233"/>
        <v>1193.094361217718</v>
      </c>
      <c r="AF1446" s="10">
        <f t="shared" si="228"/>
        <v>6.2926917785744623</v>
      </c>
      <c r="AG1446" s="10">
        <f t="shared" si="234"/>
        <v>59.654718060885905</v>
      </c>
      <c r="AH1446" s="10" t="str">
        <f>IF(AND(Q1446&gt;0,Q1446&lt;30,K1446=216),'Udvaskning nøgletal'!$C$42,IF(AND(Q1446&gt;0,Q1446&lt;30,K1446&gt;7,K1446&lt;17),'Udvaskning nøgletal'!$C$61,IF(AND(Q1446&gt;0,Q1446&lt;30,K1446&lt;7),'Udvaskning nøgletal'!$C$62,"")))</f>
        <v/>
      </c>
      <c r="AI1446" s="10">
        <f t="shared" si="230"/>
        <v>216</v>
      </c>
      <c r="AJ1446" s="10">
        <f>IF($X1446=1,LOOKUP(AI1446,'Udvaskning nøgletal'!$C$12:$C$62,'Udvaskning nøgletal'!$E$12:$E$62)+Markniveau!$Y1446*Markniveau!$S1446/100,IF($X1446=2,LOOKUP(AI1446,'Udvaskning nøgletal'!$C$12:$C$62,'Udvaskning nøgletal'!$F$12:$F$62)+Markniveau!$Y1446*Markniveau!$S1446/100,IF($X1446=3,LOOKUP(AI1446,'Udvaskning nøgletal'!$C$12:$C$62,'Udvaskning nøgletal'!Q1456:Q1506)+Markniveau!$Y1446*Markniveau!$S1446/100,"")))</f>
        <v>125.85383557148924</v>
      </c>
      <c r="AK1446" s="10">
        <f t="shared" si="229"/>
        <v>1193.094361217718</v>
      </c>
      <c r="AL1446" s="10">
        <f t="shared" si="231"/>
        <v>6.2926917785744623</v>
      </c>
      <c r="AM1446" s="10">
        <f t="shared" si="232"/>
        <v>59.654718060885905</v>
      </c>
    </row>
    <row r="1447" spans="1:39" x14ac:dyDescent="0.25">
      <c r="A1447" s="15">
        <v>72487214</v>
      </c>
      <c r="B1447" s="15">
        <v>339.74</v>
      </c>
      <c r="C1447" s="15">
        <v>166558</v>
      </c>
      <c r="D1447" s="15">
        <v>53562</v>
      </c>
      <c r="E1447" s="15" t="s">
        <v>1216</v>
      </c>
      <c r="F1447" s="15">
        <v>2011</v>
      </c>
      <c r="G1447" s="15">
        <v>20110425</v>
      </c>
      <c r="H1447" s="15">
        <v>85403</v>
      </c>
      <c r="I1447" s="15">
        <v>8.5399999999999991</v>
      </c>
      <c r="J1447" s="6" t="s">
        <v>549</v>
      </c>
      <c r="K1447" s="15">
        <v>216</v>
      </c>
      <c r="L1447" s="15" t="s">
        <v>116</v>
      </c>
      <c r="M1447" s="15" t="s">
        <v>5</v>
      </c>
      <c r="N1447" s="11" t="s">
        <v>1384</v>
      </c>
      <c r="O1447" s="11" t="s">
        <v>28</v>
      </c>
      <c r="P1447" s="11" t="s">
        <v>29</v>
      </c>
      <c r="Q1447" s="15">
        <v>95</v>
      </c>
      <c r="R1447" s="11" t="s">
        <v>3</v>
      </c>
      <c r="S1447" s="10">
        <v>205.81939178997999</v>
      </c>
      <c r="T1447" s="15">
        <v>80</v>
      </c>
      <c r="U1447" s="15">
        <v>1</v>
      </c>
      <c r="V1447" s="15">
        <v>0</v>
      </c>
      <c r="W1447" s="15">
        <v>0</v>
      </c>
      <c r="X1447" s="15">
        <f>IF(O1447='Udvaskning nøgletal'!$D$65,1,IF(O1447='Udvaskning nøgletal'!$D$66,2,IF(O1447='Udvaskning nøgletal'!$D$67,3,IF(O1447='Udvaskning nøgletal'!$D$68,2,""))))</f>
        <v>1</v>
      </c>
      <c r="Y1447" s="15">
        <f>LOOKUP(K1447,'Udvaskning nøgletal'!$C$12:$C$60,'Udvaskning nøgletal'!$H$12:$H$60)</f>
        <v>0</v>
      </c>
      <c r="Z1447" s="10">
        <f>IF(X1447=1,LOOKUP(K1447,'Udvaskning nøgletal'!$C$12:$C$60,'Udvaskning nøgletal'!$E$12:$E$60)+Markniveau!Y1447*Markniveau!S1447/100,IF(X1447=2,LOOKUP(K1447,'Udvaskning nøgletal'!$C$12:$C$60,'Udvaskning nøgletal'!$F$12:$F$60)+Markniveau!Y1447*Markniveau!S1447/100,IF(X1447=3,LOOKUP(K1447,'Udvaskning nøgletal'!$C$12:$C$60,'Udvaskning nøgletal'!G1457:G1505)+Markniveau!Y1447*Markniveau!S1447/100,"")))</f>
        <v>125.85383557148924</v>
      </c>
      <c r="AA1447" s="10">
        <f t="shared" si="226"/>
        <v>1074.7917557805181</v>
      </c>
      <c r="AB1447" s="10">
        <f t="shared" si="225"/>
        <v>6.2926917785744623</v>
      </c>
      <c r="AC1447" s="10">
        <f t="shared" si="227"/>
        <v>53.739587789025904</v>
      </c>
      <c r="AD1447" s="10">
        <f>IF(AND(Q1447&gt;0,Q1447&lt;30,K1447&lt;8),Markniveau!Z1447*'Udvaskning nøgletal'!$I$12/100,IF(AND(Q1447&gt;0,Q1447&lt;30,K1447=216),Markniveau!Z1447*'Udvaskning nøgletal'!$I$34/100,Markniveau!Z1447))</f>
        <v>125.85383557148924</v>
      </c>
      <c r="AE1447" s="10">
        <f t="shared" si="233"/>
        <v>1074.7917557805181</v>
      </c>
      <c r="AF1447" s="10">
        <f t="shared" si="228"/>
        <v>6.2926917785744623</v>
      </c>
      <c r="AG1447" s="10">
        <f t="shared" si="234"/>
        <v>53.739587789025904</v>
      </c>
      <c r="AH1447" s="10" t="str">
        <f>IF(AND(Q1447&gt;0,Q1447&lt;30,K1447=216),'Udvaskning nøgletal'!$C$42,IF(AND(Q1447&gt;0,Q1447&lt;30,K1447&gt;7,K1447&lt;17),'Udvaskning nøgletal'!$C$61,IF(AND(Q1447&gt;0,Q1447&lt;30,K1447&lt;7),'Udvaskning nøgletal'!$C$62,"")))</f>
        <v/>
      </c>
      <c r="AI1447" s="10">
        <f t="shared" si="230"/>
        <v>216</v>
      </c>
      <c r="AJ1447" s="10">
        <f>IF($X1447=1,LOOKUP(AI1447,'Udvaskning nøgletal'!$C$12:$C$62,'Udvaskning nøgletal'!$E$12:$E$62)+Markniveau!$Y1447*Markniveau!$S1447/100,IF($X1447=2,LOOKUP(AI1447,'Udvaskning nøgletal'!$C$12:$C$62,'Udvaskning nøgletal'!$F$12:$F$62)+Markniveau!$Y1447*Markniveau!$S1447/100,IF($X1447=3,LOOKUP(AI1447,'Udvaskning nøgletal'!$C$12:$C$62,'Udvaskning nøgletal'!Q1457:Q1507)+Markniveau!$Y1447*Markniveau!$S1447/100,"")))</f>
        <v>125.85383557148924</v>
      </c>
      <c r="AK1447" s="10">
        <f t="shared" si="229"/>
        <v>1074.7917557805181</v>
      </c>
      <c r="AL1447" s="10">
        <f t="shared" si="231"/>
        <v>6.2926917785744623</v>
      </c>
      <c r="AM1447" s="10">
        <f t="shared" si="232"/>
        <v>53.739587789025904</v>
      </c>
    </row>
    <row r="1448" spans="1:39" x14ac:dyDescent="0.25">
      <c r="A1448" s="15">
        <v>72487214</v>
      </c>
      <c r="B1448" s="15">
        <v>339.74</v>
      </c>
      <c r="C1448" s="15">
        <v>168233</v>
      </c>
      <c r="D1448" s="15">
        <v>53562</v>
      </c>
      <c r="E1448" s="15" t="s">
        <v>111</v>
      </c>
      <c r="F1448" s="15">
        <v>2011</v>
      </c>
      <c r="G1448" s="15">
        <v>20110425</v>
      </c>
      <c r="H1448" s="15">
        <v>33971</v>
      </c>
      <c r="I1448" s="15">
        <v>3.4</v>
      </c>
      <c r="J1448" s="6" t="s">
        <v>1219</v>
      </c>
      <c r="K1448" s="15">
        <v>263</v>
      </c>
      <c r="L1448" s="15" t="s">
        <v>39</v>
      </c>
      <c r="M1448" s="15" t="s">
        <v>5</v>
      </c>
      <c r="N1448" s="11" t="s">
        <v>1384</v>
      </c>
      <c r="O1448" s="11" t="s">
        <v>28</v>
      </c>
      <c r="P1448" s="11" t="s">
        <v>29</v>
      </c>
      <c r="Q1448" s="15">
        <v>95</v>
      </c>
      <c r="R1448" s="11" t="s">
        <v>3</v>
      </c>
      <c r="S1448" s="10">
        <v>205.81939178997999</v>
      </c>
      <c r="T1448" s="15">
        <v>80</v>
      </c>
      <c r="U1448" s="15">
        <v>1</v>
      </c>
      <c r="V1448" s="15">
        <v>0</v>
      </c>
      <c r="W1448" s="15">
        <v>0</v>
      </c>
      <c r="X1448" s="15">
        <f>IF(O1448='Udvaskning nøgletal'!$D$65,1,IF(O1448='Udvaskning nøgletal'!$D$66,2,IF(O1448='Udvaskning nøgletal'!$D$67,3,IF(O1448='Udvaskning nøgletal'!$D$68,2,""))))</f>
        <v>1</v>
      </c>
      <c r="Y1448" s="15">
        <f>LOOKUP(K1448,'Udvaskning nøgletal'!$C$12:$C$60,'Udvaskning nøgletal'!$H$12:$H$60)</f>
        <v>0</v>
      </c>
      <c r="Z1448" s="10">
        <f>IF(X1448=1,LOOKUP(K1448,'Udvaskning nøgletal'!$C$12:$C$60,'Udvaskning nøgletal'!$E$12:$E$60)+Markniveau!Y1448*Markniveau!S1448/100,IF(X1448=2,LOOKUP(K1448,'Udvaskning nøgletal'!$C$12:$C$60,'Udvaskning nøgletal'!$F$12:$F$60)+Markniveau!Y1448*Markniveau!S1448/100,IF(X1448=3,LOOKUP(K1448,'Udvaskning nøgletal'!$C$12:$C$60,'Udvaskning nøgletal'!G1458:G1506)+Markniveau!Y1448*Markniveau!S1448/100,"")))</f>
        <v>33.723295792149436</v>
      </c>
      <c r="AA1448" s="10">
        <f t="shared" si="226"/>
        <v>114.65920569330808</v>
      </c>
      <c r="AB1448" s="10">
        <f t="shared" si="225"/>
        <v>1.6861647896074716</v>
      </c>
      <c r="AC1448" s="10">
        <f t="shared" si="227"/>
        <v>5.7329602846654035</v>
      </c>
      <c r="AD1448" s="10">
        <f>IF(AND(Q1448&gt;0,Q1448&lt;30,K1448&lt;8),Markniveau!Z1448*'Udvaskning nøgletal'!$I$12/100,IF(AND(Q1448&gt;0,Q1448&lt;30,K1448=216),Markniveau!Z1448*'Udvaskning nøgletal'!$I$34/100,Markniveau!Z1448))</f>
        <v>33.723295792149436</v>
      </c>
      <c r="AE1448" s="10">
        <f t="shared" si="233"/>
        <v>114.65920569330808</v>
      </c>
      <c r="AF1448" s="10">
        <f t="shared" si="228"/>
        <v>1.6861647896074716</v>
      </c>
      <c r="AG1448" s="10">
        <f t="shared" si="234"/>
        <v>5.7329602846654035</v>
      </c>
      <c r="AH1448" s="10" t="str">
        <f>IF(AND(Q1448&gt;0,Q1448&lt;30,K1448=216),'Udvaskning nøgletal'!$C$42,IF(AND(Q1448&gt;0,Q1448&lt;30,K1448&gt;7,K1448&lt;17),'Udvaskning nøgletal'!$C$61,IF(AND(Q1448&gt;0,Q1448&lt;30,K1448&lt;7),'Udvaskning nøgletal'!$C$62,"")))</f>
        <v/>
      </c>
      <c r="AI1448" s="10">
        <f t="shared" si="230"/>
        <v>263</v>
      </c>
      <c r="AJ1448" s="10">
        <f>IF($X1448=1,LOOKUP(AI1448,'Udvaskning nøgletal'!$C$12:$C$62,'Udvaskning nøgletal'!$E$12:$E$62)+Markniveau!$Y1448*Markniveau!$S1448/100,IF($X1448=2,LOOKUP(AI1448,'Udvaskning nøgletal'!$C$12:$C$62,'Udvaskning nøgletal'!$F$12:$F$62)+Markniveau!$Y1448*Markniveau!$S1448/100,IF($X1448=3,LOOKUP(AI1448,'Udvaskning nøgletal'!$C$12:$C$62,'Udvaskning nøgletal'!Q1458:Q1508)+Markniveau!$Y1448*Markniveau!$S1448/100,"")))</f>
        <v>33.723295792149436</v>
      </c>
      <c r="AK1448" s="10">
        <f t="shared" si="229"/>
        <v>114.65920569330808</v>
      </c>
      <c r="AL1448" s="10">
        <f t="shared" si="231"/>
        <v>1.6861647896074716</v>
      </c>
      <c r="AM1448" s="10">
        <f t="shared" si="232"/>
        <v>5.7329602846654035</v>
      </c>
    </row>
    <row r="1449" spans="1:39" x14ac:dyDescent="0.25">
      <c r="A1449" s="15">
        <v>72487214</v>
      </c>
      <c r="B1449" s="15">
        <v>339.74</v>
      </c>
      <c r="C1449" s="15">
        <v>168861</v>
      </c>
      <c r="D1449" s="15">
        <v>53562</v>
      </c>
      <c r="E1449" s="15" t="s">
        <v>1220</v>
      </c>
      <c r="F1449" s="15">
        <v>2011</v>
      </c>
      <c r="G1449" s="15">
        <v>20110425</v>
      </c>
      <c r="H1449" s="15">
        <v>98217</v>
      </c>
      <c r="I1449" s="15">
        <v>9.82</v>
      </c>
      <c r="J1449" s="6" t="s">
        <v>61</v>
      </c>
      <c r="K1449" s="15">
        <v>230</v>
      </c>
      <c r="L1449" s="15" t="s">
        <v>120</v>
      </c>
      <c r="M1449" s="15" t="s">
        <v>5</v>
      </c>
      <c r="N1449" s="11" t="s">
        <v>1384</v>
      </c>
      <c r="O1449" s="11" t="s">
        <v>28</v>
      </c>
      <c r="P1449" s="11" t="s">
        <v>29</v>
      </c>
      <c r="Q1449" s="15">
        <v>95</v>
      </c>
      <c r="R1449" s="11" t="s">
        <v>3</v>
      </c>
      <c r="S1449" s="10">
        <v>205.81939178997999</v>
      </c>
      <c r="T1449" s="15">
        <v>80</v>
      </c>
      <c r="U1449" s="15">
        <v>1</v>
      </c>
      <c r="V1449" s="15">
        <v>0</v>
      </c>
      <c r="W1449" s="15">
        <v>0</v>
      </c>
      <c r="X1449" s="15">
        <f>IF(O1449='Udvaskning nøgletal'!$D$65,1,IF(O1449='Udvaskning nøgletal'!$D$66,2,IF(O1449='Udvaskning nøgletal'!$D$67,3,IF(O1449='Udvaskning nøgletal'!$D$68,2,""))))</f>
        <v>1</v>
      </c>
      <c r="Y1449" s="15">
        <f>LOOKUP(K1449,'Udvaskning nøgletal'!$C$12:$C$60,'Udvaskning nøgletal'!$H$12:$H$60)</f>
        <v>0</v>
      </c>
      <c r="Z1449" s="10">
        <f>IF(X1449=1,LOOKUP(K1449,'Udvaskning nøgletal'!$C$12:$C$60,'Udvaskning nøgletal'!$E$12:$E$60)+Markniveau!Y1449*Markniveau!S1449/100,IF(X1449=2,LOOKUP(K1449,'Udvaskning nøgletal'!$C$12:$C$60,'Udvaskning nøgletal'!$F$12:$F$60)+Markniveau!Y1449*Markniveau!S1449/100,IF(X1449=3,LOOKUP(K1449,'Udvaskning nøgletal'!$C$12:$C$60,'Udvaskning nøgletal'!G1459:G1507)+Markniveau!Y1449*Markniveau!S1449/100,"")))</f>
        <v>38.620385460262987</v>
      </c>
      <c r="AA1449" s="10">
        <f t="shared" si="226"/>
        <v>379.25218521978258</v>
      </c>
      <c r="AB1449" s="10">
        <f t="shared" si="225"/>
        <v>1.9310192730131492</v>
      </c>
      <c r="AC1449" s="10">
        <f t="shared" si="227"/>
        <v>18.962609260989126</v>
      </c>
      <c r="AD1449" s="10">
        <f>IF(AND(Q1449&gt;0,Q1449&lt;30,K1449&lt;8),Markniveau!Z1449*'Udvaskning nøgletal'!$I$12/100,IF(AND(Q1449&gt;0,Q1449&lt;30,K1449=216),Markniveau!Z1449*'Udvaskning nøgletal'!$I$34/100,Markniveau!Z1449))</f>
        <v>38.620385460262987</v>
      </c>
      <c r="AE1449" s="10">
        <f t="shared" si="233"/>
        <v>379.25218521978258</v>
      </c>
      <c r="AF1449" s="10">
        <f t="shared" si="228"/>
        <v>1.9310192730131492</v>
      </c>
      <c r="AG1449" s="10">
        <f t="shared" si="234"/>
        <v>18.962609260989126</v>
      </c>
      <c r="AH1449" s="10" t="str">
        <f>IF(AND(Q1449&gt;0,Q1449&lt;30,K1449=216),'Udvaskning nøgletal'!$C$42,IF(AND(Q1449&gt;0,Q1449&lt;30,K1449&gt;7,K1449&lt;17),'Udvaskning nøgletal'!$C$61,IF(AND(Q1449&gt;0,Q1449&lt;30,K1449&lt;7),'Udvaskning nøgletal'!$C$62,"")))</f>
        <v/>
      </c>
      <c r="AI1449" s="10">
        <f t="shared" si="230"/>
        <v>230</v>
      </c>
      <c r="AJ1449" s="10">
        <f>IF($X1449=1,LOOKUP(AI1449,'Udvaskning nøgletal'!$C$12:$C$62,'Udvaskning nøgletal'!$E$12:$E$62)+Markniveau!$Y1449*Markniveau!$S1449/100,IF($X1449=2,LOOKUP(AI1449,'Udvaskning nøgletal'!$C$12:$C$62,'Udvaskning nøgletal'!$F$12:$F$62)+Markniveau!$Y1449*Markniveau!$S1449/100,IF($X1449=3,LOOKUP(AI1449,'Udvaskning nøgletal'!$C$12:$C$62,'Udvaskning nøgletal'!Q1459:Q1509)+Markniveau!$Y1449*Markniveau!$S1449/100,"")))</f>
        <v>38.620385460262987</v>
      </c>
      <c r="AK1449" s="10">
        <f t="shared" si="229"/>
        <v>379.25218521978258</v>
      </c>
      <c r="AL1449" s="10">
        <f t="shared" si="231"/>
        <v>1.9310192730131492</v>
      </c>
      <c r="AM1449" s="10">
        <f t="shared" si="232"/>
        <v>18.962609260989126</v>
      </c>
    </row>
    <row r="1450" spans="1:39" x14ac:dyDescent="0.25">
      <c r="A1450" s="15">
        <v>72487214</v>
      </c>
      <c r="B1450" s="15">
        <v>339.74</v>
      </c>
      <c r="C1450" s="15">
        <v>182014</v>
      </c>
      <c r="D1450" s="15">
        <v>53562</v>
      </c>
      <c r="E1450" s="15" t="s">
        <v>633</v>
      </c>
      <c r="F1450" s="15">
        <v>2011</v>
      </c>
      <c r="G1450" s="15">
        <v>20110425</v>
      </c>
      <c r="H1450" s="15">
        <v>174684</v>
      </c>
      <c r="I1450" s="15">
        <v>17.47</v>
      </c>
      <c r="J1450" s="6" t="s">
        <v>1221</v>
      </c>
      <c r="K1450" s="15">
        <v>230</v>
      </c>
      <c r="L1450" s="15" t="s">
        <v>120</v>
      </c>
      <c r="M1450" s="15" t="s">
        <v>5</v>
      </c>
      <c r="N1450" s="11" t="s">
        <v>1384</v>
      </c>
      <c r="O1450" s="11" t="s">
        <v>28</v>
      </c>
      <c r="P1450" s="11" t="s">
        <v>33</v>
      </c>
      <c r="Q1450" s="15">
        <v>40</v>
      </c>
      <c r="R1450" s="11" t="s">
        <v>6</v>
      </c>
      <c r="S1450" s="10">
        <v>205.81939178997999</v>
      </c>
      <c r="T1450" s="15">
        <v>80</v>
      </c>
      <c r="U1450" s="15">
        <v>1</v>
      </c>
      <c r="V1450" s="15">
        <v>0</v>
      </c>
      <c r="W1450" s="15">
        <v>0</v>
      </c>
      <c r="X1450" s="15">
        <f>IF(O1450='Udvaskning nøgletal'!$D$65,1,IF(O1450='Udvaskning nøgletal'!$D$66,2,IF(O1450='Udvaskning nøgletal'!$D$67,3,IF(O1450='Udvaskning nøgletal'!$D$68,2,""))))</f>
        <v>1</v>
      </c>
      <c r="Y1450" s="15">
        <f>LOOKUP(K1450,'Udvaskning nøgletal'!$C$12:$C$60,'Udvaskning nøgletal'!$H$12:$H$60)</f>
        <v>0</v>
      </c>
      <c r="Z1450" s="10">
        <f>IF(X1450=1,LOOKUP(K1450,'Udvaskning nøgletal'!$C$12:$C$60,'Udvaskning nøgletal'!$E$12:$E$60)+Markniveau!Y1450*Markniveau!S1450/100,IF(X1450=2,LOOKUP(K1450,'Udvaskning nøgletal'!$C$12:$C$60,'Udvaskning nøgletal'!$F$12:$F$60)+Markniveau!Y1450*Markniveau!S1450/100,IF(X1450=3,LOOKUP(K1450,'Udvaskning nøgletal'!$C$12:$C$60,'Udvaskning nøgletal'!G1460:G1508)+Markniveau!Y1450*Markniveau!S1450/100,"")))</f>
        <v>38.620385460262987</v>
      </c>
      <c r="AA1450" s="10">
        <f t="shared" si="226"/>
        <v>674.6981339907943</v>
      </c>
      <c r="AB1450" s="10">
        <f t="shared" si="225"/>
        <v>23.172231276157792</v>
      </c>
      <c r="AC1450" s="10">
        <f t="shared" si="227"/>
        <v>404.81888039447659</v>
      </c>
      <c r="AD1450" s="10">
        <f>IF(AND(Q1450&gt;0,Q1450&lt;30,K1450&lt;8),Markniveau!Z1450*'Udvaskning nøgletal'!$I$12/100,IF(AND(Q1450&gt;0,Q1450&lt;30,K1450=216),Markniveau!Z1450*'Udvaskning nøgletal'!$I$34/100,Markniveau!Z1450))</f>
        <v>38.620385460262987</v>
      </c>
      <c r="AE1450" s="10">
        <f t="shared" si="233"/>
        <v>674.6981339907943</v>
      </c>
      <c r="AF1450" s="10">
        <f t="shared" si="228"/>
        <v>23.172231276157792</v>
      </c>
      <c r="AG1450" s="10">
        <f t="shared" si="234"/>
        <v>404.81888039447659</v>
      </c>
      <c r="AH1450" s="10" t="str">
        <f>IF(AND(Q1450&gt;0,Q1450&lt;30,K1450=216),'Udvaskning nøgletal'!$C$42,IF(AND(Q1450&gt;0,Q1450&lt;30,K1450&gt;7,K1450&lt;17),'Udvaskning nøgletal'!$C$61,IF(AND(Q1450&gt;0,Q1450&lt;30,K1450&lt;7),'Udvaskning nøgletal'!$C$62,"")))</f>
        <v/>
      </c>
      <c r="AI1450" s="10">
        <f t="shared" si="230"/>
        <v>230</v>
      </c>
      <c r="AJ1450" s="10">
        <f>IF($X1450=1,LOOKUP(AI1450,'Udvaskning nøgletal'!$C$12:$C$62,'Udvaskning nøgletal'!$E$12:$E$62)+Markniveau!$Y1450*Markniveau!$S1450/100,IF($X1450=2,LOOKUP(AI1450,'Udvaskning nøgletal'!$C$12:$C$62,'Udvaskning nøgletal'!$F$12:$F$62)+Markniveau!$Y1450*Markniveau!$S1450/100,IF($X1450=3,LOOKUP(AI1450,'Udvaskning nøgletal'!$C$12:$C$62,'Udvaskning nøgletal'!Q1460:Q1510)+Markniveau!$Y1450*Markniveau!$S1450/100,"")))</f>
        <v>38.620385460262987</v>
      </c>
      <c r="AK1450" s="10">
        <f t="shared" si="229"/>
        <v>674.6981339907943</v>
      </c>
      <c r="AL1450" s="10">
        <f t="shared" si="231"/>
        <v>23.172231276157792</v>
      </c>
      <c r="AM1450" s="10">
        <f t="shared" si="232"/>
        <v>404.81888039447659</v>
      </c>
    </row>
    <row r="1451" spans="1:39" x14ac:dyDescent="0.25">
      <c r="A1451" s="15">
        <v>72487214</v>
      </c>
      <c r="B1451" s="15">
        <v>339.74</v>
      </c>
      <c r="C1451" s="15">
        <v>184073</v>
      </c>
      <c r="D1451" s="15">
        <v>53562</v>
      </c>
      <c r="E1451" s="15" t="s">
        <v>307</v>
      </c>
      <c r="F1451" s="15">
        <v>2011</v>
      </c>
      <c r="G1451" s="15">
        <v>20110425</v>
      </c>
      <c r="H1451" s="15">
        <v>45897</v>
      </c>
      <c r="I1451" s="15">
        <v>4.59</v>
      </c>
      <c r="J1451" s="6" t="s">
        <v>1480</v>
      </c>
      <c r="K1451" s="15">
        <v>230</v>
      </c>
      <c r="L1451" s="15" t="s">
        <v>120</v>
      </c>
      <c r="M1451" s="15" t="s">
        <v>5</v>
      </c>
      <c r="N1451" s="11" t="s">
        <v>1384</v>
      </c>
      <c r="O1451" s="11" t="s">
        <v>28</v>
      </c>
      <c r="P1451" s="11" t="s">
        <v>29</v>
      </c>
      <c r="Q1451" s="15">
        <v>1</v>
      </c>
      <c r="R1451" s="11" t="s">
        <v>11</v>
      </c>
      <c r="S1451" s="10">
        <v>205.81939178997999</v>
      </c>
      <c r="T1451" s="15">
        <v>80</v>
      </c>
      <c r="U1451" s="15">
        <v>1</v>
      </c>
      <c r="V1451" s="15">
        <v>0</v>
      </c>
      <c r="W1451" s="15">
        <v>0</v>
      </c>
      <c r="X1451" s="15">
        <f>IF(O1451='Udvaskning nøgletal'!$D$65,1,IF(O1451='Udvaskning nøgletal'!$D$66,2,IF(O1451='Udvaskning nøgletal'!$D$67,3,IF(O1451='Udvaskning nøgletal'!$D$68,2,""))))</f>
        <v>1</v>
      </c>
      <c r="Y1451" s="15">
        <f>LOOKUP(K1451,'Udvaskning nøgletal'!$C$12:$C$60,'Udvaskning nøgletal'!$H$12:$H$60)</f>
        <v>0</v>
      </c>
      <c r="Z1451" s="10">
        <f>IF(X1451=1,LOOKUP(K1451,'Udvaskning nøgletal'!$C$12:$C$60,'Udvaskning nøgletal'!$E$12:$E$60)+Markniveau!Y1451*Markniveau!S1451/100,IF(X1451=2,LOOKUP(K1451,'Udvaskning nøgletal'!$C$12:$C$60,'Udvaskning nøgletal'!$F$12:$F$60)+Markniveau!Y1451*Markniveau!S1451/100,IF(X1451=3,LOOKUP(K1451,'Udvaskning nøgletal'!$C$12:$C$60,'Udvaskning nøgletal'!G1461:G1509)+Markniveau!Y1451*Markniveau!S1451/100,"")))</f>
        <v>38.620385460262987</v>
      </c>
      <c r="AA1451" s="10">
        <f t="shared" si="226"/>
        <v>177.26756926260711</v>
      </c>
      <c r="AB1451" s="10">
        <f t="shared" si="225"/>
        <v>38.234181605660353</v>
      </c>
      <c r="AC1451" s="10">
        <f t="shared" si="227"/>
        <v>175.49489356998103</v>
      </c>
      <c r="AD1451" s="10">
        <f>IF(AND(Q1451&gt;0,Q1451&lt;30,K1451&lt;8),Markniveau!Z1451*'Udvaskning nøgletal'!$I$12/100,IF(AND(Q1451&gt;0,Q1451&lt;30,K1451=216),Markniveau!Z1451*'Udvaskning nøgletal'!$I$34/100,Markniveau!Z1451))</f>
        <v>38.620385460262987</v>
      </c>
      <c r="AE1451" s="10">
        <f t="shared" si="233"/>
        <v>177.26756926260711</v>
      </c>
      <c r="AF1451" s="10">
        <f t="shared" si="228"/>
        <v>38.234181605660353</v>
      </c>
      <c r="AG1451" s="10">
        <f t="shared" si="234"/>
        <v>175.49489356998103</v>
      </c>
      <c r="AH1451" s="10" t="str">
        <f>IF(AND(Q1451&gt;0,Q1451&lt;30,K1451=216),'Udvaskning nøgletal'!$C$42,IF(AND(Q1451&gt;0,Q1451&lt;30,K1451&gt;7,K1451&lt;17),'Udvaskning nøgletal'!$C$61,IF(AND(Q1451&gt;0,Q1451&lt;30,K1451&lt;7),'Udvaskning nøgletal'!$C$62,"")))</f>
        <v/>
      </c>
      <c r="AI1451" s="10">
        <f t="shared" si="230"/>
        <v>230</v>
      </c>
      <c r="AJ1451" s="10">
        <f>IF($X1451=1,LOOKUP(AI1451,'Udvaskning nøgletal'!$C$12:$C$62,'Udvaskning nøgletal'!$E$12:$E$62)+Markniveau!$Y1451*Markniveau!$S1451/100,IF($X1451=2,LOOKUP(AI1451,'Udvaskning nøgletal'!$C$12:$C$62,'Udvaskning nøgletal'!$F$12:$F$62)+Markniveau!$Y1451*Markniveau!$S1451/100,IF($X1451=3,LOOKUP(AI1451,'Udvaskning nøgletal'!$C$12:$C$62,'Udvaskning nøgletal'!Q1461:Q1511)+Markniveau!$Y1451*Markniveau!$S1451/100,"")))</f>
        <v>38.620385460262987</v>
      </c>
      <c r="AK1451" s="10">
        <f t="shared" si="229"/>
        <v>177.26756926260711</v>
      </c>
      <c r="AL1451" s="10">
        <f t="shared" si="231"/>
        <v>38.234181605660353</v>
      </c>
      <c r="AM1451" s="10">
        <f t="shared" si="232"/>
        <v>175.49489356998103</v>
      </c>
    </row>
    <row r="1452" spans="1:39" x14ac:dyDescent="0.25">
      <c r="A1452" s="15">
        <v>72487214</v>
      </c>
      <c r="B1452" s="15">
        <v>339.74</v>
      </c>
      <c r="C1452" s="15">
        <v>184632</v>
      </c>
      <c r="D1452" s="15">
        <v>53562</v>
      </c>
      <c r="E1452" s="15" t="s">
        <v>1222</v>
      </c>
      <c r="F1452" s="15">
        <v>2011</v>
      </c>
      <c r="G1452" s="15">
        <v>20110425</v>
      </c>
      <c r="H1452" s="15">
        <v>83145</v>
      </c>
      <c r="I1452" s="15">
        <v>8.31</v>
      </c>
      <c r="J1452" s="6" t="s">
        <v>65</v>
      </c>
      <c r="K1452" s="15">
        <v>230</v>
      </c>
      <c r="L1452" s="15" t="s">
        <v>120</v>
      </c>
      <c r="M1452" s="15" t="s">
        <v>5</v>
      </c>
      <c r="N1452" s="11" t="s">
        <v>1406</v>
      </c>
      <c r="O1452" s="11" t="s">
        <v>46</v>
      </c>
      <c r="P1452" s="11" t="s">
        <v>29</v>
      </c>
      <c r="Q1452" s="15">
        <v>95</v>
      </c>
      <c r="R1452" s="11" t="s">
        <v>3</v>
      </c>
      <c r="S1452" s="10">
        <v>205.81939178997999</v>
      </c>
      <c r="T1452" s="15">
        <v>80</v>
      </c>
      <c r="U1452" s="15">
        <v>1</v>
      </c>
      <c r="V1452" s="15">
        <v>0</v>
      </c>
      <c r="W1452" s="15">
        <v>0</v>
      </c>
      <c r="X1452" s="15">
        <f>IF(O1452='Udvaskning nøgletal'!$D$65,1,IF(O1452='Udvaskning nøgletal'!$D$66,2,IF(O1452='Udvaskning nøgletal'!$D$67,3,IF(O1452='Udvaskning nøgletal'!$D$68,2,""))))</f>
        <v>2</v>
      </c>
      <c r="Y1452" s="15">
        <f>LOOKUP(K1452,'Udvaskning nøgletal'!$C$12:$C$60,'Udvaskning nøgletal'!$H$12:$H$60)</f>
        <v>0</v>
      </c>
      <c r="Z1452" s="10">
        <f>IF(X1452=1,LOOKUP(K1452,'Udvaskning nøgletal'!$C$12:$C$60,'Udvaskning nøgletal'!$E$12:$E$60)+Markniveau!Y1452*Markniveau!S1452/100,IF(X1452=2,LOOKUP(K1452,'Udvaskning nøgletal'!$C$12:$C$60,'Udvaskning nøgletal'!$F$12:$F$60)+Markniveau!Y1452*Markniveau!S1452/100,IF(X1452=3,LOOKUP(K1452,'Udvaskning nøgletal'!$C$12:$C$60,'Udvaskning nøgletal'!G1462:G1510)+Markniveau!Y1452*Markniveau!S1452/100,"")))</f>
        <v>31.161328188970323</v>
      </c>
      <c r="AA1452" s="10">
        <f t="shared" si="226"/>
        <v>258.95063725034339</v>
      </c>
      <c r="AB1452" s="10">
        <f t="shared" si="225"/>
        <v>1.5580664094485162</v>
      </c>
      <c r="AC1452" s="10">
        <f t="shared" si="227"/>
        <v>12.94753186251717</v>
      </c>
      <c r="AD1452" s="10">
        <f>IF(AND(Q1452&gt;0,Q1452&lt;30,K1452&lt;8),Markniveau!Z1452*'Udvaskning nøgletal'!$I$12/100,IF(AND(Q1452&gt;0,Q1452&lt;30,K1452=216),Markniveau!Z1452*'Udvaskning nøgletal'!$I$34/100,Markniveau!Z1452))</f>
        <v>31.161328188970323</v>
      </c>
      <c r="AE1452" s="10">
        <f t="shared" si="233"/>
        <v>258.95063725034339</v>
      </c>
      <c r="AF1452" s="10">
        <f t="shared" si="228"/>
        <v>1.5580664094485162</v>
      </c>
      <c r="AG1452" s="10">
        <f t="shared" si="234"/>
        <v>12.94753186251717</v>
      </c>
      <c r="AH1452" s="10" t="str">
        <f>IF(AND(Q1452&gt;0,Q1452&lt;30,K1452=216),'Udvaskning nøgletal'!$C$42,IF(AND(Q1452&gt;0,Q1452&lt;30,K1452&gt;7,K1452&lt;17),'Udvaskning nøgletal'!$C$61,IF(AND(Q1452&gt;0,Q1452&lt;30,K1452&lt;7),'Udvaskning nøgletal'!$C$62,"")))</f>
        <v/>
      </c>
      <c r="AI1452" s="10">
        <f t="shared" si="230"/>
        <v>230</v>
      </c>
      <c r="AJ1452" s="10">
        <f>IF($X1452=1,LOOKUP(AI1452,'Udvaskning nøgletal'!$C$12:$C$62,'Udvaskning nøgletal'!$E$12:$E$62)+Markniveau!$Y1452*Markniveau!$S1452/100,IF($X1452=2,LOOKUP(AI1452,'Udvaskning nøgletal'!$C$12:$C$62,'Udvaskning nøgletal'!$F$12:$F$62)+Markniveau!$Y1452*Markniveau!$S1452/100,IF($X1452=3,LOOKUP(AI1452,'Udvaskning nøgletal'!$C$12:$C$62,'Udvaskning nøgletal'!Q1462:Q1512)+Markniveau!$Y1452*Markniveau!$S1452/100,"")))</f>
        <v>31.161328188970323</v>
      </c>
      <c r="AK1452" s="10">
        <f t="shared" si="229"/>
        <v>258.95063725034339</v>
      </c>
      <c r="AL1452" s="10">
        <f t="shared" si="231"/>
        <v>1.5580664094485162</v>
      </c>
      <c r="AM1452" s="10">
        <f t="shared" si="232"/>
        <v>12.94753186251717</v>
      </c>
    </row>
    <row r="1453" spans="1:39" x14ac:dyDescent="0.25">
      <c r="A1453" s="15">
        <v>72487214</v>
      </c>
      <c r="B1453" s="15">
        <v>339.74</v>
      </c>
      <c r="C1453" s="15">
        <v>184682</v>
      </c>
      <c r="D1453" s="15">
        <v>53562</v>
      </c>
      <c r="E1453" s="15" t="s">
        <v>634</v>
      </c>
      <c r="F1453" s="15">
        <v>2011</v>
      </c>
      <c r="G1453" s="15">
        <v>20110425</v>
      </c>
      <c r="H1453" s="15">
        <v>56834</v>
      </c>
      <c r="I1453" s="15">
        <v>5.68</v>
      </c>
      <c r="J1453" s="6" t="s">
        <v>1056</v>
      </c>
      <c r="K1453" s="15">
        <v>216</v>
      </c>
      <c r="L1453" s="15" t="s">
        <v>116</v>
      </c>
      <c r="M1453" s="15" t="s">
        <v>5</v>
      </c>
      <c r="N1453" s="11" t="s">
        <v>1384</v>
      </c>
      <c r="O1453" s="11" t="s">
        <v>28</v>
      </c>
      <c r="P1453" s="11" t="s">
        <v>33</v>
      </c>
      <c r="Q1453" s="15">
        <v>95</v>
      </c>
      <c r="R1453" s="11" t="s">
        <v>3</v>
      </c>
      <c r="S1453" s="10">
        <v>205.81939178997999</v>
      </c>
      <c r="T1453" s="15">
        <v>80</v>
      </c>
      <c r="U1453" s="15">
        <v>1</v>
      </c>
      <c r="V1453" s="15">
        <v>0</v>
      </c>
      <c r="W1453" s="15">
        <v>0</v>
      </c>
      <c r="X1453" s="15">
        <f>IF(O1453='Udvaskning nøgletal'!$D$65,1,IF(O1453='Udvaskning nøgletal'!$D$66,2,IF(O1453='Udvaskning nøgletal'!$D$67,3,IF(O1453='Udvaskning nøgletal'!$D$68,2,""))))</f>
        <v>1</v>
      </c>
      <c r="Y1453" s="15">
        <f>LOOKUP(K1453,'Udvaskning nøgletal'!$C$12:$C$60,'Udvaskning nøgletal'!$H$12:$H$60)</f>
        <v>0</v>
      </c>
      <c r="Z1453" s="10">
        <f>IF(X1453=1,LOOKUP(K1453,'Udvaskning nøgletal'!$C$12:$C$60,'Udvaskning nøgletal'!$E$12:$E$60)+Markniveau!Y1453*Markniveau!S1453/100,IF(X1453=2,LOOKUP(K1453,'Udvaskning nøgletal'!$C$12:$C$60,'Udvaskning nøgletal'!$F$12:$F$60)+Markniveau!Y1453*Markniveau!S1453/100,IF(X1453=3,LOOKUP(K1453,'Udvaskning nøgletal'!$C$12:$C$60,'Udvaskning nøgletal'!G1463:G1511)+Markniveau!Y1453*Markniveau!S1453/100,"")))</f>
        <v>125.85383557148924</v>
      </c>
      <c r="AA1453" s="10">
        <f t="shared" si="226"/>
        <v>714.84978604605885</v>
      </c>
      <c r="AB1453" s="10">
        <f t="shared" si="225"/>
        <v>6.2926917785744623</v>
      </c>
      <c r="AC1453" s="10">
        <f t="shared" si="227"/>
        <v>35.742489302302943</v>
      </c>
      <c r="AD1453" s="10">
        <f>IF(AND(Q1453&gt;0,Q1453&lt;30,K1453&lt;8),Markniveau!Z1453*'Udvaskning nøgletal'!$I$12/100,IF(AND(Q1453&gt;0,Q1453&lt;30,K1453=216),Markniveau!Z1453*'Udvaskning nøgletal'!$I$34/100,Markniveau!Z1453))</f>
        <v>125.85383557148924</v>
      </c>
      <c r="AE1453" s="10">
        <f t="shared" si="233"/>
        <v>714.84978604605885</v>
      </c>
      <c r="AF1453" s="10">
        <f t="shared" si="228"/>
        <v>6.2926917785744623</v>
      </c>
      <c r="AG1453" s="10">
        <f t="shared" si="234"/>
        <v>35.742489302302943</v>
      </c>
      <c r="AH1453" s="10" t="str">
        <f>IF(AND(Q1453&gt;0,Q1453&lt;30,K1453=216),'Udvaskning nøgletal'!$C$42,IF(AND(Q1453&gt;0,Q1453&lt;30,K1453&gt;7,K1453&lt;17),'Udvaskning nøgletal'!$C$61,IF(AND(Q1453&gt;0,Q1453&lt;30,K1453&lt;7),'Udvaskning nøgletal'!$C$62,"")))</f>
        <v/>
      </c>
      <c r="AI1453" s="10">
        <f t="shared" si="230"/>
        <v>216</v>
      </c>
      <c r="AJ1453" s="10">
        <f>IF($X1453=1,LOOKUP(AI1453,'Udvaskning nøgletal'!$C$12:$C$62,'Udvaskning nøgletal'!$E$12:$E$62)+Markniveau!$Y1453*Markniveau!$S1453/100,IF($X1453=2,LOOKUP(AI1453,'Udvaskning nøgletal'!$C$12:$C$62,'Udvaskning nøgletal'!$F$12:$F$62)+Markniveau!$Y1453*Markniveau!$S1453/100,IF($X1453=3,LOOKUP(AI1453,'Udvaskning nøgletal'!$C$12:$C$62,'Udvaskning nøgletal'!Q1463:Q1513)+Markniveau!$Y1453*Markniveau!$S1453/100,"")))</f>
        <v>125.85383557148924</v>
      </c>
      <c r="AK1453" s="10">
        <f t="shared" si="229"/>
        <v>714.84978604605885</v>
      </c>
      <c r="AL1453" s="10">
        <f t="shared" si="231"/>
        <v>6.2926917785744623</v>
      </c>
      <c r="AM1453" s="10">
        <f t="shared" si="232"/>
        <v>35.742489302302943</v>
      </c>
    </row>
    <row r="1454" spans="1:39" x14ac:dyDescent="0.25">
      <c r="A1454" s="15">
        <v>72487214</v>
      </c>
      <c r="B1454" s="15">
        <v>339.74</v>
      </c>
      <c r="C1454" s="15">
        <v>185942</v>
      </c>
      <c r="D1454" s="15">
        <v>53562</v>
      </c>
      <c r="E1454" s="15" t="s">
        <v>809</v>
      </c>
      <c r="F1454" s="15">
        <v>2011</v>
      </c>
      <c r="G1454" s="15">
        <v>20110425</v>
      </c>
      <c r="H1454" s="15">
        <v>45831</v>
      </c>
      <c r="I1454" s="15">
        <v>4.58</v>
      </c>
      <c r="J1454" s="6" t="s">
        <v>69</v>
      </c>
      <c r="K1454" s="15">
        <v>216</v>
      </c>
      <c r="L1454" s="15" t="s">
        <v>116</v>
      </c>
      <c r="M1454" s="15" t="s">
        <v>5</v>
      </c>
      <c r="N1454" s="11" t="s">
        <v>1384</v>
      </c>
      <c r="O1454" s="11" t="s">
        <v>28</v>
      </c>
      <c r="P1454" s="11" t="s">
        <v>29</v>
      </c>
      <c r="Q1454" s="15">
        <v>95</v>
      </c>
      <c r="R1454" s="11" t="s">
        <v>3</v>
      </c>
      <c r="S1454" s="10">
        <v>205.81939178997999</v>
      </c>
      <c r="T1454" s="15">
        <v>80</v>
      </c>
      <c r="U1454" s="15">
        <v>1</v>
      </c>
      <c r="V1454" s="15">
        <v>0</v>
      </c>
      <c r="W1454" s="15">
        <v>0</v>
      </c>
      <c r="X1454" s="15">
        <f>IF(O1454='Udvaskning nøgletal'!$D$65,1,IF(O1454='Udvaskning nøgletal'!$D$66,2,IF(O1454='Udvaskning nøgletal'!$D$67,3,IF(O1454='Udvaskning nøgletal'!$D$68,2,""))))</f>
        <v>1</v>
      </c>
      <c r="Y1454" s="15">
        <f>LOOKUP(K1454,'Udvaskning nøgletal'!$C$12:$C$60,'Udvaskning nøgletal'!$H$12:$H$60)</f>
        <v>0</v>
      </c>
      <c r="Z1454" s="10">
        <f>IF(X1454=1,LOOKUP(K1454,'Udvaskning nøgletal'!$C$12:$C$60,'Udvaskning nøgletal'!$E$12:$E$60)+Markniveau!Y1454*Markniveau!S1454/100,IF(X1454=2,LOOKUP(K1454,'Udvaskning nøgletal'!$C$12:$C$60,'Udvaskning nøgletal'!$F$12:$F$60)+Markniveau!Y1454*Markniveau!S1454/100,IF(X1454=3,LOOKUP(K1454,'Udvaskning nøgletal'!$C$12:$C$60,'Udvaskning nøgletal'!G1464:G1512)+Markniveau!Y1454*Markniveau!S1454/100,"")))</f>
        <v>125.85383557148924</v>
      </c>
      <c r="AA1454" s="10">
        <f t="shared" si="226"/>
        <v>576.41056691742074</v>
      </c>
      <c r="AB1454" s="10">
        <f t="shared" si="225"/>
        <v>6.2926917785744623</v>
      </c>
      <c r="AC1454" s="10">
        <f t="shared" si="227"/>
        <v>28.820528345871036</v>
      </c>
      <c r="AD1454" s="10">
        <f>IF(AND(Q1454&gt;0,Q1454&lt;30,K1454&lt;8),Markniveau!Z1454*'Udvaskning nøgletal'!$I$12/100,IF(AND(Q1454&gt;0,Q1454&lt;30,K1454=216),Markniveau!Z1454*'Udvaskning nøgletal'!$I$34/100,Markniveau!Z1454))</f>
        <v>125.85383557148924</v>
      </c>
      <c r="AE1454" s="10">
        <f t="shared" si="233"/>
        <v>576.41056691742074</v>
      </c>
      <c r="AF1454" s="10">
        <f t="shared" si="228"/>
        <v>6.2926917785744623</v>
      </c>
      <c r="AG1454" s="10">
        <f t="shared" si="234"/>
        <v>28.820528345871036</v>
      </c>
      <c r="AH1454" s="10" t="str">
        <f>IF(AND(Q1454&gt;0,Q1454&lt;30,K1454=216),'Udvaskning nøgletal'!$C$42,IF(AND(Q1454&gt;0,Q1454&lt;30,K1454&gt;7,K1454&lt;17),'Udvaskning nøgletal'!$C$61,IF(AND(Q1454&gt;0,Q1454&lt;30,K1454&lt;7),'Udvaskning nøgletal'!$C$62,"")))</f>
        <v/>
      </c>
      <c r="AI1454" s="10">
        <f t="shared" si="230"/>
        <v>216</v>
      </c>
      <c r="AJ1454" s="10">
        <f>IF($X1454=1,LOOKUP(AI1454,'Udvaskning nøgletal'!$C$12:$C$62,'Udvaskning nøgletal'!$E$12:$E$62)+Markniveau!$Y1454*Markniveau!$S1454/100,IF($X1454=2,LOOKUP(AI1454,'Udvaskning nøgletal'!$C$12:$C$62,'Udvaskning nøgletal'!$F$12:$F$62)+Markniveau!$Y1454*Markniveau!$S1454/100,IF($X1454=3,LOOKUP(AI1454,'Udvaskning nøgletal'!$C$12:$C$62,'Udvaskning nøgletal'!Q1464:Q1514)+Markniveau!$Y1454*Markniveau!$S1454/100,"")))</f>
        <v>125.85383557148924</v>
      </c>
      <c r="AK1454" s="10">
        <f t="shared" si="229"/>
        <v>576.41056691742074</v>
      </c>
      <c r="AL1454" s="10">
        <f t="shared" si="231"/>
        <v>6.2926917785744623</v>
      </c>
      <c r="AM1454" s="10">
        <f t="shared" si="232"/>
        <v>28.820528345871036</v>
      </c>
    </row>
    <row r="1455" spans="1:39" x14ac:dyDescent="0.25">
      <c r="A1455" s="15">
        <v>72487214</v>
      </c>
      <c r="B1455" s="15">
        <v>339.74</v>
      </c>
      <c r="C1455" s="15">
        <v>187274</v>
      </c>
      <c r="D1455" s="15">
        <v>53562</v>
      </c>
      <c r="E1455" s="15" t="s">
        <v>1223</v>
      </c>
      <c r="F1455" s="15">
        <v>2011</v>
      </c>
      <c r="G1455" s="15">
        <v>20110425</v>
      </c>
      <c r="H1455" s="15">
        <v>61120</v>
      </c>
      <c r="I1455" s="15">
        <v>6.11</v>
      </c>
      <c r="J1455" s="6" t="s">
        <v>63</v>
      </c>
      <c r="K1455" s="15">
        <v>15</v>
      </c>
      <c r="L1455" s="15" t="s">
        <v>362</v>
      </c>
      <c r="M1455" s="15" t="s">
        <v>5</v>
      </c>
      <c r="N1455" s="11" t="s">
        <v>1384</v>
      </c>
      <c r="O1455" s="11" t="s">
        <v>28</v>
      </c>
      <c r="P1455" s="11" t="s">
        <v>33</v>
      </c>
      <c r="Q1455" s="15">
        <v>0</v>
      </c>
      <c r="R1455" s="11" t="s">
        <v>1386</v>
      </c>
      <c r="S1455" s="10">
        <v>205.81939178997999</v>
      </c>
      <c r="T1455" s="15">
        <v>80</v>
      </c>
      <c r="U1455" s="15">
        <v>1</v>
      </c>
      <c r="V1455" s="15">
        <v>0</v>
      </c>
      <c r="W1455" s="15">
        <v>0</v>
      </c>
      <c r="X1455" s="15">
        <f>IF(O1455='Udvaskning nøgletal'!$D$65,1,IF(O1455='Udvaskning nøgletal'!$D$66,2,IF(O1455='Udvaskning nøgletal'!$D$67,3,IF(O1455='Udvaskning nøgletal'!$D$68,2,""))))</f>
        <v>1</v>
      </c>
      <c r="Y1455" s="15">
        <f>LOOKUP(K1455,'Udvaskning nøgletal'!$C$12:$C$60,'Udvaskning nøgletal'!$H$12:$H$60)</f>
        <v>5</v>
      </c>
      <c r="Z1455" s="10">
        <f>IF(X1455=1,LOOKUP(K1455,'Udvaskning nøgletal'!$C$12:$C$60,'Udvaskning nøgletal'!$E$12:$E$60)+Markniveau!Y1455*Markniveau!S1455/100,IF(X1455=2,LOOKUP(K1455,'Udvaskning nøgletal'!$C$12:$C$60,'Udvaskning nøgletal'!$F$12:$F$60)+Markniveau!Y1455*Markniveau!S1455/100,IF(X1455=3,LOOKUP(K1455,'Udvaskning nøgletal'!$C$12:$C$60,'Udvaskning nøgletal'!G1465:G1513)+Markniveau!Y1455*Markniveau!S1455/100,"")))</f>
        <v>74.950969589498996</v>
      </c>
      <c r="AA1455" s="10">
        <f t="shared" si="226"/>
        <v>457.95042419183886</v>
      </c>
      <c r="AB1455" s="10" t="str">
        <f t="shared" si="225"/>
        <v/>
      </c>
      <c r="AC1455" s="10" t="str">
        <f t="shared" si="227"/>
        <v/>
      </c>
      <c r="AD1455" s="10">
        <f>IF(AND(Q1455&gt;0,Q1455&lt;30,K1455&lt;8),Markniveau!Z1455*'Udvaskning nøgletal'!$I$12/100,IF(AND(Q1455&gt;0,Q1455&lt;30,K1455=216),Markniveau!Z1455*'Udvaskning nøgletal'!$I$34/100,Markniveau!Z1455))</f>
        <v>74.950969589498996</v>
      </c>
      <c r="AE1455" s="10">
        <f t="shared" si="233"/>
        <v>457.95042419183886</v>
      </c>
      <c r="AF1455" s="10" t="str">
        <f t="shared" si="228"/>
        <v/>
      </c>
      <c r="AG1455" s="10" t="str">
        <f t="shared" si="234"/>
        <v/>
      </c>
      <c r="AH1455" s="10" t="str">
        <f>IF(AND(Q1455&gt;0,Q1455&lt;30,K1455=216),'Udvaskning nøgletal'!$C$42,IF(AND(Q1455&gt;0,Q1455&lt;30,K1455&gt;7,K1455&lt;17),'Udvaskning nøgletal'!$C$61,IF(AND(Q1455&gt;0,Q1455&lt;30,K1455&lt;7),'Udvaskning nøgletal'!$C$62,"")))</f>
        <v/>
      </c>
      <c r="AI1455" s="10">
        <f t="shared" si="230"/>
        <v>15</v>
      </c>
      <c r="AJ1455" s="10">
        <f>IF($X1455=1,LOOKUP(AI1455,'Udvaskning nøgletal'!$C$12:$C$62,'Udvaskning nøgletal'!$E$12:$E$62)+Markniveau!$Y1455*Markniveau!$S1455/100,IF($X1455=2,LOOKUP(AI1455,'Udvaskning nøgletal'!$C$12:$C$62,'Udvaskning nøgletal'!$F$12:$F$62)+Markniveau!$Y1455*Markniveau!$S1455/100,IF($X1455=3,LOOKUP(AI1455,'Udvaskning nøgletal'!$C$12:$C$62,'Udvaskning nøgletal'!Q1465:Q1515)+Markniveau!$Y1455*Markniveau!$S1455/100,"")))</f>
        <v>74.950969589498996</v>
      </c>
      <c r="AK1455" s="10">
        <f t="shared" si="229"/>
        <v>457.95042419183886</v>
      </c>
      <c r="AL1455" s="10" t="str">
        <f t="shared" si="231"/>
        <v/>
      </c>
      <c r="AM1455" s="10" t="str">
        <f t="shared" si="232"/>
        <v/>
      </c>
    </row>
    <row r="1456" spans="1:39" x14ac:dyDescent="0.25">
      <c r="A1456" s="15">
        <v>72487214</v>
      </c>
      <c r="B1456" s="15">
        <v>339.74</v>
      </c>
      <c r="C1456" s="15">
        <v>188984</v>
      </c>
      <c r="D1456" s="15">
        <v>53562</v>
      </c>
      <c r="E1456" s="15" t="s">
        <v>307</v>
      </c>
      <c r="F1456" s="15">
        <v>2011</v>
      </c>
      <c r="G1456" s="15">
        <v>20110425</v>
      </c>
      <c r="H1456" s="15">
        <v>64624</v>
      </c>
      <c r="I1456" s="15">
        <v>6.46</v>
      </c>
      <c r="J1456" s="6" t="s">
        <v>1529</v>
      </c>
      <c r="K1456" s="15">
        <v>230</v>
      </c>
      <c r="L1456" s="15" t="s">
        <v>120</v>
      </c>
      <c r="M1456" s="15" t="s">
        <v>5</v>
      </c>
      <c r="N1456" s="11" t="s">
        <v>1384</v>
      </c>
      <c r="O1456" s="11" t="s">
        <v>28</v>
      </c>
      <c r="P1456" s="11" t="s">
        <v>29</v>
      </c>
      <c r="Q1456" s="15">
        <v>40</v>
      </c>
      <c r="R1456" s="11" t="s">
        <v>6</v>
      </c>
      <c r="S1456" s="10">
        <v>205.81939178997999</v>
      </c>
      <c r="T1456" s="15">
        <v>80</v>
      </c>
      <c r="U1456" s="15">
        <v>1</v>
      </c>
      <c r="V1456" s="15">
        <v>0</v>
      </c>
      <c r="W1456" s="15">
        <v>0</v>
      </c>
      <c r="X1456" s="15">
        <f>IF(O1456='Udvaskning nøgletal'!$D$65,1,IF(O1456='Udvaskning nøgletal'!$D$66,2,IF(O1456='Udvaskning nøgletal'!$D$67,3,IF(O1456='Udvaskning nøgletal'!$D$68,2,""))))</f>
        <v>1</v>
      </c>
      <c r="Y1456" s="15">
        <f>LOOKUP(K1456,'Udvaskning nøgletal'!$C$12:$C$60,'Udvaskning nøgletal'!$H$12:$H$60)</f>
        <v>0</v>
      </c>
      <c r="Z1456" s="10">
        <f>IF(X1456=1,LOOKUP(K1456,'Udvaskning nøgletal'!$C$12:$C$60,'Udvaskning nøgletal'!$E$12:$E$60)+Markniveau!Y1456*Markniveau!S1456/100,IF(X1456=2,LOOKUP(K1456,'Udvaskning nøgletal'!$C$12:$C$60,'Udvaskning nøgletal'!$F$12:$F$60)+Markniveau!Y1456*Markniveau!S1456/100,IF(X1456=3,LOOKUP(K1456,'Udvaskning nøgletal'!$C$12:$C$60,'Udvaskning nøgletal'!G1466:G1514)+Markniveau!Y1456*Markniveau!S1456/100,"")))</f>
        <v>38.620385460262987</v>
      </c>
      <c r="AA1456" s="10">
        <f t="shared" si="226"/>
        <v>249.48769007329889</v>
      </c>
      <c r="AB1456" s="10">
        <f t="shared" si="225"/>
        <v>23.172231276157792</v>
      </c>
      <c r="AC1456" s="10">
        <f t="shared" si="227"/>
        <v>149.69261404397935</v>
      </c>
      <c r="AD1456" s="10">
        <f>IF(AND(Q1456&gt;0,Q1456&lt;30,K1456&lt;8),Markniveau!Z1456*'Udvaskning nøgletal'!$I$12/100,IF(AND(Q1456&gt;0,Q1456&lt;30,K1456=216),Markniveau!Z1456*'Udvaskning nøgletal'!$I$34/100,Markniveau!Z1456))</f>
        <v>38.620385460262987</v>
      </c>
      <c r="AE1456" s="10">
        <f t="shared" si="233"/>
        <v>249.48769007329889</v>
      </c>
      <c r="AF1456" s="10">
        <f t="shared" si="228"/>
        <v>23.172231276157792</v>
      </c>
      <c r="AG1456" s="10">
        <f t="shared" si="234"/>
        <v>149.69261404397935</v>
      </c>
      <c r="AH1456" s="10" t="str">
        <f>IF(AND(Q1456&gt;0,Q1456&lt;30,K1456=216),'Udvaskning nøgletal'!$C$42,IF(AND(Q1456&gt;0,Q1456&lt;30,K1456&gt;7,K1456&lt;17),'Udvaskning nøgletal'!$C$61,IF(AND(Q1456&gt;0,Q1456&lt;30,K1456&lt;7),'Udvaskning nøgletal'!$C$62,"")))</f>
        <v/>
      </c>
      <c r="AI1456" s="10">
        <f t="shared" si="230"/>
        <v>230</v>
      </c>
      <c r="AJ1456" s="10">
        <f>IF($X1456=1,LOOKUP(AI1456,'Udvaskning nøgletal'!$C$12:$C$62,'Udvaskning nøgletal'!$E$12:$E$62)+Markniveau!$Y1456*Markniveau!$S1456/100,IF($X1456=2,LOOKUP(AI1456,'Udvaskning nøgletal'!$C$12:$C$62,'Udvaskning nøgletal'!$F$12:$F$62)+Markniveau!$Y1456*Markniveau!$S1456/100,IF($X1456=3,LOOKUP(AI1456,'Udvaskning nøgletal'!$C$12:$C$62,'Udvaskning nøgletal'!Q1466:Q1516)+Markniveau!$Y1456*Markniveau!$S1456/100,"")))</f>
        <v>38.620385460262987</v>
      </c>
      <c r="AK1456" s="10">
        <f t="shared" si="229"/>
        <v>249.48769007329889</v>
      </c>
      <c r="AL1456" s="10">
        <f t="shared" si="231"/>
        <v>23.172231276157792</v>
      </c>
      <c r="AM1456" s="10">
        <f t="shared" si="232"/>
        <v>149.69261404397935</v>
      </c>
    </row>
    <row r="1457" spans="1:39" x14ac:dyDescent="0.25">
      <c r="A1457" s="15">
        <v>72487214</v>
      </c>
      <c r="B1457" s="15">
        <v>339.74</v>
      </c>
      <c r="C1457" s="15">
        <v>191226</v>
      </c>
      <c r="D1457" s="15">
        <v>53562</v>
      </c>
      <c r="E1457" s="15" t="s">
        <v>1224</v>
      </c>
      <c r="F1457" s="15">
        <v>2011</v>
      </c>
      <c r="G1457" s="15">
        <v>20110425</v>
      </c>
      <c r="H1457" s="15">
        <v>47465</v>
      </c>
      <c r="I1457" s="15">
        <v>4.75</v>
      </c>
      <c r="J1457" s="6" t="s">
        <v>122</v>
      </c>
      <c r="K1457" s="15">
        <v>230</v>
      </c>
      <c r="L1457" s="15" t="s">
        <v>120</v>
      </c>
      <c r="M1457" s="15" t="s">
        <v>5</v>
      </c>
      <c r="N1457" s="11" t="s">
        <v>1406</v>
      </c>
      <c r="O1457" s="11" t="s">
        <v>46</v>
      </c>
      <c r="P1457" s="11" t="s">
        <v>29</v>
      </c>
      <c r="Q1457" s="15">
        <v>95</v>
      </c>
      <c r="R1457" s="11" t="s">
        <v>3</v>
      </c>
      <c r="S1457" s="10">
        <v>205.81939178997999</v>
      </c>
      <c r="T1457" s="15">
        <v>80</v>
      </c>
      <c r="U1457" s="15">
        <v>1</v>
      </c>
      <c r="V1457" s="15">
        <v>0</v>
      </c>
      <c r="W1457" s="15">
        <v>0</v>
      </c>
      <c r="X1457" s="15">
        <f>IF(O1457='Udvaskning nøgletal'!$D$65,1,IF(O1457='Udvaskning nøgletal'!$D$66,2,IF(O1457='Udvaskning nøgletal'!$D$67,3,IF(O1457='Udvaskning nøgletal'!$D$68,2,""))))</f>
        <v>2</v>
      </c>
      <c r="Y1457" s="15">
        <f>LOOKUP(K1457,'Udvaskning nøgletal'!$C$12:$C$60,'Udvaskning nøgletal'!$H$12:$H$60)</f>
        <v>0</v>
      </c>
      <c r="Z1457" s="10">
        <f>IF(X1457=1,LOOKUP(K1457,'Udvaskning nøgletal'!$C$12:$C$60,'Udvaskning nøgletal'!$E$12:$E$60)+Markniveau!Y1457*Markniveau!S1457/100,IF(X1457=2,LOOKUP(K1457,'Udvaskning nøgletal'!$C$12:$C$60,'Udvaskning nøgletal'!$F$12:$F$60)+Markniveau!Y1457*Markniveau!S1457/100,IF(X1457=3,LOOKUP(K1457,'Udvaskning nøgletal'!$C$12:$C$60,'Udvaskning nøgletal'!G1467:G1515)+Markniveau!Y1457*Markniveau!S1457/100,"")))</f>
        <v>31.161328188970323</v>
      </c>
      <c r="AA1457" s="10">
        <f t="shared" si="226"/>
        <v>148.01630889760904</v>
      </c>
      <c r="AB1457" s="10">
        <f t="shared" si="225"/>
        <v>1.5580664094485162</v>
      </c>
      <c r="AC1457" s="10">
        <f t="shared" si="227"/>
        <v>7.4008154448804522</v>
      </c>
      <c r="AD1457" s="10">
        <f>IF(AND(Q1457&gt;0,Q1457&lt;30,K1457&lt;8),Markniveau!Z1457*'Udvaskning nøgletal'!$I$12/100,IF(AND(Q1457&gt;0,Q1457&lt;30,K1457=216),Markniveau!Z1457*'Udvaskning nøgletal'!$I$34/100,Markniveau!Z1457))</f>
        <v>31.161328188970323</v>
      </c>
      <c r="AE1457" s="10">
        <f t="shared" si="233"/>
        <v>148.01630889760904</v>
      </c>
      <c r="AF1457" s="10">
        <f t="shared" si="228"/>
        <v>1.5580664094485162</v>
      </c>
      <c r="AG1457" s="10">
        <f t="shared" si="234"/>
        <v>7.4008154448804522</v>
      </c>
      <c r="AH1457" s="10" t="str">
        <f>IF(AND(Q1457&gt;0,Q1457&lt;30,K1457=216),'Udvaskning nøgletal'!$C$42,IF(AND(Q1457&gt;0,Q1457&lt;30,K1457&gt;7,K1457&lt;17),'Udvaskning nøgletal'!$C$61,IF(AND(Q1457&gt;0,Q1457&lt;30,K1457&lt;7),'Udvaskning nøgletal'!$C$62,"")))</f>
        <v/>
      </c>
      <c r="AI1457" s="10">
        <f t="shared" si="230"/>
        <v>230</v>
      </c>
      <c r="AJ1457" s="10">
        <f>IF($X1457=1,LOOKUP(AI1457,'Udvaskning nøgletal'!$C$12:$C$62,'Udvaskning nøgletal'!$E$12:$E$62)+Markniveau!$Y1457*Markniveau!$S1457/100,IF($X1457=2,LOOKUP(AI1457,'Udvaskning nøgletal'!$C$12:$C$62,'Udvaskning nøgletal'!$F$12:$F$62)+Markniveau!$Y1457*Markniveau!$S1457/100,IF($X1457=3,LOOKUP(AI1457,'Udvaskning nøgletal'!$C$12:$C$62,'Udvaskning nøgletal'!Q1467:Q1517)+Markniveau!$Y1457*Markniveau!$S1457/100,"")))</f>
        <v>31.161328188970323</v>
      </c>
      <c r="AK1457" s="10">
        <f t="shared" si="229"/>
        <v>148.01630889760904</v>
      </c>
      <c r="AL1457" s="10">
        <f t="shared" si="231"/>
        <v>1.5580664094485162</v>
      </c>
      <c r="AM1457" s="10">
        <f t="shared" si="232"/>
        <v>7.4008154448804522</v>
      </c>
    </row>
    <row r="1458" spans="1:39" x14ac:dyDescent="0.25">
      <c r="A1458" s="15">
        <v>72487214</v>
      </c>
      <c r="B1458" s="15">
        <v>339.74</v>
      </c>
      <c r="C1458" s="15">
        <v>194117</v>
      </c>
      <c r="D1458" s="15">
        <v>53562</v>
      </c>
      <c r="E1458" s="15" t="s">
        <v>307</v>
      </c>
      <c r="F1458" s="15">
        <v>2011</v>
      </c>
      <c r="G1458" s="15">
        <v>20110425</v>
      </c>
      <c r="H1458" s="15">
        <v>28569</v>
      </c>
      <c r="I1458" s="15">
        <v>2.86</v>
      </c>
      <c r="J1458" s="6" t="s">
        <v>461</v>
      </c>
      <c r="K1458" s="15">
        <v>216</v>
      </c>
      <c r="L1458" s="15" t="s">
        <v>116</v>
      </c>
      <c r="M1458" s="15" t="s">
        <v>5</v>
      </c>
      <c r="N1458" s="11" t="s">
        <v>1384</v>
      </c>
      <c r="O1458" s="11" t="s">
        <v>28</v>
      </c>
      <c r="P1458" s="11" t="s">
        <v>29</v>
      </c>
      <c r="Q1458" s="15">
        <v>1</v>
      </c>
      <c r="R1458" s="11" t="s">
        <v>11</v>
      </c>
      <c r="S1458" s="10">
        <v>205.81939178997999</v>
      </c>
      <c r="T1458" s="15">
        <v>80</v>
      </c>
      <c r="U1458" s="15">
        <v>1</v>
      </c>
      <c r="V1458" s="15">
        <v>0</v>
      </c>
      <c r="W1458" s="15">
        <v>0</v>
      </c>
      <c r="X1458" s="15">
        <f>IF(O1458='Udvaskning nøgletal'!$D$65,1,IF(O1458='Udvaskning nøgletal'!$D$66,2,IF(O1458='Udvaskning nøgletal'!$D$67,3,IF(O1458='Udvaskning nøgletal'!$D$68,2,""))))</f>
        <v>1</v>
      </c>
      <c r="Y1458" s="15">
        <f>LOOKUP(K1458,'Udvaskning nøgletal'!$C$12:$C$60,'Udvaskning nøgletal'!$H$12:$H$60)</f>
        <v>0</v>
      </c>
      <c r="Z1458" s="10">
        <f>IF(X1458=1,LOOKUP(K1458,'Udvaskning nøgletal'!$C$12:$C$60,'Udvaskning nøgletal'!$E$12:$E$60)+Markniveau!Y1458*Markniveau!S1458/100,IF(X1458=2,LOOKUP(K1458,'Udvaskning nøgletal'!$C$12:$C$60,'Udvaskning nøgletal'!$F$12:$F$60)+Markniveau!Y1458*Markniveau!S1458/100,IF(X1458=3,LOOKUP(K1458,'Udvaskning nøgletal'!$C$12:$C$60,'Udvaskning nøgletal'!G1468:G1516)+Markniveau!Y1458*Markniveau!S1458/100,"")))</f>
        <v>125.85383557148924</v>
      </c>
      <c r="AA1458" s="10">
        <f t="shared" si="226"/>
        <v>359.94196973445924</v>
      </c>
      <c r="AB1458" s="10">
        <f t="shared" si="225"/>
        <v>124.59529721577435</v>
      </c>
      <c r="AC1458" s="10">
        <f t="shared" si="227"/>
        <v>356.34255003711462</v>
      </c>
      <c r="AD1458" s="10">
        <f>IF(AND(Q1458&gt;0,Q1458&lt;30,K1458&lt;8),Markniveau!Z1458*'Udvaskning nøgletal'!$I$12/100,IF(AND(Q1458&gt;0,Q1458&lt;30,K1458=216),Markniveau!Z1458*'Udvaskning nøgletal'!$I$34/100,Markniveau!Z1458))</f>
        <v>88.097684900042481</v>
      </c>
      <c r="AE1458" s="10">
        <f t="shared" si="233"/>
        <v>251.95937881412149</v>
      </c>
      <c r="AF1458" s="10">
        <f t="shared" si="228"/>
        <v>87.216708051042062</v>
      </c>
      <c r="AG1458" s="10">
        <f t="shared" si="234"/>
        <v>249.43978502598029</v>
      </c>
      <c r="AH1458" s="10">
        <f>IF(AND(Q1458&gt;0,Q1458&lt;30,K1458=216),'Udvaskning nøgletal'!$C$42,IF(AND(Q1458&gt;0,Q1458&lt;30,K1458&gt;7,K1458&lt;17),'Udvaskning nøgletal'!$C$61,IF(AND(Q1458&gt;0,Q1458&lt;30,K1458&lt;7),'Udvaskning nøgletal'!$C$62,"")))</f>
        <v>260</v>
      </c>
      <c r="AI1458" s="10">
        <f t="shared" si="230"/>
        <v>260</v>
      </c>
      <c r="AJ1458" s="10">
        <f>IF($X1458=1,LOOKUP(AI1458,'Udvaskning nøgletal'!$C$12:$C$62,'Udvaskning nøgletal'!$E$12:$E$62)+Markniveau!$Y1458*Markniveau!$S1458/100,IF($X1458=2,LOOKUP(AI1458,'Udvaskning nøgletal'!$C$12:$C$62,'Udvaskning nøgletal'!$F$12:$F$62)+Markniveau!$Y1458*Markniveau!$S1458/100,IF($X1458=3,LOOKUP(AI1458,'Udvaskning nøgletal'!$C$12:$C$62,'Udvaskning nøgletal'!Q1468:Q1518)+Markniveau!$Y1458*Markniveau!$S1458/100,"")))</f>
        <v>33.723295792149436</v>
      </c>
      <c r="AK1458" s="10">
        <f t="shared" si="229"/>
        <v>96.448625965547379</v>
      </c>
      <c r="AL1458" s="10">
        <f t="shared" si="231"/>
        <v>33.386062834227943</v>
      </c>
      <c r="AM1458" s="10">
        <f t="shared" si="232"/>
        <v>95.484139705891906</v>
      </c>
    </row>
    <row r="1459" spans="1:39" x14ac:dyDescent="0.25">
      <c r="A1459" s="15">
        <v>72487214</v>
      </c>
      <c r="B1459" s="15">
        <v>339.74</v>
      </c>
      <c r="C1459" s="15">
        <v>205119</v>
      </c>
      <c r="D1459" s="15">
        <v>53562</v>
      </c>
      <c r="E1459" s="15" t="s">
        <v>326</v>
      </c>
      <c r="F1459" s="15">
        <v>2011</v>
      </c>
      <c r="G1459" s="15">
        <v>20110425</v>
      </c>
      <c r="H1459" s="15">
        <v>70626</v>
      </c>
      <c r="I1459" s="15">
        <v>7.06</v>
      </c>
      <c r="J1459" s="6" t="s">
        <v>895</v>
      </c>
      <c r="K1459" s="15">
        <v>230</v>
      </c>
      <c r="L1459" s="15" t="s">
        <v>120</v>
      </c>
      <c r="M1459" s="15" t="s">
        <v>5</v>
      </c>
      <c r="N1459" s="11" t="s">
        <v>1384</v>
      </c>
      <c r="O1459" s="11" t="s">
        <v>28</v>
      </c>
      <c r="P1459" s="11" t="s">
        <v>33</v>
      </c>
      <c r="Q1459" s="15">
        <v>1</v>
      </c>
      <c r="R1459" s="11" t="s">
        <v>11</v>
      </c>
      <c r="S1459" s="10">
        <v>205.81939178997999</v>
      </c>
      <c r="T1459" s="15">
        <v>80</v>
      </c>
      <c r="U1459" s="15">
        <v>1</v>
      </c>
      <c r="V1459" s="15">
        <v>0</v>
      </c>
      <c r="W1459" s="15">
        <v>0</v>
      </c>
      <c r="X1459" s="15">
        <f>IF(O1459='Udvaskning nøgletal'!$D$65,1,IF(O1459='Udvaskning nøgletal'!$D$66,2,IF(O1459='Udvaskning nøgletal'!$D$67,3,IF(O1459='Udvaskning nøgletal'!$D$68,2,""))))</f>
        <v>1</v>
      </c>
      <c r="Y1459" s="15">
        <f>LOOKUP(K1459,'Udvaskning nøgletal'!$C$12:$C$60,'Udvaskning nøgletal'!$H$12:$H$60)</f>
        <v>0</v>
      </c>
      <c r="Z1459" s="10">
        <f>IF(X1459=1,LOOKUP(K1459,'Udvaskning nøgletal'!$C$12:$C$60,'Udvaskning nøgletal'!$E$12:$E$60)+Markniveau!Y1459*Markniveau!S1459/100,IF(X1459=2,LOOKUP(K1459,'Udvaskning nøgletal'!$C$12:$C$60,'Udvaskning nøgletal'!$F$12:$F$60)+Markniveau!Y1459*Markniveau!S1459/100,IF(X1459=3,LOOKUP(K1459,'Udvaskning nøgletal'!$C$12:$C$60,'Udvaskning nøgletal'!G1469:G1517)+Markniveau!Y1459*Markniveau!S1459/100,"")))</f>
        <v>38.620385460262987</v>
      </c>
      <c r="AA1459" s="10">
        <f t="shared" si="226"/>
        <v>272.65992134945668</v>
      </c>
      <c r="AB1459" s="10">
        <f t="shared" si="225"/>
        <v>38.234181605660353</v>
      </c>
      <c r="AC1459" s="10">
        <f t="shared" si="227"/>
        <v>269.9333221359621</v>
      </c>
      <c r="AD1459" s="10">
        <f>IF(AND(Q1459&gt;0,Q1459&lt;30,K1459&lt;8),Markniveau!Z1459*'Udvaskning nøgletal'!$I$12/100,IF(AND(Q1459&gt;0,Q1459&lt;30,K1459=216),Markniveau!Z1459*'Udvaskning nøgletal'!$I$34/100,Markniveau!Z1459))</f>
        <v>38.620385460262987</v>
      </c>
      <c r="AE1459" s="10">
        <f t="shared" si="233"/>
        <v>272.65992134945668</v>
      </c>
      <c r="AF1459" s="10">
        <f t="shared" si="228"/>
        <v>38.234181605660353</v>
      </c>
      <c r="AG1459" s="10">
        <f t="shared" si="234"/>
        <v>269.9333221359621</v>
      </c>
      <c r="AH1459" s="10" t="str">
        <f>IF(AND(Q1459&gt;0,Q1459&lt;30,K1459=216),'Udvaskning nøgletal'!$C$42,IF(AND(Q1459&gt;0,Q1459&lt;30,K1459&gt;7,K1459&lt;17),'Udvaskning nøgletal'!$C$61,IF(AND(Q1459&gt;0,Q1459&lt;30,K1459&lt;7),'Udvaskning nøgletal'!$C$62,"")))</f>
        <v/>
      </c>
      <c r="AI1459" s="10">
        <f t="shared" si="230"/>
        <v>230</v>
      </c>
      <c r="AJ1459" s="10">
        <f>IF($X1459=1,LOOKUP(AI1459,'Udvaskning nøgletal'!$C$12:$C$62,'Udvaskning nøgletal'!$E$12:$E$62)+Markniveau!$Y1459*Markniveau!$S1459/100,IF($X1459=2,LOOKUP(AI1459,'Udvaskning nøgletal'!$C$12:$C$62,'Udvaskning nøgletal'!$F$12:$F$62)+Markniveau!$Y1459*Markniveau!$S1459/100,IF($X1459=3,LOOKUP(AI1459,'Udvaskning nøgletal'!$C$12:$C$62,'Udvaskning nøgletal'!Q1469:Q1519)+Markniveau!$Y1459*Markniveau!$S1459/100,"")))</f>
        <v>38.620385460262987</v>
      </c>
      <c r="AK1459" s="10">
        <f t="shared" si="229"/>
        <v>272.65992134945668</v>
      </c>
      <c r="AL1459" s="10">
        <f t="shared" si="231"/>
        <v>38.234181605660353</v>
      </c>
      <c r="AM1459" s="10">
        <f t="shared" si="232"/>
        <v>269.9333221359621</v>
      </c>
    </row>
    <row r="1460" spans="1:39" x14ac:dyDescent="0.25">
      <c r="A1460" s="15">
        <v>72487214</v>
      </c>
      <c r="B1460" s="15">
        <v>339.74</v>
      </c>
      <c r="C1460" s="15">
        <v>205635</v>
      </c>
      <c r="D1460" s="15">
        <v>53562</v>
      </c>
      <c r="E1460" s="15" t="s">
        <v>1225</v>
      </c>
      <c r="F1460" s="15">
        <v>2011</v>
      </c>
      <c r="G1460" s="15">
        <v>20110425</v>
      </c>
      <c r="H1460" s="15">
        <v>190867</v>
      </c>
      <c r="I1460" s="15">
        <v>19.09</v>
      </c>
      <c r="J1460" s="6" t="s">
        <v>60</v>
      </c>
      <c r="K1460" s="15">
        <v>15</v>
      </c>
      <c r="L1460" s="15" t="s">
        <v>362</v>
      </c>
      <c r="M1460" s="15" t="s">
        <v>5</v>
      </c>
      <c r="N1460" s="11" t="s">
        <v>1391</v>
      </c>
      <c r="O1460" s="11" t="s">
        <v>46</v>
      </c>
      <c r="P1460" s="11" t="s">
        <v>33</v>
      </c>
      <c r="Q1460" s="15">
        <v>0</v>
      </c>
      <c r="R1460" s="11" t="s">
        <v>1386</v>
      </c>
      <c r="S1460" s="10">
        <v>205.81939178997999</v>
      </c>
      <c r="T1460" s="15">
        <v>80</v>
      </c>
      <c r="U1460" s="15">
        <v>1</v>
      </c>
      <c r="V1460" s="15">
        <v>0</v>
      </c>
      <c r="W1460" s="15">
        <v>0</v>
      </c>
      <c r="X1460" s="15">
        <f>IF(O1460='Udvaskning nøgletal'!$D$65,1,IF(O1460='Udvaskning nøgletal'!$D$66,2,IF(O1460='Udvaskning nøgletal'!$D$67,3,IF(O1460='Udvaskning nøgletal'!$D$68,2,""))))</f>
        <v>2</v>
      </c>
      <c r="Y1460" s="15">
        <f>LOOKUP(K1460,'Udvaskning nøgletal'!$C$12:$C$60,'Udvaskning nøgletal'!$H$12:$H$60)</f>
        <v>5</v>
      </c>
      <c r="Z1460" s="10">
        <f>IF(X1460=1,LOOKUP(K1460,'Udvaskning nøgletal'!$C$12:$C$60,'Udvaskning nøgletal'!$E$12:$E$60)+Markniveau!Y1460*Markniveau!S1460/100,IF(X1460=2,LOOKUP(K1460,'Udvaskning nøgletal'!$C$12:$C$60,'Udvaskning nøgletal'!$F$12:$F$60)+Markniveau!Y1460*Markniveau!S1460/100,IF(X1460=3,LOOKUP(K1460,'Udvaskning nøgletal'!$C$12:$C$60,'Udvaskning nøgletal'!G1470:G1518)+Markniveau!Y1460*Markniveau!S1460/100,"")))</f>
        <v>61.170969589499002</v>
      </c>
      <c r="AA1460" s="10">
        <f t="shared" si="226"/>
        <v>1167.7538094635358</v>
      </c>
      <c r="AB1460" s="10" t="str">
        <f t="shared" si="225"/>
        <v/>
      </c>
      <c r="AC1460" s="10" t="str">
        <f t="shared" si="227"/>
        <v/>
      </c>
      <c r="AD1460" s="10">
        <f>IF(AND(Q1460&gt;0,Q1460&lt;30,K1460&lt;8),Markniveau!Z1460*'Udvaskning nøgletal'!$I$12/100,IF(AND(Q1460&gt;0,Q1460&lt;30,K1460=216),Markniveau!Z1460*'Udvaskning nøgletal'!$I$34/100,Markniveau!Z1460))</f>
        <v>61.170969589499002</v>
      </c>
      <c r="AE1460" s="10">
        <f t="shared" si="233"/>
        <v>1167.7538094635358</v>
      </c>
      <c r="AF1460" s="10" t="str">
        <f t="shared" si="228"/>
        <v/>
      </c>
      <c r="AG1460" s="10" t="str">
        <f t="shared" si="234"/>
        <v/>
      </c>
      <c r="AH1460" s="10" t="str">
        <f>IF(AND(Q1460&gt;0,Q1460&lt;30,K1460=216),'Udvaskning nøgletal'!$C$42,IF(AND(Q1460&gt;0,Q1460&lt;30,K1460&gt;7,K1460&lt;17),'Udvaskning nøgletal'!$C$61,IF(AND(Q1460&gt;0,Q1460&lt;30,K1460&lt;7),'Udvaskning nøgletal'!$C$62,"")))</f>
        <v/>
      </c>
      <c r="AI1460" s="10">
        <f t="shared" si="230"/>
        <v>15</v>
      </c>
      <c r="AJ1460" s="10">
        <f>IF($X1460=1,LOOKUP(AI1460,'Udvaskning nøgletal'!$C$12:$C$62,'Udvaskning nøgletal'!$E$12:$E$62)+Markniveau!$Y1460*Markniveau!$S1460/100,IF($X1460=2,LOOKUP(AI1460,'Udvaskning nøgletal'!$C$12:$C$62,'Udvaskning nøgletal'!$F$12:$F$62)+Markniveau!$Y1460*Markniveau!$S1460/100,IF($X1460=3,LOOKUP(AI1460,'Udvaskning nøgletal'!$C$12:$C$62,'Udvaskning nøgletal'!Q1470:Q1520)+Markniveau!$Y1460*Markniveau!$S1460/100,"")))</f>
        <v>61.170969589499002</v>
      </c>
      <c r="AK1460" s="10">
        <f t="shared" si="229"/>
        <v>1167.7538094635358</v>
      </c>
      <c r="AL1460" s="10" t="str">
        <f t="shared" si="231"/>
        <v/>
      </c>
      <c r="AM1460" s="10" t="str">
        <f t="shared" si="232"/>
        <v/>
      </c>
    </row>
    <row r="1461" spans="1:39" x14ac:dyDescent="0.25">
      <c r="A1461" s="15">
        <v>72487214</v>
      </c>
      <c r="B1461" s="15">
        <v>339.74</v>
      </c>
      <c r="C1461" s="15">
        <v>206234</v>
      </c>
      <c r="D1461" s="15">
        <v>53562</v>
      </c>
      <c r="E1461" s="15" t="s">
        <v>1226</v>
      </c>
      <c r="F1461" s="15">
        <v>2011</v>
      </c>
      <c r="G1461" s="15">
        <v>20110425</v>
      </c>
      <c r="H1461" s="15">
        <v>61512</v>
      </c>
      <c r="I1461" s="15">
        <v>6.15</v>
      </c>
      <c r="J1461" s="6" t="s">
        <v>849</v>
      </c>
      <c r="K1461" s="15">
        <v>230</v>
      </c>
      <c r="L1461" s="15" t="s">
        <v>120</v>
      </c>
      <c r="M1461" s="15" t="s">
        <v>5</v>
      </c>
      <c r="N1461" s="11" t="s">
        <v>1384</v>
      </c>
      <c r="O1461" s="11" t="s">
        <v>28</v>
      </c>
      <c r="P1461" s="11" t="s">
        <v>29</v>
      </c>
      <c r="Q1461" s="15">
        <v>95</v>
      </c>
      <c r="R1461" s="11" t="s">
        <v>3</v>
      </c>
      <c r="S1461" s="10">
        <v>205.81939178997999</v>
      </c>
      <c r="T1461" s="15">
        <v>80</v>
      </c>
      <c r="U1461" s="15">
        <v>1</v>
      </c>
      <c r="V1461" s="15">
        <v>0</v>
      </c>
      <c r="W1461" s="15">
        <v>0</v>
      </c>
      <c r="X1461" s="15">
        <f>IF(O1461='Udvaskning nøgletal'!$D$65,1,IF(O1461='Udvaskning nøgletal'!$D$66,2,IF(O1461='Udvaskning nøgletal'!$D$67,3,IF(O1461='Udvaskning nøgletal'!$D$68,2,""))))</f>
        <v>1</v>
      </c>
      <c r="Y1461" s="15">
        <f>LOOKUP(K1461,'Udvaskning nøgletal'!$C$12:$C$60,'Udvaskning nøgletal'!$H$12:$H$60)</f>
        <v>0</v>
      </c>
      <c r="Z1461" s="10">
        <f>IF(X1461=1,LOOKUP(K1461,'Udvaskning nøgletal'!$C$12:$C$60,'Udvaskning nøgletal'!$E$12:$E$60)+Markniveau!Y1461*Markniveau!S1461/100,IF(X1461=2,LOOKUP(K1461,'Udvaskning nøgletal'!$C$12:$C$60,'Udvaskning nøgletal'!$F$12:$F$60)+Markniveau!Y1461*Markniveau!S1461/100,IF(X1461=3,LOOKUP(K1461,'Udvaskning nøgletal'!$C$12:$C$60,'Udvaskning nøgletal'!G1471:G1519)+Markniveau!Y1461*Markniveau!S1461/100,"")))</f>
        <v>38.620385460262987</v>
      </c>
      <c r="AA1461" s="10">
        <f t="shared" si="226"/>
        <v>237.5153705806174</v>
      </c>
      <c r="AB1461" s="10">
        <f t="shared" si="225"/>
        <v>1.9310192730131492</v>
      </c>
      <c r="AC1461" s="10">
        <f t="shared" si="227"/>
        <v>11.875768529030868</v>
      </c>
      <c r="AD1461" s="10">
        <f>IF(AND(Q1461&gt;0,Q1461&lt;30,K1461&lt;8),Markniveau!Z1461*'Udvaskning nøgletal'!$I$12/100,IF(AND(Q1461&gt;0,Q1461&lt;30,K1461=216),Markniveau!Z1461*'Udvaskning nøgletal'!$I$34/100,Markniveau!Z1461))</f>
        <v>38.620385460262987</v>
      </c>
      <c r="AE1461" s="10">
        <f t="shared" si="233"/>
        <v>237.5153705806174</v>
      </c>
      <c r="AF1461" s="10">
        <f t="shared" si="228"/>
        <v>1.9310192730131492</v>
      </c>
      <c r="AG1461" s="10">
        <f t="shared" si="234"/>
        <v>11.875768529030868</v>
      </c>
      <c r="AH1461" s="10" t="str">
        <f>IF(AND(Q1461&gt;0,Q1461&lt;30,K1461=216),'Udvaskning nøgletal'!$C$42,IF(AND(Q1461&gt;0,Q1461&lt;30,K1461&gt;7,K1461&lt;17),'Udvaskning nøgletal'!$C$61,IF(AND(Q1461&gt;0,Q1461&lt;30,K1461&lt;7),'Udvaskning nøgletal'!$C$62,"")))</f>
        <v/>
      </c>
      <c r="AI1461" s="10">
        <f t="shared" si="230"/>
        <v>230</v>
      </c>
      <c r="AJ1461" s="10">
        <f>IF($X1461=1,LOOKUP(AI1461,'Udvaskning nøgletal'!$C$12:$C$62,'Udvaskning nøgletal'!$E$12:$E$62)+Markniveau!$Y1461*Markniveau!$S1461/100,IF($X1461=2,LOOKUP(AI1461,'Udvaskning nøgletal'!$C$12:$C$62,'Udvaskning nøgletal'!$F$12:$F$62)+Markniveau!$Y1461*Markniveau!$S1461/100,IF($X1461=3,LOOKUP(AI1461,'Udvaskning nøgletal'!$C$12:$C$62,'Udvaskning nøgletal'!Q1471:Q1521)+Markniveau!$Y1461*Markniveau!$S1461/100,"")))</f>
        <v>38.620385460262987</v>
      </c>
      <c r="AK1461" s="10">
        <f t="shared" si="229"/>
        <v>237.5153705806174</v>
      </c>
      <c r="AL1461" s="10">
        <f t="shared" si="231"/>
        <v>1.9310192730131492</v>
      </c>
      <c r="AM1461" s="10">
        <f t="shared" si="232"/>
        <v>11.875768529030868</v>
      </c>
    </row>
    <row r="1462" spans="1:39" x14ac:dyDescent="0.25">
      <c r="A1462" s="15">
        <v>72487214</v>
      </c>
      <c r="B1462" s="15">
        <v>339.74</v>
      </c>
      <c r="C1462" s="15">
        <v>213046</v>
      </c>
      <c r="D1462" s="15">
        <v>53562</v>
      </c>
      <c r="E1462" s="15" t="s">
        <v>1227</v>
      </c>
      <c r="F1462" s="15">
        <v>2011</v>
      </c>
      <c r="G1462" s="15">
        <v>20110425</v>
      </c>
      <c r="H1462" s="15">
        <v>46456</v>
      </c>
      <c r="I1462" s="15">
        <v>4.6500000000000004</v>
      </c>
      <c r="J1462" s="6" t="s">
        <v>558</v>
      </c>
      <c r="K1462" s="15">
        <v>230</v>
      </c>
      <c r="L1462" s="15" t="s">
        <v>120</v>
      </c>
      <c r="M1462" s="15" t="s">
        <v>5</v>
      </c>
      <c r="N1462" s="11" t="s">
        <v>1406</v>
      </c>
      <c r="O1462" s="11" t="s">
        <v>46</v>
      </c>
      <c r="P1462" s="11" t="s">
        <v>29</v>
      </c>
      <c r="Q1462" s="15">
        <v>95</v>
      </c>
      <c r="R1462" s="11" t="s">
        <v>3</v>
      </c>
      <c r="S1462" s="10">
        <v>205.81939178997999</v>
      </c>
      <c r="T1462" s="15">
        <v>80</v>
      </c>
      <c r="U1462" s="15">
        <v>1</v>
      </c>
      <c r="V1462" s="15">
        <v>0</v>
      </c>
      <c r="W1462" s="15">
        <v>0</v>
      </c>
      <c r="X1462" s="15">
        <f>IF(O1462='Udvaskning nøgletal'!$D$65,1,IF(O1462='Udvaskning nøgletal'!$D$66,2,IF(O1462='Udvaskning nøgletal'!$D$67,3,IF(O1462='Udvaskning nøgletal'!$D$68,2,""))))</f>
        <v>2</v>
      </c>
      <c r="Y1462" s="15">
        <f>LOOKUP(K1462,'Udvaskning nøgletal'!$C$12:$C$60,'Udvaskning nøgletal'!$H$12:$H$60)</f>
        <v>0</v>
      </c>
      <c r="Z1462" s="10">
        <f>IF(X1462=1,LOOKUP(K1462,'Udvaskning nøgletal'!$C$12:$C$60,'Udvaskning nøgletal'!$E$12:$E$60)+Markniveau!Y1462*Markniveau!S1462/100,IF(X1462=2,LOOKUP(K1462,'Udvaskning nøgletal'!$C$12:$C$60,'Udvaskning nøgletal'!$F$12:$F$60)+Markniveau!Y1462*Markniveau!S1462/100,IF(X1462=3,LOOKUP(K1462,'Udvaskning nøgletal'!$C$12:$C$60,'Udvaskning nøgletal'!G1472:G1520)+Markniveau!Y1462*Markniveau!S1462/100,"")))</f>
        <v>31.161328188970323</v>
      </c>
      <c r="AA1462" s="10">
        <f t="shared" si="226"/>
        <v>144.90017607871201</v>
      </c>
      <c r="AB1462" s="10">
        <f t="shared" si="225"/>
        <v>1.5580664094485162</v>
      </c>
      <c r="AC1462" s="10">
        <f t="shared" si="227"/>
        <v>7.2450088039356011</v>
      </c>
      <c r="AD1462" s="10">
        <f>IF(AND(Q1462&gt;0,Q1462&lt;30,K1462&lt;8),Markniveau!Z1462*'Udvaskning nøgletal'!$I$12/100,IF(AND(Q1462&gt;0,Q1462&lt;30,K1462=216),Markniveau!Z1462*'Udvaskning nøgletal'!$I$34/100,Markniveau!Z1462))</f>
        <v>31.161328188970323</v>
      </c>
      <c r="AE1462" s="10">
        <f t="shared" si="233"/>
        <v>144.90017607871201</v>
      </c>
      <c r="AF1462" s="10">
        <f t="shared" si="228"/>
        <v>1.5580664094485162</v>
      </c>
      <c r="AG1462" s="10">
        <f t="shared" si="234"/>
        <v>7.2450088039356011</v>
      </c>
      <c r="AH1462" s="10" t="str">
        <f>IF(AND(Q1462&gt;0,Q1462&lt;30,K1462=216),'Udvaskning nøgletal'!$C$42,IF(AND(Q1462&gt;0,Q1462&lt;30,K1462&gt;7,K1462&lt;17),'Udvaskning nøgletal'!$C$61,IF(AND(Q1462&gt;0,Q1462&lt;30,K1462&lt;7),'Udvaskning nøgletal'!$C$62,"")))</f>
        <v/>
      </c>
      <c r="AI1462" s="10">
        <f t="shared" si="230"/>
        <v>230</v>
      </c>
      <c r="AJ1462" s="10">
        <f>IF($X1462=1,LOOKUP(AI1462,'Udvaskning nøgletal'!$C$12:$C$62,'Udvaskning nøgletal'!$E$12:$E$62)+Markniveau!$Y1462*Markniveau!$S1462/100,IF($X1462=2,LOOKUP(AI1462,'Udvaskning nøgletal'!$C$12:$C$62,'Udvaskning nøgletal'!$F$12:$F$62)+Markniveau!$Y1462*Markniveau!$S1462/100,IF($X1462=3,LOOKUP(AI1462,'Udvaskning nøgletal'!$C$12:$C$62,'Udvaskning nøgletal'!Q1472:Q1522)+Markniveau!$Y1462*Markniveau!$S1462/100,"")))</f>
        <v>31.161328188970323</v>
      </c>
      <c r="AK1462" s="10">
        <f t="shared" si="229"/>
        <v>144.90017607871201</v>
      </c>
      <c r="AL1462" s="10">
        <f t="shared" si="231"/>
        <v>1.5580664094485162</v>
      </c>
      <c r="AM1462" s="10">
        <f t="shared" si="232"/>
        <v>7.2450088039356011</v>
      </c>
    </row>
    <row r="1463" spans="1:39" x14ac:dyDescent="0.25">
      <c r="A1463" s="15">
        <v>72487214</v>
      </c>
      <c r="B1463" s="15">
        <v>339.74</v>
      </c>
      <c r="C1463" s="15">
        <v>214406</v>
      </c>
      <c r="D1463" s="15">
        <v>53562</v>
      </c>
      <c r="E1463" s="15" t="s">
        <v>111</v>
      </c>
      <c r="F1463" s="15">
        <v>2011</v>
      </c>
      <c r="G1463" s="15">
        <v>20110425</v>
      </c>
      <c r="H1463" s="15">
        <v>122492</v>
      </c>
      <c r="I1463" s="15">
        <v>12.25</v>
      </c>
      <c r="J1463" s="6" t="s">
        <v>1007</v>
      </c>
      <c r="K1463" s="15">
        <v>216</v>
      </c>
      <c r="L1463" s="15" t="s">
        <v>116</v>
      </c>
      <c r="M1463" s="15" t="s">
        <v>5</v>
      </c>
      <c r="N1463" s="11" t="s">
        <v>1406</v>
      </c>
      <c r="O1463" s="11" t="s">
        <v>46</v>
      </c>
      <c r="P1463" s="11" t="s">
        <v>29</v>
      </c>
      <c r="Q1463" s="15">
        <v>95</v>
      </c>
      <c r="R1463" s="11" t="s">
        <v>3</v>
      </c>
      <c r="S1463" s="10">
        <v>205.81939178997999</v>
      </c>
      <c r="T1463" s="15">
        <v>80</v>
      </c>
      <c r="U1463" s="15">
        <v>1</v>
      </c>
      <c r="V1463" s="15">
        <v>0</v>
      </c>
      <c r="W1463" s="15">
        <v>0</v>
      </c>
      <c r="X1463" s="15">
        <f>IF(O1463='Udvaskning nøgletal'!$D$65,1,IF(O1463='Udvaskning nøgletal'!$D$66,2,IF(O1463='Udvaskning nøgletal'!$D$67,3,IF(O1463='Udvaskning nøgletal'!$D$68,2,""))))</f>
        <v>2</v>
      </c>
      <c r="Y1463" s="15">
        <f>LOOKUP(K1463,'Udvaskning nøgletal'!$C$12:$C$60,'Udvaskning nøgletal'!$H$12:$H$60)</f>
        <v>0</v>
      </c>
      <c r="Z1463" s="10">
        <f>IF(X1463=1,LOOKUP(K1463,'Udvaskning nøgletal'!$C$12:$C$60,'Udvaskning nøgletal'!$E$12:$E$60)+Markniveau!Y1463*Markniveau!S1463/100,IF(X1463=2,LOOKUP(K1463,'Udvaskning nøgletal'!$C$12:$C$60,'Udvaskning nøgletal'!$F$12:$F$60)+Markniveau!Y1463*Markniveau!S1463/100,IF(X1463=3,LOOKUP(K1463,'Udvaskning nøgletal'!$C$12:$C$60,'Udvaskning nøgletal'!G1473:G1521)+Markniveau!Y1463*Markniveau!S1463/100,"")))</f>
        <v>101.66744640811392</v>
      </c>
      <c r="AA1463" s="10">
        <f t="shared" si="226"/>
        <v>1245.4262184993954</v>
      </c>
      <c r="AB1463" s="10">
        <f t="shared" si="225"/>
        <v>5.0833723204056955</v>
      </c>
      <c r="AC1463" s="10">
        <f t="shared" si="227"/>
        <v>62.271310924969768</v>
      </c>
      <c r="AD1463" s="10">
        <f>IF(AND(Q1463&gt;0,Q1463&lt;30,K1463&lt;8),Markniveau!Z1463*'Udvaskning nøgletal'!$I$12/100,IF(AND(Q1463&gt;0,Q1463&lt;30,K1463=216),Markniveau!Z1463*'Udvaskning nøgletal'!$I$34/100,Markniveau!Z1463))</f>
        <v>101.66744640811392</v>
      </c>
      <c r="AE1463" s="10">
        <f t="shared" si="233"/>
        <v>1245.4262184993954</v>
      </c>
      <c r="AF1463" s="10">
        <f t="shared" si="228"/>
        <v>5.0833723204056955</v>
      </c>
      <c r="AG1463" s="10">
        <f t="shared" si="234"/>
        <v>62.271310924969768</v>
      </c>
      <c r="AH1463" s="10" t="str">
        <f>IF(AND(Q1463&gt;0,Q1463&lt;30,K1463=216),'Udvaskning nøgletal'!$C$42,IF(AND(Q1463&gt;0,Q1463&lt;30,K1463&gt;7,K1463&lt;17),'Udvaskning nøgletal'!$C$61,IF(AND(Q1463&gt;0,Q1463&lt;30,K1463&lt;7),'Udvaskning nøgletal'!$C$62,"")))</f>
        <v/>
      </c>
      <c r="AI1463" s="10">
        <f t="shared" si="230"/>
        <v>216</v>
      </c>
      <c r="AJ1463" s="10">
        <f>IF($X1463=1,LOOKUP(AI1463,'Udvaskning nøgletal'!$C$12:$C$62,'Udvaskning nøgletal'!$E$12:$E$62)+Markniveau!$Y1463*Markniveau!$S1463/100,IF($X1463=2,LOOKUP(AI1463,'Udvaskning nøgletal'!$C$12:$C$62,'Udvaskning nøgletal'!$F$12:$F$62)+Markniveau!$Y1463*Markniveau!$S1463/100,IF($X1463=3,LOOKUP(AI1463,'Udvaskning nøgletal'!$C$12:$C$62,'Udvaskning nøgletal'!Q1473:Q1523)+Markniveau!$Y1463*Markniveau!$S1463/100,"")))</f>
        <v>101.66744640811392</v>
      </c>
      <c r="AK1463" s="10">
        <f t="shared" si="229"/>
        <v>1245.4262184993954</v>
      </c>
      <c r="AL1463" s="10">
        <f t="shared" si="231"/>
        <v>5.0833723204056955</v>
      </c>
      <c r="AM1463" s="10">
        <f t="shared" si="232"/>
        <v>62.271310924969768</v>
      </c>
    </row>
    <row r="1464" spans="1:39" x14ac:dyDescent="0.25">
      <c r="A1464" s="15">
        <v>72487214</v>
      </c>
      <c r="B1464" s="15">
        <v>339.74</v>
      </c>
      <c r="C1464" s="15">
        <v>221078</v>
      </c>
      <c r="D1464" s="15">
        <v>53562</v>
      </c>
      <c r="E1464" s="15" t="s">
        <v>1148</v>
      </c>
      <c r="F1464" s="15">
        <v>2011</v>
      </c>
      <c r="G1464" s="15">
        <v>20110425</v>
      </c>
      <c r="H1464" s="15">
        <v>202789</v>
      </c>
      <c r="I1464" s="15">
        <v>20.28</v>
      </c>
      <c r="J1464" s="6" t="s">
        <v>997</v>
      </c>
      <c r="K1464" s="15">
        <v>216</v>
      </c>
      <c r="L1464" s="15" t="s">
        <v>116</v>
      </c>
      <c r="M1464" s="15" t="s">
        <v>5</v>
      </c>
      <c r="N1464" s="11" t="s">
        <v>1384</v>
      </c>
      <c r="O1464" s="11" t="s">
        <v>28</v>
      </c>
      <c r="P1464" s="11" t="s">
        <v>33</v>
      </c>
      <c r="Q1464" s="15">
        <v>95</v>
      </c>
      <c r="R1464" s="11" t="s">
        <v>3</v>
      </c>
      <c r="S1464" s="10">
        <v>205.81939178997999</v>
      </c>
      <c r="T1464" s="15">
        <v>80</v>
      </c>
      <c r="U1464" s="15">
        <v>1</v>
      </c>
      <c r="V1464" s="15">
        <v>0</v>
      </c>
      <c r="W1464" s="15">
        <v>0</v>
      </c>
      <c r="X1464" s="15">
        <f>IF(O1464='Udvaskning nøgletal'!$D$65,1,IF(O1464='Udvaskning nøgletal'!$D$66,2,IF(O1464='Udvaskning nøgletal'!$D$67,3,IF(O1464='Udvaskning nøgletal'!$D$68,2,""))))</f>
        <v>1</v>
      </c>
      <c r="Y1464" s="15">
        <f>LOOKUP(K1464,'Udvaskning nøgletal'!$C$12:$C$60,'Udvaskning nøgletal'!$H$12:$H$60)</f>
        <v>0</v>
      </c>
      <c r="Z1464" s="10">
        <f>IF(X1464=1,LOOKUP(K1464,'Udvaskning nøgletal'!$C$12:$C$60,'Udvaskning nøgletal'!$E$12:$E$60)+Markniveau!Y1464*Markniveau!S1464/100,IF(X1464=2,LOOKUP(K1464,'Udvaskning nøgletal'!$C$12:$C$60,'Udvaskning nøgletal'!$F$12:$F$60)+Markniveau!Y1464*Markniveau!S1464/100,IF(X1464=3,LOOKUP(K1464,'Udvaskning nøgletal'!$C$12:$C$60,'Udvaskning nøgletal'!G1474:G1522)+Markniveau!Y1464*Markniveau!S1464/100,"")))</f>
        <v>125.85383557148924</v>
      </c>
      <c r="AA1464" s="10">
        <f t="shared" si="226"/>
        <v>2552.3157853898019</v>
      </c>
      <c r="AB1464" s="10">
        <f t="shared" si="225"/>
        <v>6.2926917785744623</v>
      </c>
      <c r="AC1464" s="10">
        <f t="shared" si="227"/>
        <v>127.61578926949011</v>
      </c>
      <c r="AD1464" s="10">
        <f>IF(AND(Q1464&gt;0,Q1464&lt;30,K1464&lt;8),Markniveau!Z1464*'Udvaskning nøgletal'!$I$12/100,IF(AND(Q1464&gt;0,Q1464&lt;30,K1464=216),Markniveau!Z1464*'Udvaskning nøgletal'!$I$34/100,Markniveau!Z1464))</f>
        <v>125.85383557148924</v>
      </c>
      <c r="AE1464" s="10">
        <f t="shared" si="233"/>
        <v>2552.3157853898019</v>
      </c>
      <c r="AF1464" s="10">
        <f t="shared" si="228"/>
        <v>6.2926917785744623</v>
      </c>
      <c r="AG1464" s="10">
        <f t="shared" si="234"/>
        <v>127.61578926949011</v>
      </c>
      <c r="AH1464" s="10" t="str">
        <f>IF(AND(Q1464&gt;0,Q1464&lt;30,K1464=216),'Udvaskning nøgletal'!$C$42,IF(AND(Q1464&gt;0,Q1464&lt;30,K1464&gt;7,K1464&lt;17),'Udvaskning nøgletal'!$C$61,IF(AND(Q1464&gt;0,Q1464&lt;30,K1464&lt;7),'Udvaskning nøgletal'!$C$62,"")))</f>
        <v/>
      </c>
      <c r="AI1464" s="10">
        <f t="shared" si="230"/>
        <v>216</v>
      </c>
      <c r="AJ1464" s="10">
        <f>IF($X1464=1,LOOKUP(AI1464,'Udvaskning nøgletal'!$C$12:$C$62,'Udvaskning nøgletal'!$E$12:$E$62)+Markniveau!$Y1464*Markniveau!$S1464/100,IF($X1464=2,LOOKUP(AI1464,'Udvaskning nøgletal'!$C$12:$C$62,'Udvaskning nøgletal'!$F$12:$F$62)+Markniveau!$Y1464*Markniveau!$S1464/100,IF($X1464=3,LOOKUP(AI1464,'Udvaskning nøgletal'!$C$12:$C$62,'Udvaskning nøgletal'!Q1474:Q1524)+Markniveau!$Y1464*Markniveau!$S1464/100,"")))</f>
        <v>125.85383557148924</v>
      </c>
      <c r="AK1464" s="10">
        <f t="shared" si="229"/>
        <v>2552.3157853898019</v>
      </c>
      <c r="AL1464" s="10">
        <f t="shared" si="231"/>
        <v>6.2926917785744623</v>
      </c>
      <c r="AM1464" s="10">
        <f t="shared" si="232"/>
        <v>127.61578926949011</v>
      </c>
    </row>
    <row r="1465" spans="1:39" x14ac:dyDescent="0.25">
      <c r="A1465" s="15">
        <v>72487214</v>
      </c>
      <c r="B1465" s="15">
        <v>339.74</v>
      </c>
      <c r="C1465" s="15">
        <v>221675</v>
      </c>
      <c r="D1465" s="15">
        <v>53562</v>
      </c>
      <c r="E1465" s="15" t="s">
        <v>633</v>
      </c>
      <c r="F1465" s="15">
        <v>2011</v>
      </c>
      <c r="G1465" s="15">
        <v>20110425</v>
      </c>
      <c r="H1465" s="15">
        <v>27299</v>
      </c>
      <c r="I1465" s="15">
        <v>2.73</v>
      </c>
      <c r="J1465" s="6" t="s">
        <v>51</v>
      </c>
      <c r="K1465" s="15">
        <v>268</v>
      </c>
      <c r="L1465" s="15" t="s">
        <v>627</v>
      </c>
      <c r="M1465" s="15" t="s">
        <v>5</v>
      </c>
      <c r="N1465" s="11" t="s">
        <v>1384</v>
      </c>
      <c r="O1465" s="11" t="s">
        <v>28</v>
      </c>
      <c r="P1465" s="11" t="s">
        <v>33</v>
      </c>
      <c r="Q1465" s="15">
        <v>0</v>
      </c>
      <c r="R1465" s="11" t="s">
        <v>1386</v>
      </c>
      <c r="S1465" s="10">
        <v>205.81939178997999</v>
      </c>
      <c r="T1465" s="15">
        <v>80</v>
      </c>
      <c r="U1465" s="15">
        <v>1</v>
      </c>
      <c r="V1465" s="15">
        <v>0</v>
      </c>
      <c r="W1465" s="15">
        <v>0</v>
      </c>
      <c r="X1465" s="15">
        <f>IF(O1465='Udvaskning nøgletal'!$D$65,1,IF(O1465='Udvaskning nøgletal'!$D$66,2,IF(O1465='Udvaskning nøgletal'!$D$67,3,IF(O1465='Udvaskning nøgletal'!$D$68,2,""))))</f>
        <v>1</v>
      </c>
      <c r="Y1465" s="15">
        <f>LOOKUP(K1465,'Udvaskning nøgletal'!$C$12:$C$60,'Udvaskning nøgletal'!$H$12:$H$60)</f>
        <v>0</v>
      </c>
      <c r="Z1465" s="10">
        <f>IF(X1465=1,LOOKUP(K1465,'Udvaskning nøgletal'!$C$12:$C$60,'Udvaskning nøgletal'!$E$12:$E$60)+Markniveau!Y1465*Markniveau!S1465/100,IF(X1465=2,LOOKUP(K1465,'Udvaskning nøgletal'!$C$12:$C$60,'Udvaskning nøgletal'!$F$12:$F$60)+Markniveau!Y1465*Markniveau!S1465/100,IF(X1465=3,LOOKUP(K1465,'Udvaskning nøgletal'!$C$12:$C$60,'Udvaskning nøgletal'!G1475:G1523)+Markniveau!Y1465*Markniveau!S1465/100,"")))</f>
        <v>21.2</v>
      </c>
      <c r="AA1465" s="10">
        <f t="shared" si="226"/>
        <v>57.875999999999998</v>
      </c>
      <c r="AB1465" s="10" t="str">
        <f t="shared" si="225"/>
        <v/>
      </c>
      <c r="AC1465" s="10" t="str">
        <f t="shared" si="227"/>
        <v/>
      </c>
      <c r="AD1465" s="10">
        <f>IF(AND(Q1465&gt;0,Q1465&lt;30,K1465&lt;8),Markniveau!Z1465*'Udvaskning nøgletal'!$I$12/100,IF(AND(Q1465&gt;0,Q1465&lt;30,K1465=216),Markniveau!Z1465*'Udvaskning nøgletal'!$I$34/100,Markniveau!Z1465))</f>
        <v>21.2</v>
      </c>
      <c r="AE1465" s="10">
        <f t="shared" si="233"/>
        <v>57.875999999999998</v>
      </c>
      <c r="AF1465" s="10" t="str">
        <f t="shared" si="228"/>
        <v/>
      </c>
      <c r="AG1465" s="10" t="str">
        <f t="shared" si="234"/>
        <v/>
      </c>
      <c r="AH1465" s="10" t="str">
        <f>IF(AND(Q1465&gt;0,Q1465&lt;30,K1465=216),'Udvaskning nøgletal'!$C$42,IF(AND(Q1465&gt;0,Q1465&lt;30,K1465&gt;7,K1465&lt;17),'Udvaskning nøgletal'!$C$61,IF(AND(Q1465&gt;0,Q1465&lt;30,K1465&lt;7),'Udvaskning nøgletal'!$C$62,"")))</f>
        <v/>
      </c>
      <c r="AI1465" s="10">
        <f t="shared" si="230"/>
        <v>268</v>
      </c>
      <c r="AJ1465" s="10">
        <f>IF($X1465=1,LOOKUP(AI1465,'Udvaskning nøgletal'!$C$12:$C$62,'Udvaskning nøgletal'!$E$12:$E$62)+Markniveau!$Y1465*Markniveau!$S1465/100,IF($X1465=2,LOOKUP(AI1465,'Udvaskning nøgletal'!$C$12:$C$62,'Udvaskning nøgletal'!$F$12:$F$62)+Markniveau!$Y1465*Markniveau!$S1465/100,IF($X1465=3,LOOKUP(AI1465,'Udvaskning nøgletal'!$C$12:$C$62,'Udvaskning nøgletal'!Q1475:Q1525)+Markniveau!$Y1465*Markniveau!$S1465/100,"")))</f>
        <v>21.2</v>
      </c>
      <c r="AK1465" s="10">
        <f t="shared" si="229"/>
        <v>57.875999999999998</v>
      </c>
      <c r="AL1465" s="10" t="str">
        <f t="shared" si="231"/>
        <v/>
      </c>
      <c r="AM1465" s="10" t="str">
        <f t="shared" si="232"/>
        <v/>
      </c>
    </row>
    <row r="1466" spans="1:39" x14ac:dyDescent="0.25">
      <c r="A1466" s="15">
        <v>72487214</v>
      </c>
      <c r="B1466" s="15">
        <v>339.74</v>
      </c>
      <c r="C1466" s="15">
        <v>222881</v>
      </c>
      <c r="D1466" s="15">
        <v>53562</v>
      </c>
      <c r="E1466" s="15" t="s">
        <v>659</v>
      </c>
      <c r="F1466" s="15">
        <v>2011</v>
      </c>
      <c r="G1466" s="15">
        <v>20110425</v>
      </c>
      <c r="H1466" s="15">
        <v>136517</v>
      </c>
      <c r="I1466" s="15">
        <v>13.65</v>
      </c>
      <c r="J1466" s="6" t="s">
        <v>962</v>
      </c>
      <c r="K1466" s="15">
        <v>216</v>
      </c>
      <c r="L1466" s="15" t="s">
        <v>116</v>
      </c>
      <c r="M1466" s="15" t="s">
        <v>5</v>
      </c>
      <c r="N1466" s="11" t="s">
        <v>1384</v>
      </c>
      <c r="O1466" s="11" t="s">
        <v>28</v>
      </c>
      <c r="P1466" s="11" t="s">
        <v>29</v>
      </c>
      <c r="Q1466" s="15">
        <v>2</v>
      </c>
      <c r="R1466" s="11" t="s">
        <v>11</v>
      </c>
      <c r="S1466" s="10">
        <v>205.81939178997999</v>
      </c>
      <c r="T1466" s="15">
        <v>80</v>
      </c>
      <c r="U1466" s="15">
        <v>1</v>
      </c>
      <c r="V1466" s="15">
        <v>0</v>
      </c>
      <c r="W1466" s="15">
        <v>0</v>
      </c>
      <c r="X1466" s="15">
        <f>IF(O1466='Udvaskning nøgletal'!$D$65,1,IF(O1466='Udvaskning nøgletal'!$D$66,2,IF(O1466='Udvaskning nøgletal'!$D$67,3,IF(O1466='Udvaskning nøgletal'!$D$68,2,""))))</f>
        <v>1</v>
      </c>
      <c r="Y1466" s="15">
        <f>LOOKUP(K1466,'Udvaskning nøgletal'!$C$12:$C$60,'Udvaskning nøgletal'!$H$12:$H$60)</f>
        <v>0</v>
      </c>
      <c r="Z1466" s="10">
        <f>IF(X1466=1,LOOKUP(K1466,'Udvaskning nøgletal'!$C$12:$C$60,'Udvaskning nøgletal'!$E$12:$E$60)+Markniveau!Y1466*Markniveau!S1466/100,IF(X1466=2,LOOKUP(K1466,'Udvaskning nøgletal'!$C$12:$C$60,'Udvaskning nøgletal'!$F$12:$F$60)+Markniveau!Y1466*Markniveau!S1466/100,IF(X1466=3,LOOKUP(K1466,'Udvaskning nøgletal'!$C$12:$C$60,'Udvaskning nøgletal'!G1476:G1524)+Markniveau!Y1466*Markniveau!S1466/100,"")))</f>
        <v>125.85383557148924</v>
      </c>
      <c r="AA1466" s="10">
        <f t="shared" si="226"/>
        <v>1717.9048555508282</v>
      </c>
      <c r="AB1466" s="10">
        <f t="shared" si="225"/>
        <v>123.33675886005945</v>
      </c>
      <c r="AC1466" s="10">
        <f t="shared" si="227"/>
        <v>1683.5467584398116</v>
      </c>
      <c r="AD1466" s="10">
        <f>IF(AND(Q1466&gt;0,Q1466&lt;30,K1466&lt;8),Markniveau!Z1466*'Udvaskning nøgletal'!$I$12/100,IF(AND(Q1466&gt;0,Q1466&lt;30,K1466=216),Markniveau!Z1466*'Udvaskning nøgletal'!$I$34/100,Markniveau!Z1466))</f>
        <v>88.097684900042481</v>
      </c>
      <c r="AE1466" s="10">
        <f t="shared" si="233"/>
        <v>1202.5333988855798</v>
      </c>
      <c r="AF1466" s="10">
        <f t="shared" si="228"/>
        <v>86.335731202041629</v>
      </c>
      <c r="AG1466" s="10">
        <f t="shared" si="234"/>
        <v>1178.4827309078682</v>
      </c>
      <c r="AH1466" s="10">
        <f>IF(AND(Q1466&gt;0,Q1466&lt;30,K1466=216),'Udvaskning nøgletal'!$C$42,IF(AND(Q1466&gt;0,Q1466&lt;30,K1466&gt;7,K1466&lt;17),'Udvaskning nøgletal'!$C$61,IF(AND(Q1466&gt;0,Q1466&lt;30,K1466&lt;7),'Udvaskning nøgletal'!$C$62,"")))</f>
        <v>260</v>
      </c>
      <c r="AI1466" s="10">
        <f t="shared" si="230"/>
        <v>260</v>
      </c>
      <c r="AJ1466" s="10">
        <f>IF($X1466=1,LOOKUP(AI1466,'Udvaskning nøgletal'!$C$12:$C$62,'Udvaskning nøgletal'!$E$12:$E$62)+Markniveau!$Y1466*Markniveau!$S1466/100,IF($X1466=2,LOOKUP(AI1466,'Udvaskning nøgletal'!$C$12:$C$62,'Udvaskning nøgletal'!$F$12:$F$62)+Markniveau!$Y1466*Markniveau!$S1466/100,IF($X1466=3,LOOKUP(AI1466,'Udvaskning nøgletal'!$C$12:$C$62,'Udvaskning nøgletal'!Q1476:Q1526)+Markniveau!$Y1466*Markniveau!$S1466/100,"")))</f>
        <v>33.723295792149436</v>
      </c>
      <c r="AK1466" s="10">
        <f t="shared" si="229"/>
        <v>460.32298756283984</v>
      </c>
      <c r="AL1466" s="10">
        <f t="shared" si="231"/>
        <v>33.048829876306449</v>
      </c>
      <c r="AM1466" s="10">
        <f t="shared" si="232"/>
        <v>451.11652781158307</v>
      </c>
    </row>
    <row r="1467" spans="1:39" x14ac:dyDescent="0.25">
      <c r="A1467" s="15">
        <v>72487214</v>
      </c>
      <c r="B1467" s="15">
        <v>339.74</v>
      </c>
      <c r="C1467" s="15">
        <v>225046</v>
      </c>
      <c r="D1467" s="15">
        <v>53562</v>
      </c>
      <c r="E1467" s="15" t="s">
        <v>1228</v>
      </c>
      <c r="F1467" s="15">
        <v>2011</v>
      </c>
      <c r="G1467" s="15">
        <v>20110425</v>
      </c>
      <c r="H1467" s="15">
        <v>69575</v>
      </c>
      <c r="I1467" s="15">
        <v>6.96</v>
      </c>
      <c r="J1467" s="6" t="s">
        <v>173</v>
      </c>
      <c r="K1467" s="15">
        <v>216</v>
      </c>
      <c r="L1467" s="15" t="s">
        <v>116</v>
      </c>
      <c r="M1467" s="15" t="s">
        <v>5</v>
      </c>
      <c r="N1467" s="11" t="s">
        <v>1384</v>
      </c>
      <c r="O1467" s="11" t="s">
        <v>28</v>
      </c>
      <c r="P1467" s="11" t="s">
        <v>29</v>
      </c>
      <c r="Q1467" s="15">
        <v>95</v>
      </c>
      <c r="R1467" s="11" t="s">
        <v>3</v>
      </c>
      <c r="S1467" s="10">
        <v>205.81939178997999</v>
      </c>
      <c r="T1467" s="15">
        <v>80</v>
      </c>
      <c r="U1467" s="15">
        <v>1</v>
      </c>
      <c r="V1467" s="15">
        <v>0</v>
      </c>
      <c r="W1467" s="15">
        <v>0</v>
      </c>
      <c r="X1467" s="15">
        <f>IF(O1467='Udvaskning nøgletal'!$D$65,1,IF(O1467='Udvaskning nøgletal'!$D$66,2,IF(O1467='Udvaskning nøgletal'!$D$67,3,IF(O1467='Udvaskning nøgletal'!$D$68,2,""))))</f>
        <v>1</v>
      </c>
      <c r="Y1467" s="15">
        <f>LOOKUP(K1467,'Udvaskning nøgletal'!$C$12:$C$60,'Udvaskning nøgletal'!$H$12:$H$60)</f>
        <v>0</v>
      </c>
      <c r="Z1467" s="10">
        <f>IF(X1467=1,LOOKUP(K1467,'Udvaskning nøgletal'!$C$12:$C$60,'Udvaskning nøgletal'!$E$12:$E$60)+Markniveau!Y1467*Markniveau!S1467/100,IF(X1467=2,LOOKUP(K1467,'Udvaskning nøgletal'!$C$12:$C$60,'Udvaskning nøgletal'!$F$12:$F$60)+Markniveau!Y1467*Markniveau!S1467/100,IF(X1467=3,LOOKUP(K1467,'Udvaskning nøgletal'!$C$12:$C$60,'Udvaskning nøgletal'!G1477:G1525)+Markniveau!Y1467*Markniveau!S1467/100,"")))</f>
        <v>125.85383557148924</v>
      </c>
      <c r="AA1467" s="10">
        <f t="shared" si="226"/>
        <v>875.94269557756513</v>
      </c>
      <c r="AB1467" s="10">
        <f t="shared" si="225"/>
        <v>6.2926917785744623</v>
      </c>
      <c r="AC1467" s="10">
        <f t="shared" si="227"/>
        <v>43.797134778878259</v>
      </c>
      <c r="AD1467" s="10">
        <f>IF(AND(Q1467&gt;0,Q1467&lt;30,K1467&lt;8),Markniveau!Z1467*'Udvaskning nøgletal'!$I$12/100,IF(AND(Q1467&gt;0,Q1467&lt;30,K1467=216),Markniveau!Z1467*'Udvaskning nøgletal'!$I$34/100,Markniveau!Z1467))</f>
        <v>125.85383557148924</v>
      </c>
      <c r="AE1467" s="10">
        <f t="shared" si="233"/>
        <v>875.94269557756513</v>
      </c>
      <c r="AF1467" s="10">
        <f t="shared" si="228"/>
        <v>6.2926917785744623</v>
      </c>
      <c r="AG1467" s="10">
        <f t="shared" si="234"/>
        <v>43.797134778878259</v>
      </c>
      <c r="AH1467" s="10" t="str">
        <f>IF(AND(Q1467&gt;0,Q1467&lt;30,K1467=216),'Udvaskning nøgletal'!$C$42,IF(AND(Q1467&gt;0,Q1467&lt;30,K1467&gt;7,K1467&lt;17),'Udvaskning nøgletal'!$C$61,IF(AND(Q1467&gt;0,Q1467&lt;30,K1467&lt;7),'Udvaskning nøgletal'!$C$62,"")))</f>
        <v/>
      </c>
      <c r="AI1467" s="10">
        <f t="shared" si="230"/>
        <v>216</v>
      </c>
      <c r="AJ1467" s="10">
        <f>IF($X1467=1,LOOKUP(AI1467,'Udvaskning nøgletal'!$C$12:$C$62,'Udvaskning nøgletal'!$E$12:$E$62)+Markniveau!$Y1467*Markniveau!$S1467/100,IF($X1467=2,LOOKUP(AI1467,'Udvaskning nøgletal'!$C$12:$C$62,'Udvaskning nøgletal'!$F$12:$F$62)+Markniveau!$Y1467*Markniveau!$S1467/100,IF($X1467=3,LOOKUP(AI1467,'Udvaskning nøgletal'!$C$12:$C$62,'Udvaskning nøgletal'!Q1477:Q1527)+Markniveau!$Y1467*Markniveau!$S1467/100,"")))</f>
        <v>125.85383557148924</v>
      </c>
      <c r="AK1467" s="10">
        <f t="shared" si="229"/>
        <v>875.94269557756513</v>
      </c>
      <c r="AL1467" s="10">
        <f t="shared" si="231"/>
        <v>6.2926917785744623</v>
      </c>
      <c r="AM1467" s="10">
        <f t="shared" si="232"/>
        <v>43.797134778878259</v>
      </c>
    </row>
    <row r="1468" spans="1:39" x14ac:dyDescent="0.25">
      <c r="A1468" s="15">
        <v>72487214</v>
      </c>
      <c r="B1468" s="15">
        <v>339.74</v>
      </c>
      <c r="C1468" s="15">
        <v>226412</v>
      </c>
      <c r="D1468" s="15">
        <v>53562</v>
      </c>
      <c r="E1468" s="15" t="s">
        <v>307</v>
      </c>
      <c r="F1468" s="15">
        <v>2011</v>
      </c>
      <c r="G1468" s="15">
        <v>20110425</v>
      </c>
      <c r="H1468" s="15">
        <v>60056</v>
      </c>
      <c r="I1468" s="15">
        <v>6.01</v>
      </c>
      <c r="J1468" s="6" t="s">
        <v>91</v>
      </c>
      <c r="K1468" s="15">
        <v>216</v>
      </c>
      <c r="L1468" s="15" t="s">
        <v>116</v>
      </c>
      <c r="M1468" s="15" t="s">
        <v>5</v>
      </c>
      <c r="N1468" s="11" t="s">
        <v>1384</v>
      </c>
      <c r="O1468" s="11" t="s">
        <v>28</v>
      </c>
      <c r="P1468" s="11" t="s">
        <v>29</v>
      </c>
      <c r="Q1468" s="15">
        <v>95</v>
      </c>
      <c r="R1468" s="11" t="s">
        <v>3</v>
      </c>
      <c r="S1468" s="10">
        <v>205.81939178997999</v>
      </c>
      <c r="T1468" s="15">
        <v>80</v>
      </c>
      <c r="U1468" s="15">
        <v>1</v>
      </c>
      <c r="V1468" s="15">
        <v>0</v>
      </c>
      <c r="W1468" s="15">
        <v>0</v>
      </c>
      <c r="X1468" s="15">
        <f>IF(O1468='Udvaskning nøgletal'!$D$65,1,IF(O1468='Udvaskning nøgletal'!$D$66,2,IF(O1468='Udvaskning nøgletal'!$D$67,3,IF(O1468='Udvaskning nøgletal'!$D$68,2,""))))</f>
        <v>1</v>
      </c>
      <c r="Y1468" s="15">
        <f>LOOKUP(K1468,'Udvaskning nøgletal'!$C$12:$C$60,'Udvaskning nøgletal'!$H$12:$H$60)</f>
        <v>0</v>
      </c>
      <c r="Z1468" s="10">
        <f>IF(X1468=1,LOOKUP(K1468,'Udvaskning nøgletal'!$C$12:$C$60,'Udvaskning nøgletal'!$E$12:$E$60)+Markniveau!Y1468*Markniveau!S1468/100,IF(X1468=2,LOOKUP(K1468,'Udvaskning nøgletal'!$C$12:$C$60,'Udvaskning nøgletal'!$F$12:$F$60)+Markniveau!Y1468*Markniveau!S1468/100,IF(X1468=3,LOOKUP(K1468,'Udvaskning nøgletal'!$C$12:$C$60,'Udvaskning nøgletal'!G1478:G1526)+Markniveau!Y1468*Markniveau!S1468/100,"")))</f>
        <v>125.85383557148924</v>
      </c>
      <c r="AA1468" s="10">
        <f t="shared" si="226"/>
        <v>756.38155178465036</v>
      </c>
      <c r="AB1468" s="10">
        <f t="shared" si="225"/>
        <v>6.2926917785744623</v>
      </c>
      <c r="AC1468" s="10">
        <f t="shared" si="227"/>
        <v>37.819077589232514</v>
      </c>
      <c r="AD1468" s="10">
        <f>IF(AND(Q1468&gt;0,Q1468&lt;30,K1468&lt;8),Markniveau!Z1468*'Udvaskning nøgletal'!$I$12/100,IF(AND(Q1468&gt;0,Q1468&lt;30,K1468=216),Markniveau!Z1468*'Udvaskning nøgletal'!$I$34/100,Markniveau!Z1468))</f>
        <v>125.85383557148924</v>
      </c>
      <c r="AE1468" s="10">
        <f t="shared" si="233"/>
        <v>756.38155178465036</v>
      </c>
      <c r="AF1468" s="10">
        <f t="shared" si="228"/>
        <v>6.2926917785744623</v>
      </c>
      <c r="AG1468" s="10">
        <f t="shared" si="234"/>
        <v>37.819077589232514</v>
      </c>
      <c r="AH1468" s="10" t="str">
        <f>IF(AND(Q1468&gt;0,Q1468&lt;30,K1468=216),'Udvaskning nøgletal'!$C$42,IF(AND(Q1468&gt;0,Q1468&lt;30,K1468&gt;7,K1468&lt;17),'Udvaskning nøgletal'!$C$61,IF(AND(Q1468&gt;0,Q1468&lt;30,K1468&lt;7),'Udvaskning nøgletal'!$C$62,"")))</f>
        <v/>
      </c>
      <c r="AI1468" s="10">
        <f t="shared" si="230"/>
        <v>216</v>
      </c>
      <c r="AJ1468" s="10">
        <f>IF($X1468=1,LOOKUP(AI1468,'Udvaskning nøgletal'!$C$12:$C$62,'Udvaskning nøgletal'!$E$12:$E$62)+Markniveau!$Y1468*Markniveau!$S1468/100,IF($X1468=2,LOOKUP(AI1468,'Udvaskning nøgletal'!$C$12:$C$62,'Udvaskning nøgletal'!$F$12:$F$62)+Markniveau!$Y1468*Markniveau!$S1468/100,IF($X1468=3,LOOKUP(AI1468,'Udvaskning nøgletal'!$C$12:$C$62,'Udvaskning nøgletal'!Q1478:Q1528)+Markniveau!$Y1468*Markniveau!$S1468/100,"")))</f>
        <v>125.85383557148924</v>
      </c>
      <c r="AK1468" s="10">
        <f t="shared" si="229"/>
        <v>756.38155178465036</v>
      </c>
      <c r="AL1468" s="10">
        <f t="shared" si="231"/>
        <v>6.2926917785744623</v>
      </c>
      <c r="AM1468" s="10">
        <f t="shared" si="232"/>
        <v>37.819077589232514</v>
      </c>
    </row>
    <row r="1469" spans="1:39" x14ac:dyDescent="0.25">
      <c r="A1469" s="15">
        <v>72487214</v>
      </c>
      <c r="B1469" s="15">
        <v>339.74</v>
      </c>
      <c r="C1469" s="15">
        <v>229533</v>
      </c>
      <c r="D1469" s="15">
        <v>53562</v>
      </c>
      <c r="E1469" s="15" t="s">
        <v>1229</v>
      </c>
      <c r="F1469" s="15">
        <v>2011</v>
      </c>
      <c r="G1469" s="15">
        <v>20110425</v>
      </c>
      <c r="H1469" s="15">
        <v>105218</v>
      </c>
      <c r="I1469" s="15">
        <v>10.52</v>
      </c>
      <c r="J1469" s="6" t="s">
        <v>1230</v>
      </c>
      <c r="K1469" s="15">
        <v>216</v>
      </c>
      <c r="L1469" s="15" t="s">
        <v>116</v>
      </c>
      <c r="M1469" s="15" t="s">
        <v>5</v>
      </c>
      <c r="N1469" s="11" t="s">
        <v>1406</v>
      </c>
      <c r="O1469" s="11" t="s">
        <v>46</v>
      </c>
      <c r="P1469" s="11" t="s">
        <v>29</v>
      </c>
      <c r="Q1469" s="15">
        <v>2</v>
      </c>
      <c r="R1469" s="11" t="s">
        <v>11</v>
      </c>
      <c r="S1469" s="10">
        <v>205.81939178997999</v>
      </c>
      <c r="T1469" s="15">
        <v>80</v>
      </c>
      <c r="U1469" s="15">
        <v>1</v>
      </c>
      <c r="V1469" s="15">
        <v>0</v>
      </c>
      <c r="W1469" s="15">
        <v>0</v>
      </c>
      <c r="X1469" s="15">
        <f>IF(O1469='Udvaskning nøgletal'!$D$65,1,IF(O1469='Udvaskning nøgletal'!$D$66,2,IF(O1469='Udvaskning nøgletal'!$D$67,3,IF(O1469='Udvaskning nøgletal'!$D$68,2,""))))</f>
        <v>2</v>
      </c>
      <c r="Y1469" s="15">
        <f>LOOKUP(K1469,'Udvaskning nøgletal'!$C$12:$C$60,'Udvaskning nøgletal'!$H$12:$H$60)</f>
        <v>0</v>
      </c>
      <c r="Z1469" s="10">
        <f>IF(X1469=1,LOOKUP(K1469,'Udvaskning nøgletal'!$C$12:$C$60,'Udvaskning nøgletal'!$E$12:$E$60)+Markniveau!Y1469*Markniveau!S1469/100,IF(X1469=2,LOOKUP(K1469,'Udvaskning nøgletal'!$C$12:$C$60,'Udvaskning nøgletal'!$F$12:$F$60)+Markniveau!Y1469*Markniveau!S1469/100,IF(X1469=3,LOOKUP(K1469,'Udvaskning nøgletal'!$C$12:$C$60,'Udvaskning nøgletal'!G1479:G1527)+Markniveau!Y1469*Markniveau!S1469/100,"")))</f>
        <v>101.66744640811392</v>
      </c>
      <c r="AA1469" s="10">
        <f t="shared" si="226"/>
        <v>1069.5415362133583</v>
      </c>
      <c r="AB1469" s="10">
        <f t="shared" si="225"/>
        <v>99.634097479951635</v>
      </c>
      <c r="AC1469" s="10">
        <f t="shared" si="227"/>
        <v>1048.1507054890913</v>
      </c>
      <c r="AD1469" s="10">
        <f>IF(AND(Q1469&gt;0,Q1469&lt;30,K1469&lt;8),Markniveau!Z1469*'Udvaskning nøgletal'!$I$12/100,IF(AND(Q1469&gt;0,Q1469&lt;30,K1469=216),Markniveau!Z1469*'Udvaskning nøgletal'!$I$34/100,Markniveau!Z1469))</f>
        <v>71.167212485679741</v>
      </c>
      <c r="AE1469" s="10">
        <f t="shared" si="233"/>
        <v>748.6790753493508</v>
      </c>
      <c r="AF1469" s="10">
        <f t="shared" si="228"/>
        <v>69.743868235966147</v>
      </c>
      <c r="AG1469" s="10">
        <f t="shared" si="234"/>
        <v>733.70549384236381</v>
      </c>
      <c r="AH1469" s="10">
        <f>IF(AND(Q1469&gt;0,Q1469&lt;30,K1469=216),'Udvaskning nøgletal'!$C$42,IF(AND(Q1469&gt;0,Q1469&lt;30,K1469&gt;7,K1469&lt;17),'Udvaskning nøgletal'!$C$61,IF(AND(Q1469&gt;0,Q1469&lt;30,K1469&lt;7),'Udvaskning nøgletal'!$C$62,"")))</f>
        <v>260</v>
      </c>
      <c r="AI1469" s="10">
        <f t="shared" si="230"/>
        <v>260</v>
      </c>
      <c r="AJ1469" s="10">
        <f>IF($X1469=1,LOOKUP(AI1469,'Udvaskning nøgletal'!$C$12:$C$62,'Udvaskning nøgletal'!$E$12:$E$62)+Markniveau!$Y1469*Markniveau!$S1469/100,IF($X1469=2,LOOKUP(AI1469,'Udvaskning nøgletal'!$C$12:$C$62,'Udvaskning nøgletal'!$F$12:$F$62)+Markniveau!$Y1469*Markniveau!$S1469/100,IF($X1469=3,LOOKUP(AI1469,'Udvaskning nøgletal'!$C$12:$C$62,'Udvaskning nøgletal'!Q1479:Q1529)+Markniveau!$Y1469*Markniveau!$S1469/100,"")))</f>
        <v>27.331185321443094</v>
      </c>
      <c r="AK1469" s="10">
        <f t="shared" si="229"/>
        <v>287.52406958158133</v>
      </c>
      <c r="AL1469" s="10">
        <f t="shared" si="231"/>
        <v>26.78456161501423</v>
      </c>
      <c r="AM1469" s="10">
        <f t="shared" si="232"/>
        <v>281.77358818994969</v>
      </c>
    </row>
    <row r="1470" spans="1:39" x14ac:dyDescent="0.25">
      <c r="A1470" s="15">
        <v>72487214</v>
      </c>
      <c r="B1470" s="15">
        <v>339.74</v>
      </c>
      <c r="C1470" s="15">
        <v>236935</v>
      </c>
      <c r="D1470" s="15">
        <v>53562</v>
      </c>
      <c r="E1470" s="15" t="s">
        <v>307</v>
      </c>
      <c r="F1470" s="15">
        <v>2011</v>
      </c>
      <c r="G1470" s="15">
        <v>20110425</v>
      </c>
      <c r="H1470" s="15">
        <v>83355</v>
      </c>
      <c r="I1470" s="15">
        <v>8.34</v>
      </c>
      <c r="J1470" s="6" t="s">
        <v>1398</v>
      </c>
      <c r="K1470" s="15">
        <v>230</v>
      </c>
      <c r="L1470" s="15" t="s">
        <v>120</v>
      </c>
      <c r="M1470" s="15" t="s">
        <v>5</v>
      </c>
      <c r="N1470" s="11" t="s">
        <v>1384</v>
      </c>
      <c r="O1470" s="11" t="s">
        <v>28</v>
      </c>
      <c r="P1470" s="11" t="s">
        <v>29</v>
      </c>
      <c r="Q1470" s="15">
        <v>1</v>
      </c>
      <c r="R1470" s="11" t="s">
        <v>11</v>
      </c>
      <c r="S1470" s="10">
        <v>205.81939178997999</v>
      </c>
      <c r="T1470" s="15">
        <v>80</v>
      </c>
      <c r="U1470" s="15">
        <v>1</v>
      </c>
      <c r="V1470" s="15">
        <v>0</v>
      </c>
      <c r="W1470" s="15">
        <v>0</v>
      </c>
      <c r="X1470" s="15">
        <f>IF(O1470='Udvaskning nøgletal'!$D$65,1,IF(O1470='Udvaskning nøgletal'!$D$66,2,IF(O1470='Udvaskning nøgletal'!$D$67,3,IF(O1470='Udvaskning nøgletal'!$D$68,2,""))))</f>
        <v>1</v>
      </c>
      <c r="Y1470" s="15">
        <f>LOOKUP(K1470,'Udvaskning nøgletal'!$C$12:$C$60,'Udvaskning nøgletal'!$H$12:$H$60)</f>
        <v>0</v>
      </c>
      <c r="Z1470" s="10">
        <f>IF(X1470=1,LOOKUP(K1470,'Udvaskning nøgletal'!$C$12:$C$60,'Udvaskning nøgletal'!$E$12:$E$60)+Markniveau!Y1470*Markniveau!S1470/100,IF(X1470=2,LOOKUP(K1470,'Udvaskning nøgletal'!$C$12:$C$60,'Udvaskning nøgletal'!$F$12:$F$60)+Markniveau!Y1470*Markniveau!S1470/100,IF(X1470=3,LOOKUP(K1470,'Udvaskning nøgletal'!$C$12:$C$60,'Udvaskning nøgletal'!G1480:G1528)+Markniveau!Y1470*Markniveau!S1470/100,"")))</f>
        <v>38.620385460262987</v>
      </c>
      <c r="AA1470" s="10">
        <f t="shared" si="226"/>
        <v>322.09401473859333</v>
      </c>
      <c r="AB1470" s="10">
        <f t="shared" si="225"/>
        <v>38.234181605660353</v>
      </c>
      <c r="AC1470" s="10">
        <f t="shared" si="227"/>
        <v>318.87307459120734</v>
      </c>
      <c r="AD1470" s="10">
        <f>IF(AND(Q1470&gt;0,Q1470&lt;30,K1470&lt;8),Markniveau!Z1470*'Udvaskning nøgletal'!$I$12/100,IF(AND(Q1470&gt;0,Q1470&lt;30,K1470=216),Markniveau!Z1470*'Udvaskning nøgletal'!$I$34/100,Markniveau!Z1470))</f>
        <v>38.620385460262987</v>
      </c>
      <c r="AE1470" s="10">
        <f t="shared" si="233"/>
        <v>322.09401473859333</v>
      </c>
      <c r="AF1470" s="10">
        <f t="shared" si="228"/>
        <v>38.234181605660353</v>
      </c>
      <c r="AG1470" s="10">
        <f t="shared" si="234"/>
        <v>318.87307459120734</v>
      </c>
      <c r="AH1470" s="10" t="str">
        <f>IF(AND(Q1470&gt;0,Q1470&lt;30,K1470=216),'Udvaskning nøgletal'!$C$42,IF(AND(Q1470&gt;0,Q1470&lt;30,K1470&gt;7,K1470&lt;17),'Udvaskning nøgletal'!$C$61,IF(AND(Q1470&gt;0,Q1470&lt;30,K1470&lt;7),'Udvaskning nøgletal'!$C$62,"")))</f>
        <v/>
      </c>
      <c r="AI1470" s="10">
        <f t="shared" si="230"/>
        <v>230</v>
      </c>
      <c r="AJ1470" s="10">
        <f>IF($X1470=1,LOOKUP(AI1470,'Udvaskning nøgletal'!$C$12:$C$62,'Udvaskning nøgletal'!$E$12:$E$62)+Markniveau!$Y1470*Markniveau!$S1470/100,IF($X1470=2,LOOKUP(AI1470,'Udvaskning nøgletal'!$C$12:$C$62,'Udvaskning nøgletal'!$F$12:$F$62)+Markniveau!$Y1470*Markniveau!$S1470/100,IF($X1470=3,LOOKUP(AI1470,'Udvaskning nøgletal'!$C$12:$C$62,'Udvaskning nøgletal'!Q1480:Q1530)+Markniveau!$Y1470*Markniveau!$S1470/100,"")))</f>
        <v>38.620385460262987</v>
      </c>
      <c r="AK1470" s="10">
        <f t="shared" si="229"/>
        <v>322.09401473859333</v>
      </c>
      <c r="AL1470" s="10">
        <f t="shared" si="231"/>
        <v>38.234181605660353</v>
      </c>
      <c r="AM1470" s="10">
        <f t="shared" si="232"/>
        <v>318.87307459120734</v>
      </c>
    </row>
    <row r="1471" spans="1:39" x14ac:dyDescent="0.25">
      <c r="A1471" s="15">
        <v>72487214</v>
      </c>
      <c r="B1471" s="15">
        <v>339.74</v>
      </c>
      <c r="C1471" s="15">
        <v>236939</v>
      </c>
      <c r="D1471" s="15">
        <v>53562</v>
      </c>
      <c r="E1471" s="15" t="s">
        <v>803</v>
      </c>
      <c r="F1471" s="15">
        <v>2011</v>
      </c>
      <c r="G1471" s="15">
        <v>20110425</v>
      </c>
      <c r="H1471" s="15">
        <v>43906</v>
      </c>
      <c r="I1471" s="15">
        <v>4.3899999999999997</v>
      </c>
      <c r="J1471" s="6" t="s">
        <v>1194</v>
      </c>
      <c r="K1471" s="15">
        <v>230</v>
      </c>
      <c r="L1471" s="15" t="s">
        <v>120</v>
      </c>
      <c r="M1471" s="15" t="s">
        <v>5</v>
      </c>
      <c r="N1471" s="11" t="s">
        <v>1406</v>
      </c>
      <c r="O1471" s="11" t="s">
        <v>46</v>
      </c>
      <c r="P1471" s="11" t="s">
        <v>29</v>
      </c>
      <c r="Q1471" s="15">
        <v>25</v>
      </c>
      <c r="R1471" s="11" t="s">
        <v>7</v>
      </c>
      <c r="S1471" s="10">
        <v>205.81939178997999</v>
      </c>
      <c r="T1471" s="15">
        <v>80</v>
      </c>
      <c r="U1471" s="15">
        <v>1</v>
      </c>
      <c r="V1471" s="15">
        <v>0</v>
      </c>
      <c r="W1471" s="15">
        <v>0</v>
      </c>
      <c r="X1471" s="15">
        <f>IF(O1471='Udvaskning nøgletal'!$D$65,1,IF(O1471='Udvaskning nøgletal'!$D$66,2,IF(O1471='Udvaskning nøgletal'!$D$67,3,IF(O1471='Udvaskning nøgletal'!$D$68,2,""))))</f>
        <v>2</v>
      </c>
      <c r="Y1471" s="15">
        <f>LOOKUP(K1471,'Udvaskning nøgletal'!$C$12:$C$60,'Udvaskning nøgletal'!$H$12:$H$60)</f>
        <v>0</v>
      </c>
      <c r="Z1471" s="10">
        <f>IF(X1471=1,LOOKUP(K1471,'Udvaskning nøgletal'!$C$12:$C$60,'Udvaskning nøgletal'!$E$12:$E$60)+Markniveau!Y1471*Markniveau!S1471/100,IF(X1471=2,LOOKUP(K1471,'Udvaskning nøgletal'!$C$12:$C$60,'Udvaskning nøgletal'!$F$12:$F$60)+Markniveau!Y1471*Markniveau!S1471/100,IF(X1471=3,LOOKUP(K1471,'Udvaskning nøgletal'!$C$12:$C$60,'Udvaskning nøgletal'!G1481:G1529)+Markniveau!Y1471*Markniveau!S1471/100,"")))</f>
        <v>31.161328188970323</v>
      </c>
      <c r="AA1471" s="10">
        <f t="shared" si="226"/>
        <v>136.79823074957972</v>
      </c>
      <c r="AB1471" s="10">
        <f t="shared" si="225"/>
        <v>23.370996141727741</v>
      </c>
      <c r="AC1471" s="10">
        <f t="shared" si="227"/>
        <v>102.59867306218477</v>
      </c>
      <c r="AD1471" s="10">
        <f>IF(AND(Q1471&gt;0,Q1471&lt;30,K1471&lt;8),Markniveau!Z1471*'Udvaskning nøgletal'!$I$12/100,IF(AND(Q1471&gt;0,Q1471&lt;30,K1471=216),Markniveau!Z1471*'Udvaskning nøgletal'!$I$34/100,Markniveau!Z1471))</f>
        <v>31.161328188970323</v>
      </c>
      <c r="AE1471" s="10">
        <f t="shared" si="233"/>
        <v>136.79823074957972</v>
      </c>
      <c r="AF1471" s="10">
        <f t="shared" si="228"/>
        <v>23.370996141727741</v>
      </c>
      <c r="AG1471" s="10">
        <f t="shared" si="234"/>
        <v>102.59867306218477</v>
      </c>
      <c r="AH1471" s="10" t="str">
        <f>IF(AND(Q1471&gt;0,Q1471&lt;30,K1471=216),'Udvaskning nøgletal'!$C$42,IF(AND(Q1471&gt;0,Q1471&lt;30,K1471&gt;7,K1471&lt;17),'Udvaskning nøgletal'!$C$61,IF(AND(Q1471&gt;0,Q1471&lt;30,K1471&lt;7),'Udvaskning nøgletal'!$C$62,"")))</f>
        <v/>
      </c>
      <c r="AI1471" s="10">
        <f t="shared" si="230"/>
        <v>230</v>
      </c>
      <c r="AJ1471" s="10">
        <f>IF($X1471=1,LOOKUP(AI1471,'Udvaskning nøgletal'!$C$12:$C$62,'Udvaskning nøgletal'!$E$12:$E$62)+Markniveau!$Y1471*Markniveau!$S1471/100,IF($X1471=2,LOOKUP(AI1471,'Udvaskning nøgletal'!$C$12:$C$62,'Udvaskning nøgletal'!$F$12:$F$62)+Markniveau!$Y1471*Markniveau!$S1471/100,IF($X1471=3,LOOKUP(AI1471,'Udvaskning nøgletal'!$C$12:$C$62,'Udvaskning nøgletal'!Q1481:Q1531)+Markniveau!$Y1471*Markniveau!$S1471/100,"")))</f>
        <v>31.161328188970323</v>
      </c>
      <c r="AK1471" s="10">
        <f t="shared" si="229"/>
        <v>136.79823074957972</v>
      </c>
      <c r="AL1471" s="10">
        <f t="shared" si="231"/>
        <v>23.370996141727741</v>
      </c>
      <c r="AM1471" s="10">
        <f t="shared" si="232"/>
        <v>102.59867306218477</v>
      </c>
    </row>
    <row r="1472" spans="1:39" x14ac:dyDescent="0.25">
      <c r="A1472" s="15">
        <v>72487214</v>
      </c>
      <c r="B1472" s="15">
        <v>339.74</v>
      </c>
      <c r="C1472" s="15">
        <v>237451</v>
      </c>
      <c r="D1472" s="15">
        <v>53562</v>
      </c>
      <c r="E1472" s="15" t="s">
        <v>1231</v>
      </c>
      <c r="F1472" s="15">
        <v>2011</v>
      </c>
      <c r="G1472" s="15">
        <v>20110425</v>
      </c>
      <c r="H1472" s="15">
        <v>29378</v>
      </c>
      <c r="I1472" s="15">
        <v>2.94</v>
      </c>
      <c r="J1472" s="6" t="s">
        <v>1232</v>
      </c>
      <c r="K1472" s="15">
        <v>216</v>
      </c>
      <c r="L1472" s="15" t="s">
        <v>116</v>
      </c>
      <c r="M1472" s="15" t="s">
        <v>5</v>
      </c>
      <c r="N1472" s="11" t="s">
        <v>1406</v>
      </c>
      <c r="O1472" s="11" t="s">
        <v>46</v>
      </c>
      <c r="P1472" s="11" t="s">
        <v>33</v>
      </c>
      <c r="Q1472" s="15">
        <v>95</v>
      </c>
      <c r="R1472" s="11" t="s">
        <v>3</v>
      </c>
      <c r="S1472" s="10">
        <v>205.81939178997999</v>
      </c>
      <c r="T1472" s="15">
        <v>80</v>
      </c>
      <c r="U1472" s="15">
        <v>1</v>
      </c>
      <c r="V1472" s="15">
        <v>0</v>
      </c>
      <c r="W1472" s="15">
        <v>0</v>
      </c>
      <c r="X1472" s="15">
        <f>IF(O1472='Udvaskning nøgletal'!$D$65,1,IF(O1472='Udvaskning nøgletal'!$D$66,2,IF(O1472='Udvaskning nøgletal'!$D$67,3,IF(O1472='Udvaskning nøgletal'!$D$68,2,""))))</f>
        <v>2</v>
      </c>
      <c r="Y1472" s="15">
        <f>LOOKUP(K1472,'Udvaskning nøgletal'!$C$12:$C$60,'Udvaskning nøgletal'!$H$12:$H$60)</f>
        <v>0</v>
      </c>
      <c r="Z1472" s="10">
        <f>IF(X1472=1,LOOKUP(K1472,'Udvaskning nøgletal'!$C$12:$C$60,'Udvaskning nøgletal'!$E$12:$E$60)+Markniveau!Y1472*Markniveau!S1472/100,IF(X1472=2,LOOKUP(K1472,'Udvaskning nøgletal'!$C$12:$C$60,'Udvaskning nøgletal'!$F$12:$F$60)+Markniveau!Y1472*Markniveau!S1472/100,IF(X1472=3,LOOKUP(K1472,'Udvaskning nøgletal'!$C$12:$C$60,'Udvaskning nøgletal'!G1482:G1530)+Markniveau!Y1472*Markniveau!S1472/100,"")))</f>
        <v>101.66744640811392</v>
      </c>
      <c r="AA1472" s="10">
        <f t="shared" si="226"/>
        <v>298.90229243985493</v>
      </c>
      <c r="AB1472" s="10">
        <f t="shared" si="225"/>
        <v>5.0833723204056955</v>
      </c>
      <c r="AC1472" s="10">
        <f t="shared" si="227"/>
        <v>14.945114621992744</v>
      </c>
      <c r="AD1472" s="10">
        <f>IF(AND(Q1472&gt;0,Q1472&lt;30,K1472&lt;8),Markniveau!Z1472*'Udvaskning nøgletal'!$I$12/100,IF(AND(Q1472&gt;0,Q1472&lt;30,K1472=216),Markniveau!Z1472*'Udvaskning nøgletal'!$I$34/100,Markniveau!Z1472))</f>
        <v>101.66744640811392</v>
      </c>
      <c r="AE1472" s="10">
        <f t="shared" si="233"/>
        <v>298.90229243985493</v>
      </c>
      <c r="AF1472" s="10">
        <f t="shared" si="228"/>
        <v>5.0833723204056955</v>
      </c>
      <c r="AG1472" s="10">
        <f t="shared" si="234"/>
        <v>14.945114621992744</v>
      </c>
      <c r="AH1472" s="10" t="str">
        <f>IF(AND(Q1472&gt;0,Q1472&lt;30,K1472=216),'Udvaskning nøgletal'!$C$42,IF(AND(Q1472&gt;0,Q1472&lt;30,K1472&gt;7,K1472&lt;17),'Udvaskning nøgletal'!$C$61,IF(AND(Q1472&gt;0,Q1472&lt;30,K1472&lt;7),'Udvaskning nøgletal'!$C$62,"")))</f>
        <v/>
      </c>
      <c r="AI1472" s="10">
        <f t="shared" si="230"/>
        <v>216</v>
      </c>
      <c r="AJ1472" s="10">
        <f>IF($X1472=1,LOOKUP(AI1472,'Udvaskning nøgletal'!$C$12:$C$62,'Udvaskning nøgletal'!$E$12:$E$62)+Markniveau!$Y1472*Markniveau!$S1472/100,IF($X1472=2,LOOKUP(AI1472,'Udvaskning nøgletal'!$C$12:$C$62,'Udvaskning nøgletal'!$F$12:$F$62)+Markniveau!$Y1472*Markniveau!$S1472/100,IF($X1472=3,LOOKUP(AI1472,'Udvaskning nøgletal'!$C$12:$C$62,'Udvaskning nøgletal'!Q1482:Q1532)+Markniveau!$Y1472*Markniveau!$S1472/100,"")))</f>
        <v>101.66744640811392</v>
      </c>
      <c r="AK1472" s="10">
        <f t="shared" si="229"/>
        <v>298.90229243985493</v>
      </c>
      <c r="AL1472" s="10">
        <f t="shared" si="231"/>
        <v>5.0833723204056955</v>
      </c>
      <c r="AM1472" s="10">
        <f t="shared" si="232"/>
        <v>14.945114621992744</v>
      </c>
    </row>
    <row r="1473" spans="1:39" x14ac:dyDescent="0.25">
      <c r="A1473" s="15">
        <v>72487214</v>
      </c>
      <c r="B1473" s="15">
        <v>339.74</v>
      </c>
      <c r="C1473" s="15">
        <v>238359</v>
      </c>
      <c r="D1473" s="15">
        <v>53562</v>
      </c>
      <c r="E1473" s="15" t="s">
        <v>321</v>
      </c>
      <c r="F1473" s="15">
        <v>2011</v>
      </c>
      <c r="G1473" s="15">
        <v>20110425</v>
      </c>
      <c r="H1473" s="15">
        <v>55755</v>
      </c>
      <c r="I1473" s="15">
        <v>5.58</v>
      </c>
      <c r="J1473" s="6" t="s">
        <v>138</v>
      </c>
      <c r="K1473" s="15">
        <v>15</v>
      </c>
      <c r="L1473" s="15" t="s">
        <v>362</v>
      </c>
      <c r="M1473" s="15" t="s">
        <v>5</v>
      </c>
      <c r="N1473" s="11" t="s">
        <v>1384</v>
      </c>
      <c r="O1473" s="11" t="s">
        <v>28</v>
      </c>
      <c r="P1473" s="11" t="s">
        <v>33</v>
      </c>
      <c r="Q1473" s="15">
        <v>0</v>
      </c>
      <c r="R1473" s="11" t="s">
        <v>1386</v>
      </c>
      <c r="S1473" s="10">
        <v>205.81939178997999</v>
      </c>
      <c r="T1473" s="15">
        <v>80</v>
      </c>
      <c r="U1473" s="15">
        <v>1</v>
      </c>
      <c r="V1473" s="15">
        <v>0</v>
      </c>
      <c r="W1473" s="15">
        <v>0</v>
      </c>
      <c r="X1473" s="15">
        <f>IF(O1473='Udvaskning nøgletal'!$D$65,1,IF(O1473='Udvaskning nøgletal'!$D$66,2,IF(O1473='Udvaskning nøgletal'!$D$67,3,IF(O1473='Udvaskning nøgletal'!$D$68,2,""))))</f>
        <v>1</v>
      </c>
      <c r="Y1473" s="15">
        <f>LOOKUP(K1473,'Udvaskning nøgletal'!$C$12:$C$60,'Udvaskning nøgletal'!$H$12:$H$60)</f>
        <v>5</v>
      </c>
      <c r="Z1473" s="10">
        <f>IF(X1473=1,LOOKUP(K1473,'Udvaskning nøgletal'!$C$12:$C$60,'Udvaskning nøgletal'!$E$12:$E$60)+Markniveau!Y1473*Markniveau!S1473/100,IF(X1473=2,LOOKUP(K1473,'Udvaskning nøgletal'!$C$12:$C$60,'Udvaskning nøgletal'!$F$12:$F$60)+Markniveau!Y1473*Markniveau!S1473/100,IF(X1473=3,LOOKUP(K1473,'Udvaskning nøgletal'!$C$12:$C$60,'Udvaskning nøgletal'!G1483:G1531)+Markniveau!Y1473*Markniveau!S1473/100,"")))</f>
        <v>74.950969589498996</v>
      </c>
      <c r="AA1473" s="10">
        <f t="shared" si="226"/>
        <v>418.2264103094044</v>
      </c>
      <c r="AB1473" s="10" t="str">
        <f t="shared" si="225"/>
        <v/>
      </c>
      <c r="AC1473" s="10" t="str">
        <f t="shared" si="227"/>
        <v/>
      </c>
      <c r="AD1473" s="10">
        <f>IF(AND(Q1473&gt;0,Q1473&lt;30,K1473&lt;8),Markniveau!Z1473*'Udvaskning nøgletal'!$I$12/100,IF(AND(Q1473&gt;0,Q1473&lt;30,K1473=216),Markniveau!Z1473*'Udvaskning nøgletal'!$I$34/100,Markniveau!Z1473))</f>
        <v>74.950969589498996</v>
      </c>
      <c r="AE1473" s="10">
        <f t="shared" si="233"/>
        <v>418.2264103094044</v>
      </c>
      <c r="AF1473" s="10" t="str">
        <f t="shared" si="228"/>
        <v/>
      </c>
      <c r="AG1473" s="10" t="str">
        <f t="shared" si="234"/>
        <v/>
      </c>
      <c r="AH1473" s="10" t="str">
        <f>IF(AND(Q1473&gt;0,Q1473&lt;30,K1473=216),'Udvaskning nøgletal'!$C$42,IF(AND(Q1473&gt;0,Q1473&lt;30,K1473&gt;7,K1473&lt;17),'Udvaskning nøgletal'!$C$61,IF(AND(Q1473&gt;0,Q1473&lt;30,K1473&lt;7),'Udvaskning nøgletal'!$C$62,"")))</f>
        <v/>
      </c>
      <c r="AI1473" s="10">
        <f t="shared" si="230"/>
        <v>15</v>
      </c>
      <c r="AJ1473" s="10">
        <f>IF($X1473=1,LOOKUP(AI1473,'Udvaskning nøgletal'!$C$12:$C$62,'Udvaskning nøgletal'!$E$12:$E$62)+Markniveau!$Y1473*Markniveau!$S1473/100,IF($X1473=2,LOOKUP(AI1473,'Udvaskning nøgletal'!$C$12:$C$62,'Udvaskning nøgletal'!$F$12:$F$62)+Markniveau!$Y1473*Markniveau!$S1473/100,IF($X1473=3,LOOKUP(AI1473,'Udvaskning nøgletal'!$C$12:$C$62,'Udvaskning nøgletal'!Q1483:Q1533)+Markniveau!$Y1473*Markniveau!$S1473/100,"")))</f>
        <v>74.950969589498996</v>
      </c>
      <c r="AK1473" s="10">
        <f t="shared" si="229"/>
        <v>418.2264103094044</v>
      </c>
      <c r="AL1473" s="10" t="str">
        <f t="shared" si="231"/>
        <v/>
      </c>
      <c r="AM1473" s="10" t="str">
        <f t="shared" si="232"/>
        <v/>
      </c>
    </row>
    <row r="1474" spans="1:39" x14ac:dyDescent="0.25">
      <c r="A1474" s="15">
        <v>72487214</v>
      </c>
      <c r="B1474" s="15">
        <v>339.74</v>
      </c>
      <c r="C1474" s="15">
        <v>238361</v>
      </c>
      <c r="D1474" s="15">
        <v>53562</v>
      </c>
      <c r="E1474" s="15" t="s">
        <v>1233</v>
      </c>
      <c r="F1474" s="15">
        <v>2011</v>
      </c>
      <c r="G1474" s="15">
        <v>20110425</v>
      </c>
      <c r="H1474" s="15">
        <v>16162</v>
      </c>
      <c r="I1474" s="15">
        <v>1.62</v>
      </c>
      <c r="J1474" s="6" t="s">
        <v>1234</v>
      </c>
      <c r="K1474" s="15">
        <v>216</v>
      </c>
      <c r="L1474" s="15" t="s">
        <v>116</v>
      </c>
      <c r="M1474" s="15" t="s">
        <v>5</v>
      </c>
      <c r="N1474" s="11" t="s">
        <v>1384</v>
      </c>
      <c r="O1474" s="11" t="s">
        <v>28</v>
      </c>
      <c r="P1474" s="11" t="s">
        <v>33</v>
      </c>
      <c r="Q1474" s="15">
        <v>0</v>
      </c>
      <c r="R1474" s="11" t="s">
        <v>1386</v>
      </c>
      <c r="S1474" s="10">
        <v>205.81939178997999</v>
      </c>
      <c r="T1474" s="15">
        <v>80</v>
      </c>
      <c r="U1474" s="15">
        <v>1</v>
      </c>
      <c r="V1474" s="15">
        <v>0</v>
      </c>
      <c r="W1474" s="15">
        <v>0</v>
      </c>
      <c r="X1474" s="15">
        <f>IF(O1474='Udvaskning nøgletal'!$D$65,1,IF(O1474='Udvaskning nøgletal'!$D$66,2,IF(O1474='Udvaskning nøgletal'!$D$67,3,IF(O1474='Udvaskning nøgletal'!$D$68,2,""))))</f>
        <v>1</v>
      </c>
      <c r="Y1474" s="15">
        <f>LOOKUP(K1474,'Udvaskning nøgletal'!$C$12:$C$60,'Udvaskning nøgletal'!$H$12:$H$60)</f>
        <v>0</v>
      </c>
      <c r="Z1474" s="10">
        <f>IF(X1474=1,LOOKUP(K1474,'Udvaskning nøgletal'!$C$12:$C$60,'Udvaskning nøgletal'!$E$12:$E$60)+Markniveau!Y1474*Markniveau!S1474/100,IF(X1474=2,LOOKUP(K1474,'Udvaskning nøgletal'!$C$12:$C$60,'Udvaskning nøgletal'!$F$12:$F$60)+Markniveau!Y1474*Markniveau!S1474/100,IF(X1474=3,LOOKUP(K1474,'Udvaskning nøgletal'!$C$12:$C$60,'Udvaskning nøgletal'!G1484:G1532)+Markniveau!Y1474*Markniveau!S1474/100,"")))</f>
        <v>125.85383557148924</v>
      </c>
      <c r="AA1474" s="10">
        <f t="shared" si="226"/>
        <v>203.88321362581257</v>
      </c>
      <c r="AB1474" s="10" t="str">
        <f t="shared" ref="AB1474:AB1537" si="235">IF(Q1474&gt;0,(100-Q1474)*Z1474/100,"")</f>
        <v/>
      </c>
      <c r="AC1474" s="10" t="str">
        <f t="shared" si="227"/>
        <v/>
      </c>
      <c r="AD1474" s="10">
        <f>IF(AND(Q1474&gt;0,Q1474&lt;30,K1474&lt;8),Markniveau!Z1474*'Udvaskning nøgletal'!$I$12/100,IF(AND(Q1474&gt;0,Q1474&lt;30,K1474=216),Markniveau!Z1474*'Udvaskning nøgletal'!$I$34/100,Markniveau!Z1474))</f>
        <v>125.85383557148924</v>
      </c>
      <c r="AE1474" s="10">
        <f t="shared" si="233"/>
        <v>203.88321362581257</v>
      </c>
      <c r="AF1474" s="10" t="str">
        <f t="shared" si="228"/>
        <v/>
      </c>
      <c r="AG1474" s="10" t="str">
        <f t="shared" si="234"/>
        <v/>
      </c>
      <c r="AH1474" s="10" t="str">
        <f>IF(AND(Q1474&gt;0,Q1474&lt;30,K1474=216),'Udvaskning nøgletal'!$C$42,IF(AND(Q1474&gt;0,Q1474&lt;30,K1474&gt;7,K1474&lt;17),'Udvaskning nøgletal'!$C$61,IF(AND(Q1474&gt;0,Q1474&lt;30,K1474&lt;7),'Udvaskning nøgletal'!$C$62,"")))</f>
        <v/>
      </c>
      <c r="AI1474" s="10">
        <f t="shared" si="230"/>
        <v>216</v>
      </c>
      <c r="AJ1474" s="10">
        <f>IF($X1474=1,LOOKUP(AI1474,'Udvaskning nøgletal'!$C$12:$C$62,'Udvaskning nøgletal'!$E$12:$E$62)+Markniveau!$Y1474*Markniveau!$S1474/100,IF($X1474=2,LOOKUP(AI1474,'Udvaskning nøgletal'!$C$12:$C$62,'Udvaskning nøgletal'!$F$12:$F$62)+Markniveau!$Y1474*Markniveau!$S1474/100,IF($X1474=3,LOOKUP(AI1474,'Udvaskning nøgletal'!$C$12:$C$62,'Udvaskning nøgletal'!Q1484:Q1534)+Markniveau!$Y1474*Markniveau!$S1474/100,"")))</f>
        <v>125.85383557148924</v>
      </c>
      <c r="AK1474" s="10">
        <f t="shared" si="229"/>
        <v>203.88321362581257</v>
      </c>
      <c r="AL1474" s="10" t="str">
        <f t="shared" si="231"/>
        <v/>
      </c>
      <c r="AM1474" s="10" t="str">
        <f t="shared" si="232"/>
        <v/>
      </c>
    </row>
    <row r="1475" spans="1:39" x14ac:dyDescent="0.25">
      <c r="A1475" s="15">
        <v>72487214</v>
      </c>
      <c r="B1475" s="15">
        <v>339.74</v>
      </c>
      <c r="C1475" s="15">
        <v>238363</v>
      </c>
      <c r="D1475" s="15">
        <v>53562</v>
      </c>
      <c r="E1475" s="15" t="s">
        <v>111</v>
      </c>
      <c r="F1475" s="15">
        <v>2011</v>
      </c>
      <c r="G1475" s="15">
        <v>20110425</v>
      </c>
      <c r="H1475" s="15">
        <v>54468</v>
      </c>
      <c r="I1475" s="15">
        <v>5.45</v>
      </c>
      <c r="J1475" s="6" t="s">
        <v>874</v>
      </c>
      <c r="K1475" s="15">
        <v>216</v>
      </c>
      <c r="L1475" s="15" t="s">
        <v>116</v>
      </c>
      <c r="M1475" s="15" t="s">
        <v>5</v>
      </c>
      <c r="N1475" s="11" t="s">
        <v>1406</v>
      </c>
      <c r="O1475" s="11" t="s">
        <v>46</v>
      </c>
      <c r="P1475" s="11" t="s">
        <v>29</v>
      </c>
      <c r="Q1475" s="15">
        <v>95</v>
      </c>
      <c r="R1475" s="11" t="s">
        <v>3</v>
      </c>
      <c r="S1475" s="10">
        <v>205.81939178997999</v>
      </c>
      <c r="T1475" s="15">
        <v>80</v>
      </c>
      <c r="U1475" s="15">
        <v>1</v>
      </c>
      <c r="V1475" s="15">
        <v>0</v>
      </c>
      <c r="W1475" s="15">
        <v>0</v>
      </c>
      <c r="X1475" s="15">
        <f>IF(O1475='Udvaskning nøgletal'!$D$65,1,IF(O1475='Udvaskning nøgletal'!$D$66,2,IF(O1475='Udvaskning nøgletal'!$D$67,3,IF(O1475='Udvaskning nøgletal'!$D$68,2,""))))</f>
        <v>2</v>
      </c>
      <c r="Y1475" s="15">
        <f>LOOKUP(K1475,'Udvaskning nøgletal'!$C$12:$C$60,'Udvaskning nøgletal'!$H$12:$H$60)</f>
        <v>0</v>
      </c>
      <c r="Z1475" s="10">
        <f>IF(X1475=1,LOOKUP(K1475,'Udvaskning nøgletal'!$C$12:$C$60,'Udvaskning nøgletal'!$E$12:$E$60)+Markniveau!Y1475*Markniveau!S1475/100,IF(X1475=2,LOOKUP(K1475,'Udvaskning nøgletal'!$C$12:$C$60,'Udvaskning nøgletal'!$F$12:$F$60)+Markniveau!Y1475*Markniveau!S1475/100,IF(X1475=3,LOOKUP(K1475,'Udvaskning nøgletal'!$C$12:$C$60,'Udvaskning nøgletal'!G1485:G1533)+Markniveau!Y1475*Markniveau!S1475/100,"")))</f>
        <v>101.66744640811392</v>
      </c>
      <c r="AA1475" s="10">
        <f t="shared" ref="AA1475:AA1538" si="236">Z1475*I1475</f>
        <v>554.0875829242209</v>
      </c>
      <c r="AB1475" s="10">
        <f t="shared" si="235"/>
        <v>5.0833723204056955</v>
      </c>
      <c r="AC1475" s="10">
        <f t="shared" ref="AC1475:AC1538" si="237">IF(Q1475&gt;0,AB1475*I1475,"")</f>
        <v>27.704379146211043</v>
      </c>
      <c r="AD1475" s="10">
        <f>IF(AND(Q1475&gt;0,Q1475&lt;30,K1475&lt;8),Markniveau!Z1475*'Udvaskning nøgletal'!$I$12/100,IF(AND(Q1475&gt;0,Q1475&lt;30,K1475=216),Markniveau!Z1475*'Udvaskning nøgletal'!$I$34/100,Markniveau!Z1475))</f>
        <v>101.66744640811392</v>
      </c>
      <c r="AE1475" s="10">
        <f t="shared" si="233"/>
        <v>554.0875829242209</v>
      </c>
      <c r="AF1475" s="10">
        <f t="shared" ref="AF1475:AF1538" si="238">IF($Q1475&gt;0,(100-$Q1475)*$AD1475/100,"")</f>
        <v>5.0833723204056955</v>
      </c>
      <c r="AG1475" s="10">
        <f t="shared" si="234"/>
        <v>27.704379146211043</v>
      </c>
      <c r="AH1475" s="10" t="str">
        <f>IF(AND(Q1475&gt;0,Q1475&lt;30,K1475=216),'Udvaskning nøgletal'!$C$42,IF(AND(Q1475&gt;0,Q1475&lt;30,K1475&gt;7,K1475&lt;17),'Udvaskning nøgletal'!$C$61,IF(AND(Q1475&gt;0,Q1475&lt;30,K1475&lt;7),'Udvaskning nøgletal'!$C$62,"")))</f>
        <v/>
      </c>
      <c r="AI1475" s="10">
        <f t="shared" si="230"/>
        <v>216</v>
      </c>
      <c r="AJ1475" s="10">
        <f>IF($X1475=1,LOOKUP(AI1475,'Udvaskning nøgletal'!$C$12:$C$62,'Udvaskning nøgletal'!$E$12:$E$62)+Markniveau!$Y1475*Markniveau!$S1475/100,IF($X1475=2,LOOKUP(AI1475,'Udvaskning nøgletal'!$C$12:$C$62,'Udvaskning nøgletal'!$F$12:$F$62)+Markniveau!$Y1475*Markniveau!$S1475/100,IF($X1475=3,LOOKUP(AI1475,'Udvaskning nøgletal'!$C$12:$C$62,'Udvaskning nøgletal'!Q1485:Q1535)+Markniveau!$Y1475*Markniveau!$S1475/100,"")))</f>
        <v>101.66744640811392</v>
      </c>
      <c r="AK1475" s="10">
        <f t="shared" ref="AK1475:AK1538" si="239">AJ1475*$I1475</f>
        <v>554.0875829242209</v>
      </c>
      <c r="AL1475" s="10">
        <f t="shared" si="231"/>
        <v>5.0833723204056955</v>
      </c>
      <c r="AM1475" s="10">
        <f t="shared" si="232"/>
        <v>27.704379146211043</v>
      </c>
    </row>
    <row r="1476" spans="1:39" x14ac:dyDescent="0.25">
      <c r="A1476" s="15">
        <v>72487214</v>
      </c>
      <c r="B1476" s="15">
        <v>339.74</v>
      </c>
      <c r="C1476" s="15">
        <v>244712</v>
      </c>
      <c r="D1476" s="15">
        <v>53562</v>
      </c>
      <c r="E1476" s="15" t="s">
        <v>375</v>
      </c>
      <c r="F1476" s="15">
        <v>2011</v>
      </c>
      <c r="G1476" s="15">
        <v>20110425</v>
      </c>
      <c r="H1476" s="15">
        <v>140080</v>
      </c>
      <c r="I1476" s="15">
        <v>14.01</v>
      </c>
      <c r="J1476" s="6" t="s">
        <v>26</v>
      </c>
      <c r="K1476" s="15">
        <v>216</v>
      </c>
      <c r="L1476" s="15" t="s">
        <v>116</v>
      </c>
      <c r="M1476" s="15" t="s">
        <v>5</v>
      </c>
      <c r="N1476" s="11" t="s">
        <v>1384</v>
      </c>
      <c r="O1476" s="11" t="s">
        <v>28</v>
      </c>
      <c r="P1476" s="11" t="s">
        <v>29</v>
      </c>
      <c r="Q1476" s="15">
        <v>95</v>
      </c>
      <c r="R1476" s="11" t="s">
        <v>3</v>
      </c>
      <c r="S1476" s="10">
        <v>205.81939178997999</v>
      </c>
      <c r="T1476" s="15">
        <v>80</v>
      </c>
      <c r="U1476" s="15">
        <v>1</v>
      </c>
      <c r="V1476" s="15">
        <v>0</v>
      </c>
      <c r="W1476" s="15">
        <v>0</v>
      </c>
      <c r="X1476" s="15">
        <f>IF(O1476='Udvaskning nøgletal'!$D$65,1,IF(O1476='Udvaskning nøgletal'!$D$66,2,IF(O1476='Udvaskning nøgletal'!$D$67,3,IF(O1476='Udvaskning nøgletal'!$D$68,2,""))))</f>
        <v>1</v>
      </c>
      <c r="Y1476" s="15">
        <f>LOOKUP(K1476,'Udvaskning nøgletal'!$C$12:$C$60,'Udvaskning nøgletal'!$H$12:$H$60)</f>
        <v>0</v>
      </c>
      <c r="Z1476" s="10">
        <f>IF(X1476=1,LOOKUP(K1476,'Udvaskning nøgletal'!$C$12:$C$60,'Udvaskning nøgletal'!$E$12:$E$60)+Markniveau!Y1476*Markniveau!S1476/100,IF(X1476=2,LOOKUP(K1476,'Udvaskning nøgletal'!$C$12:$C$60,'Udvaskning nøgletal'!$F$12:$F$60)+Markniveau!Y1476*Markniveau!S1476/100,IF(X1476=3,LOOKUP(K1476,'Udvaskning nøgletal'!$C$12:$C$60,'Udvaskning nøgletal'!G1486:G1534)+Markniveau!Y1476*Markniveau!S1476/100,"")))</f>
        <v>125.85383557148924</v>
      </c>
      <c r="AA1476" s="10">
        <f t="shared" si="236"/>
        <v>1763.2122363565643</v>
      </c>
      <c r="AB1476" s="10">
        <f t="shared" si="235"/>
        <v>6.2926917785744623</v>
      </c>
      <c r="AC1476" s="10">
        <f t="shared" si="237"/>
        <v>88.160611817828212</v>
      </c>
      <c r="AD1476" s="10">
        <f>IF(AND(Q1476&gt;0,Q1476&lt;30,K1476&lt;8),Markniveau!Z1476*'Udvaskning nøgletal'!$I$12/100,IF(AND(Q1476&gt;0,Q1476&lt;30,K1476=216),Markniveau!Z1476*'Udvaskning nøgletal'!$I$34/100,Markniveau!Z1476))</f>
        <v>125.85383557148924</v>
      </c>
      <c r="AE1476" s="10">
        <f t="shared" si="233"/>
        <v>1763.2122363565643</v>
      </c>
      <c r="AF1476" s="10">
        <f t="shared" si="238"/>
        <v>6.2926917785744623</v>
      </c>
      <c r="AG1476" s="10">
        <f t="shared" si="234"/>
        <v>88.160611817828212</v>
      </c>
      <c r="AH1476" s="10" t="str">
        <f>IF(AND(Q1476&gt;0,Q1476&lt;30,K1476=216),'Udvaskning nøgletal'!$C$42,IF(AND(Q1476&gt;0,Q1476&lt;30,K1476&gt;7,K1476&lt;17),'Udvaskning nøgletal'!$C$61,IF(AND(Q1476&gt;0,Q1476&lt;30,K1476&lt;7),'Udvaskning nøgletal'!$C$62,"")))</f>
        <v/>
      </c>
      <c r="AI1476" s="10">
        <f t="shared" si="230"/>
        <v>216</v>
      </c>
      <c r="AJ1476" s="10">
        <f>IF($X1476=1,LOOKUP(AI1476,'Udvaskning nøgletal'!$C$12:$C$62,'Udvaskning nøgletal'!$E$12:$E$62)+Markniveau!$Y1476*Markniveau!$S1476/100,IF($X1476=2,LOOKUP(AI1476,'Udvaskning nøgletal'!$C$12:$C$62,'Udvaskning nøgletal'!$F$12:$F$62)+Markniveau!$Y1476*Markniveau!$S1476/100,IF($X1476=3,LOOKUP(AI1476,'Udvaskning nøgletal'!$C$12:$C$62,'Udvaskning nøgletal'!Q1486:Q1536)+Markniveau!$Y1476*Markniveau!$S1476/100,"")))</f>
        <v>125.85383557148924</v>
      </c>
      <c r="AK1476" s="10">
        <f t="shared" si="239"/>
        <v>1763.2122363565643</v>
      </c>
      <c r="AL1476" s="10">
        <f t="shared" si="231"/>
        <v>6.2926917785744623</v>
      </c>
      <c r="AM1476" s="10">
        <f t="shared" si="232"/>
        <v>88.160611817828212</v>
      </c>
    </row>
    <row r="1477" spans="1:39" x14ac:dyDescent="0.25">
      <c r="A1477" s="15">
        <v>72487214</v>
      </c>
      <c r="B1477" s="15">
        <v>339.74</v>
      </c>
      <c r="C1477" s="15">
        <v>245550</v>
      </c>
      <c r="D1477" s="15">
        <v>53562</v>
      </c>
      <c r="E1477" s="15" t="s">
        <v>298</v>
      </c>
      <c r="F1477" s="15">
        <v>2011</v>
      </c>
      <c r="G1477" s="15">
        <v>20110425</v>
      </c>
      <c r="H1477" s="15">
        <v>335920</v>
      </c>
      <c r="I1477" s="15">
        <v>33.590000000000003</v>
      </c>
      <c r="J1477" s="6" t="s">
        <v>73</v>
      </c>
      <c r="K1477" s="15">
        <v>216</v>
      </c>
      <c r="L1477" s="15" t="s">
        <v>116</v>
      </c>
      <c r="M1477" s="15" t="s">
        <v>5</v>
      </c>
      <c r="N1477" s="11" t="s">
        <v>1384</v>
      </c>
      <c r="O1477" s="11" t="s">
        <v>28</v>
      </c>
      <c r="P1477" s="11" t="s">
        <v>29</v>
      </c>
      <c r="Q1477" s="15">
        <v>40</v>
      </c>
      <c r="R1477" s="11" t="s">
        <v>6</v>
      </c>
      <c r="S1477" s="10">
        <v>205.81939178997999</v>
      </c>
      <c r="T1477" s="15">
        <v>80</v>
      </c>
      <c r="U1477" s="15">
        <v>1</v>
      </c>
      <c r="V1477" s="15">
        <v>0</v>
      </c>
      <c r="W1477" s="15">
        <v>0</v>
      </c>
      <c r="X1477" s="15">
        <f>IF(O1477='Udvaskning nøgletal'!$D$65,1,IF(O1477='Udvaskning nøgletal'!$D$66,2,IF(O1477='Udvaskning nøgletal'!$D$67,3,IF(O1477='Udvaskning nøgletal'!$D$68,2,""))))</f>
        <v>1</v>
      </c>
      <c r="Y1477" s="15">
        <f>LOOKUP(K1477,'Udvaskning nøgletal'!$C$12:$C$60,'Udvaskning nøgletal'!$H$12:$H$60)</f>
        <v>0</v>
      </c>
      <c r="Z1477" s="10">
        <f>IF(X1477=1,LOOKUP(K1477,'Udvaskning nøgletal'!$C$12:$C$60,'Udvaskning nøgletal'!$E$12:$E$60)+Markniveau!Y1477*Markniveau!S1477/100,IF(X1477=2,LOOKUP(K1477,'Udvaskning nøgletal'!$C$12:$C$60,'Udvaskning nøgletal'!$F$12:$F$60)+Markniveau!Y1477*Markniveau!S1477/100,IF(X1477=3,LOOKUP(K1477,'Udvaskning nøgletal'!$C$12:$C$60,'Udvaskning nøgletal'!G1487:G1535)+Markniveau!Y1477*Markniveau!S1477/100,"")))</f>
        <v>125.85383557148924</v>
      </c>
      <c r="AA1477" s="10">
        <f t="shared" si="236"/>
        <v>4227.4303368463243</v>
      </c>
      <c r="AB1477" s="10">
        <f t="shared" si="235"/>
        <v>75.512301342893537</v>
      </c>
      <c r="AC1477" s="10">
        <f t="shared" si="237"/>
        <v>2536.458202107794</v>
      </c>
      <c r="AD1477" s="10">
        <f>IF(AND(Q1477&gt;0,Q1477&lt;30,K1477&lt;8),Markniveau!Z1477*'Udvaskning nøgletal'!$I$12/100,IF(AND(Q1477&gt;0,Q1477&lt;30,K1477=216),Markniveau!Z1477*'Udvaskning nøgletal'!$I$34/100,Markniveau!Z1477))</f>
        <v>125.85383557148924</v>
      </c>
      <c r="AE1477" s="10">
        <f t="shared" si="233"/>
        <v>4227.4303368463243</v>
      </c>
      <c r="AF1477" s="10">
        <f t="shared" si="238"/>
        <v>75.512301342893537</v>
      </c>
      <c r="AG1477" s="10">
        <f t="shared" si="234"/>
        <v>2536.458202107794</v>
      </c>
      <c r="AH1477" s="10" t="str">
        <f>IF(AND(Q1477&gt;0,Q1477&lt;30,K1477=216),'Udvaskning nøgletal'!$C$42,IF(AND(Q1477&gt;0,Q1477&lt;30,K1477&gt;7,K1477&lt;17),'Udvaskning nøgletal'!$C$61,IF(AND(Q1477&gt;0,Q1477&lt;30,K1477&lt;7),'Udvaskning nøgletal'!$C$62,"")))</f>
        <v/>
      </c>
      <c r="AI1477" s="10">
        <f t="shared" si="230"/>
        <v>216</v>
      </c>
      <c r="AJ1477" s="10">
        <f>IF($X1477=1,LOOKUP(AI1477,'Udvaskning nøgletal'!$C$12:$C$62,'Udvaskning nøgletal'!$E$12:$E$62)+Markniveau!$Y1477*Markniveau!$S1477/100,IF($X1477=2,LOOKUP(AI1477,'Udvaskning nøgletal'!$C$12:$C$62,'Udvaskning nøgletal'!$F$12:$F$62)+Markniveau!$Y1477*Markniveau!$S1477/100,IF($X1477=3,LOOKUP(AI1477,'Udvaskning nøgletal'!$C$12:$C$62,'Udvaskning nøgletal'!Q1487:Q1537)+Markniveau!$Y1477*Markniveau!$S1477/100,"")))</f>
        <v>125.85383557148924</v>
      </c>
      <c r="AK1477" s="10">
        <f t="shared" si="239"/>
        <v>4227.4303368463243</v>
      </c>
      <c r="AL1477" s="10">
        <f t="shared" si="231"/>
        <v>75.512301342893537</v>
      </c>
      <c r="AM1477" s="10">
        <f t="shared" si="232"/>
        <v>2536.458202107794</v>
      </c>
    </row>
    <row r="1478" spans="1:39" x14ac:dyDescent="0.25">
      <c r="A1478" s="15">
        <v>72487214</v>
      </c>
      <c r="B1478" s="15">
        <v>339.74</v>
      </c>
      <c r="C1478" s="15">
        <v>251701</v>
      </c>
      <c r="D1478" s="15">
        <v>53562</v>
      </c>
      <c r="E1478" s="15" t="s">
        <v>376</v>
      </c>
      <c r="F1478" s="15">
        <v>2011</v>
      </c>
      <c r="G1478" s="15">
        <v>20110425</v>
      </c>
      <c r="H1478" s="15">
        <v>184610</v>
      </c>
      <c r="I1478" s="15">
        <v>18.46</v>
      </c>
      <c r="J1478" s="6" t="s">
        <v>58</v>
      </c>
      <c r="K1478" s="15">
        <v>230</v>
      </c>
      <c r="L1478" s="15" t="s">
        <v>120</v>
      </c>
      <c r="M1478" s="15" t="s">
        <v>5</v>
      </c>
      <c r="N1478" s="11" t="s">
        <v>1384</v>
      </c>
      <c r="O1478" s="11" t="s">
        <v>28</v>
      </c>
      <c r="P1478" s="11" t="s">
        <v>29</v>
      </c>
      <c r="Q1478" s="15">
        <v>95</v>
      </c>
      <c r="R1478" s="11" t="s">
        <v>3</v>
      </c>
      <c r="S1478" s="10">
        <v>205.81939178997999</v>
      </c>
      <c r="T1478" s="15">
        <v>80</v>
      </c>
      <c r="U1478" s="15">
        <v>1</v>
      </c>
      <c r="V1478" s="15">
        <v>0</v>
      </c>
      <c r="W1478" s="15">
        <v>0</v>
      </c>
      <c r="X1478" s="15">
        <f>IF(O1478='Udvaskning nøgletal'!$D$65,1,IF(O1478='Udvaskning nøgletal'!$D$66,2,IF(O1478='Udvaskning nøgletal'!$D$67,3,IF(O1478='Udvaskning nøgletal'!$D$68,2,""))))</f>
        <v>1</v>
      </c>
      <c r="Y1478" s="15">
        <f>LOOKUP(K1478,'Udvaskning nøgletal'!$C$12:$C$60,'Udvaskning nøgletal'!$H$12:$H$60)</f>
        <v>0</v>
      </c>
      <c r="Z1478" s="10">
        <f>IF(X1478=1,LOOKUP(K1478,'Udvaskning nøgletal'!$C$12:$C$60,'Udvaskning nøgletal'!$E$12:$E$60)+Markniveau!Y1478*Markniveau!S1478/100,IF(X1478=2,LOOKUP(K1478,'Udvaskning nøgletal'!$C$12:$C$60,'Udvaskning nøgletal'!$F$12:$F$60)+Markniveau!Y1478*Markniveau!S1478/100,IF(X1478=3,LOOKUP(K1478,'Udvaskning nøgletal'!$C$12:$C$60,'Udvaskning nøgletal'!G1488:G1536)+Markniveau!Y1478*Markniveau!S1478/100,"")))</f>
        <v>38.620385460262987</v>
      </c>
      <c r="AA1478" s="10">
        <f t="shared" si="236"/>
        <v>712.93231559645483</v>
      </c>
      <c r="AB1478" s="10">
        <f t="shared" si="235"/>
        <v>1.9310192730131492</v>
      </c>
      <c r="AC1478" s="10">
        <f t="shared" si="237"/>
        <v>35.646615779822739</v>
      </c>
      <c r="AD1478" s="10">
        <f>IF(AND(Q1478&gt;0,Q1478&lt;30,K1478&lt;8),Markniveau!Z1478*'Udvaskning nøgletal'!$I$12/100,IF(AND(Q1478&gt;0,Q1478&lt;30,K1478=216),Markniveau!Z1478*'Udvaskning nøgletal'!$I$34/100,Markniveau!Z1478))</f>
        <v>38.620385460262987</v>
      </c>
      <c r="AE1478" s="10">
        <f t="shared" si="233"/>
        <v>712.93231559645483</v>
      </c>
      <c r="AF1478" s="10">
        <f t="shared" si="238"/>
        <v>1.9310192730131492</v>
      </c>
      <c r="AG1478" s="10">
        <f t="shared" si="234"/>
        <v>35.646615779822739</v>
      </c>
      <c r="AH1478" s="10" t="str">
        <f>IF(AND(Q1478&gt;0,Q1478&lt;30,K1478=216),'Udvaskning nøgletal'!$C$42,IF(AND(Q1478&gt;0,Q1478&lt;30,K1478&gt;7,K1478&lt;17),'Udvaskning nøgletal'!$C$61,IF(AND(Q1478&gt;0,Q1478&lt;30,K1478&lt;7),'Udvaskning nøgletal'!$C$62,"")))</f>
        <v/>
      </c>
      <c r="AI1478" s="10">
        <f t="shared" si="230"/>
        <v>230</v>
      </c>
      <c r="AJ1478" s="10">
        <f>IF($X1478=1,LOOKUP(AI1478,'Udvaskning nøgletal'!$C$12:$C$62,'Udvaskning nøgletal'!$E$12:$E$62)+Markniveau!$Y1478*Markniveau!$S1478/100,IF($X1478=2,LOOKUP(AI1478,'Udvaskning nøgletal'!$C$12:$C$62,'Udvaskning nøgletal'!$F$12:$F$62)+Markniveau!$Y1478*Markniveau!$S1478/100,IF($X1478=3,LOOKUP(AI1478,'Udvaskning nøgletal'!$C$12:$C$62,'Udvaskning nøgletal'!Q1488:Q1538)+Markniveau!$Y1478*Markniveau!$S1478/100,"")))</f>
        <v>38.620385460262987</v>
      </c>
      <c r="AK1478" s="10">
        <f t="shared" si="239"/>
        <v>712.93231559645483</v>
      </c>
      <c r="AL1478" s="10">
        <f t="shared" si="231"/>
        <v>1.9310192730131492</v>
      </c>
      <c r="AM1478" s="10">
        <f t="shared" si="232"/>
        <v>35.646615779822739</v>
      </c>
    </row>
    <row r="1479" spans="1:39" x14ac:dyDescent="0.25">
      <c r="A1479" s="15">
        <v>72487214</v>
      </c>
      <c r="B1479" s="15">
        <v>339.74</v>
      </c>
      <c r="C1479" s="15">
        <v>253438</v>
      </c>
      <c r="D1479" s="15">
        <v>53562</v>
      </c>
      <c r="E1479" s="15" t="s">
        <v>1235</v>
      </c>
      <c r="F1479" s="15">
        <v>2011</v>
      </c>
      <c r="G1479" s="15">
        <v>20110425</v>
      </c>
      <c r="H1479" s="15">
        <v>23194</v>
      </c>
      <c r="I1479" s="15">
        <v>2.3199999999999998</v>
      </c>
      <c r="J1479" s="6" t="s">
        <v>143</v>
      </c>
      <c r="K1479" s="15">
        <v>230</v>
      </c>
      <c r="L1479" s="15" t="s">
        <v>120</v>
      </c>
      <c r="M1479" s="15" t="s">
        <v>5</v>
      </c>
      <c r="N1479" s="11" t="s">
        <v>1384</v>
      </c>
      <c r="O1479" s="11" t="s">
        <v>28</v>
      </c>
      <c r="P1479" s="11" t="s">
        <v>29</v>
      </c>
      <c r="Q1479" s="15">
        <v>95</v>
      </c>
      <c r="R1479" s="11" t="s">
        <v>3</v>
      </c>
      <c r="S1479" s="10">
        <v>205.81939178997999</v>
      </c>
      <c r="T1479" s="15">
        <v>80</v>
      </c>
      <c r="U1479" s="15">
        <v>1</v>
      </c>
      <c r="V1479" s="15">
        <v>0</v>
      </c>
      <c r="W1479" s="15">
        <v>0</v>
      </c>
      <c r="X1479" s="15">
        <f>IF(O1479='Udvaskning nøgletal'!$D$65,1,IF(O1479='Udvaskning nøgletal'!$D$66,2,IF(O1479='Udvaskning nøgletal'!$D$67,3,IF(O1479='Udvaskning nøgletal'!$D$68,2,""))))</f>
        <v>1</v>
      </c>
      <c r="Y1479" s="15">
        <f>LOOKUP(K1479,'Udvaskning nøgletal'!$C$12:$C$60,'Udvaskning nøgletal'!$H$12:$H$60)</f>
        <v>0</v>
      </c>
      <c r="Z1479" s="10">
        <f>IF(X1479=1,LOOKUP(K1479,'Udvaskning nøgletal'!$C$12:$C$60,'Udvaskning nøgletal'!$E$12:$E$60)+Markniveau!Y1479*Markniveau!S1479/100,IF(X1479=2,LOOKUP(K1479,'Udvaskning nøgletal'!$C$12:$C$60,'Udvaskning nøgletal'!$F$12:$F$60)+Markniveau!Y1479*Markniveau!S1479/100,IF(X1479=3,LOOKUP(K1479,'Udvaskning nøgletal'!$C$12:$C$60,'Udvaskning nøgletal'!G1489:G1537)+Markniveau!Y1479*Markniveau!S1479/100,"")))</f>
        <v>38.620385460262987</v>
      </c>
      <c r="AA1479" s="10">
        <f t="shared" si="236"/>
        <v>89.599294267810123</v>
      </c>
      <c r="AB1479" s="10">
        <f t="shared" si="235"/>
        <v>1.9310192730131492</v>
      </c>
      <c r="AC1479" s="10">
        <f t="shared" si="237"/>
        <v>4.4799647133905056</v>
      </c>
      <c r="AD1479" s="10">
        <f>IF(AND(Q1479&gt;0,Q1479&lt;30,K1479&lt;8),Markniveau!Z1479*'Udvaskning nøgletal'!$I$12/100,IF(AND(Q1479&gt;0,Q1479&lt;30,K1479=216),Markniveau!Z1479*'Udvaskning nøgletal'!$I$34/100,Markniveau!Z1479))</f>
        <v>38.620385460262987</v>
      </c>
      <c r="AE1479" s="10">
        <f t="shared" si="233"/>
        <v>89.599294267810123</v>
      </c>
      <c r="AF1479" s="10">
        <f t="shared" si="238"/>
        <v>1.9310192730131492</v>
      </c>
      <c r="AG1479" s="10">
        <f t="shared" si="234"/>
        <v>4.4799647133905056</v>
      </c>
      <c r="AH1479" s="10" t="str">
        <f>IF(AND(Q1479&gt;0,Q1479&lt;30,K1479=216),'Udvaskning nøgletal'!$C$42,IF(AND(Q1479&gt;0,Q1479&lt;30,K1479&gt;7,K1479&lt;17),'Udvaskning nøgletal'!$C$61,IF(AND(Q1479&gt;0,Q1479&lt;30,K1479&lt;7),'Udvaskning nøgletal'!$C$62,"")))</f>
        <v/>
      </c>
      <c r="AI1479" s="10">
        <f t="shared" si="230"/>
        <v>230</v>
      </c>
      <c r="AJ1479" s="10">
        <f>IF($X1479=1,LOOKUP(AI1479,'Udvaskning nøgletal'!$C$12:$C$62,'Udvaskning nøgletal'!$E$12:$E$62)+Markniveau!$Y1479*Markniveau!$S1479/100,IF($X1479=2,LOOKUP(AI1479,'Udvaskning nøgletal'!$C$12:$C$62,'Udvaskning nøgletal'!$F$12:$F$62)+Markniveau!$Y1479*Markniveau!$S1479/100,IF($X1479=3,LOOKUP(AI1479,'Udvaskning nøgletal'!$C$12:$C$62,'Udvaskning nøgletal'!Q1489:Q1539)+Markniveau!$Y1479*Markniveau!$S1479/100,"")))</f>
        <v>38.620385460262987</v>
      </c>
      <c r="AK1479" s="10">
        <f t="shared" si="239"/>
        <v>89.599294267810123</v>
      </c>
      <c r="AL1479" s="10">
        <f t="shared" si="231"/>
        <v>1.9310192730131492</v>
      </c>
      <c r="AM1479" s="10">
        <f t="shared" si="232"/>
        <v>4.4799647133905056</v>
      </c>
    </row>
    <row r="1480" spans="1:39" x14ac:dyDescent="0.25">
      <c r="A1480" s="15">
        <v>72487214</v>
      </c>
      <c r="B1480" s="15">
        <v>339.74</v>
      </c>
      <c r="C1480" s="15">
        <v>253570</v>
      </c>
      <c r="D1480" s="15">
        <v>53562</v>
      </c>
      <c r="E1480" s="15" t="s">
        <v>1236</v>
      </c>
      <c r="F1480" s="15">
        <v>2011</v>
      </c>
      <c r="G1480" s="15">
        <v>20110425</v>
      </c>
      <c r="H1480" s="15">
        <v>194069</v>
      </c>
      <c r="I1480" s="15">
        <v>19.41</v>
      </c>
      <c r="J1480" s="6" t="s">
        <v>134</v>
      </c>
      <c r="K1480" s="15">
        <v>15</v>
      </c>
      <c r="L1480" s="15" t="s">
        <v>362</v>
      </c>
      <c r="M1480" s="15" t="s">
        <v>5</v>
      </c>
      <c r="N1480" s="11" t="s">
        <v>1384</v>
      </c>
      <c r="O1480" s="11" t="s">
        <v>28</v>
      </c>
      <c r="P1480" s="11" t="s">
        <v>33</v>
      </c>
      <c r="Q1480" s="15">
        <v>0</v>
      </c>
      <c r="R1480" s="11" t="s">
        <v>1386</v>
      </c>
      <c r="S1480" s="10">
        <v>205.81939178997999</v>
      </c>
      <c r="T1480" s="15">
        <v>80</v>
      </c>
      <c r="U1480" s="15">
        <v>1</v>
      </c>
      <c r="V1480" s="15">
        <v>0</v>
      </c>
      <c r="W1480" s="15">
        <v>0</v>
      </c>
      <c r="X1480" s="15">
        <f>IF(O1480='Udvaskning nøgletal'!$D$65,1,IF(O1480='Udvaskning nøgletal'!$D$66,2,IF(O1480='Udvaskning nøgletal'!$D$67,3,IF(O1480='Udvaskning nøgletal'!$D$68,2,""))))</f>
        <v>1</v>
      </c>
      <c r="Y1480" s="15">
        <f>LOOKUP(K1480,'Udvaskning nøgletal'!$C$12:$C$60,'Udvaskning nøgletal'!$H$12:$H$60)</f>
        <v>5</v>
      </c>
      <c r="Z1480" s="10">
        <f>IF(X1480=1,LOOKUP(K1480,'Udvaskning nøgletal'!$C$12:$C$60,'Udvaskning nøgletal'!$E$12:$E$60)+Markniveau!Y1480*Markniveau!S1480/100,IF(X1480=2,LOOKUP(K1480,'Udvaskning nøgletal'!$C$12:$C$60,'Udvaskning nøgletal'!$F$12:$F$60)+Markniveau!Y1480*Markniveau!S1480/100,IF(X1480=3,LOOKUP(K1480,'Udvaskning nøgletal'!$C$12:$C$60,'Udvaskning nøgletal'!G1490:G1538)+Markniveau!Y1480*Markniveau!S1480/100,"")))</f>
        <v>74.950969589498996</v>
      </c>
      <c r="AA1480" s="10">
        <f t="shared" si="236"/>
        <v>1454.7983197321755</v>
      </c>
      <c r="AB1480" s="10" t="str">
        <f t="shared" si="235"/>
        <v/>
      </c>
      <c r="AC1480" s="10" t="str">
        <f t="shared" si="237"/>
        <v/>
      </c>
      <c r="AD1480" s="10">
        <f>IF(AND(Q1480&gt;0,Q1480&lt;30,K1480&lt;8),Markniveau!Z1480*'Udvaskning nøgletal'!$I$12/100,IF(AND(Q1480&gt;0,Q1480&lt;30,K1480=216),Markniveau!Z1480*'Udvaskning nøgletal'!$I$34/100,Markniveau!Z1480))</f>
        <v>74.950969589498996</v>
      </c>
      <c r="AE1480" s="10">
        <f t="shared" si="233"/>
        <v>1454.7983197321755</v>
      </c>
      <c r="AF1480" s="10" t="str">
        <f t="shared" si="238"/>
        <v/>
      </c>
      <c r="AG1480" s="10" t="str">
        <f t="shared" si="234"/>
        <v/>
      </c>
      <c r="AH1480" s="10" t="str">
        <f>IF(AND(Q1480&gt;0,Q1480&lt;30,K1480=216),'Udvaskning nøgletal'!$C$42,IF(AND(Q1480&gt;0,Q1480&lt;30,K1480&gt;7,K1480&lt;17),'Udvaskning nøgletal'!$C$61,IF(AND(Q1480&gt;0,Q1480&lt;30,K1480&lt;7),'Udvaskning nøgletal'!$C$62,"")))</f>
        <v/>
      </c>
      <c r="AI1480" s="10">
        <f t="shared" ref="AI1480:AI1543" si="240">IF(SUM(AH1480)&gt;0,AH1480,K1480)</f>
        <v>15</v>
      </c>
      <c r="AJ1480" s="10">
        <f>IF($X1480=1,LOOKUP(AI1480,'Udvaskning nøgletal'!$C$12:$C$62,'Udvaskning nøgletal'!$E$12:$E$62)+Markniveau!$Y1480*Markniveau!$S1480/100,IF($X1480=2,LOOKUP(AI1480,'Udvaskning nøgletal'!$C$12:$C$62,'Udvaskning nøgletal'!$F$12:$F$62)+Markniveau!$Y1480*Markniveau!$S1480/100,IF($X1480=3,LOOKUP(AI1480,'Udvaskning nøgletal'!$C$12:$C$62,'Udvaskning nøgletal'!Q1490:Q1540)+Markniveau!$Y1480*Markniveau!$S1480/100,"")))</f>
        <v>74.950969589498996</v>
      </c>
      <c r="AK1480" s="10">
        <f t="shared" si="239"/>
        <v>1454.7983197321755</v>
      </c>
      <c r="AL1480" s="10" t="str">
        <f t="shared" si="231"/>
        <v/>
      </c>
      <c r="AM1480" s="10" t="str">
        <f t="shared" si="232"/>
        <v/>
      </c>
    </row>
    <row r="1481" spans="1:39" x14ac:dyDescent="0.25">
      <c r="A1481" s="15">
        <v>72487214</v>
      </c>
      <c r="B1481" s="15">
        <v>339.74</v>
      </c>
      <c r="C1481" s="15">
        <v>292051</v>
      </c>
      <c r="D1481" s="15">
        <v>53562</v>
      </c>
      <c r="E1481" s="15" t="s">
        <v>103</v>
      </c>
      <c r="F1481" s="15">
        <v>2011</v>
      </c>
      <c r="G1481" s="15">
        <v>20110425</v>
      </c>
      <c r="H1481" s="15">
        <v>150107</v>
      </c>
      <c r="I1481" s="15">
        <v>15.01</v>
      </c>
      <c r="J1481" s="6" t="s">
        <v>31</v>
      </c>
      <c r="K1481" s="15">
        <v>216</v>
      </c>
      <c r="L1481" s="15" t="s">
        <v>116</v>
      </c>
      <c r="M1481" s="15" t="s">
        <v>5</v>
      </c>
      <c r="N1481" s="11" t="s">
        <v>1384</v>
      </c>
      <c r="O1481" s="11" t="s">
        <v>28</v>
      </c>
      <c r="P1481" s="11" t="s">
        <v>29</v>
      </c>
      <c r="Q1481" s="15">
        <v>40</v>
      </c>
      <c r="R1481" s="11" t="s">
        <v>6</v>
      </c>
      <c r="S1481" s="10">
        <v>205.81939178997999</v>
      </c>
      <c r="T1481" s="15">
        <v>80</v>
      </c>
      <c r="U1481" s="15">
        <v>1</v>
      </c>
      <c r="V1481" s="15">
        <v>0</v>
      </c>
      <c r="W1481" s="15">
        <v>0</v>
      </c>
      <c r="X1481" s="15">
        <f>IF(O1481='Udvaskning nøgletal'!$D$65,1,IF(O1481='Udvaskning nøgletal'!$D$66,2,IF(O1481='Udvaskning nøgletal'!$D$67,3,IF(O1481='Udvaskning nøgletal'!$D$68,2,""))))</f>
        <v>1</v>
      </c>
      <c r="Y1481" s="15">
        <f>LOOKUP(K1481,'Udvaskning nøgletal'!$C$12:$C$60,'Udvaskning nøgletal'!$H$12:$H$60)</f>
        <v>0</v>
      </c>
      <c r="Z1481" s="10">
        <f>IF(X1481=1,LOOKUP(K1481,'Udvaskning nøgletal'!$C$12:$C$60,'Udvaskning nøgletal'!$E$12:$E$60)+Markniveau!Y1481*Markniveau!S1481/100,IF(X1481=2,LOOKUP(K1481,'Udvaskning nøgletal'!$C$12:$C$60,'Udvaskning nøgletal'!$F$12:$F$60)+Markniveau!Y1481*Markniveau!S1481/100,IF(X1481=3,LOOKUP(K1481,'Udvaskning nøgletal'!$C$12:$C$60,'Udvaskning nøgletal'!G1491:G1539)+Markniveau!Y1481*Markniveau!S1481/100,"")))</f>
        <v>125.85383557148924</v>
      </c>
      <c r="AA1481" s="10">
        <f t="shared" si="236"/>
        <v>1889.0660719280536</v>
      </c>
      <c r="AB1481" s="10">
        <f t="shared" si="235"/>
        <v>75.512301342893537</v>
      </c>
      <c r="AC1481" s="10">
        <f t="shared" si="237"/>
        <v>1133.4396431568321</v>
      </c>
      <c r="AD1481" s="10">
        <f>IF(AND(Q1481&gt;0,Q1481&lt;30,K1481&lt;8),Markniveau!Z1481*'Udvaskning nøgletal'!$I$12/100,IF(AND(Q1481&gt;0,Q1481&lt;30,K1481=216),Markniveau!Z1481*'Udvaskning nøgletal'!$I$34/100,Markniveau!Z1481))</f>
        <v>125.85383557148924</v>
      </c>
      <c r="AE1481" s="10">
        <f t="shared" si="233"/>
        <v>1889.0660719280536</v>
      </c>
      <c r="AF1481" s="10">
        <f t="shared" si="238"/>
        <v>75.512301342893537</v>
      </c>
      <c r="AG1481" s="10">
        <f t="shared" si="234"/>
        <v>1133.4396431568321</v>
      </c>
      <c r="AH1481" s="10" t="str">
        <f>IF(AND(Q1481&gt;0,Q1481&lt;30,K1481=216),'Udvaskning nøgletal'!$C$42,IF(AND(Q1481&gt;0,Q1481&lt;30,K1481&gt;7,K1481&lt;17),'Udvaskning nøgletal'!$C$61,IF(AND(Q1481&gt;0,Q1481&lt;30,K1481&lt;7),'Udvaskning nøgletal'!$C$62,"")))</f>
        <v/>
      </c>
      <c r="AI1481" s="10">
        <f t="shared" si="240"/>
        <v>216</v>
      </c>
      <c r="AJ1481" s="10">
        <f>IF($X1481=1,LOOKUP(AI1481,'Udvaskning nøgletal'!$C$12:$C$62,'Udvaskning nøgletal'!$E$12:$E$62)+Markniveau!$Y1481*Markniveau!$S1481/100,IF($X1481=2,LOOKUP(AI1481,'Udvaskning nøgletal'!$C$12:$C$62,'Udvaskning nøgletal'!$F$12:$F$62)+Markniveau!$Y1481*Markniveau!$S1481/100,IF($X1481=3,LOOKUP(AI1481,'Udvaskning nøgletal'!$C$12:$C$62,'Udvaskning nøgletal'!Q1491:Q1541)+Markniveau!$Y1481*Markniveau!$S1481/100,"")))</f>
        <v>125.85383557148924</v>
      </c>
      <c r="AK1481" s="10">
        <f t="shared" si="239"/>
        <v>1889.0660719280536</v>
      </c>
      <c r="AL1481" s="10">
        <f t="shared" si="231"/>
        <v>75.512301342893537</v>
      </c>
      <c r="AM1481" s="10">
        <f t="shared" si="232"/>
        <v>1133.4396431568321</v>
      </c>
    </row>
    <row r="1482" spans="1:39" x14ac:dyDescent="0.25">
      <c r="A1482" s="15">
        <v>72487214</v>
      </c>
      <c r="B1482" s="15">
        <v>339.74</v>
      </c>
      <c r="C1482" s="15">
        <v>297688</v>
      </c>
      <c r="D1482" s="15">
        <v>53562</v>
      </c>
      <c r="E1482" s="15" t="s">
        <v>633</v>
      </c>
      <c r="F1482" s="15">
        <v>2011</v>
      </c>
      <c r="G1482" s="15">
        <v>20110425</v>
      </c>
      <c r="H1482" s="15">
        <v>26326</v>
      </c>
      <c r="I1482" s="15">
        <v>2.63</v>
      </c>
      <c r="J1482" s="6" t="s">
        <v>555</v>
      </c>
      <c r="K1482" s="15">
        <v>216</v>
      </c>
      <c r="L1482" s="15" t="s">
        <v>116</v>
      </c>
      <c r="M1482" s="15" t="s">
        <v>5</v>
      </c>
      <c r="N1482" s="11" t="s">
        <v>1384</v>
      </c>
      <c r="O1482" s="11" t="s">
        <v>28</v>
      </c>
      <c r="P1482" s="11" t="s">
        <v>33</v>
      </c>
      <c r="Q1482" s="15">
        <v>40</v>
      </c>
      <c r="R1482" s="11" t="s">
        <v>6</v>
      </c>
      <c r="S1482" s="10">
        <v>205.81939178997999</v>
      </c>
      <c r="T1482" s="15">
        <v>80</v>
      </c>
      <c r="U1482" s="15">
        <v>1</v>
      </c>
      <c r="V1482" s="15">
        <v>0</v>
      </c>
      <c r="W1482" s="15">
        <v>0</v>
      </c>
      <c r="X1482" s="15">
        <f>IF(O1482='Udvaskning nøgletal'!$D$65,1,IF(O1482='Udvaskning nøgletal'!$D$66,2,IF(O1482='Udvaskning nøgletal'!$D$67,3,IF(O1482='Udvaskning nøgletal'!$D$68,2,""))))</f>
        <v>1</v>
      </c>
      <c r="Y1482" s="15">
        <f>LOOKUP(K1482,'Udvaskning nøgletal'!$C$12:$C$60,'Udvaskning nøgletal'!$H$12:$H$60)</f>
        <v>0</v>
      </c>
      <c r="Z1482" s="10">
        <f>IF(X1482=1,LOOKUP(K1482,'Udvaskning nøgletal'!$C$12:$C$60,'Udvaskning nøgletal'!$E$12:$E$60)+Markniveau!Y1482*Markniveau!S1482/100,IF(X1482=2,LOOKUP(K1482,'Udvaskning nøgletal'!$C$12:$C$60,'Udvaskning nøgletal'!$F$12:$F$60)+Markniveau!Y1482*Markniveau!S1482/100,IF(X1482=3,LOOKUP(K1482,'Udvaskning nøgletal'!$C$12:$C$60,'Udvaskning nøgletal'!G1492:G1540)+Markniveau!Y1482*Markniveau!S1482/100,"")))</f>
        <v>125.85383557148924</v>
      </c>
      <c r="AA1482" s="10">
        <f t="shared" si="236"/>
        <v>330.99558755301672</v>
      </c>
      <c r="AB1482" s="10">
        <f t="shared" si="235"/>
        <v>75.512301342893537</v>
      </c>
      <c r="AC1482" s="10">
        <f t="shared" si="237"/>
        <v>198.59735253181</v>
      </c>
      <c r="AD1482" s="10">
        <f>IF(AND(Q1482&gt;0,Q1482&lt;30,K1482&lt;8),Markniveau!Z1482*'Udvaskning nøgletal'!$I$12/100,IF(AND(Q1482&gt;0,Q1482&lt;30,K1482=216),Markniveau!Z1482*'Udvaskning nøgletal'!$I$34/100,Markniveau!Z1482))</f>
        <v>125.85383557148924</v>
      </c>
      <c r="AE1482" s="10">
        <f t="shared" si="233"/>
        <v>330.99558755301672</v>
      </c>
      <c r="AF1482" s="10">
        <f t="shared" si="238"/>
        <v>75.512301342893537</v>
      </c>
      <c r="AG1482" s="10">
        <f t="shared" si="234"/>
        <v>198.59735253181</v>
      </c>
      <c r="AH1482" s="10" t="str">
        <f>IF(AND(Q1482&gt;0,Q1482&lt;30,K1482=216),'Udvaskning nøgletal'!$C$42,IF(AND(Q1482&gt;0,Q1482&lt;30,K1482&gt;7,K1482&lt;17),'Udvaskning nøgletal'!$C$61,IF(AND(Q1482&gt;0,Q1482&lt;30,K1482&lt;7),'Udvaskning nøgletal'!$C$62,"")))</f>
        <v/>
      </c>
      <c r="AI1482" s="10">
        <f t="shared" si="240"/>
        <v>216</v>
      </c>
      <c r="AJ1482" s="10">
        <f>IF($X1482=1,LOOKUP(AI1482,'Udvaskning nøgletal'!$C$12:$C$62,'Udvaskning nøgletal'!$E$12:$E$62)+Markniveau!$Y1482*Markniveau!$S1482/100,IF($X1482=2,LOOKUP(AI1482,'Udvaskning nøgletal'!$C$12:$C$62,'Udvaskning nøgletal'!$F$12:$F$62)+Markniveau!$Y1482*Markniveau!$S1482/100,IF($X1482=3,LOOKUP(AI1482,'Udvaskning nøgletal'!$C$12:$C$62,'Udvaskning nøgletal'!Q1492:Q1542)+Markniveau!$Y1482*Markniveau!$S1482/100,"")))</f>
        <v>125.85383557148924</v>
      </c>
      <c r="AK1482" s="10">
        <f t="shared" si="239"/>
        <v>330.99558755301672</v>
      </c>
      <c r="AL1482" s="10">
        <f t="shared" si="231"/>
        <v>75.512301342893537</v>
      </c>
      <c r="AM1482" s="10">
        <f t="shared" si="232"/>
        <v>198.59735253181</v>
      </c>
    </row>
    <row r="1483" spans="1:39" x14ac:dyDescent="0.25">
      <c r="A1483" s="15">
        <v>72487214</v>
      </c>
      <c r="B1483" s="15">
        <v>339.74</v>
      </c>
      <c r="C1483" s="15">
        <v>312676</v>
      </c>
      <c r="D1483" s="15">
        <v>53562</v>
      </c>
      <c r="E1483" s="15" t="s">
        <v>1237</v>
      </c>
      <c r="F1483" s="15">
        <v>2011</v>
      </c>
      <c r="G1483" s="15">
        <v>20110425</v>
      </c>
      <c r="H1483" s="15">
        <v>60236</v>
      </c>
      <c r="I1483" s="15">
        <v>6.02</v>
      </c>
      <c r="J1483" s="6" t="s">
        <v>728</v>
      </c>
      <c r="K1483" s="15">
        <v>216</v>
      </c>
      <c r="L1483" s="15" t="s">
        <v>116</v>
      </c>
      <c r="M1483" s="15" t="s">
        <v>5</v>
      </c>
      <c r="N1483" s="11" t="s">
        <v>1406</v>
      </c>
      <c r="O1483" s="11" t="s">
        <v>46</v>
      </c>
      <c r="P1483" s="11" t="s">
        <v>29</v>
      </c>
      <c r="Q1483" s="15">
        <v>2</v>
      </c>
      <c r="R1483" s="11" t="s">
        <v>11</v>
      </c>
      <c r="S1483" s="10">
        <v>205.81939178997999</v>
      </c>
      <c r="T1483" s="15">
        <v>80</v>
      </c>
      <c r="U1483" s="15">
        <v>1</v>
      </c>
      <c r="V1483" s="15">
        <v>0</v>
      </c>
      <c r="W1483" s="15">
        <v>0</v>
      </c>
      <c r="X1483" s="15">
        <f>IF(O1483='Udvaskning nøgletal'!$D$65,1,IF(O1483='Udvaskning nøgletal'!$D$66,2,IF(O1483='Udvaskning nøgletal'!$D$67,3,IF(O1483='Udvaskning nøgletal'!$D$68,2,""))))</f>
        <v>2</v>
      </c>
      <c r="Y1483" s="15">
        <f>LOOKUP(K1483,'Udvaskning nøgletal'!$C$12:$C$60,'Udvaskning nøgletal'!$H$12:$H$60)</f>
        <v>0</v>
      </c>
      <c r="Z1483" s="10">
        <f>IF(X1483=1,LOOKUP(K1483,'Udvaskning nøgletal'!$C$12:$C$60,'Udvaskning nøgletal'!$E$12:$E$60)+Markniveau!Y1483*Markniveau!S1483/100,IF(X1483=2,LOOKUP(K1483,'Udvaskning nøgletal'!$C$12:$C$60,'Udvaskning nøgletal'!$F$12:$F$60)+Markniveau!Y1483*Markniveau!S1483/100,IF(X1483=3,LOOKUP(K1483,'Udvaskning nøgletal'!$C$12:$C$60,'Udvaskning nøgletal'!G1493:G1541)+Markniveau!Y1483*Markniveau!S1483/100,"")))</f>
        <v>101.66744640811392</v>
      </c>
      <c r="AA1483" s="10">
        <f t="shared" si="236"/>
        <v>612.03802737684578</v>
      </c>
      <c r="AB1483" s="10">
        <f t="shared" si="235"/>
        <v>99.634097479951635</v>
      </c>
      <c r="AC1483" s="10">
        <f t="shared" si="237"/>
        <v>599.7972668293088</v>
      </c>
      <c r="AD1483" s="10">
        <f>IF(AND(Q1483&gt;0,Q1483&lt;30,K1483&lt;8),Markniveau!Z1483*'Udvaskning nøgletal'!$I$12/100,IF(AND(Q1483&gt;0,Q1483&lt;30,K1483=216),Markniveau!Z1483*'Udvaskning nøgletal'!$I$34/100,Markniveau!Z1483))</f>
        <v>71.167212485679741</v>
      </c>
      <c r="AE1483" s="10">
        <f t="shared" si="233"/>
        <v>428.426619163792</v>
      </c>
      <c r="AF1483" s="10">
        <f t="shared" si="238"/>
        <v>69.743868235966147</v>
      </c>
      <c r="AG1483" s="10">
        <f t="shared" si="234"/>
        <v>419.8580867805162</v>
      </c>
      <c r="AH1483" s="10">
        <f>IF(AND(Q1483&gt;0,Q1483&lt;30,K1483=216),'Udvaskning nøgletal'!$C$42,IF(AND(Q1483&gt;0,Q1483&lt;30,K1483&gt;7,K1483&lt;17),'Udvaskning nøgletal'!$C$61,IF(AND(Q1483&gt;0,Q1483&lt;30,K1483&lt;7),'Udvaskning nøgletal'!$C$62,"")))</f>
        <v>260</v>
      </c>
      <c r="AI1483" s="10">
        <f t="shared" si="240"/>
        <v>260</v>
      </c>
      <c r="AJ1483" s="10">
        <f>IF($X1483=1,LOOKUP(AI1483,'Udvaskning nøgletal'!$C$12:$C$62,'Udvaskning nøgletal'!$E$12:$E$62)+Markniveau!$Y1483*Markniveau!$S1483/100,IF($X1483=2,LOOKUP(AI1483,'Udvaskning nøgletal'!$C$12:$C$62,'Udvaskning nøgletal'!$F$12:$F$62)+Markniveau!$Y1483*Markniveau!$S1483/100,IF($X1483=3,LOOKUP(AI1483,'Udvaskning nøgletal'!$C$12:$C$62,'Udvaskning nøgletal'!Q1493:Q1543)+Markniveau!$Y1483*Markniveau!$S1483/100,"")))</f>
        <v>27.331185321443094</v>
      </c>
      <c r="AK1483" s="10">
        <f t="shared" si="239"/>
        <v>164.53373563508742</v>
      </c>
      <c r="AL1483" s="10">
        <f t="shared" ref="AL1483:AL1546" si="241">IF($Q1483&gt;0,(100-$Q1483)*AJ1483/100,"")</f>
        <v>26.78456161501423</v>
      </c>
      <c r="AM1483" s="10">
        <f t="shared" ref="AM1483:AM1546" si="242">IF($Q1483&gt;0,(100-$Q1483)*AJ1483/100*I1483,"")</f>
        <v>161.24306092238567</v>
      </c>
    </row>
    <row r="1484" spans="1:39" x14ac:dyDescent="0.25">
      <c r="A1484" s="15">
        <v>72487214</v>
      </c>
      <c r="B1484" s="15">
        <v>339.74</v>
      </c>
      <c r="C1484" s="15">
        <v>349334</v>
      </c>
      <c r="D1484" s="15">
        <v>53562</v>
      </c>
      <c r="E1484" s="15" t="s">
        <v>1214</v>
      </c>
      <c r="F1484" s="15">
        <v>2011</v>
      </c>
      <c r="G1484" s="15">
        <v>20110425</v>
      </c>
      <c r="H1484" s="15">
        <v>83348</v>
      </c>
      <c r="I1484" s="15">
        <v>8.33</v>
      </c>
      <c r="J1484" s="6" t="s">
        <v>37</v>
      </c>
      <c r="K1484" s="15">
        <v>230</v>
      </c>
      <c r="L1484" s="15" t="s">
        <v>120</v>
      </c>
      <c r="M1484" s="15" t="s">
        <v>5</v>
      </c>
      <c r="N1484" s="11" t="s">
        <v>1384</v>
      </c>
      <c r="O1484" s="11" t="s">
        <v>28</v>
      </c>
      <c r="P1484" s="11" t="s">
        <v>29</v>
      </c>
      <c r="Q1484" s="15">
        <v>40</v>
      </c>
      <c r="R1484" s="11" t="s">
        <v>6</v>
      </c>
      <c r="S1484" s="10">
        <v>205.81939178997999</v>
      </c>
      <c r="T1484" s="15">
        <v>80</v>
      </c>
      <c r="U1484" s="15">
        <v>1</v>
      </c>
      <c r="V1484" s="15">
        <v>0</v>
      </c>
      <c r="W1484" s="15">
        <v>0</v>
      </c>
      <c r="X1484" s="15">
        <f>IF(O1484='Udvaskning nøgletal'!$D$65,1,IF(O1484='Udvaskning nøgletal'!$D$66,2,IF(O1484='Udvaskning nøgletal'!$D$67,3,IF(O1484='Udvaskning nøgletal'!$D$68,2,""))))</f>
        <v>1</v>
      </c>
      <c r="Y1484" s="15">
        <f>LOOKUP(K1484,'Udvaskning nøgletal'!$C$12:$C$60,'Udvaskning nøgletal'!$H$12:$H$60)</f>
        <v>0</v>
      </c>
      <c r="Z1484" s="10">
        <f>IF(X1484=1,LOOKUP(K1484,'Udvaskning nøgletal'!$C$12:$C$60,'Udvaskning nøgletal'!$E$12:$E$60)+Markniveau!Y1484*Markniveau!S1484/100,IF(X1484=2,LOOKUP(K1484,'Udvaskning nøgletal'!$C$12:$C$60,'Udvaskning nøgletal'!$F$12:$F$60)+Markniveau!Y1484*Markniveau!S1484/100,IF(X1484=3,LOOKUP(K1484,'Udvaskning nøgletal'!$C$12:$C$60,'Udvaskning nøgletal'!G1494:G1542)+Markniveau!Y1484*Markniveau!S1484/100,"")))</f>
        <v>38.620385460262987</v>
      </c>
      <c r="AA1484" s="10">
        <f t="shared" si="236"/>
        <v>321.7078108839907</v>
      </c>
      <c r="AB1484" s="10">
        <f t="shared" si="235"/>
        <v>23.172231276157792</v>
      </c>
      <c r="AC1484" s="10">
        <f t="shared" si="237"/>
        <v>193.0246865303944</v>
      </c>
      <c r="AD1484" s="10">
        <f>IF(AND(Q1484&gt;0,Q1484&lt;30,K1484&lt;8),Markniveau!Z1484*'Udvaskning nøgletal'!$I$12/100,IF(AND(Q1484&gt;0,Q1484&lt;30,K1484=216),Markniveau!Z1484*'Udvaskning nøgletal'!$I$34/100,Markniveau!Z1484))</f>
        <v>38.620385460262987</v>
      </c>
      <c r="AE1484" s="10">
        <f t="shared" si="233"/>
        <v>321.7078108839907</v>
      </c>
      <c r="AF1484" s="10">
        <f t="shared" si="238"/>
        <v>23.172231276157792</v>
      </c>
      <c r="AG1484" s="10">
        <f t="shared" si="234"/>
        <v>193.0246865303944</v>
      </c>
      <c r="AH1484" s="10" t="str">
        <f>IF(AND(Q1484&gt;0,Q1484&lt;30,K1484=216),'Udvaskning nøgletal'!$C$42,IF(AND(Q1484&gt;0,Q1484&lt;30,K1484&gt;7,K1484&lt;17),'Udvaskning nøgletal'!$C$61,IF(AND(Q1484&gt;0,Q1484&lt;30,K1484&lt;7),'Udvaskning nøgletal'!$C$62,"")))</f>
        <v/>
      </c>
      <c r="AI1484" s="10">
        <f t="shared" si="240"/>
        <v>230</v>
      </c>
      <c r="AJ1484" s="10">
        <f>IF($X1484=1,LOOKUP(AI1484,'Udvaskning nøgletal'!$C$12:$C$62,'Udvaskning nøgletal'!$E$12:$E$62)+Markniveau!$Y1484*Markniveau!$S1484/100,IF($X1484=2,LOOKUP(AI1484,'Udvaskning nøgletal'!$C$12:$C$62,'Udvaskning nøgletal'!$F$12:$F$62)+Markniveau!$Y1484*Markniveau!$S1484/100,IF($X1484=3,LOOKUP(AI1484,'Udvaskning nøgletal'!$C$12:$C$62,'Udvaskning nøgletal'!Q1494:Q1544)+Markniveau!$Y1484*Markniveau!$S1484/100,"")))</f>
        <v>38.620385460262987</v>
      </c>
      <c r="AK1484" s="10">
        <f t="shared" si="239"/>
        <v>321.7078108839907</v>
      </c>
      <c r="AL1484" s="10">
        <f t="shared" si="241"/>
        <v>23.172231276157792</v>
      </c>
      <c r="AM1484" s="10">
        <f t="shared" si="242"/>
        <v>193.0246865303944</v>
      </c>
    </row>
    <row r="1485" spans="1:39" x14ac:dyDescent="0.25">
      <c r="A1485" s="15">
        <v>72487214</v>
      </c>
      <c r="B1485" s="15">
        <v>339.74</v>
      </c>
      <c r="C1485" s="15">
        <v>471477</v>
      </c>
      <c r="D1485" s="15">
        <v>53562</v>
      </c>
      <c r="E1485" s="15" t="s">
        <v>1238</v>
      </c>
      <c r="F1485" s="15">
        <v>2011</v>
      </c>
      <c r="G1485" s="15">
        <v>20110425</v>
      </c>
      <c r="H1485" s="15">
        <v>94530</v>
      </c>
      <c r="I1485" s="15">
        <v>9.4499999999999993</v>
      </c>
      <c r="J1485" s="6" t="s">
        <v>136</v>
      </c>
      <c r="K1485" s="15">
        <v>216</v>
      </c>
      <c r="L1485" s="15" t="s">
        <v>116</v>
      </c>
      <c r="M1485" s="15" t="s">
        <v>5</v>
      </c>
      <c r="N1485" s="11" t="s">
        <v>1384</v>
      </c>
      <c r="O1485" s="11" t="s">
        <v>28</v>
      </c>
      <c r="P1485" s="11" t="s">
        <v>33</v>
      </c>
      <c r="Q1485" s="15">
        <v>0</v>
      </c>
      <c r="R1485" s="11" t="s">
        <v>1386</v>
      </c>
      <c r="S1485" s="10">
        <v>205.81939178997999</v>
      </c>
      <c r="T1485" s="15">
        <v>80</v>
      </c>
      <c r="U1485" s="15">
        <v>1</v>
      </c>
      <c r="V1485" s="15">
        <v>0</v>
      </c>
      <c r="W1485" s="15">
        <v>0</v>
      </c>
      <c r="X1485" s="15">
        <f>IF(O1485='Udvaskning nøgletal'!$D$65,1,IF(O1485='Udvaskning nøgletal'!$D$66,2,IF(O1485='Udvaskning nøgletal'!$D$67,3,IF(O1485='Udvaskning nøgletal'!$D$68,2,""))))</f>
        <v>1</v>
      </c>
      <c r="Y1485" s="15">
        <f>LOOKUP(K1485,'Udvaskning nøgletal'!$C$12:$C$60,'Udvaskning nøgletal'!$H$12:$H$60)</f>
        <v>0</v>
      </c>
      <c r="Z1485" s="10">
        <f>IF(X1485=1,LOOKUP(K1485,'Udvaskning nøgletal'!$C$12:$C$60,'Udvaskning nøgletal'!$E$12:$E$60)+Markniveau!Y1485*Markniveau!S1485/100,IF(X1485=2,LOOKUP(K1485,'Udvaskning nøgletal'!$C$12:$C$60,'Udvaskning nøgletal'!$F$12:$F$60)+Markniveau!Y1485*Markniveau!S1485/100,IF(X1485=3,LOOKUP(K1485,'Udvaskning nøgletal'!$C$12:$C$60,'Udvaskning nøgletal'!G1495:G1543)+Markniveau!Y1485*Markniveau!S1485/100,"")))</f>
        <v>125.85383557148924</v>
      </c>
      <c r="AA1485" s="10">
        <f t="shared" si="236"/>
        <v>1189.3187461505731</v>
      </c>
      <c r="AB1485" s="10" t="str">
        <f t="shared" si="235"/>
        <v/>
      </c>
      <c r="AC1485" s="10" t="str">
        <f t="shared" si="237"/>
        <v/>
      </c>
      <c r="AD1485" s="10">
        <f>IF(AND(Q1485&gt;0,Q1485&lt;30,K1485&lt;8),Markniveau!Z1485*'Udvaskning nøgletal'!$I$12/100,IF(AND(Q1485&gt;0,Q1485&lt;30,K1485=216),Markniveau!Z1485*'Udvaskning nøgletal'!$I$34/100,Markniveau!Z1485))</f>
        <v>125.85383557148924</v>
      </c>
      <c r="AE1485" s="10">
        <f t="shared" si="233"/>
        <v>1189.3187461505731</v>
      </c>
      <c r="AF1485" s="10" t="str">
        <f t="shared" si="238"/>
        <v/>
      </c>
      <c r="AG1485" s="10" t="str">
        <f t="shared" si="234"/>
        <v/>
      </c>
      <c r="AH1485" s="10" t="str">
        <f>IF(AND(Q1485&gt;0,Q1485&lt;30,K1485=216),'Udvaskning nøgletal'!$C$42,IF(AND(Q1485&gt;0,Q1485&lt;30,K1485&gt;7,K1485&lt;17),'Udvaskning nøgletal'!$C$61,IF(AND(Q1485&gt;0,Q1485&lt;30,K1485&lt;7),'Udvaskning nøgletal'!$C$62,"")))</f>
        <v/>
      </c>
      <c r="AI1485" s="10">
        <f t="shared" si="240"/>
        <v>216</v>
      </c>
      <c r="AJ1485" s="10">
        <f>IF($X1485=1,LOOKUP(AI1485,'Udvaskning nøgletal'!$C$12:$C$62,'Udvaskning nøgletal'!$E$12:$E$62)+Markniveau!$Y1485*Markniveau!$S1485/100,IF($X1485=2,LOOKUP(AI1485,'Udvaskning nøgletal'!$C$12:$C$62,'Udvaskning nøgletal'!$F$12:$F$62)+Markniveau!$Y1485*Markniveau!$S1485/100,IF($X1485=3,LOOKUP(AI1485,'Udvaskning nøgletal'!$C$12:$C$62,'Udvaskning nøgletal'!Q1495:Q1545)+Markniveau!$Y1485*Markniveau!$S1485/100,"")))</f>
        <v>125.85383557148924</v>
      </c>
      <c r="AK1485" s="10">
        <f t="shared" si="239"/>
        <v>1189.3187461505731</v>
      </c>
      <c r="AL1485" s="10" t="str">
        <f t="shared" si="241"/>
        <v/>
      </c>
      <c r="AM1485" s="10" t="str">
        <f t="shared" si="242"/>
        <v/>
      </c>
    </row>
    <row r="1486" spans="1:39" x14ac:dyDescent="0.25">
      <c r="A1486" s="15">
        <v>72487214</v>
      </c>
      <c r="B1486" s="15">
        <v>339.74</v>
      </c>
      <c r="C1486" s="15">
        <v>472007</v>
      </c>
      <c r="D1486" s="15">
        <v>53562</v>
      </c>
      <c r="E1486" s="15" t="s">
        <v>1239</v>
      </c>
      <c r="F1486" s="15">
        <v>2011</v>
      </c>
      <c r="G1486" s="15">
        <v>20110425</v>
      </c>
      <c r="H1486" s="15">
        <v>82195</v>
      </c>
      <c r="I1486" s="15">
        <v>8.2200000000000006</v>
      </c>
      <c r="J1486" s="6" t="s">
        <v>66</v>
      </c>
      <c r="K1486" s="15">
        <v>15</v>
      </c>
      <c r="L1486" s="15" t="s">
        <v>362</v>
      </c>
      <c r="M1486" s="15" t="s">
        <v>5</v>
      </c>
      <c r="N1486" s="11" t="s">
        <v>1384</v>
      </c>
      <c r="O1486" s="11" t="s">
        <v>28</v>
      </c>
      <c r="P1486" s="11" t="s">
        <v>33</v>
      </c>
      <c r="Q1486" s="15">
        <v>0</v>
      </c>
      <c r="R1486" s="11" t="s">
        <v>1386</v>
      </c>
      <c r="S1486" s="10">
        <v>205.81939178997999</v>
      </c>
      <c r="T1486" s="15">
        <v>80</v>
      </c>
      <c r="U1486" s="15">
        <v>1</v>
      </c>
      <c r="V1486" s="15">
        <v>0</v>
      </c>
      <c r="W1486" s="15">
        <v>0</v>
      </c>
      <c r="X1486" s="15">
        <f>IF(O1486='Udvaskning nøgletal'!$D$65,1,IF(O1486='Udvaskning nøgletal'!$D$66,2,IF(O1486='Udvaskning nøgletal'!$D$67,3,IF(O1486='Udvaskning nøgletal'!$D$68,2,""))))</f>
        <v>1</v>
      </c>
      <c r="Y1486" s="15">
        <f>LOOKUP(K1486,'Udvaskning nøgletal'!$C$12:$C$60,'Udvaskning nøgletal'!$H$12:$H$60)</f>
        <v>5</v>
      </c>
      <c r="Z1486" s="10">
        <f>IF(X1486=1,LOOKUP(K1486,'Udvaskning nøgletal'!$C$12:$C$60,'Udvaskning nøgletal'!$E$12:$E$60)+Markniveau!Y1486*Markniveau!S1486/100,IF(X1486=2,LOOKUP(K1486,'Udvaskning nøgletal'!$C$12:$C$60,'Udvaskning nøgletal'!$F$12:$F$60)+Markniveau!Y1486*Markniveau!S1486/100,IF(X1486=3,LOOKUP(K1486,'Udvaskning nøgletal'!$C$12:$C$60,'Udvaskning nøgletal'!G1496:G1544)+Markniveau!Y1486*Markniveau!S1486/100,"")))</f>
        <v>74.950969589498996</v>
      </c>
      <c r="AA1486" s="10">
        <f t="shared" si="236"/>
        <v>616.0969700256818</v>
      </c>
      <c r="AB1486" s="10" t="str">
        <f t="shared" si="235"/>
        <v/>
      </c>
      <c r="AC1486" s="10" t="str">
        <f t="shared" si="237"/>
        <v/>
      </c>
      <c r="AD1486" s="10">
        <f>IF(AND(Q1486&gt;0,Q1486&lt;30,K1486&lt;8),Markniveau!Z1486*'Udvaskning nøgletal'!$I$12/100,IF(AND(Q1486&gt;0,Q1486&lt;30,K1486=216),Markniveau!Z1486*'Udvaskning nøgletal'!$I$34/100,Markniveau!Z1486))</f>
        <v>74.950969589498996</v>
      </c>
      <c r="AE1486" s="10">
        <f t="shared" si="233"/>
        <v>616.0969700256818</v>
      </c>
      <c r="AF1486" s="10" t="str">
        <f t="shared" si="238"/>
        <v/>
      </c>
      <c r="AG1486" s="10" t="str">
        <f t="shared" si="234"/>
        <v/>
      </c>
      <c r="AH1486" s="10" t="str">
        <f>IF(AND(Q1486&gt;0,Q1486&lt;30,K1486=216),'Udvaskning nøgletal'!$C$42,IF(AND(Q1486&gt;0,Q1486&lt;30,K1486&gt;7,K1486&lt;17),'Udvaskning nøgletal'!$C$61,IF(AND(Q1486&gt;0,Q1486&lt;30,K1486&lt;7),'Udvaskning nøgletal'!$C$62,"")))</f>
        <v/>
      </c>
      <c r="AI1486" s="10">
        <f t="shared" si="240"/>
        <v>15</v>
      </c>
      <c r="AJ1486" s="10">
        <f>IF($X1486=1,LOOKUP(AI1486,'Udvaskning nøgletal'!$C$12:$C$62,'Udvaskning nøgletal'!$E$12:$E$62)+Markniveau!$Y1486*Markniveau!$S1486/100,IF($X1486=2,LOOKUP(AI1486,'Udvaskning nøgletal'!$C$12:$C$62,'Udvaskning nøgletal'!$F$12:$F$62)+Markniveau!$Y1486*Markniveau!$S1486/100,IF($X1486=3,LOOKUP(AI1486,'Udvaskning nøgletal'!$C$12:$C$62,'Udvaskning nøgletal'!Q1496:Q1546)+Markniveau!$Y1486*Markniveau!$S1486/100,"")))</f>
        <v>74.950969589498996</v>
      </c>
      <c r="AK1486" s="10">
        <f t="shared" si="239"/>
        <v>616.0969700256818</v>
      </c>
      <c r="AL1486" s="10" t="str">
        <f t="shared" si="241"/>
        <v/>
      </c>
      <c r="AM1486" s="10" t="str">
        <f t="shared" si="242"/>
        <v/>
      </c>
    </row>
    <row r="1487" spans="1:39" x14ac:dyDescent="0.25">
      <c r="A1487" s="15">
        <v>72487214</v>
      </c>
      <c r="B1487" s="15">
        <v>339.74</v>
      </c>
      <c r="C1487" s="15">
        <v>585845</v>
      </c>
      <c r="D1487" s="15">
        <v>53562</v>
      </c>
      <c r="E1487" s="15" t="s">
        <v>1240</v>
      </c>
      <c r="F1487" s="15">
        <v>2011</v>
      </c>
      <c r="G1487" s="15">
        <v>20110425</v>
      </c>
      <c r="H1487" s="15">
        <v>173759</v>
      </c>
      <c r="I1487" s="15">
        <v>17.38</v>
      </c>
      <c r="J1487" s="6" t="s">
        <v>1023</v>
      </c>
      <c r="K1487" s="15">
        <v>216</v>
      </c>
      <c r="L1487" s="15" t="s">
        <v>116</v>
      </c>
      <c r="M1487" s="15" t="s">
        <v>5</v>
      </c>
      <c r="N1487" s="11" t="s">
        <v>1384</v>
      </c>
      <c r="O1487" s="11" t="s">
        <v>28</v>
      </c>
      <c r="P1487" s="11" t="s">
        <v>29</v>
      </c>
      <c r="Q1487" s="15">
        <v>95</v>
      </c>
      <c r="R1487" s="11" t="s">
        <v>3</v>
      </c>
      <c r="S1487" s="10">
        <v>205.81939178997999</v>
      </c>
      <c r="T1487" s="15">
        <v>80</v>
      </c>
      <c r="U1487" s="15">
        <v>1</v>
      </c>
      <c r="V1487" s="15">
        <v>0</v>
      </c>
      <c r="W1487" s="15">
        <v>0</v>
      </c>
      <c r="X1487" s="15">
        <f>IF(O1487='Udvaskning nøgletal'!$D$65,1,IF(O1487='Udvaskning nøgletal'!$D$66,2,IF(O1487='Udvaskning nøgletal'!$D$67,3,IF(O1487='Udvaskning nøgletal'!$D$68,2,""))))</f>
        <v>1</v>
      </c>
      <c r="Y1487" s="15">
        <f>LOOKUP(K1487,'Udvaskning nøgletal'!$C$12:$C$60,'Udvaskning nøgletal'!$H$12:$H$60)</f>
        <v>0</v>
      </c>
      <c r="Z1487" s="10">
        <f>IF(X1487=1,LOOKUP(K1487,'Udvaskning nøgletal'!$C$12:$C$60,'Udvaskning nøgletal'!$E$12:$E$60)+Markniveau!Y1487*Markniveau!S1487/100,IF(X1487=2,LOOKUP(K1487,'Udvaskning nøgletal'!$C$12:$C$60,'Udvaskning nøgletal'!$F$12:$F$60)+Markniveau!Y1487*Markniveau!S1487/100,IF(X1487=3,LOOKUP(K1487,'Udvaskning nøgletal'!$C$12:$C$60,'Udvaskning nøgletal'!G1497:G1545)+Markniveau!Y1487*Markniveau!S1487/100,"")))</f>
        <v>125.85383557148924</v>
      </c>
      <c r="AA1487" s="10">
        <f t="shared" si="236"/>
        <v>2187.3396622324831</v>
      </c>
      <c r="AB1487" s="10">
        <f t="shared" si="235"/>
        <v>6.2926917785744623</v>
      </c>
      <c r="AC1487" s="10">
        <f t="shared" si="237"/>
        <v>109.36698311162415</v>
      </c>
      <c r="AD1487" s="10">
        <f>IF(AND(Q1487&gt;0,Q1487&lt;30,K1487&lt;8),Markniveau!Z1487*'Udvaskning nøgletal'!$I$12/100,IF(AND(Q1487&gt;0,Q1487&lt;30,K1487=216),Markniveau!Z1487*'Udvaskning nøgletal'!$I$34/100,Markniveau!Z1487))</f>
        <v>125.85383557148924</v>
      </c>
      <c r="AE1487" s="10">
        <f t="shared" si="233"/>
        <v>2187.3396622324831</v>
      </c>
      <c r="AF1487" s="10">
        <f t="shared" si="238"/>
        <v>6.2926917785744623</v>
      </c>
      <c r="AG1487" s="10">
        <f t="shared" si="234"/>
        <v>109.36698311162415</v>
      </c>
      <c r="AH1487" s="10" t="str">
        <f>IF(AND(Q1487&gt;0,Q1487&lt;30,K1487=216),'Udvaskning nøgletal'!$C$42,IF(AND(Q1487&gt;0,Q1487&lt;30,K1487&gt;7,K1487&lt;17),'Udvaskning nøgletal'!$C$61,IF(AND(Q1487&gt;0,Q1487&lt;30,K1487&lt;7),'Udvaskning nøgletal'!$C$62,"")))</f>
        <v/>
      </c>
      <c r="AI1487" s="10">
        <f t="shared" si="240"/>
        <v>216</v>
      </c>
      <c r="AJ1487" s="10">
        <f>IF($X1487=1,LOOKUP(AI1487,'Udvaskning nøgletal'!$C$12:$C$62,'Udvaskning nøgletal'!$E$12:$E$62)+Markniveau!$Y1487*Markniveau!$S1487/100,IF($X1487=2,LOOKUP(AI1487,'Udvaskning nøgletal'!$C$12:$C$62,'Udvaskning nøgletal'!$F$12:$F$62)+Markniveau!$Y1487*Markniveau!$S1487/100,IF($X1487=3,LOOKUP(AI1487,'Udvaskning nøgletal'!$C$12:$C$62,'Udvaskning nøgletal'!Q1497:Q1547)+Markniveau!$Y1487*Markniveau!$S1487/100,"")))</f>
        <v>125.85383557148924</v>
      </c>
      <c r="AK1487" s="10">
        <f t="shared" si="239"/>
        <v>2187.3396622324831</v>
      </c>
      <c r="AL1487" s="10">
        <f t="shared" si="241"/>
        <v>6.2926917785744623</v>
      </c>
      <c r="AM1487" s="10">
        <f t="shared" si="242"/>
        <v>109.36698311162415</v>
      </c>
    </row>
    <row r="1488" spans="1:39" x14ac:dyDescent="0.25">
      <c r="A1488" s="15">
        <v>72487214</v>
      </c>
      <c r="B1488" s="15">
        <v>339.74</v>
      </c>
      <c r="C1488" s="15">
        <v>594026</v>
      </c>
      <c r="D1488" s="15">
        <v>53562</v>
      </c>
      <c r="E1488" s="15" t="s">
        <v>374</v>
      </c>
      <c r="F1488" s="15">
        <v>2011</v>
      </c>
      <c r="G1488" s="15">
        <v>20110425</v>
      </c>
      <c r="H1488" s="15">
        <v>156460</v>
      </c>
      <c r="I1488" s="15">
        <v>15.65</v>
      </c>
      <c r="J1488" s="6" t="s">
        <v>479</v>
      </c>
      <c r="K1488" s="15">
        <v>216</v>
      </c>
      <c r="L1488" s="15" t="s">
        <v>116</v>
      </c>
      <c r="M1488" s="15" t="s">
        <v>5</v>
      </c>
      <c r="N1488" s="11" t="s">
        <v>1406</v>
      </c>
      <c r="O1488" s="11" t="s">
        <v>46</v>
      </c>
      <c r="P1488" s="11" t="s">
        <v>33</v>
      </c>
      <c r="Q1488" s="15">
        <v>90</v>
      </c>
      <c r="R1488" s="11" t="s">
        <v>8</v>
      </c>
      <c r="S1488" s="10">
        <v>205.81939178997999</v>
      </c>
      <c r="T1488" s="15">
        <v>80</v>
      </c>
      <c r="U1488" s="15">
        <v>1</v>
      </c>
      <c r="V1488" s="15">
        <v>0</v>
      </c>
      <c r="W1488" s="15">
        <v>0</v>
      </c>
      <c r="X1488" s="15">
        <f>IF(O1488='Udvaskning nøgletal'!$D$65,1,IF(O1488='Udvaskning nøgletal'!$D$66,2,IF(O1488='Udvaskning nøgletal'!$D$67,3,IF(O1488='Udvaskning nøgletal'!$D$68,2,""))))</f>
        <v>2</v>
      </c>
      <c r="Y1488" s="15">
        <f>LOOKUP(K1488,'Udvaskning nøgletal'!$C$12:$C$60,'Udvaskning nøgletal'!$H$12:$H$60)</f>
        <v>0</v>
      </c>
      <c r="Z1488" s="10">
        <f>IF(X1488=1,LOOKUP(K1488,'Udvaskning nøgletal'!$C$12:$C$60,'Udvaskning nøgletal'!$E$12:$E$60)+Markniveau!Y1488*Markniveau!S1488/100,IF(X1488=2,LOOKUP(K1488,'Udvaskning nøgletal'!$C$12:$C$60,'Udvaskning nøgletal'!$F$12:$F$60)+Markniveau!Y1488*Markniveau!S1488/100,IF(X1488=3,LOOKUP(K1488,'Udvaskning nøgletal'!$C$12:$C$60,'Udvaskning nøgletal'!G1498:G1546)+Markniveau!Y1488*Markniveau!S1488/100,"")))</f>
        <v>101.66744640811392</v>
      </c>
      <c r="AA1488" s="10">
        <f t="shared" si="236"/>
        <v>1591.0955362869829</v>
      </c>
      <c r="AB1488" s="10">
        <f t="shared" si="235"/>
        <v>10.166744640811391</v>
      </c>
      <c r="AC1488" s="10">
        <f t="shared" si="237"/>
        <v>159.10955362869828</v>
      </c>
      <c r="AD1488" s="10">
        <f>IF(AND(Q1488&gt;0,Q1488&lt;30,K1488&lt;8),Markniveau!Z1488*'Udvaskning nøgletal'!$I$12/100,IF(AND(Q1488&gt;0,Q1488&lt;30,K1488=216),Markniveau!Z1488*'Udvaskning nøgletal'!$I$34/100,Markniveau!Z1488))</f>
        <v>101.66744640811392</v>
      </c>
      <c r="AE1488" s="10">
        <f t="shared" si="233"/>
        <v>1591.0955362869829</v>
      </c>
      <c r="AF1488" s="10">
        <f t="shared" si="238"/>
        <v>10.166744640811391</v>
      </c>
      <c r="AG1488" s="10">
        <f t="shared" si="234"/>
        <v>159.10955362869828</v>
      </c>
      <c r="AH1488" s="10" t="str">
        <f>IF(AND(Q1488&gt;0,Q1488&lt;30,K1488=216),'Udvaskning nøgletal'!$C$42,IF(AND(Q1488&gt;0,Q1488&lt;30,K1488&gt;7,K1488&lt;17),'Udvaskning nøgletal'!$C$61,IF(AND(Q1488&gt;0,Q1488&lt;30,K1488&lt;7),'Udvaskning nøgletal'!$C$62,"")))</f>
        <v/>
      </c>
      <c r="AI1488" s="10">
        <f t="shared" si="240"/>
        <v>216</v>
      </c>
      <c r="AJ1488" s="10">
        <f>IF($X1488=1,LOOKUP(AI1488,'Udvaskning nøgletal'!$C$12:$C$62,'Udvaskning nøgletal'!$E$12:$E$62)+Markniveau!$Y1488*Markniveau!$S1488/100,IF($X1488=2,LOOKUP(AI1488,'Udvaskning nøgletal'!$C$12:$C$62,'Udvaskning nøgletal'!$F$12:$F$62)+Markniveau!$Y1488*Markniveau!$S1488/100,IF($X1488=3,LOOKUP(AI1488,'Udvaskning nøgletal'!$C$12:$C$62,'Udvaskning nøgletal'!Q1498:Q1548)+Markniveau!$Y1488*Markniveau!$S1488/100,"")))</f>
        <v>101.66744640811392</v>
      </c>
      <c r="AK1488" s="10">
        <f t="shared" si="239"/>
        <v>1591.0955362869829</v>
      </c>
      <c r="AL1488" s="10">
        <f t="shared" si="241"/>
        <v>10.166744640811391</v>
      </c>
      <c r="AM1488" s="10">
        <f t="shared" si="242"/>
        <v>159.10955362869828</v>
      </c>
    </row>
    <row r="1489" spans="1:39" x14ac:dyDescent="0.25">
      <c r="A1489" s="15">
        <v>72487214</v>
      </c>
      <c r="B1489" s="15">
        <v>339.74</v>
      </c>
      <c r="C1489" s="15">
        <v>595699</v>
      </c>
      <c r="D1489" s="15">
        <v>53562</v>
      </c>
      <c r="E1489" s="15" t="s">
        <v>1226</v>
      </c>
      <c r="F1489" s="15">
        <v>2011</v>
      </c>
      <c r="G1489" s="15">
        <v>20110425</v>
      </c>
      <c r="H1489" s="15">
        <v>93622</v>
      </c>
      <c r="I1489" s="15">
        <v>9.36</v>
      </c>
      <c r="J1489" s="6" t="s">
        <v>144</v>
      </c>
      <c r="K1489" s="15">
        <v>230</v>
      </c>
      <c r="L1489" s="15" t="s">
        <v>120</v>
      </c>
      <c r="M1489" s="15" t="s">
        <v>5</v>
      </c>
      <c r="N1489" s="11" t="s">
        <v>1384</v>
      </c>
      <c r="O1489" s="11" t="s">
        <v>28</v>
      </c>
      <c r="P1489" s="11" t="s">
        <v>29</v>
      </c>
      <c r="Q1489" s="15">
        <v>95</v>
      </c>
      <c r="R1489" s="11" t="s">
        <v>3</v>
      </c>
      <c r="S1489" s="10">
        <v>205.81939178997999</v>
      </c>
      <c r="T1489" s="15">
        <v>80</v>
      </c>
      <c r="U1489" s="15">
        <v>1</v>
      </c>
      <c r="V1489" s="15">
        <v>0</v>
      </c>
      <c r="W1489" s="15">
        <v>0</v>
      </c>
      <c r="X1489" s="15">
        <f>IF(O1489='Udvaskning nøgletal'!$D$65,1,IF(O1489='Udvaskning nøgletal'!$D$66,2,IF(O1489='Udvaskning nøgletal'!$D$67,3,IF(O1489='Udvaskning nøgletal'!$D$68,2,""))))</f>
        <v>1</v>
      </c>
      <c r="Y1489" s="15">
        <f>LOOKUP(K1489,'Udvaskning nøgletal'!$C$12:$C$60,'Udvaskning nøgletal'!$H$12:$H$60)</f>
        <v>0</v>
      </c>
      <c r="Z1489" s="10">
        <f>IF(X1489=1,LOOKUP(K1489,'Udvaskning nøgletal'!$C$12:$C$60,'Udvaskning nøgletal'!$E$12:$E$60)+Markniveau!Y1489*Markniveau!S1489/100,IF(X1489=2,LOOKUP(K1489,'Udvaskning nøgletal'!$C$12:$C$60,'Udvaskning nøgletal'!$F$12:$F$60)+Markniveau!Y1489*Markniveau!S1489/100,IF(X1489=3,LOOKUP(K1489,'Udvaskning nøgletal'!$C$12:$C$60,'Udvaskning nøgletal'!G1499:G1547)+Markniveau!Y1489*Markniveau!S1489/100,"")))</f>
        <v>38.620385460262987</v>
      </c>
      <c r="AA1489" s="10">
        <f t="shared" si="236"/>
        <v>361.48680790806156</v>
      </c>
      <c r="AB1489" s="10">
        <f t="shared" si="235"/>
        <v>1.9310192730131492</v>
      </c>
      <c r="AC1489" s="10">
        <f t="shared" si="237"/>
        <v>18.074340395403077</v>
      </c>
      <c r="AD1489" s="10">
        <f>IF(AND(Q1489&gt;0,Q1489&lt;30,K1489&lt;8),Markniveau!Z1489*'Udvaskning nøgletal'!$I$12/100,IF(AND(Q1489&gt;0,Q1489&lt;30,K1489=216),Markniveau!Z1489*'Udvaskning nøgletal'!$I$34/100,Markniveau!Z1489))</f>
        <v>38.620385460262987</v>
      </c>
      <c r="AE1489" s="10">
        <f t="shared" ref="AE1489:AE1552" si="243">AD1489*I1489</f>
        <v>361.48680790806156</v>
      </c>
      <c r="AF1489" s="10">
        <f t="shared" si="238"/>
        <v>1.9310192730131492</v>
      </c>
      <c r="AG1489" s="10">
        <f t="shared" ref="AG1489:AG1552" si="244">IF($Q1489&gt;0,(100-$Q1489)*$AD1489/100*I1489,"")</f>
        <v>18.074340395403077</v>
      </c>
      <c r="AH1489" s="10" t="str">
        <f>IF(AND(Q1489&gt;0,Q1489&lt;30,K1489=216),'Udvaskning nøgletal'!$C$42,IF(AND(Q1489&gt;0,Q1489&lt;30,K1489&gt;7,K1489&lt;17),'Udvaskning nøgletal'!$C$61,IF(AND(Q1489&gt;0,Q1489&lt;30,K1489&lt;7),'Udvaskning nøgletal'!$C$62,"")))</f>
        <v/>
      </c>
      <c r="AI1489" s="10">
        <f t="shared" si="240"/>
        <v>230</v>
      </c>
      <c r="AJ1489" s="10">
        <f>IF($X1489=1,LOOKUP(AI1489,'Udvaskning nøgletal'!$C$12:$C$62,'Udvaskning nøgletal'!$E$12:$E$62)+Markniveau!$Y1489*Markniveau!$S1489/100,IF($X1489=2,LOOKUP(AI1489,'Udvaskning nøgletal'!$C$12:$C$62,'Udvaskning nøgletal'!$F$12:$F$62)+Markniveau!$Y1489*Markniveau!$S1489/100,IF($X1489=3,LOOKUP(AI1489,'Udvaskning nøgletal'!$C$12:$C$62,'Udvaskning nøgletal'!Q1499:Q1549)+Markniveau!$Y1489*Markniveau!$S1489/100,"")))</f>
        <v>38.620385460262987</v>
      </c>
      <c r="AK1489" s="10">
        <f t="shared" si="239"/>
        <v>361.48680790806156</v>
      </c>
      <c r="AL1489" s="10">
        <f t="shared" si="241"/>
        <v>1.9310192730131492</v>
      </c>
      <c r="AM1489" s="10">
        <f t="shared" si="242"/>
        <v>18.074340395403077</v>
      </c>
    </row>
    <row r="1490" spans="1:39" x14ac:dyDescent="0.25">
      <c r="A1490" s="15">
        <v>72487214</v>
      </c>
      <c r="B1490" s="15">
        <v>339.74</v>
      </c>
      <c r="C1490" s="15">
        <v>598321</v>
      </c>
      <c r="D1490" s="15">
        <v>53562</v>
      </c>
      <c r="E1490" s="15" t="s">
        <v>1241</v>
      </c>
      <c r="F1490" s="15">
        <v>2011</v>
      </c>
      <c r="G1490" s="15">
        <v>20110425</v>
      </c>
      <c r="H1490" s="15">
        <v>43324</v>
      </c>
      <c r="I1490" s="15">
        <v>4.33</v>
      </c>
      <c r="J1490" s="6" t="s">
        <v>76</v>
      </c>
      <c r="K1490" s="15">
        <v>216</v>
      </c>
      <c r="L1490" s="15" t="s">
        <v>116</v>
      </c>
      <c r="M1490" s="15" t="s">
        <v>5</v>
      </c>
      <c r="N1490" s="11" t="s">
        <v>1384</v>
      </c>
      <c r="O1490" s="11" t="s">
        <v>28</v>
      </c>
      <c r="P1490" s="11" t="s">
        <v>29</v>
      </c>
      <c r="Q1490" s="15">
        <v>95</v>
      </c>
      <c r="R1490" s="11" t="s">
        <v>3</v>
      </c>
      <c r="S1490" s="10">
        <v>205.81939178997999</v>
      </c>
      <c r="T1490" s="15">
        <v>80</v>
      </c>
      <c r="U1490" s="15">
        <v>1</v>
      </c>
      <c r="V1490" s="15">
        <v>0</v>
      </c>
      <c r="W1490" s="15">
        <v>0</v>
      </c>
      <c r="X1490" s="15">
        <f>IF(O1490='Udvaskning nøgletal'!$D$65,1,IF(O1490='Udvaskning nøgletal'!$D$66,2,IF(O1490='Udvaskning nøgletal'!$D$67,3,IF(O1490='Udvaskning nøgletal'!$D$68,2,""))))</f>
        <v>1</v>
      </c>
      <c r="Y1490" s="15">
        <f>LOOKUP(K1490,'Udvaskning nøgletal'!$C$12:$C$60,'Udvaskning nøgletal'!$H$12:$H$60)</f>
        <v>0</v>
      </c>
      <c r="Z1490" s="10">
        <f>IF(X1490=1,LOOKUP(K1490,'Udvaskning nøgletal'!$C$12:$C$60,'Udvaskning nøgletal'!$E$12:$E$60)+Markniveau!Y1490*Markniveau!S1490/100,IF(X1490=2,LOOKUP(K1490,'Udvaskning nøgletal'!$C$12:$C$60,'Udvaskning nøgletal'!$F$12:$F$60)+Markniveau!Y1490*Markniveau!S1490/100,IF(X1490=3,LOOKUP(K1490,'Udvaskning nøgletal'!$C$12:$C$60,'Udvaskning nøgletal'!G1500:G1548)+Markniveau!Y1490*Markniveau!S1490/100,"")))</f>
        <v>125.85383557148924</v>
      </c>
      <c r="AA1490" s="10">
        <f t="shared" si="236"/>
        <v>544.94710802454847</v>
      </c>
      <c r="AB1490" s="10">
        <f t="shared" si="235"/>
        <v>6.2926917785744623</v>
      </c>
      <c r="AC1490" s="10">
        <f t="shared" si="237"/>
        <v>27.247355401227423</v>
      </c>
      <c r="AD1490" s="10">
        <f>IF(AND(Q1490&gt;0,Q1490&lt;30,K1490&lt;8),Markniveau!Z1490*'Udvaskning nøgletal'!$I$12/100,IF(AND(Q1490&gt;0,Q1490&lt;30,K1490=216),Markniveau!Z1490*'Udvaskning nøgletal'!$I$34/100,Markniveau!Z1490))</f>
        <v>125.85383557148924</v>
      </c>
      <c r="AE1490" s="10">
        <f t="shared" si="243"/>
        <v>544.94710802454847</v>
      </c>
      <c r="AF1490" s="10">
        <f t="shared" si="238"/>
        <v>6.2926917785744623</v>
      </c>
      <c r="AG1490" s="10">
        <f t="shared" si="244"/>
        <v>27.247355401227423</v>
      </c>
      <c r="AH1490" s="10" t="str">
        <f>IF(AND(Q1490&gt;0,Q1490&lt;30,K1490=216),'Udvaskning nøgletal'!$C$42,IF(AND(Q1490&gt;0,Q1490&lt;30,K1490&gt;7,K1490&lt;17),'Udvaskning nøgletal'!$C$61,IF(AND(Q1490&gt;0,Q1490&lt;30,K1490&lt;7),'Udvaskning nøgletal'!$C$62,"")))</f>
        <v/>
      </c>
      <c r="AI1490" s="10">
        <f t="shared" si="240"/>
        <v>216</v>
      </c>
      <c r="AJ1490" s="10">
        <f>IF($X1490=1,LOOKUP(AI1490,'Udvaskning nøgletal'!$C$12:$C$62,'Udvaskning nøgletal'!$E$12:$E$62)+Markniveau!$Y1490*Markniveau!$S1490/100,IF($X1490=2,LOOKUP(AI1490,'Udvaskning nøgletal'!$C$12:$C$62,'Udvaskning nøgletal'!$F$12:$F$62)+Markniveau!$Y1490*Markniveau!$S1490/100,IF($X1490=3,LOOKUP(AI1490,'Udvaskning nøgletal'!$C$12:$C$62,'Udvaskning nøgletal'!Q1500:Q1550)+Markniveau!$Y1490*Markniveau!$S1490/100,"")))</f>
        <v>125.85383557148924</v>
      </c>
      <c r="AK1490" s="10">
        <f t="shared" si="239"/>
        <v>544.94710802454847</v>
      </c>
      <c r="AL1490" s="10">
        <f t="shared" si="241"/>
        <v>6.2926917785744623</v>
      </c>
      <c r="AM1490" s="10">
        <f t="shared" si="242"/>
        <v>27.247355401227423</v>
      </c>
    </row>
    <row r="1491" spans="1:39" x14ac:dyDescent="0.25">
      <c r="A1491" s="15">
        <v>72487214</v>
      </c>
      <c r="B1491" s="15">
        <v>339.74</v>
      </c>
      <c r="C1491" s="15">
        <v>616089</v>
      </c>
      <c r="D1491" s="15">
        <v>53562</v>
      </c>
      <c r="E1491" s="15" t="s">
        <v>1233</v>
      </c>
      <c r="F1491" s="15">
        <v>2011</v>
      </c>
      <c r="G1491" s="15">
        <v>20110425</v>
      </c>
      <c r="H1491" s="15">
        <v>25512</v>
      </c>
      <c r="I1491" s="15">
        <v>2.5499999999999998</v>
      </c>
      <c r="J1491" s="6" t="s">
        <v>498</v>
      </c>
      <c r="K1491" s="15">
        <v>583</v>
      </c>
      <c r="L1491" s="15" t="s">
        <v>154</v>
      </c>
      <c r="M1491" s="15" t="s">
        <v>155</v>
      </c>
      <c r="N1491" s="11" t="s">
        <v>1384</v>
      </c>
      <c r="O1491" s="11" t="s">
        <v>28</v>
      </c>
      <c r="P1491" s="11" t="s">
        <v>33</v>
      </c>
      <c r="Q1491" s="15">
        <v>0</v>
      </c>
      <c r="R1491" s="11" t="s">
        <v>1386</v>
      </c>
      <c r="S1491" s="10">
        <v>205.81939178997999</v>
      </c>
      <c r="T1491" s="15">
        <v>80</v>
      </c>
      <c r="U1491" s="15">
        <v>1</v>
      </c>
      <c r="V1491" s="15">
        <v>0</v>
      </c>
      <c r="W1491" s="15">
        <v>0</v>
      </c>
      <c r="X1491" s="15">
        <f>IF(O1491='Udvaskning nøgletal'!$D$65,1,IF(O1491='Udvaskning nøgletal'!$D$66,2,IF(O1491='Udvaskning nøgletal'!$D$67,3,IF(O1491='Udvaskning nøgletal'!$D$68,2,""))))</f>
        <v>1</v>
      </c>
      <c r="Y1491" s="15">
        <f>LOOKUP(K1491,'Udvaskning nøgletal'!$C$12:$C$60,'Udvaskning nøgletal'!$H$12:$H$60)</f>
        <v>0</v>
      </c>
      <c r="Z1491" s="10">
        <f>IF(X1491=1,LOOKUP(K1491,'Udvaskning nøgletal'!$C$12:$C$60,'Udvaskning nøgletal'!$E$12:$E$60)+Markniveau!Y1491*Markniveau!S1491/100,IF(X1491=2,LOOKUP(K1491,'Udvaskning nøgletal'!$C$12:$C$60,'Udvaskning nøgletal'!$F$12:$F$60)+Markniveau!Y1491*Markniveau!S1491/100,IF(X1491=3,LOOKUP(K1491,'Udvaskning nøgletal'!$C$12:$C$60,'Udvaskning nøgletal'!G1501:G1549)+Markniveau!Y1491*Markniveau!S1491/100,"")))</f>
        <v>10</v>
      </c>
      <c r="AA1491" s="10">
        <f t="shared" si="236"/>
        <v>25.5</v>
      </c>
      <c r="AB1491" s="10" t="str">
        <f t="shared" si="235"/>
        <v/>
      </c>
      <c r="AC1491" s="10" t="str">
        <f t="shared" si="237"/>
        <v/>
      </c>
      <c r="AD1491" s="10">
        <f>IF(AND(Q1491&gt;0,Q1491&lt;30,K1491&lt;8),Markniveau!Z1491*'Udvaskning nøgletal'!$I$12/100,IF(AND(Q1491&gt;0,Q1491&lt;30,K1491=216),Markniveau!Z1491*'Udvaskning nøgletal'!$I$34/100,Markniveau!Z1491))</f>
        <v>10</v>
      </c>
      <c r="AE1491" s="10">
        <f t="shared" si="243"/>
        <v>25.5</v>
      </c>
      <c r="AF1491" s="10" t="str">
        <f t="shared" si="238"/>
        <v/>
      </c>
      <c r="AG1491" s="10" t="str">
        <f t="shared" si="244"/>
        <v/>
      </c>
      <c r="AH1491" s="10" t="str">
        <f>IF(AND(Q1491&gt;0,Q1491&lt;30,K1491=216),'Udvaskning nøgletal'!$C$42,IF(AND(Q1491&gt;0,Q1491&lt;30,K1491&gt;7,K1491&lt;17),'Udvaskning nøgletal'!$C$61,IF(AND(Q1491&gt;0,Q1491&lt;30,K1491&lt;7),'Udvaskning nøgletal'!$C$62,"")))</f>
        <v/>
      </c>
      <c r="AI1491" s="10">
        <f t="shared" si="240"/>
        <v>583</v>
      </c>
      <c r="AJ1491" s="10">
        <f>IF($X1491=1,LOOKUP(AI1491,'Udvaskning nøgletal'!$C$12:$C$62,'Udvaskning nøgletal'!$E$12:$E$62)+Markniveau!$Y1491*Markniveau!$S1491/100,IF($X1491=2,LOOKUP(AI1491,'Udvaskning nøgletal'!$C$12:$C$62,'Udvaskning nøgletal'!$F$12:$F$62)+Markniveau!$Y1491*Markniveau!$S1491/100,IF($X1491=3,LOOKUP(AI1491,'Udvaskning nøgletal'!$C$12:$C$62,'Udvaskning nøgletal'!Q1501:Q1551)+Markniveau!$Y1491*Markniveau!$S1491/100,"")))</f>
        <v>10</v>
      </c>
      <c r="AK1491" s="10">
        <f t="shared" si="239"/>
        <v>25.5</v>
      </c>
      <c r="AL1491" s="10" t="str">
        <f t="shared" si="241"/>
        <v/>
      </c>
      <c r="AM1491" s="10" t="str">
        <f t="shared" si="242"/>
        <v/>
      </c>
    </row>
    <row r="1492" spans="1:39" x14ac:dyDescent="0.25">
      <c r="A1492" s="15">
        <v>72487214</v>
      </c>
      <c r="B1492" s="15">
        <v>339.74</v>
      </c>
      <c r="C1492" s="15">
        <v>27312</v>
      </c>
      <c r="D1492" s="15">
        <v>53562</v>
      </c>
      <c r="E1492" s="15" t="s">
        <v>300</v>
      </c>
      <c r="F1492" s="15">
        <v>2011</v>
      </c>
      <c r="G1492" s="15">
        <v>20110414</v>
      </c>
      <c r="H1492" s="15">
        <v>2711</v>
      </c>
      <c r="I1492" s="15">
        <v>0.27</v>
      </c>
      <c r="J1492" s="6" t="s">
        <v>833</v>
      </c>
      <c r="K1492" s="15">
        <v>252</v>
      </c>
      <c r="L1492" s="15" t="s">
        <v>41</v>
      </c>
      <c r="M1492" s="15" t="s">
        <v>4</v>
      </c>
      <c r="N1492" s="11" t="s">
        <v>1384</v>
      </c>
      <c r="O1492" s="11" t="s">
        <v>28</v>
      </c>
      <c r="P1492" s="11" t="s">
        <v>33</v>
      </c>
      <c r="Q1492" s="15">
        <v>90</v>
      </c>
      <c r="R1492" s="11" t="s">
        <v>8</v>
      </c>
      <c r="S1492" s="10">
        <v>205.81939178997999</v>
      </c>
      <c r="T1492" s="15">
        <v>80</v>
      </c>
      <c r="U1492" s="15">
        <v>1</v>
      </c>
      <c r="V1492" s="15">
        <v>0</v>
      </c>
      <c r="W1492" s="15">
        <v>0</v>
      </c>
      <c r="X1492" s="15">
        <f>IF(O1492='Udvaskning nøgletal'!$D$65,1,IF(O1492='Udvaskning nøgletal'!$D$66,2,IF(O1492='Udvaskning nøgletal'!$D$67,3,IF(O1492='Udvaskning nøgletal'!$D$68,2,""))))</f>
        <v>1</v>
      </c>
      <c r="Y1492" s="15">
        <f>LOOKUP(K1492,'Udvaskning nøgletal'!$C$12:$C$60,'Udvaskning nøgletal'!$H$12:$H$60)</f>
        <v>0</v>
      </c>
      <c r="Z1492" s="10">
        <f>IF(X1492=1,LOOKUP(K1492,'Udvaskning nøgletal'!$C$12:$C$60,'Udvaskning nøgletal'!$E$12:$E$60)+Markniveau!Y1492*Markniveau!S1492/100,IF(X1492=2,LOOKUP(K1492,'Udvaskning nøgletal'!$C$12:$C$60,'Udvaskning nøgletal'!$F$12:$F$60)+Markniveau!Y1492*Markniveau!S1492/100,IF(X1492=3,LOOKUP(K1492,'Udvaskning nøgletal'!$C$12:$C$60,'Udvaskning nøgletal'!G1502:G1550)+Markniveau!Y1492*Markniveau!S1492/100,"")))</f>
        <v>21.2</v>
      </c>
      <c r="AA1492" s="10">
        <f t="shared" si="236"/>
        <v>5.7240000000000002</v>
      </c>
      <c r="AB1492" s="10">
        <f t="shared" si="235"/>
        <v>2.12</v>
      </c>
      <c r="AC1492" s="10">
        <f t="shared" si="237"/>
        <v>0.57240000000000002</v>
      </c>
      <c r="AD1492" s="10">
        <f>IF(AND(Q1492&gt;0,Q1492&lt;30,K1492&lt;8),Markniveau!Z1492*'Udvaskning nøgletal'!$I$12/100,IF(AND(Q1492&gt;0,Q1492&lt;30,K1492=216),Markniveau!Z1492*'Udvaskning nøgletal'!$I$34/100,Markniveau!Z1492))</f>
        <v>21.2</v>
      </c>
      <c r="AE1492" s="10">
        <f t="shared" si="243"/>
        <v>5.7240000000000002</v>
      </c>
      <c r="AF1492" s="10">
        <f t="shared" si="238"/>
        <v>2.12</v>
      </c>
      <c r="AG1492" s="10">
        <f t="shared" si="244"/>
        <v>0.57240000000000002</v>
      </c>
      <c r="AH1492" s="10" t="str">
        <f>IF(AND(Q1492&gt;0,Q1492&lt;30,K1492=216),'Udvaskning nøgletal'!$C$42,IF(AND(Q1492&gt;0,Q1492&lt;30,K1492&gt;7,K1492&lt;17),'Udvaskning nøgletal'!$C$61,IF(AND(Q1492&gt;0,Q1492&lt;30,K1492&lt;7),'Udvaskning nøgletal'!$C$62,"")))</f>
        <v/>
      </c>
      <c r="AI1492" s="10">
        <f t="shared" si="240"/>
        <v>252</v>
      </c>
      <c r="AJ1492" s="10">
        <f>IF($X1492=1,LOOKUP(AI1492,'Udvaskning nøgletal'!$C$12:$C$62,'Udvaskning nøgletal'!$E$12:$E$62)+Markniveau!$Y1492*Markniveau!$S1492/100,IF($X1492=2,LOOKUP(AI1492,'Udvaskning nøgletal'!$C$12:$C$62,'Udvaskning nøgletal'!$F$12:$F$62)+Markniveau!$Y1492*Markniveau!$S1492/100,IF($X1492=3,LOOKUP(AI1492,'Udvaskning nøgletal'!$C$12:$C$62,'Udvaskning nøgletal'!Q1502:Q1552)+Markniveau!$Y1492*Markniveau!$S1492/100,"")))</f>
        <v>21.2</v>
      </c>
      <c r="AK1492" s="10">
        <f t="shared" si="239"/>
        <v>5.7240000000000002</v>
      </c>
      <c r="AL1492" s="10">
        <f t="shared" si="241"/>
        <v>2.12</v>
      </c>
      <c r="AM1492" s="10">
        <f t="shared" si="242"/>
        <v>0.57240000000000002</v>
      </c>
    </row>
    <row r="1493" spans="1:39" x14ac:dyDescent="0.25">
      <c r="A1493" s="15">
        <v>72487214</v>
      </c>
      <c r="B1493" s="15">
        <v>339.74</v>
      </c>
      <c r="C1493" s="15">
        <v>116060</v>
      </c>
      <c r="D1493" s="15">
        <v>53562</v>
      </c>
      <c r="E1493" s="15" t="s">
        <v>307</v>
      </c>
      <c r="F1493" s="15">
        <v>2011</v>
      </c>
      <c r="G1493" s="15">
        <v>20110425</v>
      </c>
      <c r="H1493" s="15">
        <v>20589</v>
      </c>
      <c r="I1493" s="15">
        <v>2.06</v>
      </c>
      <c r="J1493" s="6" t="s">
        <v>1530</v>
      </c>
      <c r="K1493" s="15">
        <v>230</v>
      </c>
      <c r="L1493" s="15" t="s">
        <v>120</v>
      </c>
      <c r="M1493" s="15" t="s">
        <v>5</v>
      </c>
      <c r="N1493" s="11" t="s">
        <v>1384</v>
      </c>
      <c r="O1493" s="11" t="s">
        <v>28</v>
      </c>
      <c r="P1493" s="11" t="s">
        <v>29</v>
      </c>
      <c r="Q1493" s="15">
        <v>1</v>
      </c>
      <c r="R1493" s="11" t="s">
        <v>11</v>
      </c>
      <c r="S1493" s="10">
        <v>205.81939178997999</v>
      </c>
      <c r="T1493" s="15">
        <v>80</v>
      </c>
      <c r="U1493" s="15">
        <v>1</v>
      </c>
      <c r="V1493" s="15">
        <v>0</v>
      </c>
      <c r="W1493" s="15">
        <v>0</v>
      </c>
      <c r="X1493" s="15">
        <f>IF(O1493='Udvaskning nøgletal'!$D$65,1,IF(O1493='Udvaskning nøgletal'!$D$66,2,IF(O1493='Udvaskning nøgletal'!$D$67,3,IF(O1493='Udvaskning nøgletal'!$D$68,2,""))))</f>
        <v>1</v>
      </c>
      <c r="Y1493" s="15">
        <f>LOOKUP(K1493,'Udvaskning nøgletal'!$C$12:$C$60,'Udvaskning nøgletal'!$H$12:$H$60)</f>
        <v>0</v>
      </c>
      <c r="Z1493" s="10">
        <f>IF(X1493=1,LOOKUP(K1493,'Udvaskning nøgletal'!$C$12:$C$60,'Udvaskning nøgletal'!$E$12:$E$60)+Markniveau!Y1493*Markniveau!S1493/100,IF(X1493=2,LOOKUP(K1493,'Udvaskning nøgletal'!$C$12:$C$60,'Udvaskning nøgletal'!$F$12:$F$60)+Markniveau!Y1493*Markniveau!S1493/100,IF(X1493=3,LOOKUP(K1493,'Udvaskning nøgletal'!$C$12:$C$60,'Udvaskning nøgletal'!G1503:G1551)+Markniveau!Y1493*Markniveau!S1493/100,"")))</f>
        <v>38.620385460262987</v>
      </c>
      <c r="AA1493" s="10">
        <f t="shared" si="236"/>
        <v>79.557994048141751</v>
      </c>
      <c r="AB1493" s="10">
        <f t="shared" si="235"/>
        <v>38.234181605660353</v>
      </c>
      <c r="AC1493" s="10">
        <f t="shared" si="237"/>
        <v>78.762414107660334</v>
      </c>
      <c r="AD1493" s="10">
        <f>IF(AND(Q1493&gt;0,Q1493&lt;30,K1493&lt;8),Markniveau!Z1493*'Udvaskning nøgletal'!$I$12/100,IF(AND(Q1493&gt;0,Q1493&lt;30,K1493=216),Markniveau!Z1493*'Udvaskning nøgletal'!$I$34/100,Markniveau!Z1493))</f>
        <v>38.620385460262987</v>
      </c>
      <c r="AE1493" s="10">
        <f t="shared" si="243"/>
        <v>79.557994048141751</v>
      </c>
      <c r="AF1493" s="10">
        <f t="shared" si="238"/>
        <v>38.234181605660353</v>
      </c>
      <c r="AG1493" s="10">
        <f t="shared" si="244"/>
        <v>78.762414107660334</v>
      </c>
      <c r="AH1493" s="10" t="str">
        <f>IF(AND(Q1493&gt;0,Q1493&lt;30,K1493=216),'Udvaskning nøgletal'!$C$42,IF(AND(Q1493&gt;0,Q1493&lt;30,K1493&gt;7,K1493&lt;17),'Udvaskning nøgletal'!$C$61,IF(AND(Q1493&gt;0,Q1493&lt;30,K1493&lt;7),'Udvaskning nøgletal'!$C$62,"")))</f>
        <v/>
      </c>
      <c r="AI1493" s="10">
        <f t="shared" si="240"/>
        <v>230</v>
      </c>
      <c r="AJ1493" s="10">
        <f>IF($X1493=1,LOOKUP(AI1493,'Udvaskning nøgletal'!$C$12:$C$62,'Udvaskning nøgletal'!$E$12:$E$62)+Markniveau!$Y1493*Markniveau!$S1493/100,IF($X1493=2,LOOKUP(AI1493,'Udvaskning nøgletal'!$C$12:$C$62,'Udvaskning nøgletal'!$F$12:$F$62)+Markniveau!$Y1493*Markniveau!$S1493/100,IF($X1493=3,LOOKUP(AI1493,'Udvaskning nøgletal'!$C$12:$C$62,'Udvaskning nøgletal'!Q1503:Q1553)+Markniveau!$Y1493*Markniveau!$S1493/100,"")))</f>
        <v>38.620385460262987</v>
      </c>
      <c r="AK1493" s="10">
        <f t="shared" si="239"/>
        <v>79.557994048141751</v>
      </c>
      <c r="AL1493" s="10">
        <f t="shared" si="241"/>
        <v>38.234181605660353</v>
      </c>
      <c r="AM1493" s="10">
        <f t="shared" si="242"/>
        <v>78.762414107660334</v>
      </c>
    </row>
    <row r="1494" spans="1:39" x14ac:dyDescent="0.25">
      <c r="A1494" s="15">
        <v>72827015</v>
      </c>
      <c r="B1494" s="15">
        <v>32.01</v>
      </c>
      <c r="C1494" s="15">
        <v>65168</v>
      </c>
      <c r="D1494" s="15">
        <v>17721</v>
      </c>
      <c r="E1494" s="15" t="s">
        <v>600</v>
      </c>
      <c r="F1494" s="15">
        <v>2011</v>
      </c>
      <c r="G1494" s="15">
        <v>20110408</v>
      </c>
      <c r="H1494" s="15">
        <v>23139</v>
      </c>
      <c r="I1494" s="15">
        <v>2.31</v>
      </c>
      <c r="J1494" s="6" t="s">
        <v>34</v>
      </c>
      <c r="K1494" s="15">
        <v>1</v>
      </c>
      <c r="L1494" s="15" t="s">
        <v>32</v>
      </c>
      <c r="M1494" s="15" t="s">
        <v>5</v>
      </c>
      <c r="N1494" s="11" t="s">
        <v>1384</v>
      </c>
      <c r="O1494" s="11" t="s">
        <v>28</v>
      </c>
      <c r="P1494" s="11" t="s">
        <v>29</v>
      </c>
      <c r="Q1494" s="15">
        <v>25</v>
      </c>
      <c r="R1494" s="11" t="s">
        <v>7</v>
      </c>
      <c r="S1494" s="10">
        <v>125.69505851756</v>
      </c>
      <c r="T1494" s="15">
        <v>80</v>
      </c>
      <c r="U1494" s="15">
        <v>0</v>
      </c>
      <c r="V1494" s="15">
        <v>0</v>
      </c>
      <c r="W1494" s="15">
        <v>0</v>
      </c>
      <c r="X1494" s="15">
        <f>IF(O1494='Udvaskning nøgletal'!$D$65,1,IF(O1494='Udvaskning nøgletal'!$D$66,2,IF(O1494='Udvaskning nøgletal'!$D$67,3,IF(O1494='Udvaskning nøgletal'!$D$68,2,""))))</f>
        <v>1</v>
      </c>
      <c r="Y1494" s="15">
        <f>LOOKUP(K1494,'Udvaskning nøgletal'!$C$12:$C$60,'Udvaskning nøgletal'!$H$12:$H$60)</f>
        <v>5</v>
      </c>
      <c r="Z1494" s="10">
        <f>IF(X1494=1,LOOKUP(K1494,'Udvaskning nøgletal'!$C$12:$C$60,'Udvaskning nøgletal'!$E$12:$E$60)+Markniveau!Y1494*Markniveau!S1494/100,IF(X1494=2,LOOKUP(K1494,'Udvaskning nøgletal'!$C$12:$C$60,'Udvaskning nøgletal'!$F$12:$F$60)+Markniveau!Y1494*Markniveau!S1494/100,IF(X1494=3,LOOKUP(K1494,'Udvaskning nøgletal'!$C$12:$C$60,'Udvaskning nøgletal'!G1504:G1552)+Markniveau!Y1494*Markniveau!S1494/100,"")))</f>
        <v>70.944752925877992</v>
      </c>
      <c r="AA1494" s="10">
        <f t="shared" si="236"/>
        <v>163.88237925877817</v>
      </c>
      <c r="AB1494" s="10">
        <f t="shared" si="235"/>
        <v>53.208564694408494</v>
      </c>
      <c r="AC1494" s="10">
        <f t="shared" si="237"/>
        <v>122.91178444408362</v>
      </c>
      <c r="AD1494" s="10">
        <f>IF(AND(Q1494&gt;0,Q1494&lt;30,K1494&lt;8),Markniveau!Z1494*'Udvaskning nøgletal'!$I$12/100,IF(AND(Q1494&gt;0,Q1494&lt;30,K1494=216),Markniveau!Z1494*'Udvaskning nøgletal'!$I$34/100,Markniveau!Z1494))</f>
        <v>35.472376462938996</v>
      </c>
      <c r="AE1494" s="10">
        <f t="shared" si="243"/>
        <v>81.941189629389086</v>
      </c>
      <c r="AF1494" s="10">
        <f t="shared" si="238"/>
        <v>26.604282347204247</v>
      </c>
      <c r="AG1494" s="10">
        <f t="shared" si="244"/>
        <v>61.455892222041811</v>
      </c>
      <c r="AH1494" s="10">
        <f>IF(AND(Q1494&gt;0,Q1494&lt;30,K1494=216),'Udvaskning nøgletal'!$C$42,IF(AND(Q1494&gt;0,Q1494&lt;30,K1494&gt;7,K1494&lt;17),'Udvaskning nøgletal'!$C$61,IF(AND(Q1494&gt;0,Q1494&lt;30,K1494&lt;7),'Udvaskning nøgletal'!$C$62,"")))</f>
        <v>1002</v>
      </c>
      <c r="AI1494" s="10">
        <f t="shared" si="240"/>
        <v>1002</v>
      </c>
      <c r="AJ1494" s="10">
        <f>IF($X1494=1,LOOKUP(AI1494,'Udvaskning nøgletal'!$C$12:$C$62,'Udvaskning nøgletal'!$E$12:$E$62)+Markniveau!$Y1494*Markniveau!$S1494/100,IF($X1494=2,LOOKUP(AI1494,'Udvaskning nøgletal'!$C$12:$C$62,'Udvaskning nøgletal'!$F$12:$F$62)+Markniveau!$Y1494*Markniveau!$S1494/100,IF($X1494=3,LOOKUP(AI1494,'Udvaskning nøgletal'!$C$12:$C$62,'Udvaskning nøgletal'!Q1504:Q1554)+Markniveau!$Y1494*Markniveau!$S1494/100,"")))</f>
        <v>36.784752925878003</v>
      </c>
      <c r="AK1494" s="10">
        <f t="shared" si="239"/>
        <v>84.972779258778189</v>
      </c>
      <c r="AL1494" s="10">
        <f t="shared" si="241"/>
        <v>27.5885646944085</v>
      </c>
      <c r="AM1494" s="10">
        <f t="shared" si="242"/>
        <v>63.729584444083635</v>
      </c>
    </row>
    <row r="1495" spans="1:39" x14ac:dyDescent="0.25">
      <c r="A1495" s="15">
        <v>72827015</v>
      </c>
      <c r="B1495" s="15">
        <v>32.01</v>
      </c>
      <c r="C1495" s="15">
        <v>72874</v>
      </c>
      <c r="D1495" s="15">
        <v>17721</v>
      </c>
      <c r="E1495" s="15" t="s">
        <v>609</v>
      </c>
      <c r="F1495" s="15">
        <v>2011</v>
      </c>
      <c r="G1495" s="15">
        <v>20110408</v>
      </c>
      <c r="H1495" s="15">
        <v>78583</v>
      </c>
      <c r="I1495" s="15">
        <v>7.86</v>
      </c>
      <c r="J1495" s="6" t="s">
        <v>97</v>
      </c>
      <c r="K1495" s="15">
        <v>1</v>
      </c>
      <c r="L1495" s="15" t="s">
        <v>32</v>
      </c>
      <c r="M1495" s="15" t="s">
        <v>5</v>
      </c>
      <c r="N1495" s="11" t="s">
        <v>1384</v>
      </c>
      <c r="O1495" s="11" t="s">
        <v>28</v>
      </c>
      <c r="P1495" s="11" t="s">
        <v>29</v>
      </c>
      <c r="Q1495" s="15">
        <v>95</v>
      </c>
      <c r="R1495" s="11" t="s">
        <v>3</v>
      </c>
      <c r="S1495" s="10">
        <v>125.69505851756</v>
      </c>
      <c r="T1495" s="15">
        <v>80</v>
      </c>
      <c r="U1495" s="15">
        <v>0</v>
      </c>
      <c r="V1495" s="15">
        <v>0</v>
      </c>
      <c r="W1495" s="15">
        <v>0</v>
      </c>
      <c r="X1495" s="15">
        <f>IF(O1495='Udvaskning nøgletal'!$D$65,1,IF(O1495='Udvaskning nøgletal'!$D$66,2,IF(O1495='Udvaskning nøgletal'!$D$67,3,IF(O1495='Udvaskning nøgletal'!$D$68,2,""))))</f>
        <v>1</v>
      </c>
      <c r="Y1495" s="15">
        <f>LOOKUP(K1495,'Udvaskning nøgletal'!$C$12:$C$60,'Udvaskning nøgletal'!$H$12:$H$60)</f>
        <v>5</v>
      </c>
      <c r="Z1495" s="10">
        <f>IF(X1495=1,LOOKUP(K1495,'Udvaskning nøgletal'!$C$12:$C$60,'Udvaskning nøgletal'!$E$12:$E$60)+Markniveau!Y1495*Markniveau!S1495/100,IF(X1495=2,LOOKUP(K1495,'Udvaskning nøgletal'!$C$12:$C$60,'Udvaskning nøgletal'!$F$12:$F$60)+Markniveau!Y1495*Markniveau!S1495/100,IF(X1495=3,LOOKUP(K1495,'Udvaskning nøgletal'!$C$12:$C$60,'Udvaskning nøgletal'!G1505:G1553)+Markniveau!Y1495*Markniveau!S1495/100,"")))</f>
        <v>70.944752925877992</v>
      </c>
      <c r="AA1495" s="10">
        <f t="shared" si="236"/>
        <v>557.62575799740102</v>
      </c>
      <c r="AB1495" s="10">
        <f t="shared" si="235"/>
        <v>3.5472376462938997</v>
      </c>
      <c r="AC1495" s="10">
        <f t="shared" si="237"/>
        <v>27.881287899870053</v>
      </c>
      <c r="AD1495" s="10">
        <f>IF(AND(Q1495&gt;0,Q1495&lt;30,K1495&lt;8),Markniveau!Z1495*'Udvaskning nøgletal'!$I$12/100,IF(AND(Q1495&gt;0,Q1495&lt;30,K1495=216),Markniveau!Z1495*'Udvaskning nøgletal'!$I$34/100,Markniveau!Z1495))</f>
        <v>70.944752925877992</v>
      </c>
      <c r="AE1495" s="10">
        <f t="shared" si="243"/>
        <v>557.62575799740102</v>
      </c>
      <c r="AF1495" s="10">
        <f t="shared" si="238"/>
        <v>3.5472376462938997</v>
      </c>
      <c r="AG1495" s="10">
        <f t="shared" si="244"/>
        <v>27.881287899870053</v>
      </c>
      <c r="AH1495" s="10" t="str">
        <f>IF(AND(Q1495&gt;0,Q1495&lt;30,K1495=216),'Udvaskning nøgletal'!$C$42,IF(AND(Q1495&gt;0,Q1495&lt;30,K1495&gt;7,K1495&lt;17),'Udvaskning nøgletal'!$C$61,IF(AND(Q1495&gt;0,Q1495&lt;30,K1495&lt;7),'Udvaskning nøgletal'!$C$62,"")))</f>
        <v/>
      </c>
      <c r="AI1495" s="10">
        <f t="shared" si="240"/>
        <v>1</v>
      </c>
      <c r="AJ1495" s="10">
        <f>IF($X1495=1,LOOKUP(AI1495,'Udvaskning nøgletal'!$C$12:$C$62,'Udvaskning nøgletal'!$E$12:$E$62)+Markniveau!$Y1495*Markniveau!$S1495/100,IF($X1495=2,LOOKUP(AI1495,'Udvaskning nøgletal'!$C$12:$C$62,'Udvaskning nøgletal'!$F$12:$F$62)+Markniveau!$Y1495*Markniveau!$S1495/100,IF($X1495=3,LOOKUP(AI1495,'Udvaskning nøgletal'!$C$12:$C$62,'Udvaskning nøgletal'!Q1505:Q1555)+Markniveau!$Y1495*Markniveau!$S1495/100,"")))</f>
        <v>70.944752925877992</v>
      </c>
      <c r="AK1495" s="10">
        <f t="shared" si="239"/>
        <v>557.62575799740102</v>
      </c>
      <c r="AL1495" s="10">
        <f t="shared" si="241"/>
        <v>3.5472376462938997</v>
      </c>
      <c r="AM1495" s="10">
        <f t="shared" si="242"/>
        <v>27.881287899870053</v>
      </c>
    </row>
    <row r="1496" spans="1:39" x14ac:dyDescent="0.25">
      <c r="A1496" s="15">
        <v>72827015</v>
      </c>
      <c r="B1496" s="15">
        <v>32.01</v>
      </c>
      <c r="C1496" s="15">
        <v>72875</v>
      </c>
      <c r="D1496" s="15">
        <v>17721</v>
      </c>
      <c r="E1496" s="15" t="s">
        <v>1242</v>
      </c>
      <c r="F1496" s="15">
        <v>2011</v>
      </c>
      <c r="G1496" s="15">
        <v>20110408</v>
      </c>
      <c r="H1496" s="15">
        <v>35438</v>
      </c>
      <c r="I1496" s="15">
        <v>3.54</v>
      </c>
      <c r="J1496" s="6" t="s">
        <v>36</v>
      </c>
      <c r="K1496" s="15">
        <v>1</v>
      </c>
      <c r="L1496" s="15" t="s">
        <v>32</v>
      </c>
      <c r="M1496" s="15" t="s">
        <v>5</v>
      </c>
      <c r="N1496" s="11" t="s">
        <v>1384</v>
      </c>
      <c r="O1496" s="11" t="s">
        <v>28</v>
      </c>
      <c r="P1496" s="11" t="s">
        <v>29</v>
      </c>
      <c r="Q1496" s="15">
        <v>25</v>
      </c>
      <c r="R1496" s="11" t="s">
        <v>7</v>
      </c>
      <c r="S1496" s="10">
        <v>125.69505851756</v>
      </c>
      <c r="T1496" s="15">
        <v>80</v>
      </c>
      <c r="U1496" s="15">
        <v>0</v>
      </c>
      <c r="V1496" s="15">
        <v>0</v>
      </c>
      <c r="W1496" s="15">
        <v>0</v>
      </c>
      <c r="X1496" s="15">
        <f>IF(O1496='Udvaskning nøgletal'!$D$65,1,IF(O1496='Udvaskning nøgletal'!$D$66,2,IF(O1496='Udvaskning nøgletal'!$D$67,3,IF(O1496='Udvaskning nøgletal'!$D$68,2,""))))</f>
        <v>1</v>
      </c>
      <c r="Y1496" s="15">
        <f>LOOKUP(K1496,'Udvaskning nøgletal'!$C$12:$C$60,'Udvaskning nøgletal'!$H$12:$H$60)</f>
        <v>5</v>
      </c>
      <c r="Z1496" s="10">
        <f>IF(X1496=1,LOOKUP(K1496,'Udvaskning nøgletal'!$C$12:$C$60,'Udvaskning nøgletal'!$E$12:$E$60)+Markniveau!Y1496*Markniveau!S1496/100,IF(X1496=2,LOOKUP(K1496,'Udvaskning nøgletal'!$C$12:$C$60,'Udvaskning nøgletal'!$F$12:$F$60)+Markniveau!Y1496*Markniveau!S1496/100,IF(X1496=3,LOOKUP(K1496,'Udvaskning nøgletal'!$C$12:$C$60,'Udvaskning nøgletal'!G1506:G1554)+Markniveau!Y1496*Markniveau!S1496/100,"")))</f>
        <v>70.944752925877992</v>
      </c>
      <c r="AA1496" s="10">
        <f t="shared" si="236"/>
        <v>251.1444253576081</v>
      </c>
      <c r="AB1496" s="10">
        <f t="shared" si="235"/>
        <v>53.208564694408494</v>
      </c>
      <c r="AC1496" s="10">
        <f t="shared" si="237"/>
        <v>188.35831901820606</v>
      </c>
      <c r="AD1496" s="10">
        <f>IF(AND(Q1496&gt;0,Q1496&lt;30,K1496&lt;8),Markniveau!Z1496*'Udvaskning nøgletal'!$I$12/100,IF(AND(Q1496&gt;0,Q1496&lt;30,K1496=216),Markniveau!Z1496*'Udvaskning nøgletal'!$I$34/100,Markniveau!Z1496))</f>
        <v>35.472376462938996</v>
      </c>
      <c r="AE1496" s="10">
        <f t="shared" si="243"/>
        <v>125.57221267880405</v>
      </c>
      <c r="AF1496" s="10">
        <f t="shared" si="238"/>
        <v>26.604282347204247</v>
      </c>
      <c r="AG1496" s="10">
        <f t="shared" si="244"/>
        <v>94.17915950910303</v>
      </c>
      <c r="AH1496" s="10">
        <f>IF(AND(Q1496&gt;0,Q1496&lt;30,K1496=216),'Udvaskning nøgletal'!$C$42,IF(AND(Q1496&gt;0,Q1496&lt;30,K1496&gt;7,K1496&lt;17),'Udvaskning nøgletal'!$C$61,IF(AND(Q1496&gt;0,Q1496&lt;30,K1496&lt;7),'Udvaskning nøgletal'!$C$62,"")))</f>
        <v>1002</v>
      </c>
      <c r="AI1496" s="10">
        <f t="shared" si="240"/>
        <v>1002</v>
      </c>
      <c r="AJ1496" s="10">
        <f>IF($X1496=1,LOOKUP(AI1496,'Udvaskning nøgletal'!$C$12:$C$62,'Udvaskning nøgletal'!$E$12:$E$62)+Markniveau!$Y1496*Markniveau!$S1496/100,IF($X1496=2,LOOKUP(AI1496,'Udvaskning nøgletal'!$C$12:$C$62,'Udvaskning nøgletal'!$F$12:$F$62)+Markniveau!$Y1496*Markniveau!$S1496/100,IF($X1496=3,LOOKUP(AI1496,'Udvaskning nøgletal'!$C$12:$C$62,'Udvaskning nøgletal'!Q1506:Q1556)+Markniveau!$Y1496*Markniveau!$S1496/100,"")))</f>
        <v>36.784752925878003</v>
      </c>
      <c r="AK1496" s="10">
        <f t="shared" si="239"/>
        <v>130.21802535760813</v>
      </c>
      <c r="AL1496" s="10">
        <f t="shared" si="241"/>
        <v>27.5885646944085</v>
      </c>
      <c r="AM1496" s="10">
        <f t="shared" si="242"/>
        <v>97.663519018206088</v>
      </c>
    </row>
    <row r="1497" spans="1:39" x14ac:dyDescent="0.25">
      <c r="A1497" s="15">
        <v>72827015</v>
      </c>
      <c r="B1497" s="15">
        <v>32.01</v>
      </c>
      <c r="C1497" s="15">
        <v>72876</v>
      </c>
      <c r="D1497" s="15">
        <v>17721</v>
      </c>
      <c r="E1497" s="15" t="s">
        <v>1242</v>
      </c>
      <c r="F1497" s="15">
        <v>2011</v>
      </c>
      <c r="G1497" s="15">
        <v>20110408</v>
      </c>
      <c r="H1497" s="15">
        <v>14299</v>
      </c>
      <c r="I1497" s="15">
        <v>1.43</v>
      </c>
      <c r="J1497" s="6" t="s">
        <v>1400</v>
      </c>
      <c r="K1497" s="15">
        <v>263</v>
      </c>
      <c r="L1497" s="15" t="s">
        <v>39</v>
      </c>
      <c r="M1497" s="15" t="s">
        <v>5</v>
      </c>
      <c r="N1497" s="11" t="s">
        <v>1384</v>
      </c>
      <c r="O1497" s="11" t="s">
        <v>28</v>
      </c>
      <c r="P1497" s="11" t="s">
        <v>29</v>
      </c>
      <c r="Q1497" s="15">
        <v>25</v>
      </c>
      <c r="R1497" s="11" t="s">
        <v>7</v>
      </c>
      <c r="S1497" s="10">
        <v>125.69505851756</v>
      </c>
      <c r="T1497" s="15">
        <v>80</v>
      </c>
      <c r="U1497" s="15">
        <v>0</v>
      </c>
      <c r="V1497" s="15">
        <v>0</v>
      </c>
      <c r="W1497" s="15">
        <v>0</v>
      </c>
      <c r="X1497" s="15">
        <f>IF(O1497='Udvaskning nøgletal'!$D$65,1,IF(O1497='Udvaskning nøgletal'!$D$66,2,IF(O1497='Udvaskning nøgletal'!$D$67,3,IF(O1497='Udvaskning nøgletal'!$D$68,2,""))))</f>
        <v>1</v>
      </c>
      <c r="Y1497" s="15">
        <f>LOOKUP(K1497,'Udvaskning nøgletal'!$C$12:$C$60,'Udvaskning nøgletal'!$H$12:$H$60)</f>
        <v>0</v>
      </c>
      <c r="Z1497" s="10">
        <f>IF(X1497=1,LOOKUP(K1497,'Udvaskning nøgletal'!$C$12:$C$60,'Udvaskning nøgletal'!$E$12:$E$60)+Markniveau!Y1497*Markniveau!S1497/100,IF(X1497=2,LOOKUP(K1497,'Udvaskning nøgletal'!$C$12:$C$60,'Udvaskning nøgletal'!$F$12:$F$60)+Markniveau!Y1497*Markniveau!S1497/100,IF(X1497=3,LOOKUP(K1497,'Udvaskning nøgletal'!$C$12:$C$60,'Udvaskning nøgletal'!G1507:G1555)+Markniveau!Y1497*Markniveau!S1497/100,"")))</f>
        <v>33.723295792149436</v>
      </c>
      <c r="AA1497" s="10">
        <f t="shared" si="236"/>
        <v>48.224312982773689</v>
      </c>
      <c r="AB1497" s="10">
        <f t="shared" si="235"/>
        <v>25.292471844112079</v>
      </c>
      <c r="AC1497" s="10">
        <f t="shared" si="237"/>
        <v>36.168234737080269</v>
      </c>
      <c r="AD1497" s="10">
        <f>IF(AND(Q1497&gt;0,Q1497&lt;30,K1497&lt;8),Markniveau!Z1497*'Udvaskning nøgletal'!$I$12/100,IF(AND(Q1497&gt;0,Q1497&lt;30,K1497=216),Markniveau!Z1497*'Udvaskning nøgletal'!$I$34/100,Markniveau!Z1497))</f>
        <v>33.723295792149436</v>
      </c>
      <c r="AE1497" s="10">
        <f t="shared" si="243"/>
        <v>48.224312982773689</v>
      </c>
      <c r="AF1497" s="10">
        <f t="shared" si="238"/>
        <v>25.292471844112079</v>
      </c>
      <c r="AG1497" s="10">
        <f t="shared" si="244"/>
        <v>36.168234737080269</v>
      </c>
      <c r="AH1497" s="10" t="str">
        <f>IF(AND(Q1497&gt;0,Q1497&lt;30,K1497=216),'Udvaskning nøgletal'!$C$42,IF(AND(Q1497&gt;0,Q1497&lt;30,K1497&gt;7,K1497&lt;17),'Udvaskning nøgletal'!$C$61,IF(AND(Q1497&gt;0,Q1497&lt;30,K1497&lt;7),'Udvaskning nøgletal'!$C$62,"")))</f>
        <v/>
      </c>
      <c r="AI1497" s="10">
        <f t="shared" si="240"/>
        <v>263</v>
      </c>
      <c r="AJ1497" s="10">
        <f>IF($X1497=1,LOOKUP(AI1497,'Udvaskning nøgletal'!$C$12:$C$62,'Udvaskning nøgletal'!$E$12:$E$62)+Markniveau!$Y1497*Markniveau!$S1497/100,IF($X1497=2,LOOKUP(AI1497,'Udvaskning nøgletal'!$C$12:$C$62,'Udvaskning nøgletal'!$F$12:$F$62)+Markniveau!$Y1497*Markniveau!$S1497/100,IF($X1497=3,LOOKUP(AI1497,'Udvaskning nøgletal'!$C$12:$C$62,'Udvaskning nøgletal'!Q1507:Q1557)+Markniveau!$Y1497*Markniveau!$S1497/100,"")))</f>
        <v>33.723295792149436</v>
      </c>
      <c r="AK1497" s="10">
        <f t="shared" si="239"/>
        <v>48.224312982773689</v>
      </c>
      <c r="AL1497" s="10">
        <f t="shared" si="241"/>
        <v>25.292471844112079</v>
      </c>
      <c r="AM1497" s="10">
        <f t="shared" si="242"/>
        <v>36.168234737080269</v>
      </c>
    </row>
    <row r="1498" spans="1:39" x14ac:dyDescent="0.25">
      <c r="A1498" s="15">
        <v>72827015</v>
      </c>
      <c r="B1498" s="15">
        <v>32.01</v>
      </c>
      <c r="C1498" s="15">
        <v>72878</v>
      </c>
      <c r="D1498" s="15">
        <v>17721</v>
      </c>
      <c r="E1498" s="15" t="s">
        <v>1243</v>
      </c>
      <c r="F1498" s="15">
        <v>2011</v>
      </c>
      <c r="G1498" s="15">
        <v>20110408</v>
      </c>
      <c r="H1498" s="15">
        <v>12181</v>
      </c>
      <c r="I1498" s="15">
        <v>1.22</v>
      </c>
      <c r="J1498" s="6" t="s">
        <v>1437</v>
      </c>
      <c r="K1498" s="15">
        <v>260</v>
      </c>
      <c r="L1498" s="15" t="s">
        <v>45</v>
      </c>
      <c r="M1498" s="15" t="s">
        <v>5</v>
      </c>
      <c r="N1498" s="11" t="s">
        <v>1384</v>
      </c>
      <c r="O1498" s="11" t="s">
        <v>28</v>
      </c>
      <c r="P1498" s="11" t="s">
        <v>29</v>
      </c>
      <c r="Q1498" s="15">
        <v>1</v>
      </c>
      <c r="R1498" s="11" t="s">
        <v>11</v>
      </c>
      <c r="S1498" s="10">
        <v>125.69505851756</v>
      </c>
      <c r="T1498" s="15">
        <v>80</v>
      </c>
      <c r="U1498" s="15">
        <v>0</v>
      </c>
      <c r="V1498" s="15">
        <v>0</v>
      </c>
      <c r="W1498" s="15">
        <v>0</v>
      </c>
      <c r="X1498" s="15">
        <f>IF(O1498='Udvaskning nøgletal'!$D$65,1,IF(O1498='Udvaskning nøgletal'!$D$66,2,IF(O1498='Udvaskning nøgletal'!$D$67,3,IF(O1498='Udvaskning nøgletal'!$D$68,2,""))))</f>
        <v>1</v>
      </c>
      <c r="Y1498" s="15">
        <f>LOOKUP(K1498,'Udvaskning nøgletal'!$C$12:$C$60,'Udvaskning nøgletal'!$H$12:$H$60)</f>
        <v>0</v>
      </c>
      <c r="Z1498" s="10">
        <f>IF(X1498=1,LOOKUP(K1498,'Udvaskning nøgletal'!$C$12:$C$60,'Udvaskning nøgletal'!$E$12:$E$60)+Markniveau!Y1498*Markniveau!S1498/100,IF(X1498=2,LOOKUP(K1498,'Udvaskning nøgletal'!$C$12:$C$60,'Udvaskning nøgletal'!$F$12:$F$60)+Markniveau!Y1498*Markniveau!S1498/100,IF(X1498=3,LOOKUP(K1498,'Udvaskning nøgletal'!$C$12:$C$60,'Udvaskning nøgletal'!G1508:G1556)+Markniveau!Y1498*Markniveau!S1498/100,"")))</f>
        <v>33.723295792149436</v>
      </c>
      <c r="AA1498" s="10">
        <f t="shared" si="236"/>
        <v>41.142420866422313</v>
      </c>
      <c r="AB1498" s="10">
        <f t="shared" si="235"/>
        <v>33.386062834227943</v>
      </c>
      <c r="AC1498" s="10">
        <f t="shared" si="237"/>
        <v>40.730996657758091</v>
      </c>
      <c r="AD1498" s="10">
        <f>IF(AND(Q1498&gt;0,Q1498&lt;30,K1498&lt;8),Markniveau!Z1498*'Udvaskning nøgletal'!$I$12/100,IF(AND(Q1498&gt;0,Q1498&lt;30,K1498=216),Markniveau!Z1498*'Udvaskning nøgletal'!$I$34/100,Markniveau!Z1498))</f>
        <v>33.723295792149436</v>
      </c>
      <c r="AE1498" s="10">
        <f t="shared" si="243"/>
        <v>41.142420866422313</v>
      </c>
      <c r="AF1498" s="10">
        <f t="shared" si="238"/>
        <v>33.386062834227943</v>
      </c>
      <c r="AG1498" s="10">
        <f t="shared" si="244"/>
        <v>40.730996657758091</v>
      </c>
      <c r="AH1498" s="10" t="str">
        <f>IF(AND(Q1498&gt;0,Q1498&lt;30,K1498=216),'Udvaskning nøgletal'!$C$42,IF(AND(Q1498&gt;0,Q1498&lt;30,K1498&gt;7,K1498&lt;17),'Udvaskning nøgletal'!$C$61,IF(AND(Q1498&gt;0,Q1498&lt;30,K1498&lt;7),'Udvaskning nøgletal'!$C$62,"")))</f>
        <v/>
      </c>
      <c r="AI1498" s="10">
        <f t="shared" si="240"/>
        <v>260</v>
      </c>
      <c r="AJ1498" s="10">
        <f>IF($X1498=1,LOOKUP(AI1498,'Udvaskning nøgletal'!$C$12:$C$62,'Udvaskning nøgletal'!$E$12:$E$62)+Markniveau!$Y1498*Markniveau!$S1498/100,IF($X1498=2,LOOKUP(AI1498,'Udvaskning nøgletal'!$C$12:$C$62,'Udvaskning nøgletal'!$F$12:$F$62)+Markniveau!$Y1498*Markniveau!$S1498/100,IF($X1498=3,LOOKUP(AI1498,'Udvaskning nøgletal'!$C$12:$C$62,'Udvaskning nøgletal'!Q1508:Q1558)+Markniveau!$Y1498*Markniveau!$S1498/100,"")))</f>
        <v>33.723295792149436</v>
      </c>
      <c r="AK1498" s="10">
        <f t="shared" si="239"/>
        <v>41.142420866422313</v>
      </c>
      <c r="AL1498" s="10">
        <f t="shared" si="241"/>
        <v>33.386062834227943</v>
      </c>
      <c r="AM1498" s="10">
        <f t="shared" si="242"/>
        <v>40.730996657758091</v>
      </c>
    </row>
    <row r="1499" spans="1:39" x14ac:dyDescent="0.25">
      <c r="A1499" s="15">
        <v>72827015</v>
      </c>
      <c r="B1499" s="15">
        <v>32.01</v>
      </c>
      <c r="C1499" s="15">
        <v>73825</v>
      </c>
      <c r="D1499" s="15">
        <v>17721</v>
      </c>
      <c r="E1499" s="15" t="s">
        <v>659</v>
      </c>
      <c r="F1499" s="15">
        <v>2011</v>
      </c>
      <c r="G1499" s="15">
        <v>20110408</v>
      </c>
      <c r="H1499" s="15">
        <v>21561</v>
      </c>
      <c r="I1499" s="15">
        <v>2.16</v>
      </c>
      <c r="J1499" s="6" t="s">
        <v>1465</v>
      </c>
      <c r="K1499" s="15">
        <v>263</v>
      </c>
      <c r="L1499" s="15" t="s">
        <v>39</v>
      </c>
      <c r="M1499" s="15" t="s">
        <v>5</v>
      </c>
      <c r="N1499" s="11" t="s">
        <v>1384</v>
      </c>
      <c r="O1499" s="11" t="s">
        <v>28</v>
      </c>
      <c r="P1499" s="11" t="s">
        <v>29</v>
      </c>
      <c r="Q1499" s="15">
        <v>40</v>
      </c>
      <c r="R1499" s="11" t="s">
        <v>6</v>
      </c>
      <c r="S1499" s="10">
        <v>125.69505851756</v>
      </c>
      <c r="T1499" s="15">
        <v>80</v>
      </c>
      <c r="U1499" s="15">
        <v>0</v>
      </c>
      <c r="V1499" s="15">
        <v>0</v>
      </c>
      <c r="W1499" s="15">
        <v>0</v>
      </c>
      <c r="X1499" s="15">
        <f>IF(O1499='Udvaskning nøgletal'!$D$65,1,IF(O1499='Udvaskning nøgletal'!$D$66,2,IF(O1499='Udvaskning nøgletal'!$D$67,3,IF(O1499='Udvaskning nøgletal'!$D$68,2,""))))</f>
        <v>1</v>
      </c>
      <c r="Y1499" s="15">
        <f>LOOKUP(K1499,'Udvaskning nøgletal'!$C$12:$C$60,'Udvaskning nøgletal'!$H$12:$H$60)</f>
        <v>0</v>
      </c>
      <c r="Z1499" s="10">
        <f>IF(X1499=1,LOOKUP(K1499,'Udvaskning nøgletal'!$C$12:$C$60,'Udvaskning nøgletal'!$E$12:$E$60)+Markniveau!Y1499*Markniveau!S1499/100,IF(X1499=2,LOOKUP(K1499,'Udvaskning nøgletal'!$C$12:$C$60,'Udvaskning nøgletal'!$F$12:$F$60)+Markniveau!Y1499*Markniveau!S1499/100,IF(X1499=3,LOOKUP(K1499,'Udvaskning nøgletal'!$C$12:$C$60,'Udvaskning nøgletal'!G1509:G1557)+Markniveau!Y1499*Markniveau!S1499/100,"")))</f>
        <v>33.723295792149436</v>
      </c>
      <c r="AA1499" s="10">
        <f t="shared" si="236"/>
        <v>72.842318911042781</v>
      </c>
      <c r="AB1499" s="10">
        <f t="shared" si="235"/>
        <v>20.233977475289663</v>
      </c>
      <c r="AC1499" s="10">
        <f t="shared" si="237"/>
        <v>43.705391346625674</v>
      </c>
      <c r="AD1499" s="10">
        <f>IF(AND(Q1499&gt;0,Q1499&lt;30,K1499&lt;8),Markniveau!Z1499*'Udvaskning nøgletal'!$I$12/100,IF(AND(Q1499&gt;0,Q1499&lt;30,K1499=216),Markniveau!Z1499*'Udvaskning nøgletal'!$I$34/100,Markniveau!Z1499))</f>
        <v>33.723295792149436</v>
      </c>
      <c r="AE1499" s="10">
        <f t="shared" si="243"/>
        <v>72.842318911042781</v>
      </c>
      <c r="AF1499" s="10">
        <f t="shared" si="238"/>
        <v>20.233977475289663</v>
      </c>
      <c r="AG1499" s="10">
        <f t="shared" si="244"/>
        <v>43.705391346625674</v>
      </c>
      <c r="AH1499" s="10" t="str">
        <f>IF(AND(Q1499&gt;0,Q1499&lt;30,K1499=216),'Udvaskning nøgletal'!$C$42,IF(AND(Q1499&gt;0,Q1499&lt;30,K1499&gt;7,K1499&lt;17),'Udvaskning nøgletal'!$C$61,IF(AND(Q1499&gt;0,Q1499&lt;30,K1499&lt;7),'Udvaskning nøgletal'!$C$62,"")))</f>
        <v/>
      </c>
      <c r="AI1499" s="10">
        <f t="shared" si="240"/>
        <v>263</v>
      </c>
      <c r="AJ1499" s="10">
        <f>IF($X1499=1,LOOKUP(AI1499,'Udvaskning nøgletal'!$C$12:$C$62,'Udvaskning nøgletal'!$E$12:$E$62)+Markniveau!$Y1499*Markniveau!$S1499/100,IF($X1499=2,LOOKUP(AI1499,'Udvaskning nøgletal'!$C$12:$C$62,'Udvaskning nøgletal'!$F$12:$F$62)+Markniveau!$Y1499*Markniveau!$S1499/100,IF($X1499=3,LOOKUP(AI1499,'Udvaskning nøgletal'!$C$12:$C$62,'Udvaskning nøgletal'!Q1509:Q1559)+Markniveau!$Y1499*Markniveau!$S1499/100,"")))</f>
        <v>33.723295792149436</v>
      </c>
      <c r="AK1499" s="10">
        <f t="shared" si="239"/>
        <v>72.842318911042781</v>
      </c>
      <c r="AL1499" s="10">
        <f t="shared" si="241"/>
        <v>20.233977475289663</v>
      </c>
      <c r="AM1499" s="10">
        <f t="shared" si="242"/>
        <v>43.705391346625674</v>
      </c>
    </row>
    <row r="1500" spans="1:39" x14ac:dyDescent="0.25">
      <c r="A1500" s="15">
        <v>72827015</v>
      </c>
      <c r="B1500" s="15">
        <v>32.01</v>
      </c>
      <c r="C1500" s="15">
        <v>83810</v>
      </c>
      <c r="D1500" s="15">
        <v>17721</v>
      </c>
      <c r="E1500" s="15" t="s">
        <v>1244</v>
      </c>
      <c r="F1500" s="15">
        <v>2011</v>
      </c>
      <c r="G1500" s="15">
        <v>20110408</v>
      </c>
      <c r="H1500" s="15">
        <v>12451</v>
      </c>
      <c r="I1500" s="15">
        <v>1.25</v>
      </c>
      <c r="J1500" s="6" t="s">
        <v>1522</v>
      </c>
      <c r="K1500" s="15">
        <v>252</v>
      </c>
      <c r="L1500" s="15" t="s">
        <v>41</v>
      </c>
      <c r="M1500" s="15" t="s">
        <v>4</v>
      </c>
      <c r="N1500" s="11" t="s">
        <v>1384</v>
      </c>
      <c r="O1500" s="11" t="s">
        <v>28</v>
      </c>
      <c r="P1500" s="11" t="s">
        <v>29</v>
      </c>
      <c r="Q1500" s="15">
        <v>1</v>
      </c>
      <c r="R1500" s="11" t="s">
        <v>11</v>
      </c>
      <c r="S1500" s="10">
        <v>125.69505851756</v>
      </c>
      <c r="T1500" s="15">
        <v>80</v>
      </c>
      <c r="U1500" s="15">
        <v>0</v>
      </c>
      <c r="V1500" s="15">
        <v>0</v>
      </c>
      <c r="W1500" s="15">
        <v>0</v>
      </c>
      <c r="X1500" s="15">
        <f>IF(O1500='Udvaskning nøgletal'!$D$65,1,IF(O1500='Udvaskning nøgletal'!$D$66,2,IF(O1500='Udvaskning nøgletal'!$D$67,3,IF(O1500='Udvaskning nøgletal'!$D$68,2,""))))</f>
        <v>1</v>
      </c>
      <c r="Y1500" s="15">
        <f>LOOKUP(K1500,'Udvaskning nøgletal'!$C$12:$C$60,'Udvaskning nøgletal'!$H$12:$H$60)</f>
        <v>0</v>
      </c>
      <c r="Z1500" s="10">
        <f>IF(X1500=1,LOOKUP(K1500,'Udvaskning nøgletal'!$C$12:$C$60,'Udvaskning nøgletal'!$E$12:$E$60)+Markniveau!Y1500*Markniveau!S1500/100,IF(X1500=2,LOOKUP(K1500,'Udvaskning nøgletal'!$C$12:$C$60,'Udvaskning nøgletal'!$F$12:$F$60)+Markniveau!Y1500*Markniveau!S1500/100,IF(X1500=3,LOOKUP(K1500,'Udvaskning nøgletal'!$C$12:$C$60,'Udvaskning nøgletal'!G1510:G1558)+Markniveau!Y1500*Markniveau!S1500/100,"")))</f>
        <v>21.2</v>
      </c>
      <c r="AA1500" s="10">
        <f t="shared" si="236"/>
        <v>26.5</v>
      </c>
      <c r="AB1500" s="10">
        <f t="shared" si="235"/>
        <v>20.987999999999996</v>
      </c>
      <c r="AC1500" s="10">
        <f t="shared" si="237"/>
        <v>26.234999999999996</v>
      </c>
      <c r="AD1500" s="10">
        <f>IF(AND(Q1500&gt;0,Q1500&lt;30,K1500&lt;8),Markniveau!Z1500*'Udvaskning nøgletal'!$I$12/100,IF(AND(Q1500&gt;0,Q1500&lt;30,K1500=216),Markniveau!Z1500*'Udvaskning nøgletal'!$I$34/100,Markniveau!Z1500))</f>
        <v>21.2</v>
      </c>
      <c r="AE1500" s="10">
        <f t="shared" si="243"/>
        <v>26.5</v>
      </c>
      <c r="AF1500" s="10">
        <f t="shared" si="238"/>
        <v>20.987999999999996</v>
      </c>
      <c r="AG1500" s="10">
        <f t="shared" si="244"/>
        <v>26.234999999999996</v>
      </c>
      <c r="AH1500" s="10" t="str">
        <f>IF(AND(Q1500&gt;0,Q1500&lt;30,K1500=216),'Udvaskning nøgletal'!$C$42,IF(AND(Q1500&gt;0,Q1500&lt;30,K1500&gt;7,K1500&lt;17),'Udvaskning nøgletal'!$C$61,IF(AND(Q1500&gt;0,Q1500&lt;30,K1500&lt;7),'Udvaskning nøgletal'!$C$62,"")))</f>
        <v/>
      </c>
      <c r="AI1500" s="10">
        <f t="shared" si="240"/>
        <v>252</v>
      </c>
      <c r="AJ1500" s="10">
        <f>IF($X1500=1,LOOKUP(AI1500,'Udvaskning nøgletal'!$C$12:$C$62,'Udvaskning nøgletal'!$E$12:$E$62)+Markniveau!$Y1500*Markniveau!$S1500/100,IF($X1500=2,LOOKUP(AI1500,'Udvaskning nøgletal'!$C$12:$C$62,'Udvaskning nøgletal'!$F$12:$F$62)+Markniveau!$Y1500*Markniveau!$S1500/100,IF($X1500=3,LOOKUP(AI1500,'Udvaskning nøgletal'!$C$12:$C$62,'Udvaskning nøgletal'!Q1510:Q1560)+Markniveau!$Y1500*Markniveau!$S1500/100,"")))</f>
        <v>21.2</v>
      </c>
      <c r="AK1500" s="10">
        <f t="shared" si="239"/>
        <v>26.5</v>
      </c>
      <c r="AL1500" s="10">
        <f t="shared" si="241"/>
        <v>20.987999999999996</v>
      </c>
      <c r="AM1500" s="10">
        <f t="shared" si="242"/>
        <v>26.234999999999996</v>
      </c>
    </row>
    <row r="1501" spans="1:39" x14ac:dyDescent="0.25">
      <c r="A1501" s="15">
        <v>72827015</v>
      </c>
      <c r="B1501" s="15">
        <v>32.01</v>
      </c>
      <c r="C1501" s="15">
        <v>97355</v>
      </c>
      <c r="D1501" s="15">
        <v>17721</v>
      </c>
      <c r="E1501" s="15" t="s">
        <v>609</v>
      </c>
      <c r="F1501" s="15">
        <v>2011</v>
      </c>
      <c r="G1501" s="15">
        <v>20110408</v>
      </c>
      <c r="H1501" s="15">
        <v>14012</v>
      </c>
      <c r="I1501" s="15">
        <v>1.4</v>
      </c>
      <c r="J1501" s="6" t="s">
        <v>35</v>
      </c>
      <c r="K1501" s="15">
        <v>263</v>
      </c>
      <c r="L1501" s="15" t="s">
        <v>39</v>
      </c>
      <c r="M1501" s="15" t="s">
        <v>5</v>
      </c>
      <c r="N1501" s="11" t="s">
        <v>1384</v>
      </c>
      <c r="O1501" s="11" t="s">
        <v>28</v>
      </c>
      <c r="P1501" s="11" t="s">
        <v>29</v>
      </c>
      <c r="Q1501" s="15">
        <v>25</v>
      </c>
      <c r="R1501" s="11" t="s">
        <v>7</v>
      </c>
      <c r="S1501" s="10">
        <v>125.69505851756</v>
      </c>
      <c r="T1501" s="15">
        <v>80</v>
      </c>
      <c r="U1501" s="15">
        <v>0</v>
      </c>
      <c r="V1501" s="15">
        <v>0</v>
      </c>
      <c r="W1501" s="15">
        <v>0</v>
      </c>
      <c r="X1501" s="15">
        <f>IF(O1501='Udvaskning nøgletal'!$D$65,1,IF(O1501='Udvaskning nøgletal'!$D$66,2,IF(O1501='Udvaskning nøgletal'!$D$67,3,IF(O1501='Udvaskning nøgletal'!$D$68,2,""))))</f>
        <v>1</v>
      </c>
      <c r="Y1501" s="15">
        <f>LOOKUP(K1501,'Udvaskning nøgletal'!$C$12:$C$60,'Udvaskning nøgletal'!$H$12:$H$60)</f>
        <v>0</v>
      </c>
      <c r="Z1501" s="10">
        <f>IF(X1501=1,LOOKUP(K1501,'Udvaskning nøgletal'!$C$12:$C$60,'Udvaskning nøgletal'!$E$12:$E$60)+Markniveau!Y1501*Markniveau!S1501/100,IF(X1501=2,LOOKUP(K1501,'Udvaskning nøgletal'!$C$12:$C$60,'Udvaskning nøgletal'!$F$12:$F$60)+Markniveau!Y1501*Markniveau!S1501/100,IF(X1501=3,LOOKUP(K1501,'Udvaskning nøgletal'!$C$12:$C$60,'Udvaskning nøgletal'!G1511:G1559)+Markniveau!Y1501*Markniveau!S1501/100,"")))</f>
        <v>33.723295792149436</v>
      </c>
      <c r="AA1501" s="10">
        <f t="shared" si="236"/>
        <v>47.212614109009209</v>
      </c>
      <c r="AB1501" s="10">
        <f t="shared" si="235"/>
        <v>25.292471844112079</v>
      </c>
      <c r="AC1501" s="10">
        <f t="shared" si="237"/>
        <v>35.40946058175691</v>
      </c>
      <c r="AD1501" s="10">
        <f>IF(AND(Q1501&gt;0,Q1501&lt;30,K1501&lt;8),Markniveau!Z1501*'Udvaskning nøgletal'!$I$12/100,IF(AND(Q1501&gt;0,Q1501&lt;30,K1501=216),Markniveau!Z1501*'Udvaskning nøgletal'!$I$34/100,Markniveau!Z1501))</f>
        <v>33.723295792149436</v>
      </c>
      <c r="AE1501" s="10">
        <f t="shared" si="243"/>
        <v>47.212614109009209</v>
      </c>
      <c r="AF1501" s="10">
        <f t="shared" si="238"/>
        <v>25.292471844112079</v>
      </c>
      <c r="AG1501" s="10">
        <f t="shared" si="244"/>
        <v>35.40946058175691</v>
      </c>
      <c r="AH1501" s="10" t="str">
        <f>IF(AND(Q1501&gt;0,Q1501&lt;30,K1501=216),'Udvaskning nøgletal'!$C$42,IF(AND(Q1501&gt;0,Q1501&lt;30,K1501&gt;7,K1501&lt;17),'Udvaskning nøgletal'!$C$61,IF(AND(Q1501&gt;0,Q1501&lt;30,K1501&lt;7),'Udvaskning nøgletal'!$C$62,"")))</f>
        <v/>
      </c>
      <c r="AI1501" s="10">
        <f t="shared" si="240"/>
        <v>263</v>
      </c>
      <c r="AJ1501" s="10">
        <f>IF($X1501=1,LOOKUP(AI1501,'Udvaskning nøgletal'!$C$12:$C$62,'Udvaskning nøgletal'!$E$12:$E$62)+Markniveau!$Y1501*Markniveau!$S1501/100,IF($X1501=2,LOOKUP(AI1501,'Udvaskning nøgletal'!$C$12:$C$62,'Udvaskning nøgletal'!$F$12:$F$62)+Markniveau!$Y1501*Markniveau!$S1501/100,IF($X1501=3,LOOKUP(AI1501,'Udvaskning nøgletal'!$C$12:$C$62,'Udvaskning nøgletal'!Q1511:Q1561)+Markniveau!$Y1501*Markniveau!$S1501/100,"")))</f>
        <v>33.723295792149436</v>
      </c>
      <c r="AK1501" s="10">
        <f t="shared" si="239"/>
        <v>47.212614109009209</v>
      </c>
      <c r="AL1501" s="10">
        <f t="shared" si="241"/>
        <v>25.292471844112079</v>
      </c>
      <c r="AM1501" s="10">
        <f t="shared" si="242"/>
        <v>35.40946058175691</v>
      </c>
    </row>
    <row r="1502" spans="1:39" x14ac:dyDescent="0.25">
      <c r="A1502" s="15">
        <v>72827015</v>
      </c>
      <c r="B1502" s="15">
        <v>32.01</v>
      </c>
      <c r="C1502" s="15">
        <v>619</v>
      </c>
      <c r="D1502" s="15">
        <v>17721</v>
      </c>
      <c r="E1502" s="15" t="s">
        <v>609</v>
      </c>
      <c r="F1502" s="15">
        <v>2011</v>
      </c>
      <c r="G1502" s="15">
        <v>20110408</v>
      </c>
      <c r="H1502" s="15">
        <v>85252</v>
      </c>
      <c r="I1502" s="15">
        <v>8.5299999999999994</v>
      </c>
      <c r="J1502" s="6" t="s">
        <v>61</v>
      </c>
      <c r="K1502" s="15">
        <v>1</v>
      </c>
      <c r="L1502" s="15" t="s">
        <v>32</v>
      </c>
      <c r="M1502" s="15" t="s">
        <v>5</v>
      </c>
      <c r="N1502" s="11" t="s">
        <v>1384</v>
      </c>
      <c r="O1502" s="11" t="s">
        <v>28</v>
      </c>
      <c r="P1502" s="11" t="s">
        <v>29</v>
      </c>
      <c r="Q1502" s="15">
        <v>95</v>
      </c>
      <c r="R1502" s="11" t="s">
        <v>3</v>
      </c>
      <c r="S1502" s="10">
        <v>125.69505851756</v>
      </c>
      <c r="T1502" s="15">
        <v>80</v>
      </c>
      <c r="U1502" s="15">
        <v>0</v>
      </c>
      <c r="V1502" s="15">
        <v>0</v>
      </c>
      <c r="W1502" s="15">
        <v>0</v>
      </c>
      <c r="X1502" s="15">
        <f>IF(O1502='Udvaskning nøgletal'!$D$65,1,IF(O1502='Udvaskning nøgletal'!$D$66,2,IF(O1502='Udvaskning nøgletal'!$D$67,3,IF(O1502='Udvaskning nøgletal'!$D$68,2,""))))</f>
        <v>1</v>
      </c>
      <c r="Y1502" s="15">
        <f>LOOKUP(K1502,'Udvaskning nøgletal'!$C$12:$C$60,'Udvaskning nøgletal'!$H$12:$H$60)</f>
        <v>5</v>
      </c>
      <c r="Z1502" s="10">
        <f>IF(X1502=1,LOOKUP(K1502,'Udvaskning nøgletal'!$C$12:$C$60,'Udvaskning nøgletal'!$E$12:$E$60)+Markniveau!Y1502*Markniveau!S1502/100,IF(X1502=2,LOOKUP(K1502,'Udvaskning nøgletal'!$C$12:$C$60,'Udvaskning nøgletal'!$F$12:$F$60)+Markniveau!Y1502*Markniveau!S1502/100,IF(X1502=3,LOOKUP(K1502,'Udvaskning nøgletal'!$C$12:$C$60,'Udvaskning nøgletal'!G1512:G1560)+Markniveau!Y1502*Markniveau!S1502/100,"")))</f>
        <v>70.944752925877992</v>
      </c>
      <c r="AA1502" s="10">
        <f t="shared" si="236"/>
        <v>605.15874245773921</v>
      </c>
      <c r="AB1502" s="10">
        <f t="shared" si="235"/>
        <v>3.5472376462938997</v>
      </c>
      <c r="AC1502" s="10">
        <f t="shared" si="237"/>
        <v>30.257937122886961</v>
      </c>
      <c r="AD1502" s="10">
        <f>IF(AND(Q1502&gt;0,Q1502&lt;30,K1502&lt;8),Markniveau!Z1502*'Udvaskning nøgletal'!$I$12/100,IF(AND(Q1502&gt;0,Q1502&lt;30,K1502=216),Markniveau!Z1502*'Udvaskning nøgletal'!$I$34/100,Markniveau!Z1502))</f>
        <v>70.944752925877992</v>
      </c>
      <c r="AE1502" s="10">
        <f t="shared" si="243"/>
        <v>605.15874245773921</v>
      </c>
      <c r="AF1502" s="10">
        <f t="shared" si="238"/>
        <v>3.5472376462938997</v>
      </c>
      <c r="AG1502" s="10">
        <f t="shared" si="244"/>
        <v>30.257937122886961</v>
      </c>
      <c r="AH1502" s="10" t="str">
        <f>IF(AND(Q1502&gt;0,Q1502&lt;30,K1502=216),'Udvaskning nøgletal'!$C$42,IF(AND(Q1502&gt;0,Q1502&lt;30,K1502&gt;7,K1502&lt;17),'Udvaskning nøgletal'!$C$61,IF(AND(Q1502&gt;0,Q1502&lt;30,K1502&lt;7),'Udvaskning nøgletal'!$C$62,"")))</f>
        <v/>
      </c>
      <c r="AI1502" s="10">
        <f t="shared" si="240"/>
        <v>1</v>
      </c>
      <c r="AJ1502" s="10">
        <f>IF($X1502=1,LOOKUP(AI1502,'Udvaskning nøgletal'!$C$12:$C$62,'Udvaskning nøgletal'!$E$12:$E$62)+Markniveau!$Y1502*Markniveau!$S1502/100,IF($X1502=2,LOOKUP(AI1502,'Udvaskning nøgletal'!$C$12:$C$62,'Udvaskning nøgletal'!$F$12:$F$62)+Markniveau!$Y1502*Markniveau!$S1502/100,IF($X1502=3,LOOKUP(AI1502,'Udvaskning nøgletal'!$C$12:$C$62,'Udvaskning nøgletal'!Q1512:Q1562)+Markniveau!$Y1502*Markniveau!$S1502/100,"")))</f>
        <v>70.944752925877992</v>
      </c>
      <c r="AK1502" s="10">
        <f t="shared" si="239"/>
        <v>605.15874245773921</v>
      </c>
      <c r="AL1502" s="10">
        <f t="shared" si="241"/>
        <v>3.5472376462938997</v>
      </c>
      <c r="AM1502" s="10">
        <f t="shared" si="242"/>
        <v>30.257937122886961</v>
      </c>
    </row>
    <row r="1503" spans="1:39" x14ac:dyDescent="0.25">
      <c r="A1503" s="15">
        <v>72827015</v>
      </c>
      <c r="B1503" s="15">
        <v>32.01</v>
      </c>
      <c r="C1503" s="15">
        <v>63157</v>
      </c>
      <c r="D1503" s="15">
        <v>17721</v>
      </c>
      <c r="E1503" s="15" t="s">
        <v>659</v>
      </c>
      <c r="F1503" s="15">
        <v>2011</v>
      </c>
      <c r="G1503" s="15">
        <v>20110408</v>
      </c>
      <c r="H1503" s="15">
        <v>23103</v>
      </c>
      <c r="I1503" s="15">
        <v>2.31</v>
      </c>
      <c r="J1503" s="6" t="s">
        <v>69</v>
      </c>
      <c r="K1503" s="15">
        <v>263</v>
      </c>
      <c r="L1503" s="15" t="s">
        <v>39</v>
      </c>
      <c r="M1503" s="15" t="s">
        <v>5</v>
      </c>
      <c r="N1503" s="11" t="s">
        <v>1384</v>
      </c>
      <c r="O1503" s="11" t="s">
        <v>28</v>
      </c>
      <c r="P1503" s="11" t="s">
        <v>29</v>
      </c>
      <c r="Q1503" s="15">
        <v>95</v>
      </c>
      <c r="R1503" s="11" t="s">
        <v>3</v>
      </c>
      <c r="S1503" s="10">
        <v>125.69505851756</v>
      </c>
      <c r="T1503" s="15">
        <v>80</v>
      </c>
      <c r="U1503" s="15">
        <v>0</v>
      </c>
      <c r="V1503" s="15">
        <v>0</v>
      </c>
      <c r="W1503" s="15">
        <v>0</v>
      </c>
      <c r="X1503" s="15">
        <f>IF(O1503='Udvaskning nøgletal'!$D$65,1,IF(O1503='Udvaskning nøgletal'!$D$66,2,IF(O1503='Udvaskning nøgletal'!$D$67,3,IF(O1503='Udvaskning nøgletal'!$D$68,2,""))))</f>
        <v>1</v>
      </c>
      <c r="Y1503" s="15">
        <f>LOOKUP(K1503,'Udvaskning nøgletal'!$C$12:$C$60,'Udvaskning nøgletal'!$H$12:$H$60)</f>
        <v>0</v>
      </c>
      <c r="Z1503" s="10">
        <f>IF(X1503=1,LOOKUP(K1503,'Udvaskning nøgletal'!$C$12:$C$60,'Udvaskning nøgletal'!$E$12:$E$60)+Markniveau!Y1503*Markniveau!S1503/100,IF(X1503=2,LOOKUP(K1503,'Udvaskning nøgletal'!$C$12:$C$60,'Udvaskning nøgletal'!$F$12:$F$60)+Markniveau!Y1503*Markniveau!S1503/100,IF(X1503=3,LOOKUP(K1503,'Udvaskning nøgletal'!$C$12:$C$60,'Udvaskning nøgletal'!G1513:G1561)+Markniveau!Y1503*Markniveau!S1503/100,"")))</f>
        <v>33.723295792149436</v>
      </c>
      <c r="AA1503" s="10">
        <f t="shared" si="236"/>
        <v>77.900813279865204</v>
      </c>
      <c r="AB1503" s="10">
        <f t="shared" si="235"/>
        <v>1.6861647896074716</v>
      </c>
      <c r="AC1503" s="10">
        <f t="shared" si="237"/>
        <v>3.8950406639932598</v>
      </c>
      <c r="AD1503" s="10">
        <f>IF(AND(Q1503&gt;0,Q1503&lt;30,K1503&lt;8),Markniveau!Z1503*'Udvaskning nøgletal'!$I$12/100,IF(AND(Q1503&gt;0,Q1503&lt;30,K1503=216),Markniveau!Z1503*'Udvaskning nøgletal'!$I$34/100,Markniveau!Z1503))</f>
        <v>33.723295792149436</v>
      </c>
      <c r="AE1503" s="10">
        <f t="shared" si="243"/>
        <v>77.900813279865204</v>
      </c>
      <c r="AF1503" s="10">
        <f t="shared" si="238"/>
        <v>1.6861647896074716</v>
      </c>
      <c r="AG1503" s="10">
        <f t="shared" si="244"/>
        <v>3.8950406639932598</v>
      </c>
      <c r="AH1503" s="10" t="str">
        <f>IF(AND(Q1503&gt;0,Q1503&lt;30,K1503=216),'Udvaskning nøgletal'!$C$42,IF(AND(Q1503&gt;0,Q1503&lt;30,K1503&gt;7,K1503&lt;17),'Udvaskning nøgletal'!$C$61,IF(AND(Q1503&gt;0,Q1503&lt;30,K1503&lt;7),'Udvaskning nøgletal'!$C$62,"")))</f>
        <v/>
      </c>
      <c r="AI1503" s="10">
        <f t="shared" si="240"/>
        <v>263</v>
      </c>
      <c r="AJ1503" s="10">
        <f>IF($X1503=1,LOOKUP(AI1503,'Udvaskning nøgletal'!$C$12:$C$62,'Udvaskning nøgletal'!$E$12:$E$62)+Markniveau!$Y1503*Markniveau!$S1503/100,IF($X1503=2,LOOKUP(AI1503,'Udvaskning nøgletal'!$C$12:$C$62,'Udvaskning nøgletal'!$F$12:$F$62)+Markniveau!$Y1503*Markniveau!$S1503/100,IF($X1503=3,LOOKUP(AI1503,'Udvaskning nøgletal'!$C$12:$C$62,'Udvaskning nøgletal'!Q1513:Q1563)+Markniveau!$Y1503*Markniveau!$S1503/100,"")))</f>
        <v>33.723295792149436</v>
      </c>
      <c r="AK1503" s="10">
        <f t="shared" si="239"/>
        <v>77.900813279865204</v>
      </c>
      <c r="AL1503" s="10">
        <f t="shared" si="241"/>
        <v>1.6861647896074716</v>
      </c>
      <c r="AM1503" s="10">
        <f t="shared" si="242"/>
        <v>3.8950406639932598</v>
      </c>
    </row>
    <row r="1504" spans="1:39" x14ac:dyDescent="0.25">
      <c r="A1504" s="15">
        <v>74082815</v>
      </c>
      <c r="B1504" s="15">
        <v>34.72</v>
      </c>
      <c r="C1504" s="15">
        <v>380170</v>
      </c>
      <c r="D1504" s="15">
        <v>124115</v>
      </c>
      <c r="E1504" s="15" t="s">
        <v>518</v>
      </c>
      <c r="F1504" s="15">
        <v>2011</v>
      </c>
      <c r="G1504" s="15">
        <v>20110305</v>
      </c>
      <c r="H1504" s="15">
        <v>16597</v>
      </c>
      <c r="I1504" s="15">
        <v>1.66</v>
      </c>
      <c r="J1504" s="6" t="s">
        <v>1409</v>
      </c>
      <c r="K1504" s="15">
        <v>1</v>
      </c>
      <c r="L1504" s="15" t="s">
        <v>32</v>
      </c>
      <c r="M1504" s="15" t="s">
        <v>5</v>
      </c>
      <c r="N1504" s="11" t="s">
        <v>1391</v>
      </c>
      <c r="O1504" s="11" t="s">
        <v>46</v>
      </c>
      <c r="P1504" s="11" t="s">
        <v>29</v>
      </c>
      <c r="Q1504" s="15">
        <v>95</v>
      </c>
      <c r="R1504" s="11" t="s">
        <v>3</v>
      </c>
      <c r="S1504" s="10">
        <v>66.606822262118001</v>
      </c>
      <c r="T1504" s="15">
        <v>80</v>
      </c>
      <c r="U1504" s="15">
        <v>0</v>
      </c>
      <c r="V1504" s="15">
        <v>0</v>
      </c>
      <c r="W1504" s="15">
        <v>0</v>
      </c>
      <c r="X1504" s="15">
        <f>IF(O1504='Udvaskning nøgletal'!$D$65,1,IF(O1504='Udvaskning nøgletal'!$D$66,2,IF(O1504='Udvaskning nøgletal'!$D$67,3,IF(O1504='Udvaskning nøgletal'!$D$68,2,""))))</f>
        <v>2</v>
      </c>
      <c r="Y1504" s="15">
        <f>LOOKUP(K1504,'Udvaskning nøgletal'!$C$12:$C$60,'Udvaskning nøgletal'!$H$12:$H$60)</f>
        <v>5</v>
      </c>
      <c r="Z1504" s="10">
        <f>IF(X1504=1,LOOKUP(K1504,'Udvaskning nøgletal'!$C$12:$C$60,'Udvaskning nøgletal'!$E$12:$E$60)+Markniveau!Y1504*Markniveau!S1504/100,IF(X1504=2,LOOKUP(K1504,'Udvaskning nøgletal'!$C$12:$C$60,'Udvaskning nøgletal'!$F$12:$F$60)+Markniveau!Y1504*Markniveau!S1504/100,IF(X1504=3,LOOKUP(K1504,'Udvaskning nøgletal'!$C$12:$C$60,'Udvaskning nøgletal'!G1514:G1562)+Markniveau!Y1504*Markniveau!S1504/100,"")))</f>
        <v>54.210341113105905</v>
      </c>
      <c r="AA1504" s="10">
        <f t="shared" si="236"/>
        <v>89.989166247755804</v>
      </c>
      <c r="AB1504" s="10">
        <f t="shared" si="235"/>
        <v>2.7105170556552953</v>
      </c>
      <c r="AC1504" s="10">
        <f t="shared" si="237"/>
        <v>4.49945831238779</v>
      </c>
      <c r="AD1504" s="10">
        <f>IF(AND(Q1504&gt;0,Q1504&lt;30,K1504&lt;8),Markniveau!Z1504*'Udvaskning nøgletal'!$I$12/100,IF(AND(Q1504&gt;0,Q1504&lt;30,K1504=216),Markniveau!Z1504*'Udvaskning nøgletal'!$I$34/100,Markniveau!Z1504))</f>
        <v>54.210341113105905</v>
      </c>
      <c r="AE1504" s="10">
        <f t="shared" si="243"/>
        <v>89.989166247755804</v>
      </c>
      <c r="AF1504" s="10">
        <f t="shared" si="238"/>
        <v>2.7105170556552953</v>
      </c>
      <c r="AG1504" s="10">
        <f t="shared" si="244"/>
        <v>4.49945831238779</v>
      </c>
      <c r="AH1504" s="10" t="str">
        <f>IF(AND(Q1504&gt;0,Q1504&lt;30,K1504=216),'Udvaskning nøgletal'!$C$42,IF(AND(Q1504&gt;0,Q1504&lt;30,K1504&gt;7,K1504&lt;17),'Udvaskning nøgletal'!$C$61,IF(AND(Q1504&gt;0,Q1504&lt;30,K1504&lt;7),'Udvaskning nøgletal'!$C$62,"")))</f>
        <v/>
      </c>
      <c r="AI1504" s="10">
        <f t="shared" si="240"/>
        <v>1</v>
      </c>
      <c r="AJ1504" s="10">
        <f>IF($X1504=1,LOOKUP(AI1504,'Udvaskning nøgletal'!$C$12:$C$62,'Udvaskning nøgletal'!$E$12:$E$62)+Markniveau!$Y1504*Markniveau!$S1504/100,IF($X1504=2,LOOKUP(AI1504,'Udvaskning nøgletal'!$C$12:$C$62,'Udvaskning nøgletal'!$F$12:$F$62)+Markniveau!$Y1504*Markniveau!$S1504/100,IF($X1504=3,LOOKUP(AI1504,'Udvaskning nøgletal'!$C$12:$C$62,'Udvaskning nøgletal'!Q1514:Q1564)+Markniveau!$Y1504*Markniveau!$S1504/100,"")))</f>
        <v>54.210341113105905</v>
      </c>
      <c r="AK1504" s="10">
        <f t="shared" si="239"/>
        <v>89.989166247755804</v>
      </c>
      <c r="AL1504" s="10">
        <f t="shared" si="241"/>
        <v>2.7105170556552953</v>
      </c>
      <c r="AM1504" s="10">
        <f t="shared" si="242"/>
        <v>4.49945831238779</v>
      </c>
    </row>
    <row r="1505" spans="1:39" x14ac:dyDescent="0.25">
      <c r="A1505" s="15">
        <v>74082815</v>
      </c>
      <c r="B1505" s="15">
        <v>34.72</v>
      </c>
      <c r="C1505" s="15">
        <v>380171</v>
      </c>
      <c r="D1505" s="15">
        <v>124115</v>
      </c>
      <c r="E1505" s="15" t="s">
        <v>517</v>
      </c>
      <c r="F1505" s="15">
        <v>2011</v>
      </c>
      <c r="G1505" s="15">
        <v>20110305</v>
      </c>
      <c r="H1505" s="15">
        <v>15831</v>
      </c>
      <c r="I1505" s="15">
        <v>1.58</v>
      </c>
      <c r="J1505" s="6" t="s">
        <v>97</v>
      </c>
      <c r="K1505" s="15">
        <v>1</v>
      </c>
      <c r="L1505" s="15" t="s">
        <v>32</v>
      </c>
      <c r="M1505" s="15" t="s">
        <v>5</v>
      </c>
      <c r="N1505" s="11" t="s">
        <v>1391</v>
      </c>
      <c r="O1505" s="11" t="s">
        <v>46</v>
      </c>
      <c r="P1505" s="11" t="s">
        <v>29</v>
      </c>
      <c r="Q1505" s="15">
        <v>95</v>
      </c>
      <c r="R1505" s="11" t="s">
        <v>3</v>
      </c>
      <c r="S1505" s="10">
        <v>66.606822262118001</v>
      </c>
      <c r="T1505" s="15">
        <v>80</v>
      </c>
      <c r="U1505" s="15">
        <v>0</v>
      </c>
      <c r="V1505" s="15">
        <v>0</v>
      </c>
      <c r="W1505" s="15">
        <v>0</v>
      </c>
      <c r="X1505" s="15">
        <f>IF(O1505='Udvaskning nøgletal'!$D$65,1,IF(O1505='Udvaskning nøgletal'!$D$66,2,IF(O1505='Udvaskning nøgletal'!$D$67,3,IF(O1505='Udvaskning nøgletal'!$D$68,2,""))))</f>
        <v>2</v>
      </c>
      <c r="Y1505" s="15">
        <f>LOOKUP(K1505,'Udvaskning nøgletal'!$C$12:$C$60,'Udvaskning nøgletal'!$H$12:$H$60)</f>
        <v>5</v>
      </c>
      <c r="Z1505" s="10">
        <f>IF(X1505=1,LOOKUP(K1505,'Udvaskning nøgletal'!$C$12:$C$60,'Udvaskning nøgletal'!$E$12:$E$60)+Markniveau!Y1505*Markniveau!S1505/100,IF(X1505=2,LOOKUP(K1505,'Udvaskning nøgletal'!$C$12:$C$60,'Udvaskning nøgletal'!$F$12:$F$60)+Markniveau!Y1505*Markniveau!S1505/100,IF(X1505=3,LOOKUP(K1505,'Udvaskning nøgletal'!$C$12:$C$60,'Udvaskning nøgletal'!G1515:G1563)+Markniveau!Y1505*Markniveau!S1505/100,"")))</f>
        <v>54.210341113105905</v>
      </c>
      <c r="AA1505" s="10">
        <f t="shared" si="236"/>
        <v>85.652338958707332</v>
      </c>
      <c r="AB1505" s="10">
        <f t="shared" si="235"/>
        <v>2.7105170556552953</v>
      </c>
      <c r="AC1505" s="10">
        <f t="shared" si="237"/>
        <v>4.2826169479353666</v>
      </c>
      <c r="AD1505" s="10">
        <f>IF(AND(Q1505&gt;0,Q1505&lt;30,K1505&lt;8),Markniveau!Z1505*'Udvaskning nøgletal'!$I$12/100,IF(AND(Q1505&gt;0,Q1505&lt;30,K1505=216),Markniveau!Z1505*'Udvaskning nøgletal'!$I$34/100,Markniveau!Z1505))</f>
        <v>54.210341113105905</v>
      </c>
      <c r="AE1505" s="10">
        <f t="shared" si="243"/>
        <v>85.652338958707332</v>
      </c>
      <c r="AF1505" s="10">
        <f t="shared" si="238"/>
        <v>2.7105170556552953</v>
      </c>
      <c r="AG1505" s="10">
        <f t="shared" si="244"/>
        <v>4.2826169479353666</v>
      </c>
      <c r="AH1505" s="10" t="str">
        <f>IF(AND(Q1505&gt;0,Q1505&lt;30,K1505=216),'Udvaskning nøgletal'!$C$42,IF(AND(Q1505&gt;0,Q1505&lt;30,K1505&gt;7,K1505&lt;17),'Udvaskning nøgletal'!$C$61,IF(AND(Q1505&gt;0,Q1505&lt;30,K1505&lt;7),'Udvaskning nøgletal'!$C$62,"")))</f>
        <v/>
      </c>
      <c r="AI1505" s="10">
        <f t="shared" si="240"/>
        <v>1</v>
      </c>
      <c r="AJ1505" s="10">
        <f>IF($X1505=1,LOOKUP(AI1505,'Udvaskning nøgletal'!$C$12:$C$62,'Udvaskning nøgletal'!$E$12:$E$62)+Markniveau!$Y1505*Markniveau!$S1505/100,IF($X1505=2,LOOKUP(AI1505,'Udvaskning nøgletal'!$C$12:$C$62,'Udvaskning nøgletal'!$F$12:$F$62)+Markniveau!$Y1505*Markniveau!$S1505/100,IF($X1505=3,LOOKUP(AI1505,'Udvaskning nøgletal'!$C$12:$C$62,'Udvaskning nøgletal'!Q1515:Q1565)+Markniveau!$Y1505*Markniveau!$S1505/100,"")))</f>
        <v>54.210341113105905</v>
      </c>
      <c r="AK1505" s="10">
        <f t="shared" si="239"/>
        <v>85.652338958707332</v>
      </c>
      <c r="AL1505" s="10">
        <f t="shared" si="241"/>
        <v>2.7105170556552953</v>
      </c>
      <c r="AM1505" s="10">
        <f t="shared" si="242"/>
        <v>4.2826169479353666</v>
      </c>
    </row>
    <row r="1506" spans="1:39" x14ac:dyDescent="0.25">
      <c r="A1506" s="15">
        <v>74082815</v>
      </c>
      <c r="B1506" s="15">
        <v>34.72</v>
      </c>
      <c r="C1506" s="15">
        <v>380172</v>
      </c>
      <c r="D1506" s="15">
        <v>124115</v>
      </c>
      <c r="E1506" s="15" t="s">
        <v>281</v>
      </c>
      <c r="F1506" s="15">
        <v>2011</v>
      </c>
      <c r="G1506" s="15">
        <v>20110305</v>
      </c>
      <c r="H1506" s="15">
        <v>24627</v>
      </c>
      <c r="I1506" s="15">
        <v>2.46</v>
      </c>
      <c r="J1506" s="6" t="s">
        <v>1398</v>
      </c>
      <c r="K1506" s="15">
        <v>1</v>
      </c>
      <c r="L1506" s="15" t="s">
        <v>32</v>
      </c>
      <c r="M1506" s="15" t="s">
        <v>5</v>
      </c>
      <c r="N1506" s="11" t="s">
        <v>1391</v>
      </c>
      <c r="O1506" s="11" t="s">
        <v>46</v>
      </c>
      <c r="P1506" s="11" t="s">
        <v>29</v>
      </c>
      <c r="Q1506" s="15">
        <v>95</v>
      </c>
      <c r="R1506" s="11" t="s">
        <v>3</v>
      </c>
      <c r="S1506" s="10">
        <v>66.606822262118001</v>
      </c>
      <c r="T1506" s="15">
        <v>80</v>
      </c>
      <c r="U1506" s="15">
        <v>0</v>
      </c>
      <c r="V1506" s="15">
        <v>0</v>
      </c>
      <c r="W1506" s="15">
        <v>0</v>
      </c>
      <c r="X1506" s="15">
        <f>IF(O1506='Udvaskning nøgletal'!$D$65,1,IF(O1506='Udvaskning nøgletal'!$D$66,2,IF(O1506='Udvaskning nøgletal'!$D$67,3,IF(O1506='Udvaskning nøgletal'!$D$68,2,""))))</f>
        <v>2</v>
      </c>
      <c r="Y1506" s="15">
        <f>LOOKUP(K1506,'Udvaskning nøgletal'!$C$12:$C$60,'Udvaskning nøgletal'!$H$12:$H$60)</f>
        <v>5</v>
      </c>
      <c r="Z1506" s="10">
        <f>IF(X1506=1,LOOKUP(K1506,'Udvaskning nøgletal'!$C$12:$C$60,'Udvaskning nøgletal'!$E$12:$E$60)+Markniveau!Y1506*Markniveau!S1506/100,IF(X1506=2,LOOKUP(K1506,'Udvaskning nøgletal'!$C$12:$C$60,'Udvaskning nøgletal'!$F$12:$F$60)+Markniveau!Y1506*Markniveau!S1506/100,IF(X1506=3,LOOKUP(K1506,'Udvaskning nøgletal'!$C$12:$C$60,'Udvaskning nøgletal'!G1516:G1564)+Markniveau!Y1506*Markniveau!S1506/100,"")))</f>
        <v>54.210341113105905</v>
      </c>
      <c r="AA1506" s="10">
        <f t="shared" si="236"/>
        <v>133.35743913824052</v>
      </c>
      <c r="AB1506" s="10">
        <f t="shared" si="235"/>
        <v>2.7105170556552953</v>
      </c>
      <c r="AC1506" s="10">
        <f t="shared" si="237"/>
        <v>6.6678719569120268</v>
      </c>
      <c r="AD1506" s="10">
        <f>IF(AND(Q1506&gt;0,Q1506&lt;30,K1506&lt;8),Markniveau!Z1506*'Udvaskning nøgletal'!$I$12/100,IF(AND(Q1506&gt;0,Q1506&lt;30,K1506=216),Markniveau!Z1506*'Udvaskning nøgletal'!$I$34/100,Markniveau!Z1506))</f>
        <v>54.210341113105905</v>
      </c>
      <c r="AE1506" s="10">
        <f t="shared" si="243"/>
        <v>133.35743913824052</v>
      </c>
      <c r="AF1506" s="10">
        <f t="shared" si="238"/>
        <v>2.7105170556552953</v>
      </c>
      <c r="AG1506" s="10">
        <f t="shared" si="244"/>
        <v>6.6678719569120268</v>
      </c>
      <c r="AH1506" s="10" t="str">
        <f>IF(AND(Q1506&gt;0,Q1506&lt;30,K1506=216),'Udvaskning nøgletal'!$C$42,IF(AND(Q1506&gt;0,Q1506&lt;30,K1506&gt;7,K1506&lt;17),'Udvaskning nøgletal'!$C$61,IF(AND(Q1506&gt;0,Q1506&lt;30,K1506&lt;7),'Udvaskning nøgletal'!$C$62,"")))</f>
        <v/>
      </c>
      <c r="AI1506" s="10">
        <f t="shared" si="240"/>
        <v>1</v>
      </c>
      <c r="AJ1506" s="10">
        <f>IF($X1506=1,LOOKUP(AI1506,'Udvaskning nøgletal'!$C$12:$C$62,'Udvaskning nøgletal'!$E$12:$E$62)+Markniveau!$Y1506*Markniveau!$S1506/100,IF($X1506=2,LOOKUP(AI1506,'Udvaskning nøgletal'!$C$12:$C$62,'Udvaskning nøgletal'!$F$12:$F$62)+Markniveau!$Y1506*Markniveau!$S1506/100,IF($X1506=3,LOOKUP(AI1506,'Udvaskning nøgletal'!$C$12:$C$62,'Udvaskning nøgletal'!Q1516:Q1566)+Markniveau!$Y1506*Markniveau!$S1506/100,"")))</f>
        <v>54.210341113105905</v>
      </c>
      <c r="AK1506" s="10">
        <f t="shared" si="239"/>
        <v>133.35743913824052</v>
      </c>
      <c r="AL1506" s="10">
        <f t="shared" si="241"/>
        <v>2.7105170556552953</v>
      </c>
      <c r="AM1506" s="10">
        <f t="shared" si="242"/>
        <v>6.6678719569120268</v>
      </c>
    </row>
    <row r="1507" spans="1:39" x14ac:dyDescent="0.25">
      <c r="A1507" s="15">
        <v>74082815</v>
      </c>
      <c r="B1507" s="15">
        <v>34.72</v>
      </c>
      <c r="C1507" s="15">
        <v>380173</v>
      </c>
      <c r="D1507" s="15">
        <v>124115</v>
      </c>
      <c r="E1507" s="15" t="s">
        <v>518</v>
      </c>
      <c r="F1507" s="15">
        <v>2011</v>
      </c>
      <c r="G1507" s="15">
        <v>20110305</v>
      </c>
      <c r="H1507" s="15">
        <v>12983</v>
      </c>
      <c r="I1507" s="15">
        <v>1.3</v>
      </c>
      <c r="J1507" s="6" t="s">
        <v>31</v>
      </c>
      <c r="K1507" s="15">
        <v>276</v>
      </c>
      <c r="L1507" s="15" t="s">
        <v>146</v>
      </c>
      <c r="M1507" s="15" t="s">
        <v>4</v>
      </c>
      <c r="N1507" s="11" t="s">
        <v>1391</v>
      </c>
      <c r="O1507" s="11" t="s">
        <v>46</v>
      </c>
      <c r="P1507" s="11" t="s">
        <v>29</v>
      </c>
      <c r="Q1507" s="15">
        <v>95</v>
      </c>
      <c r="R1507" s="11" t="s">
        <v>3</v>
      </c>
      <c r="S1507" s="10">
        <v>66.606822262118001</v>
      </c>
      <c r="T1507" s="15">
        <v>80</v>
      </c>
      <c r="U1507" s="15">
        <v>0</v>
      </c>
      <c r="V1507" s="15">
        <v>0</v>
      </c>
      <c r="W1507" s="15">
        <v>0</v>
      </c>
      <c r="X1507" s="15">
        <f>IF(O1507='Udvaskning nøgletal'!$D$65,1,IF(O1507='Udvaskning nøgletal'!$D$66,2,IF(O1507='Udvaskning nøgletal'!$D$67,3,IF(O1507='Udvaskning nøgletal'!$D$68,2,""))))</f>
        <v>2</v>
      </c>
      <c r="Y1507" s="15">
        <f>LOOKUP(K1507,'Udvaskning nøgletal'!$C$12:$C$60,'Udvaskning nøgletal'!$H$12:$H$60)</f>
        <v>0</v>
      </c>
      <c r="Z1507" s="10">
        <f>IF(X1507=1,LOOKUP(K1507,'Udvaskning nøgletal'!$C$12:$C$60,'Udvaskning nøgletal'!$E$12:$E$60)+Markniveau!Y1507*Markniveau!S1507/100,IF(X1507=2,LOOKUP(K1507,'Udvaskning nøgletal'!$C$12:$C$60,'Udvaskning nøgletal'!$F$12:$F$60)+Markniveau!Y1507*Markniveau!S1507/100,IF(X1507=3,LOOKUP(K1507,'Udvaskning nøgletal'!$C$12:$C$60,'Udvaskning nøgletal'!G1517:G1565)+Markniveau!Y1507*Markniveau!S1507/100,"")))</f>
        <v>10.6</v>
      </c>
      <c r="AA1507" s="10">
        <f t="shared" si="236"/>
        <v>13.78</v>
      </c>
      <c r="AB1507" s="10">
        <f t="shared" si="235"/>
        <v>0.53</v>
      </c>
      <c r="AC1507" s="10">
        <f t="shared" si="237"/>
        <v>0.68900000000000006</v>
      </c>
      <c r="AD1507" s="10">
        <f>IF(AND(Q1507&gt;0,Q1507&lt;30,K1507&lt;8),Markniveau!Z1507*'Udvaskning nøgletal'!$I$12/100,IF(AND(Q1507&gt;0,Q1507&lt;30,K1507=216),Markniveau!Z1507*'Udvaskning nøgletal'!$I$34/100,Markniveau!Z1507))</f>
        <v>10.6</v>
      </c>
      <c r="AE1507" s="10">
        <f t="shared" si="243"/>
        <v>13.78</v>
      </c>
      <c r="AF1507" s="10">
        <f t="shared" si="238"/>
        <v>0.53</v>
      </c>
      <c r="AG1507" s="10">
        <f t="shared" si="244"/>
        <v>0.68900000000000006</v>
      </c>
      <c r="AH1507" s="10" t="str">
        <f>IF(AND(Q1507&gt;0,Q1507&lt;30,K1507=216),'Udvaskning nøgletal'!$C$42,IF(AND(Q1507&gt;0,Q1507&lt;30,K1507&gt;7,K1507&lt;17),'Udvaskning nøgletal'!$C$61,IF(AND(Q1507&gt;0,Q1507&lt;30,K1507&lt;7),'Udvaskning nøgletal'!$C$62,"")))</f>
        <v/>
      </c>
      <c r="AI1507" s="10">
        <f t="shared" si="240"/>
        <v>276</v>
      </c>
      <c r="AJ1507" s="10">
        <f>IF($X1507=1,LOOKUP(AI1507,'Udvaskning nøgletal'!$C$12:$C$62,'Udvaskning nøgletal'!$E$12:$E$62)+Markniveau!$Y1507*Markniveau!$S1507/100,IF($X1507=2,LOOKUP(AI1507,'Udvaskning nøgletal'!$C$12:$C$62,'Udvaskning nøgletal'!$F$12:$F$62)+Markniveau!$Y1507*Markniveau!$S1507/100,IF($X1507=3,LOOKUP(AI1507,'Udvaskning nøgletal'!$C$12:$C$62,'Udvaskning nøgletal'!Q1517:Q1567)+Markniveau!$Y1507*Markniveau!$S1507/100,"")))</f>
        <v>10.6</v>
      </c>
      <c r="AK1507" s="10">
        <f t="shared" si="239"/>
        <v>13.78</v>
      </c>
      <c r="AL1507" s="10">
        <f t="shared" si="241"/>
        <v>0.53</v>
      </c>
      <c r="AM1507" s="10">
        <f t="shared" si="242"/>
        <v>0.68900000000000006</v>
      </c>
    </row>
    <row r="1508" spans="1:39" x14ac:dyDescent="0.25">
      <c r="A1508" s="15">
        <v>74082815</v>
      </c>
      <c r="B1508" s="15">
        <v>34.72</v>
      </c>
      <c r="C1508" s="15">
        <v>379162</v>
      </c>
      <c r="D1508" s="15">
        <v>124115</v>
      </c>
      <c r="E1508" s="15" t="s">
        <v>1245</v>
      </c>
      <c r="F1508" s="15">
        <v>2011</v>
      </c>
      <c r="G1508" s="15">
        <v>20110305</v>
      </c>
      <c r="H1508" s="15">
        <v>118722</v>
      </c>
      <c r="I1508" s="15">
        <v>11.87</v>
      </c>
      <c r="J1508" s="6" t="s">
        <v>37</v>
      </c>
      <c r="K1508" s="15">
        <v>10</v>
      </c>
      <c r="L1508" s="15" t="s">
        <v>107</v>
      </c>
      <c r="M1508" s="15" t="s">
        <v>5</v>
      </c>
      <c r="N1508" s="11" t="s">
        <v>1391</v>
      </c>
      <c r="O1508" s="11" t="s">
        <v>46</v>
      </c>
      <c r="P1508" s="11" t="s">
        <v>29</v>
      </c>
      <c r="Q1508" s="15">
        <v>95</v>
      </c>
      <c r="R1508" s="11" t="s">
        <v>3</v>
      </c>
      <c r="S1508" s="10">
        <v>66.606822262118001</v>
      </c>
      <c r="T1508" s="15">
        <v>80</v>
      </c>
      <c r="U1508" s="15">
        <v>0</v>
      </c>
      <c r="V1508" s="15">
        <v>0</v>
      </c>
      <c r="W1508" s="15">
        <v>0</v>
      </c>
      <c r="X1508" s="15">
        <f>IF(O1508='Udvaskning nøgletal'!$D$65,1,IF(O1508='Udvaskning nøgletal'!$D$66,2,IF(O1508='Udvaskning nøgletal'!$D$67,3,IF(O1508='Udvaskning nøgletal'!$D$68,2,""))))</f>
        <v>2</v>
      </c>
      <c r="Y1508" s="15">
        <f>LOOKUP(K1508,'Udvaskning nøgletal'!$C$12:$C$60,'Udvaskning nøgletal'!$H$12:$H$60)</f>
        <v>5</v>
      </c>
      <c r="Z1508" s="10">
        <f>IF(X1508=1,LOOKUP(K1508,'Udvaskning nøgletal'!$C$12:$C$60,'Udvaskning nøgletal'!$E$12:$E$60)+Markniveau!Y1508*Markniveau!S1508/100,IF(X1508=2,LOOKUP(K1508,'Udvaskning nøgletal'!$C$12:$C$60,'Udvaskning nøgletal'!$F$12:$F$60)+Markniveau!Y1508*Markniveau!S1508/100,IF(X1508=3,LOOKUP(K1508,'Udvaskning nøgletal'!$C$12:$C$60,'Udvaskning nøgletal'!G1518:G1566)+Markniveau!Y1508*Markniveau!S1508/100,"")))</f>
        <v>54.210341113105905</v>
      </c>
      <c r="AA1508" s="10">
        <f t="shared" si="236"/>
        <v>643.4767490125671</v>
      </c>
      <c r="AB1508" s="10">
        <f t="shared" si="235"/>
        <v>2.7105170556552953</v>
      </c>
      <c r="AC1508" s="10">
        <f t="shared" si="237"/>
        <v>32.173837450628355</v>
      </c>
      <c r="AD1508" s="10">
        <f>IF(AND(Q1508&gt;0,Q1508&lt;30,K1508&lt;8),Markniveau!Z1508*'Udvaskning nøgletal'!$I$12/100,IF(AND(Q1508&gt;0,Q1508&lt;30,K1508=216),Markniveau!Z1508*'Udvaskning nøgletal'!$I$34/100,Markniveau!Z1508))</f>
        <v>54.210341113105905</v>
      </c>
      <c r="AE1508" s="10">
        <f t="shared" si="243"/>
        <v>643.4767490125671</v>
      </c>
      <c r="AF1508" s="10">
        <f t="shared" si="238"/>
        <v>2.7105170556552953</v>
      </c>
      <c r="AG1508" s="10">
        <f t="shared" si="244"/>
        <v>32.173837450628355</v>
      </c>
      <c r="AH1508" s="10" t="str">
        <f>IF(AND(Q1508&gt;0,Q1508&lt;30,K1508=216),'Udvaskning nøgletal'!$C$42,IF(AND(Q1508&gt;0,Q1508&lt;30,K1508&gt;7,K1508&lt;17),'Udvaskning nøgletal'!$C$61,IF(AND(Q1508&gt;0,Q1508&lt;30,K1508&lt;7),'Udvaskning nøgletal'!$C$62,"")))</f>
        <v/>
      </c>
      <c r="AI1508" s="10">
        <f t="shared" si="240"/>
        <v>10</v>
      </c>
      <c r="AJ1508" s="10">
        <f>IF($X1508=1,LOOKUP(AI1508,'Udvaskning nøgletal'!$C$12:$C$62,'Udvaskning nøgletal'!$E$12:$E$62)+Markniveau!$Y1508*Markniveau!$S1508/100,IF($X1508=2,LOOKUP(AI1508,'Udvaskning nøgletal'!$C$12:$C$62,'Udvaskning nøgletal'!$F$12:$F$62)+Markniveau!$Y1508*Markniveau!$S1508/100,IF($X1508=3,LOOKUP(AI1508,'Udvaskning nøgletal'!$C$12:$C$62,'Udvaskning nøgletal'!Q1518:Q1568)+Markniveau!$Y1508*Markniveau!$S1508/100,"")))</f>
        <v>54.210341113105905</v>
      </c>
      <c r="AK1508" s="10">
        <f t="shared" si="239"/>
        <v>643.4767490125671</v>
      </c>
      <c r="AL1508" s="10">
        <f t="shared" si="241"/>
        <v>2.7105170556552953</v>
      </c>
      <c r="AM1508" s="10">
        <f t="shared" si="242"/>
        <v>32.173837450628355</v>
      </c>
    </row>
    <row r="1509" spans="1:39" x14ac:dyDescent="0.25">
      <c r="A1509" s="15">
        <v>74082815</v>
      </c>
      <c r="B1509" s="15">
        <v>34.72</v>
      </c>
      <c r="C1509" s="15">
        <v>379167</v>
      </c>
      <c r="D1509" s="15">
        <v>124115</v>
      </c>
      <c r="E1509" s="15" t="s">
        <v>1245</v>
      </c>
      <c r="F1509" s="15">
        <v>2011</v>
      </c>
      <c r="G1509" s="15">
        <v>20110305</v>
      </c>
      <c r="H1509" s="15">
        <v>158499</v>
      </c>
      <c r="I1509" s="15">
        <v>15.85</v>
      </c>
      <c r="J1509" s="6" t="s">
        <v>61</v>
      </c>
      <c r="K1509" s="15">
        <v>22</v>
      </c>
      <c r="L1509" s="15" t="s">
        <v>213</v>
      </c>
      <c r="M1509" s="15" t="s">
        <v>5</v>
      </c>
      <c r="N1509" s="11" t="s">
        <v>1391</v>
      </c>
      <c r="O1509" s="11" t="s">
        <v>46</v>
      </c>
      <c r="P1509" s="11" t="s">
        <v>29</v>
      </c>
      <c r="Q1509" s="15">
        <v>95</v>
      </c>
      <c r="R1509" s="11" t="s">
        <v>3</v>
      </c>
      <c r="S1509" s="10">
        <v>66.606822262118001</v>
      </c>
      <c r="T1509" s="15">
        <v>80</v>
      </c>
      <c r="U1509" s="15">
        <v>0</v>
      </c>
      <c r="V1509" s="15">
        <v>0</v>
      </c>
      <c r="W1509" s="15">
        <v>0</v>
      </c>
      <c r="X1509" s="15">
        <f>IF(O1509='Udvaskning nøgletal'!$D$65,1,IF(O1509='Udvaskning nøgletal'!$D$66,2,IF(O1509='Udvaskning nøgletal'!$D$67,3,IF(O1509='Udvaskning nøgletal'!$D$68,2,""))))</f>
        <v>2</v>
      </c>
      <c r="Y1509" s="15">
        <f>LOOKUP(K1509,'Udvaskning nøgletal'!$C$12:$C$60,'Udvaskning nøgletal'!$H$12:$H$60)</f>
        <v>5</v>
      </c>
      <c r="Z1509" s="10">
        <f>IF(X1509=1,LOOKUP(K1509,'Udvaskning nøgletal'!$C$12:$C$60,'Udvaskning nøgletal'!$E$12:$E$60)+Markniveau!Y1509*Markniveau!S1509/100,IF(X1509=2,LOOKUP(K1509,'Udvaskning nøgletal'!$C$12:$C$60,'Udvaskning nøgletal'!$F$12:$F$60)+Markniveau!Y1509*Markniveau!S1509/100,IF(X1509=3,LOOKUP(K1509,'Udvaskning nøgletal'!$C$12:$C$60,'Udvaskning nøgletal'!G1519:G1567)+Markniveau!Y1509*Markniveau!S1509/100,"")))</f>
        <v>54.210341113105905</v>
      </c>
      <c r="AA1509" s="10">
        <f t="shared" si="236"/>
        <v>859.23390664272858</v>
      </c>
      <c r="AB1509" s="10">
        <f t="shared" si="235"/>
        <v>2.7105170556552953</v>
      </c>
      <c r="AC1509" s="10">
        <f t="shared" si="237"/>
        <v>42.961695332136429</v>
      </c>
      <c r="AD1509" s="10">
        <f>IF(AND(Q1509&gt;0,Q1509&lt;30,K1509&lt;8),Markniveau!Z1509*'Udvaskning nøgletal'!$I$12/100,IF(AND(Q1509&gt;0,Q1509&lt;30,K1509=216),Markniveau!Z1509*'Udvaskning nøgletal'!$I$34/100,Markniveau!Z1509))</f>
        <v>54.210341113105905</v>
      </c>
      <c r="AE1509" s="10">
        <f t="shared" si="243"/>
        <v>859.23390664272858</v>
      </c>
      <c r="AF1509" s="10">
        <f t="shared" si="238"/>
        <v>2.7105170556552953</v>
      </c>
      <c r="AG1509" s="10">
        <f t="shared" si="244"/>
        <v>42.961695332136429</v>
      </c>
      <c r="AH1509" s="10" t="str">
        <f>IF(AND(Q1509&gt;0,Q1509&lt;30,K1509=216),'Udvaskning nøgletal'!$C$42,IF(AND(Q1509&gt;0,Q1509&lt;30,K1509&gt;7,K1509&lt;17),'Udvaskning nøgletal'!$C$61,IF(AND(Q1509&gt;0,Q1509&lt;30,K1509&lt;7),'Udvaskning nøgletal'!$C$62,"")))</f>
        <v/>
      </c>
      <c r="AI1509" s="10">
        <f t="shared" si="240"/>
        <v>22</v>
      </c>
      <c r="AJ1509" s="10">
        <f>IF($X1509=1,LOOKUP(AI1509,'Udvaskning nøgletal'!$C$12:$C$62,'Udvaskning nøgletal'!$E$12:$E$62)+Markniveau!$Y1509*Markniveau!$S1509/100,IF($X1509=2,LOOKUP(AI1509,'Udvaskning nøgletal'!$C$12:$C$62,'Udvaskning nøgletal'!$F$12:$F$62)+Markniveau!$Y1509*Markniveau!$S1509/100,IF($X1509=3,LOOKUP(AI1509,'Udvaskning nøgletal'!$C$12:$C$62,'Udvaskning nøgletal'!Q1519:Q1569)+Markniveau!$Y1509*Markniveau!$S1509/100,"")))</f>
        <v>54.210341113105905</v>
      </c>
      <c r="AK1509" s="10">
        <f t="shared" si="239"/>
        <v>859.23390664272858</v>
      </c>
      <c r="AL1509" s="10">
        <f t="shared" si="241"/>
        <v>2.7105170556552953</v>
      </c>
      <c r="AM1509" s="10">
        <f t="shared" si="242"/>
        <v>42.961695332136429</v>
      </c>
    </row>
    <row r="1510" spans="1:39" x14ac:dyDescent="0.25">
      <c r="A1510" s="15">
        <v>78591951</v>
      </c>
      <c r="B1510" s="15">
        <v>11.24</v>
      </c>
      <c r="C1510" s="15">
        <v>202773</v>
      </c>
      <c r="D1510" s="15">
        <v>35770</v>
      </c>
      <c r="E1510" s="15" t="s">
        <v>336</v>
      </c>
      <c r="F1510" s="15">
        <v>2011</v>
      </c>
      <c r="G1510" s="15">
        <v>20110417</v>
      </c>
      <c r="H1510" s="15">
        <v>56104</v>
      </c>
      <c r="I1510" s="15">
        <v>5.61</v>
      </c>
      <c r="J1510" s="6" t="s">
        <v>1384</v>
      </c>
      <c r="K1510" s="15">
        <v>16</v>
      </c>
      <c r="L1510" s="15" t="s">
        <v>523</v>
      </c>
      <c r="M1510" s="15" t="s">
        <v>5</v>
      </c>
      <c r="N1510" s="11" t="s">
        <v>1384</v>
      </c>
      <c r="O1510" s="11" t="s">
        <v>28</v>
      </c>
      <c r="P1510" s="11" t="s">
        <v>29</v>
      </c>
      <c r="Q1510" s="15">
        <v>95</v>
      </c>
      <c r="R1510" s="11" t="s">
        <v>3</v>
      </c>
      <c r="S1510" s="10">
        <v>81.138790035586993</v>
      </c>
      <c r="T1510" s="15">
        <v>80</v>
      </c>
      <c r="U1510" s="15">
        <v>0</v>
      </c>
      <c r="V1510" s="15">
        <v>0</v>
      </c>
      <c r="W1510" s="15">
        <v>0</v>
      </c>
      <c r="X1510" s="15">
        <f>IF(O1510='Udvaskning nøgletal'!$D$65,1,IF(O1510='Udvaskning nøgletal'!$D$66,2,IF(O1510='Udvaskning nøgletal'!$D$67,3,IF(O1510='Udvaskning nøgletal'!$D$68,2,""))))</f>
        <v>1</v>
      </c>
      <c r="Y1510" s="15">
        <f>LOOKUP(K1510,'Udvaskning nøgletal'!$C$12:$C$60,'Udvaskning nøgletal'!$H$12:$H$60)</f>
        <v>5</v>
      </c>
      <c r="Z1510" s="10">
        <f>IF(X1510=1,LOOKUP(K1510,'Udvaskning nøgletal'!$C$12:$C$60,'Udvaskning nøgletal'!$E$12:$E$60)+Markniveau!Y1510*Markniveau!S1510/100,IF(X1510=2,LOOKUP(K1510,'Udvaskning nøgletal'!$C$12:$C$60,'Udvaskning nøgletal'!$F$12:$F$60)+Markniveau!Y1510*Markniveau!S1510/100,IF(X1510=3,LOOKUP(K1510,'Udvaskning nøgletal'!$C$12:$C$60,'Udvaskning nøgletal'!G1520:G1568)+Markniveau!Y1510*Markniveau!S1510/100,"")))</f>
        <v>68.716939501779351</v>
      </c>
      <c r="AA1510" s="10">
        <f t="shared" si="236"/>
        <v>385.50203060498217</v>
      </c>
      <c r="AB1510" s="10">
        <f t="shared" si="235"/>
        <v>3.4358469750889675</v>
      </c>
      <c r="AC1510" s="10">
        <f t="shared" si="237"/>
        <v>19.27510153024911</v>
      </c>
      <c r="AD1510" s="10">
        <f>IF(AND(Q1510&gt;0,Q1510&lt;30,K1510&lt;8),Markniveau!Z1510*'Udvaskning nøgletal'!$I$12/100,IF(AND(Q1510&gt;0,Q1510&lt;30,K1510=216),Markniveau!Z1510*'Udvaskning nøgletal'!$I$34/100,Markniveau!Z1510))</f>
        <v>68.716939501779351</v>
      </c>
      <c r="AE1510" s="10">
        <f t="shared" si="243"/>
        <v>385.50203060498217</v>
      </c>
      <c r="AF1510" s="10">
        <f t="shared" si="238"/>
        <v>3.4358469750889675</v>
      </c>
      <c r="AG1510" s="10">
        <f t="shared" si="244"/>
        <v>19.27510153024911</v>
      </c>
      <c r="AH1510" s="10" t="str">
        <f>IF(AND(Q1510&gt;0,Q1510&lt;30,K1510=216),'Udvaskning nøgletal'!$C$42,IF(AND(Q1510&gt;0,Q1510&lt;30,K1510&gt;7,K1510&lt;17),'Udvaskning nøgletal'!$C$61,IF(AND(Q1510&gt;0,Q1510&lt;30,K1510&lt;7),'Udvaskning nøgletal'!$C$62,"")))</f>
        <v/>
      </c>
      <c r="AI1510" s="10">
        <f t="shared" si="240"/>
        <v>16</v>
      </c>
      <c r="AJ1510" s="10">
        <f>IF($X1510=1,LOOKUP(AI1510,'Udvaskning nøgletal'!$C$12:$C$62,'Udvaskning nøgletal'!$E$12:$E$62)+Markniveau!$Y1510*Markniveau!$S1510/100,IF($X1510=2,LOOKUP(AI1510,'Udvaskning nøgletal'!$C$12:$C$62,'Udvaskning nøgletal'!$F$12:$F$62)+Markniveau!$Y1510*Markniveau!$S1510/100,IF($X1510=3,LOOKUP(AI1510,'Udvaskning nøgletal'!$C$12:$C$62,'Udvaskning nøgletal'!Q1520:Q1570)+Markniveau!$Y1510*Markniveau!$S1510/100,"")))</f>
        <v>68.716939501779351</v>
      </c>
      <c r="AK1510" s="10">
        <f t="shared" si="239"/>
        <v>385.50203060498217</v>
      </c>
      <c r="AL1510" s="10">
        <f t="shared" si="241"/>
        <v>3.4358469750889675</v>
      </c>
      <c r="AM1510" s="10">
        <f t="shared" si="242"/>
        <v>19.27510153024911</v>
      </c>
    </row>
    <row r="1511" spans="1:39" x14ac:dyDescent="0.25">
      <c r="A1511" s="15">
        <v>78591951</v>
      </c>
      <c r="B1511" s="15">
        <v>11.24</v>
      </c>
      <c r="C1511" s="15">
        <v>202774</v>
      </c>
      <c r="D1511" s="15">
        <v>35770</v>
      </c>
      <c r="E1511" s="15" t="s">
        <v>336</v>
      </c>
      <c r="F1511" s="15">
        <v>2011</v>
      </c>
      <c r="G1511" s="15">
        <v>20110417</v>
      </c>
      <c r="H1511" s="15">
        <v>56274</v>
      </c>
      <c r="I1511" s="15">
        <v>5.63</v>
      </c>
      <c r="J1511" s="6" t="s">
        <v>1406</v>
      </c>
      <c r="K1511" s="15">
        <v>16</v>
      </c>
      <c r="L1511" s="15" t="s">
        <v>523</v>
      </c>
      <c r="M1511" s="15" t="s">
        <v>5</v>
      </c>
      <c r="N1511" s="11" t="s">
        <v>1384</v>
      </c>
      <c r="O1511" s="11" t="s">
        <v>28</v>
      </c>
      <c r="P1511" s="11" t="s">
        <v>29</v>
      </c>
      <c r="Q1511" s="15">
        <v>95</v>
      </c>
      <c r="R1511" s="11" t="s">
        <v>3</v>
      </c>
      <c r="S1511" s="10">
        <v>81.138790035586993</v>
      </c>
      <c r="T1511" s="15">
        <v>80</v>
      </c>
      <c r="U1511" s="15">
        <v>0</v>
      </c>
      <c r="V1511" s="15">
        <v>0</v>
      </c>
      <c r="W1511" s="15">
        <v>0</v>
      </c>
      <c r="X1511" s="15">
        <f>IF(O1511='Udvaskning nøgletal'!$D$65,1,IF(O1511='Udvaskning nøgletal'!$D$66,2,IF(O1511='Udvaskning nøgletal'!$D$67,3,IF(O1511='Udvaskning nøgletal'!$D$68,2,""))))</f>
        <v>1</v>
      </c>
      <c r="Y1511" s="15">
        <f>LOOKUP(K1511,'Udvaskning nøgletal'!$C$12:$C$60,'Udvaskning nøgletal'!$H$12:$H$60)</f>
        <v>5</v>
      </c>
      <c r="Z1511" s="10">
        <f>IF(X1511=1,LOOKUP(K1511,'Udvaskning nøgletal'!$C$12:$C$60,'Udvaskning nøgletal'!$E$12:$E$60)+Markniveau!Y1511*Markniveau!S1511/100,IF(X1511=2,LOOKUP(K1511,'Udvaskning nøgletal'!$C$12:$C$60,'Udvaskning nøgletal'!$F$12:$F$60)+Markniveau!Y1511*Markniveau!S1511/100,IF(X1511=3,LOOKUP(K1511,'Udvaskning nøgletal'!$C$12:$C$60,'Udvaskning nøgletal'!G1521:G1569)+Markniveau!Y1511*Markniveau!S1511/100,"")))</f>
        <v>68.716939501779351</v>
      </c>
      <c r="AA1511" s="10">
        <f t="shared" si="236"/>
        <v>386.87636939501772</v>
      </c>
      <c r="AB1511" s="10">
        <f t="shared" si="235"/>
        <v>3.4358469750889675</v>
      </c>
      <c r="AC1511" s="10">
        <f t="shared" si="237"/>
        <v>19.343818469750886</v>
      </c>
      <c r="AD1511" s="10">
        <f>IF(AND(Q1511&gt;0,Q1511&lt;30,K1511&lt;8),Markniveau!Z1511*'Udvaskning nøgletal'!$I$12/100,IF(AND(Q1511&gt;0,Q1511&lt;30,K1511=216),Markniveau!Z1511*'Udvaskning nøgletal'!$I$34/100,Markniveau!Z1511))</f>
        <v>68.716939501779351</v>
      </c>
      <c r="AE1511" s="10">
        <f t="shared" si="243"/>
        <v>386.87636939501772</v>
      </c>
      <c r="AF1511" s="10">
        <f t="shared" si="238"/>
        <v>3.4358469750889675</v>
      </c>
      <c r="AG1511" s="10">
        <f t="shared" si="244"/>
        <v>19.343818469750886</v>
      </c>
      <c r="AH1511" s="10" t="str">
        <f>IF(AND(Q1511&gt;0,Q1511&lt;30,K1511=216),'Udvaskning nøgletal'!$C$42,IF(AND(Q1511&gt;0,Q1511&lt;30,K1511&gt;7,K1511&lt;17),'Udvaskning nøgletal'!$C$61,IF(AND(Q1511&gt;0,Q1511&lt;30,K1511&lt;7),'Udvaskning nøgletal'!$C$62,"")))</f>
        <v/>
      </c>
      <c r="AI1511" s="10">
        <f t="shared" si="240"/>
        <v>16</v>
      </c>
      <c r="AJ1511" s="10">
        <f>IF($X1511=1,LOOKUP(AI1511,'Udvaskning nøgletal'!$C$12:$C$62,'Udvaskning nøgletal'!$E$12:$E$62)+Markniveau!$Y1511*Markniveau!$S1511/100,IF($X1511=2,LOOKUP(AI1511,'Udvaskning nøgletal'!$C$12:$C$62,'Udvaskning nøgletal'!$F$12:$F$62)+Markniveau!$Y1511*Markniveau!$S1511/100,IF($X1511=3,LOOKUP(AI1511,'Udvaskning nøgletal'!$C$12:$C$62,'Udvaskning nøgletal'!Q1521:Q1571)+Markniveau!$Y1511*Markniveau!$S1511/100,"")))</f>
        <v>68.716939501779351</v>
      </c>
      <c r="AK1511" s="10">
        <f t="shared" si="239"/>
        <v>386.87636939501772</v>
      </c>
      <c r="AL1511" s="10">
        <f t="shared" si="241"/>
        <v>3.4358469750889675</v>
      </c>
      <c r="AM1511" s="10">
        <f t="shared" si="242"/>
        <v>19.343818469750886</v>
      </c>
    </row>
    <row r="1512" spans="1:39" x14ac:dyDescent="0.25">
      <c r="A1512" s="15">
        <v>78857919</v>
      </c>
      <c r="B1512" s="15">
        <v>82.92</v>
      </c>
      <c r="C1512" s="15">
        <v>10591</v>
      </c>
      <c r="D1512" s="15">
        <v>39501</v>
      </c>
      <c r="E1512" s="15" t="s">
        <v>1246</v>
      </c>
      <c r="F1512" s="15">
        <v>2011</v>
      </c>
      <c r="G1512" s="15">
        <v>20110420</v>
      </c>
      <c r="H1512" s="15">
        <v>158565</v>
      </c>
      <c r="I1512" s="15">
        <v>15.86</v>
      </c>
      <c r="J1512" s="6" t="s">
        <v>91</v>
      </c>
      <c r="K1512" s="15">
        <v>260</v>
      </c>
      <c r="L1512" s="15" t="s">
        <v>45</v>
      </c>
      <c r="M1512" s="15" t="s">
        <v>5</v>
      </c>
      <c r="N1512" s="11" t="s">
        <v>1406</v>
      </c>
      <c r="O1512" s="11" t="s">
        <v>46</v>
      </c>
      <c r="P1512" s="11" t="s">
        <v>29</v>
      </c>
      <c r="Q1512" s="15">
        <v>95</v>
      </c>
      <c r="R1512" s="11" t="s">
        <v>3</v>
      </c>
      <c r="S1512" s="10">
        <v>209.85474477560999</v>
      </c>
      <c r="T1512" s="15">
        <v>80</v>
      </c>
      <c r="U1512" s="15">
        <v>1</v>
      </c>
      <c r="V1512" s="15">
        <v>1</v>
      </c>
      <c r="W1512" s="15">
        <v>0</v>
      </c>
      <c r="X1512" s="15">
        <f>IF(O1512='Udvaskning nøgletal'!$D$65,1,IF(O1512='Udvaskning nøgletal'!$D$66,2,IF(O1512='Udvaskning nøgletal'!$D$67,3,IF(O1512='Udvaskning nøgletal'!$D$68,2,""))))</f>
        <v>2</v>
      </c>
      <c r="Y1512" s="15">
        <f>LOOKUP(K1512,'Udvaskning nøgletal'!$C$12:$C$60,'Udvaskning nøgletal'!$H$12:$H$60)</f>
        <v>0</v>
      </c>
      <c r="Z1512" s="10">
        <f>IF(X1512=1,LOOKUP(K1512,'Udvaskning nøgletal'!$C$12:$C$60,'Udvaskning nøgletal'!$E$12:$E$60)+Markniveau!Y1512*Markniveau!S1512/100,IF(X1512=2,LOOKUP(K1512,'Udvaskning nøgletal'!$C$12:$C$60,'Udvaskning nøgletal'!$F$12:$F$60)+Markniveau!Y1512*Markniveau!S1512/100,IF(X1512=3,LOOKUP(K1512,'Udvaskning nøgletal'!$C$12:$C$60,'Udvaskning nøgletal'!G1522:G1570)+Markniveau!Y1512*Markniveau!S1512/100,"")))</f>
        <v>27.331185321443094</v>
      </c>
      <c r="AA1512" s="10">
        <f t="shared" si="236"/>
        <v>433.47259919808744</v>
      </c>
      <c r="AB1512" s="10">
        <f t="shared" si="235"/>
        <v>1.3665592660721546</v>
      </c>
      <c r="AC1512" s="10">
        <f t="shared" si="237"/>
        <v>21.673629959904371</v>
      </c>
      <c r="AD1512" s="10">
        <f>IF(AND(Q1512&gt;0,Q1512&lt;30,K1512&lt;8),Markniveau!Z1512*'Udvaskning nøgletal'!$I$12/100,IF(AND(Q1512&gt;0,Q1512&lt;30,K1512=216),Markniveau!Z1512*'Udvaskning nøgletal'!$I$34/100,Markniveau!Z1512))</f>
        <v>27.331185321443094</v>
      </c>
      <c r="AE1512" s="10">
        <f t="shared" si="243"/>
        <v>433.47259919808744</v>
      </c>
      <c r="AF1512" s="10">
        <f t="shared" si="238"/>
        <v>1.3665592660721546</v>
      </c>
      <c r="AG1512" s="10">
        <f t="shared" si="244"/>
        <v>21.673629959904371</v>
      </c>
      <c r="AH1512" s="10" t="str">
        <f>IF(AND(Q1512&gt;0,Q1512&lt;30,K1512=216),'Udvaskning nøgletal'!$C$42,IF(AND(Q1512&gt;0,Q1512&lt;30,K1512&gt;7,K1512&lt;17),'Udvaskning nøgletal'!$C$61,IF(AND(Q1512&gt;0,Q1512&lt;30,K1512&lt;7),'Udvaskning nøgletal'!$C$62,"")))</f>
        <v/>
      </c>
      <c r="AI1512" s="10">
        <f t="shared" si="240"/>
        <v>260</v>
      </c>
      <c r="AJ1512" s="10">
        <f>IF($X1512=1,LOOKUP(AI1512,'Udvaskning nøgletal'!$C$12:$C$62,'Udvaskning nøgletal'!$E$12:$E$62)+Markniveau!$Y1512*Markniveau!$S1512/100,IF($X1512=2,LOOKUP(AI1512,'Udvaskning nøgletal'!$C$12:$C$62,'Udvaskning nøgletal'!$F$12:$F$62)+Markniveau!$Y1512*Markniveau!$S1512/100,IF($X1512=3,LOOKUP(AI1512,'Udvaskning nøgletal'!$C$12:$C$62,'Udvaskning nøgletal'!Q1522:Q1572)+Markniveau!$Y1512*Markniveau!$S1512/100,"")))</f>
        <v>27.331185321443094</v>
      </c>
      <c r="AK1512" s="10">
        <f t="shared" si="239"/>
        <v>433.47259919808744</v>
      </c>
      <c r="AL1512" s="10">
        <f t="shared" si="241"/>
        <v>1.3665592660721546</v>
      </c>
      <c r="AM1512" s="10">
        <f t="shared" si="242"/>
        <v>21.673629959904371</v>
      </c>
    </row>
    <row r="1513" spans="1:39" x14ac:dyDescent="0.25">
      <c r="A1513" s="15">
        <v>78857919</v>
      </c>
      <c r="B1513" s="15">
        <v>82.92</v>
      </c>
      <c r="C1513" s="15">
        <v>10592</v>
      </c>
      <c r="D1513" s="15">
        <v>39501</v>
      </c>
      <c r="E1513" s="15" t="s">
        <v>1246</v>
      </c>
      <c r="F1513" s="15">
        <v>2011</v>
      </c>
      <c r="G1513" s="15">
        <v>20110420</v>
      </c>
      <c r="H1513" s="15">
        <v>73884</v>
      </c>
      <c r="I1513" s="15">
        <v>7.39</v>
      </c>
      <c r="J1513" s="6" t="s">
        <v>61</v>
      </c>
      <c r="K1513" s="15">
        <v>216</v>
      </c>
      <c r="L1513" s="15" t="s">
        <v>116</v>
      </c>
      <c r="M1513" s="15" t="s">
        <v>5</v>
      </c>
      <c r="N1513" s="11" t="s">
        <v>1384</v>
      </c>
      <c r="O1513" s="11" t="s">
        <v>28</v>
      </c>
      <c r="P1513" s="11" t="s">
        <v>29</v>
      </c>
      <c r="Q1513" s="15">
        <v>95</v>
      </c>
      <c r="R1513" s="11" t="s">
        <v>3</v>
      </c>
      <c r="S1513" s="10">
        <v>209.85474477560999</v>
      </c>
      <c r="T1513" s="15">
        <v>80</v>
      </c>
      <c r="U1513" s="15">
        <v>1</v>
      </c>
      <c r="V1513" s="15">
        <v>1</v>
      </c>
      <c r="W1513" s="15">
        <v>0</v>
      </c>
      <c r="X1513" s="15">
        <f>IF(O1513='Udvaskning nøgletal'!$D$65,1,IF(O1513='Udvaskning nøgletal'!$D$66,2,IF(O1513='Udvaskning nøgletal'!$D$67,3,IF(O1513='Udvaskning nøgletal'!$D$68,2,""))))</f>
        <v>1</v>
      </c>
      <c r="Y1513" s="15">
        <f>LOOKUP(K1513,'Udvaskning nøgletal'!$C$12:$C$60,'Udvaskning nøgletal'!$H$12:$H$60)</f>
        <v>0</v>
      </c>
      <c r="Z1513" s="10">
        <f>IF(X1513=1,LOOKUP(K1513,'Udvaskning nøgletal'!$C$12:$C$60,'Udvaskning nøgletal'!$E$12:$E$60)+Markniveau!Y1513*Markniveau!S1513/100,IF(X1513=2,LOOKUP(K1513,'Udvaskning nøgletal'!$C$12:$C$60,'Udvaskning nøgletal'!$F$12:$F$60)+Markniveau!Y1513*Markniveau!S1513/100,IF(X1513=3,LOOKUP(K1513,'Udvaskning nøgletal'!$C$12:$C$60,'Udvaskning nøgletal'!G1523:G1571)+Markniveau!Y1513*Markniveau!S1513/100,"")))</f>
        <v>125.85383557148924</v>
      </c>
      <c r="AA1513" s="10">
        <f t="shared" si="236"/>
        <v>930.05984487330545</v>
      </c>
      <c r="AB1513" s="10">
        <f t="shared" si="235"/>
        <v>6.2926917785744623</v>
      </c>
      <c r="AC1513" s="10">
        <f t="shared" si="237"/>
        <v>46.502992243665275</v>
      </c>
      <c r="AD1513" s="10">
        <f>IF(AND(Q1513&gt;0,Q1513&lt;30,K1513&lt;8),Markniveau!Z1513*'Udvaskning nøgletal'!$I$12/100,IF(AND(Q1513&gt;0,Q1513&lt;30,K1513=216),Markniveau!Z1513*'Udvaskning nøgletal'!$I$34/100,Markniveau!Z1513))</f>
        <v>125.85383557148924</v>
      </c>
      <c r="AE1513" s="10">
        <f t="shared" si="243"/>
        <v>930.05984487330545</v>
      </c>
      <c r="AF1513" s="10">
        <f t="shared" si="238"/>
        <v>6.2926917785744623</v>
      </c>
      <c r="AG1513" s="10">
        <f t="shared" si="244"/>
        <v>46.502992243665275</v>
      </c>
      <c r="AH1513" s="10" t="str">
        <f>IF(AND(Q1513&gt;0,Q1513&lt;30,K1513=216),'Udvaskning nøgletal'!$C$42,IF(AND(Q1513&gt;0,Q1513&lt;30,K1513&gt;7,K1513&lt;17),'Udvaskning nøgletal'!$C$61,IF(AND(Q1513&gt;0,Q1513&lt;30,K1513&lt;7),'Udvaskning nøgletal'!$C$62,"")))</f>
        <v/>
      </c>
      <c r="AI1513" s="10">
        <f t="shared" si="240"/>
        <v>216</v>
      </c>
      <c r="AJ1513" s="10">
        <f>IF($X1513=1,LOOKUP(AI1513,'Udvaskning nøgletal'!$C$12:$C$62,'Udvaskning nøgletal'!$E$12:$E$62)+Markniveau!$Y1513*Markniveau!$S1513/100,IF($X1513=2,LOOKUP(AI1513,'Udvaskning nøgletal'!$C$12:$C$62,'Udvaskning nøgletal'!$F$12:$F$62)+Markniveau!$Y1513*Markniveau!$S1513/100,IF($X1513=3,LOOKUP(AI1513,'Udvaskning nøgletal'!$C$12:$C$62,'Udvaskning nøgletal'!Q1523:Q1573)+Markniveau!$Y1513*Markniveau!$S1513/100,"")))</f>
        <v>125.85383557148924</v>
      </c>
      <c r="AK1513" s="10">
        <f t="shared" si="239"/>
        <v>930.05984487330545</v>
      </c>
      <c r="AL1513" s="10">
        <f t="shared" si="241"/>
        <v>6.2926917785744623</v>
      </c>
      <c r="AM1513" s="10">
        <f t="shared" si="242"/>
        <v>46.502992243665275</v>
      </c>
    </row>
    <row r="1514" spans="1:39" x14ac:dyDescent="0.25">
      <c r="A1514" s="15">
        <v>78857919</v>
      </c>
      <c r="B1514" s="15">
        <v>82.92</v>
      </c>
      <c r="C1514" s="15">
        <v>10593</v>
      </c>
      <c r="D1514" s="15">
        <v>39501</v>
      </c>
      <c r="E1514" s="15" t="s">
        <v>366</v>
      </c>
      <c r="F1514" s="15">
        <v>2011</v>
      </c>
      <c r="G1514" s="15">
        <v>20110420</v>
      </c>
      <c r="H1514" s="15">
        <v>53394</v>
      </c>
      <c r="I1514" s="15">
        <v>5.34</v>
      </c>
      <c r="J1514" s="6" t="s">
        <v>1393</v>
      </c>
      <c r="K1514" s="15">
        <v>216</v>
      </c>
      <c r="L1514" s="15" t="s">
        <v>116</v>
      </c>
      <c r="M1514" s="15" t="s">
        <v>5</v>
      </c>
      <c r="N1514" s="11" t="s">
        <v>1384</v>
      </c>
      <c r="O1514" s="11" t="s">
        <v>28</v>
      </c>
      <c r="P1514" s="11" t="s">
        <v>33</v>
      </c>
      <c r="Q1514" s="15">
        <v>95</v>
      </c>
      <c r="R1514" s="11" t="s">
        <v>3</v>
      </c>
      <c r="S1514" s="10">
        <v>209.85474477560999</v>
      </c>
      <c r="T1514" s="15">
        <v>80</v>
      </c>
      <c r="U1514" s="15">
        <v>1</v>
      </c>
      <c r="V1514" s="15">
        <v>1</v>
      </c>
      <c r="W1514" s="15">
        <v>0</v>
      </c>
      <c r="X1514" s="15">
        <f>IF(O1514='Udvaskning nøgletal'!$D$65,1,IF(O1514='Udvaskning nøgletal'!$D$66,2,IF(O1514='Udvaskning nøgletal'!$D$67,3,IF(O1514='Udvaskning nøgletal'!$D$68,2,""))))</f>
        <v>1</v>
      </c>
      <c r="Y1514" s="15">
        <f>LOOKUP(K1514,'Udvaskning nøgletal'!$C$12:$C$60,'Udvaskning nøgletal'!$H$12:$H$60)</f>
        <v>0</v>
      </c>
      <c r="Z1514" s="10">
        <f>IF(X1514=1,LOOKUP(K1514,'Udvaskning nøgletal'!$C$12:$C$60,'Udvaskning nøgletal'!$E$12:$E$60)+Markniveau!Y1514*Markniveau!S1514/100,IF(X1514=2,LOOKUP(K1514,'Udvaskning nøgletal'!$C$12:$C$60,'Udvaskning nøgletal'!$F$12:$F$60)+Markniveau!Y1514*Markniveau!S1514/100,IF(X1514=3,LOOKUP(K1514,'Udvaskning nøgletal'!$C$12:$C$60,'Udvaskning nøgletal'!G1524:G1572)+Markniveau!Y1514*Markniveau!S1514/100,"")))</f>
        <v>125.85383557148924</v>
      </c>
      <c r="AA1514" s="10">
        <f t="shared" si="236"/>
        <v>672.05948195175256</v>
      </c>
      <c r="AB1514" s="10">
        <f t="shared" si="235"/>
        <v>6.2926917785744623</v>
      </c>
      <c r="AC1514" s="10">
        <f t="shared" si="237"/>
        <v>33.602974097587627</v>
      </c>
      <c r="AD1514" s="10">
        <f>IF(AND(Q1514&gt;0,Q1514&lt;30,K1514&lt;8),Markniveau!Z1514*'Udvaskning nøgletal'!$I$12/100,IF(AND(Q1514&gt;0,Q1514&lt;30,K1514=216),Markniveau!Z1514*'Udvaskning nøgletal'!$I$34/100,Markniveau!Z1514))</f>
        <v>125.85383557148924</v>
      </c>
      <c r="AE1514" s="10">
        <f t="shared" si="243"/>
        <v>672.05948195175256</v>
      </c>
      <c r="AF1514" s="10">
        <f t="shared" si="238"/>
        <v>6.2926917785744623</v>
      </c>
      <c r="AG1514" s="10">
        <f t="shared" si="244"/>
        <v>33.602974097587627</v>
      </c>
      <c r="AH1514" s="10" t="str">
        <f>IF(AND(Q1514&gt;0,Q1514&lt;30,K1514=216),'Udvaskning nøgletal'!$C$42,IF(AND(Q1514&gt;0,Q1514&lt;30,K1514&gt;7,K1514&lt;17),'Udvaskning nøgletal'!$C$61,IF(AND(Q1514&gt;0,Q1514&lt;30,K1514&lt;7),'Udvaskning nøgletal'!$C$62,"")))</f>
        <v/>
      </c>
      <c r="AI1514" s="10">
        <f t="shared" si="240"/>
        <v>216</v>
      </c>
      <c r="AJ1514" s="10">
        <f>IF($X1514=1,LOOKUP(AI1514,'Udvaskning nøgletal'!$C$12:$C$62,'Udvaskning nøgletal'!$E$12:$E$62)+Markniveau!$Y1514*Markniveau!$S1514/100,IF($X1514=2,LOOKUP(AI1514,'Udvaskning nøgletal'!$C$12:$C$62,'Udvaskning nøgletal'!$F$12:$F$62)+Markniveau!$Y1514*Markniveau!$S1514/100,IF($X1514=3,LOOKUP(AI1514,'Udvaskning nøgletal'!$C$12:$C$62,'Udvaskning nøgletal'!Q1524:Q1574)+Markniveau!$Y1514*Markniveau!$S1514/100,"")))</f>
        <v>125.85383557148924</v>
      </c>
      <c r="AK1514" s="10">
        <f t="shared" si="239"/>
        <v>672.05948195175256</v>
      </c>
      <c r="AL1514" s="10">
        <f t="shared" si="241"/>
        <v>6.2926917785744623</v>
      </c>
      <c r="AM1514" s="10">
        <f t="shared" si="242"/>
        <v>33.602974097587627</v>
      </c>
    </row>
    <row r="1515" spans="1:39" x14ac:dyDescent="0.25">
      <c r="A1515" s="15">
        <v>78857919</v>
      </c>
      <c r="B1515" s="15">
        <v>82.92</v>
      </c>
      <c r="C1515" s="15">
        <v>11635</v>
      </c>
      <c r="D1515" s="15">
        <v>39501</v>
      </c>
      <c r="E1515" s="15" t="s">
        <v>440</v>
      </c>
      <c r="F1515" s="15">
        <v>2011</v>
      </c>
      <c r="G1515" s="15">
        <v>20110420</v>
      </c>
      <c r="H1515" s="15">
        <v>69219</v>
      </c>
      <c r="I1515" s="15">
        <v>6.92</v>
      </c>
      <c r="J1515" s="6" t="s">
        <v>137</v>
      </c>
      <c r="K1515" s="15">
        <v>216</v>
      </c>
      <c r="L1515" s="15" t="s">
        <v>116</v>
      </c>
      <c r="M1515" s="15" t="s">
        <v>5</v>
      </c>
      <c r="N1515" s="11" t="s">
        <v>1384</v>
      </c>
      <c r="O1515" s="11" t="s">
        <v>28</v>
      </c>
      <c r="P1515" s="11" t="s">
        <v>29</v>
      </c>
      <c r="Q1515" s="15">
        <v>95</v>
      </c>
      <c r="R1515" s="11" t="s">
        <v>3</v>
      </c>
      <c r="S1515" s="10">
        <v>209.85474477560999</v>
      </c>
      <c r="T1515" s="15">
        <v>80</v>
      </c>
      <c r="U1515" s="15">
        <v>1</v>
      </c>
      <c r="V1515" s="15">
        <v>1</v>
      </c>
      <c r="W1515" s="15">
        <v>0</v>
      </c>
      <c r="X1515" s="15">
        <f>IF(O1515='Udvaskning nøgletal'!$D$65,1,IF(O1515='Udvaskning nøgletal'!$D$66,2,IF(O1515='Udvaskning nøgletal'!$D$67,3,IF(O1515='Udvaskning nøgletal'!$D$68,2,""))))</f>
        <v>1</v>
      </c>
      <c r="Y1515" s="15">
        <f>LOOKUP(K1515,'Udvaskning nøgletal'!$C$12:$C$60,'Udvaskning nøgletal'!$H$12:$H$60)</f>
        <v>0</v>
      </c>
      <c r="Z1515" s="10">
        <f>IF(X1515=1,LOOKUP(K1515,'Udvaskning nøgletal'!$C$12:$C$60,'Udvaskning nøgletal'!$E$12:$E$60)+Markniveau!Y1515*Markniveau!S1515/100,IF(X1515=2,LOOKUP(K1515,'Udvaskning nøgletal'!$C$12:$C$60,'Udvaskning nøgletal'!$F$12:$F$60)+Markniveau!Y1515*Markniveau!S1515/100,IF(X1515=3,LOOKUP(K1515,'Udvaskning nøgletal'!$C$12:$C$60,'Udvaskning nøgletal'!G1525:G1573)+Markniveau!Y1515*Markniveau!S1515/100,"")))</f>
        <v>125.85383557148924</v>
      </c>
      <c r="AA1515" s="10">
        <f t="shared" si="236"/>
        <v>870.90854215470551</v>
      </c>
      <c r="AB1515" s="10">
        <f t="shared" si="235"/>
        <v>6.2926917785744623</v>
      </c>
      <c r="AC1515" s="10">
        <f t="shared" si="237"/>
        <v>43.545427107735279</v>
      </c>
      <c r="AD1515" s="10">
        <f>IF(AND(Q1515&gt;0,Q1515&lt;30,K1515&lt;8),Markniveau!Z1515*'Udvaskning nøgletal'!$I$12/100,IF(AND(Q1515&gt;0,Q1515&lt;30,K1515=216),Markniveau!Z1515*'Udvaskning nøgletal'!$I$34/100,Markniveau!Z1515))</f>
        <v>125.85383557148924</v>
      </c>
      <c r="AE1515" s="10">
        <f t="shared" si="243"/>
        <v>870.90854215470551</v>
      </c>
      <c r="AF1515" s="10">
        <f t="shared" si="238"/>
        <v>6.2926917785744623</v>
      </c>
      <c r="AG1515" s="10">
        <f t="shared" si="244"/>
        <v>43.545427107735279</v>
      </c>
      <c r="AH1515" s="10" t="str">
        <f>IF(AND(Q1515&gt;0,Q1515&lt;30,K1515=216),'Udvaskning nøgletal'!$C$42,IF(AND(Q1515&gt;0,Q1515&lt;30,K1515&gt;7,K1515&lt;17),'Udvaskning nøgletal'!$C$61,IF(AND(Q1515&gt;0,Q1515&lt;30,K1515&lt;7),'Udvaskning nøgletal'!$C$62,"")))</f>
        <v/>
      </c>
      <c r="AI1515" s="10">
        <f t="shared" si="240"/>
        <v>216</v>
      </c>
      <c r="AJ1515" s="10">
        <f>IF($X1515=1,LOOKUP(AI1515,'Udvaskning nøgletal'!$C$12:$C$62,'Udvaskning nøgletal'!$E$12:$E$62)+Markniveau!$Y1515*Markniveau!$S1515/100,IF($X1515=2,LOOKUP(AI1515,'Udvaskning nøgletal'!$C$12:$C$62,'Udvaskning nøgletal'!$F$12:$F$62)+Markniveau!$Y1515*Markniveau!$S1515/100,IF($X1515=3,LOOKUP(AI1515,'Udvaskning nøgletal'!$C$12:$C$62,'Udvaskning nøgletal'!Q1525:Q1575)+Markniveau!$Y1515*Markniveau!$S1515/100,"")))</f>
        <v>125.85383557148924</v>
      </c>
      <c r="AK1515" s="10">
        <f t="shared" si="239"/>
        <v>870.90854215470551</v>
      </c>
      <c r="AL1515" s="10">
        <f t="shared" si="241"/>
        <v>6.2926917785744623</v>
      </c>
      <c r="AM1515" s="10">
        <f t="shared" si="242"/>
        <v>43.545427107735279</v>
      </c>
    </row>
    <row r="1516" spans="1:39" x14ac:dyDescent="0.25">
      <c r="A1516" s="15">
        <v>78857919</v>
      </c>
      <c r="B1516" s="15">
        <v>82.92</v>
      </c>
      <c r="C1516" s="15">
        <v>11636</v>
      </c>
      <c r="D1516" s="15">
        <v>39501</v>
      </c>
      <c r="E1516" s="15" t="s">
        <v>1246</v>
      </c>
      <c r="F1516" s="15">
        <v>2011</v>
      </c>
      <c r="G1516" s="15">
        <v>20110420</v>
      </c>
      <c r="H1516" s="15">
        <v>70527</v>
      </c>
      <c r="I1516" s="15">
        <v>7.05</v>
      </c>
      <c r="J1516" s="6" t="s">
        <v>58</v>
      </c>
      <c r="K1516" s="15">
        <v>260</v>
      </c>
      <c r="L1516" s="15" t="s">
        <v>45</v>
      </c>
      <c r="M1516" s="15" t="s">
        <v>5</v>
      </c>
      <c r="N1516" s="11" t="s">
        <v>1384</v>
      </c>
      <c r="O1516" s="11" t="s">
        <v>28</v>
      </c>
      <c r="P1516" s="11" t="s">
        <v>29</v>
      </c>
      <c r="Q1516" s="15">
        <v>95</v>
      </c>
      <c r="R1516" s="11" t="s">
        <v>3</v>
      </c>
      <c r="S1516" s="10">
        <v>209.85474477560999</v>
      </c>
      <c r="T1516" s="15">
        <v>80</v>
      </c>
      <c r="U1516" s="15">
        <v>1</v>
      </c>
      <c r="V1516" s="15">
        <v>1</v>
      </c>
      <c r="W1516" s="15">
        <v>0</v>
      </c>
      <c r="X1516" s="15">
        <f>IF(O1516='Udvaskning nøgletal'!$D$65,1,IF(O1516='Udvaskning nøgletal'!$D$66,2,IF(O1516='Udvaskning nøgletal'!$D$67,3,IF(O1516='Udvaskning nøgletal'!$D$68,2,""))))</f>
        <v>1</v>
      </c>
      <c r="Y1516" s="15">
        <f>LOOKUP(K1516,'Udvaskning nøgletal'!$C$12:$C$60,'Udvaskning nøgletal'!$H$12:$H$60)</f>
        <v>0</v>
      </c>
      <c r="Z1516" s="10">
        <f>IF(X1516=1,LOOKUP(K1516,'Udvaskning nøgletal'!$C$12:$C$60,'Udvaskning nøgletal'!$E$12:$E$60)+Markniveau!Y1516*Markniveau!S1516/100,IF(X1516=2,LOOKUP(K1516,'Udvaskning nøgletal'!$C$12:$C$60,'Udvaskning nøgletal'!$F$12:$F$60)+Markniveau!Y1516*Markniveau!S1516/100,IF(X1516=3,LOOKUP(K1516,'Udvaskning nøgletal'!$C$12:$C$60,'Udvaskning nøgletal'!G1526:G1574)+Markniveau!Y1516*Markniveau!S1516/100,"")))</f>
        <v>33.723295792149436</v>
      </c>
      <c r="AA1516" s="10">
        <f t="shared" si="236"/>
        <v>237.74923533465352</v>
      </c>
      <c r="AB1516" s="10">
        <f t="shared" si="235"/>
        <v>1.6861647896074716</v>
      </c>
      <c r="AC1516" s="10">
        <f t="shared" si="237"/>
        <v>11.887461766732674</v>
      </c>
      <c r="AD1516" s="10">
        <f>IF(AND(Q1516&gt;0,Q1516&lt;30,K1516&lt;8),Markniveau!Z1516*'Udvaskning nøgletal'!$I$12/100,IF(AND(Q1516&gt;0,Q1516&lt;30,K1516=216),Markniveau!Z1516*'Udvaskning nøgletal'!$I$34/100,Markniveau!Z1516))</f>
        <v>33.723295792149436</v>
      </c>
      <c r="AE1516" s="10">
        <f t="shared" si="243"/>
        <v>237.74923533465352</v>
      </c>
      <c r="AF1516" s="10">
        <f t="shared" si="238"/>
        <v>1.6861647896074716</v>
      </c>
      <c r="AG1516" s="10">
        <f t="shared" si="244"/>
        <v>11.887461766732674</v>
      </c>
      <c r="AH1516" s="10" t="str">
        <f>IF(AND(Q1516&gt;0,Q1516&lt;30,K1516=216),'Udvaskning nøgletal'!$C$42,IF(AND(Q1516&gt;0,Q1516&lt;30,K1516&gt;7,K1516&lt;17),'Udvaskning nøgletal'!$C$61,IF(AND(Q1516&gt;0,Q1516&lt;30,K1516&lt;7),'Udvaskning nøgletal'!$C$62,"")))</f>
        <v/>
      </c>
      <c r="AI1516" s="10">
        <f t="shared" si="240"/>
        <v>260</v>
      </c>
      <c r="AJ1516" s="10">
        <f>IF($X1516=1,LOOKUP(AI1516,'Udvaskning nøgletal'!$C$12:$C$62,'Udvaskning nøgletal'!$E$12:$E$62)+Markniveau!$Y1516*Markniveau!$S1516/100,IF($X1516=2,LOOKUP(AI1516,'Udvaskning nøgletal'!$C$12:$C$62,'Udvaskning nøgletal'!$F$12:$F$62)+Markniveau!$Y1516*Markniveau!$S1516/100,IF($X1516=3,LOOKUP(AI1516,'Udvaskning nøgletal'!$C$12:$C$62,'Udvaskning nøgletal'!Q1526:Q1576)+Markniveau!$Y1516*Markniveau!$S1516/100,"")))</f>
        <v>33.723295792149436</v>
      </c>
      <c r="AK1516" s="10">
        <f t="shared" si="239"/>
        <v>237.74923533465352</v>
      </c>
      <c r="AL1516" s="10">
        <f t="shared" si="241"/>
        <v>1.6861647896074716</v>
      </c>
      <c r="AM1516" s="10">
        <f t="shared" si="242"/>
        <v>11.887461766732674</v>
      </c>
    </row>
    <row r="1517" spans="1:39" x14ac:dyDescent="0.25">
      <c r="A1517" s="15">
        <v>78857919</v>
      </c>
      <c r="B1517" s="15">
        <v>82.92</v>
      </c>
      <c r="C1517" s="15">
        <v>12181</v>
      </c>
      <c r="D1517" s="15">
        <v>39501</v>
      </c>
      <c r="E1517" s="15" t="s">
        <v>366</v>
      </c>
      <c r="F1517" s="15">
        <v>2011</v>
      </c>
      <c r="G1517" s="15">
        <v>20110420</v>
      </c>
      <c r="H1517" s="15">
        <v>8530</v>
      </c>
      <c r="I1517" s="15">
        <v>0.85</v>
      </c>
      <c r="J1517" s="6" t="s">
        <v>164</v>
      </c>
      <c r="K1517" s="15">
        <v>252</v>
      </c>
      <c r="L1517" s="15" t="s">
        <v>41</v>
      </c>
      <c r="M1517" s="15" t="s">
        <v>4</v>
      </c>
      <c r="N1517" s="11" t="s">
        <v>1384</v>
      </c>
      <c r="O1517" s="11" t="s">
        <v>28</v>
      </c>
      <c r="P1517" s="11" t="s">
        <v>33</v>
      </c>
      <c r="Q1517" s="15">
        <v>95</v>
      </c>
      <c r="R1517" s="11" t="s">
        <v>3</v>
      </c>
      <c r="S1517" s="10">
        <v>209.85474477560999</v>
      </c>
      <c r="T1517" s="15">
        <v>80</v>
      </c>
      <c r="U1517" s="15">
        <v>1</v>
      </c>
      <c r="V1517" s="15">
        <v>1</v>
      </c>
      <c r="W1517" s="15">
        <v>0</v>
      </c>
      <c r="X1517" s="15">
        <f>IF(O1517='Udvaskning nøgletal'!$D$65,1,IF(O1517='Udvaskning nøgletal'!$D$66,2,IF(O1517='Udvaskning nøgletal'!$D$67,3,IF(O1517='Udvaskning nøgletal'!$D$68,2,""))))</f>
        <v>1</v>
      </c>
      <c r="Y1517" s="15">
        <f>LOOKUP(K1517,'Udvaskning nøgletal'!$C$12:$C$60,'Udvaskning nøgletal'!$H$12:$H$60)</f>
        <v>0</v>
      </c>
      <c r="Z1517" s="10">
        <f>IF(X1517=1,LOOKUP(K1517,'Udvaskning nøgletal'!$C$12:$C$60,'Udvaskning nøgletal'!$E$12:$E$60)+Markniveau!Y1517*Markniveau!S1517/100,IF(X1517=2,LOOKUP(K1517,'Udvaskning nøgletal'!$C$12:$C$60,'Udvaskning nøgletal'!$F$12:$F$60)+Markniveau!Y1517*Markniveau!S1517/100,IF(X1517=3,LOOKUP(K1517,'Udvaskning nøgletal'!$C$12:$C$60,'Udvaskning nøgletal'!G1527:G1575)+Markniveau!Y1517*Markniveau!S1517/100,"")))</f>
        <v>21.2</v>
      </c>
      <c r="AA1517" s="10">
        <f t="shared" si="236"/>
        <v>18.02</v>
      </c>
      <c r="AB1517" s="10">
        <f t="shared" si="235"/>
        <v>1.06</v>
      </c>
      <c r="AC1517" s="10">
        <f t="shared" si="237"/>
        <v>0.90100000000000002</v>
      </c>
      <c r="AD1517" s="10">
        <f>IF(AND(Q1517&gt;0,Q1517&lt;30,K1517&lt;8),Markniveau!Z1517*'Udvaskning nøgletal'!$I$12/100,IF(AND(Q1517&gt;0,Q1517&lt;30,K1517=216),Markniveau!Z1517*'Udvaskning nøgletal'!$I$34/100,Markniveau!Z1517))</f>
        <v>21.2</v>
      </c>
      <c r="AE1517" s="10">
        <f t="shared" si="243"/>
        <v>18.02</v>
      </c>
      <c r="AF1517" s="10">
        <f t="shared" si="238"/>
        <v>1.06</v>
      </c>
      <c r="AG1517" s="10">
        <f t="shared" si="244"/>
        <v>0.90100000000000002</v>
      </c>
      <c r="AH1517" s="10" t="str">
        <f>IF(AND(Q1517&gt;0,Q1517&lt;30,K1517=216),'Udvaskning nøgletal'!$C$42,IF(AND(Q1517&gt;0,Q1517&lt;30,K1517&gt;7,K1517&lt;17),'Udvaskning nøgletal'!$C$61,IF(AND(Q1517&gt;0,Q1517&lt;30,K1517&lt;7),'Udvaskning nøgletal'!$C$62,"")))</f>
        <v/>
      </c>
      <c r="AI1517" s="10">
        <f t="shared" si="240"/>
        <v>252</v>
      </c>
      <c r="AJ1517" s="10">
        <f>IF($X1517=1,LOOKUP(AI1517,'Udvaskning nøgletal'!$C$12:$C$62,'Udvaskning nøgletal'!$E$12:$E$62)+Markniveau!$Y1517*Markniveau!$S1517/100,IF($X1517=2,LOOKUP(AI1517,'Udvaskning nøgletal'!$C$12:$C$62,'Udvaskning nøgletal'!$F$12:$F$62)+Markniveau!$Y1517*Markniveau!$S1517/100,IF($X1517=3,LOOKUP(AI1517,'Udvaskning nøgletal'!$C$12:$C$62,'Udvaskning nøgletal'!Q1527:Q1577)+Markniveau!$Y1517*Markniveau!$S1517/100,"")))</f>
        <v>21.2</v>
      </c>
      <c r="AK1517" s="10">
        <f t="shared" si="239"/>
        <v>18.02</v>
      </c>
      <c r="AL1517" s="10">
        <f t="shared" si="241"/>
        <v>1.06</v>
      </c>
      <c r="AM1517" s="10">
        <f t="shared" si="242"/>
        <v>0.90100000000000002</v>
      </c>
    </row>
    <row r="1518" spans="1:39" x14ac:dyDescent="0.25">
      <c r="A1518" s="15">
        <v>78857919</v>
      </c>
      <c r="B1518" s="15">
        <v>82.92</v>
      </c>
      <c r="C1518" s="15">
        <v>403426</v>
      </c>
      <c r="D1518" s="15">
        <v>39501</v>
      </c>
      <c r="E1518" s="15" t="s">
        <v>440</v>
      </c>
      <c r="F1518" s="15">
        <v>2011</v>
      </c>
      <c r="G1518" s="15">
        <v>20110420</v>
      </c>
      <c r="H1518" s="15">
        <v>6904</v>
      </c>
      <c r="I1518" s="15">
        <v>0.69</v>
      </c>
      <c r="J1518" s="6" t="s">
        <v>173</v>
      </c>
      <c r="K1518" s="15">
        <v>252</v>
      </c>
      <c r="L1518" s="15" t="s">
        <v>41</v>
      </c>
      <c r="M1518" s="15" t="s">
        <v>4</v>
      </c>
      <c r="N1518" s="11" t="s">
        <v>1384</v>
      </c>
      <c r="O1518" s="11" t="s">
        <v>28</v>
      </c>
      <c r="P1518" s="11" t="s">
        <v>29</v>
      </c>
      <c r="Q1518" s="15">
        <v>75</v>
      </c>
      <c r="R1518" s="11" t="s">
        <v>10</v>
      </c>
      <c r="S1518" s="10">
        <v>209.85474477560999</v>
      </c>
      <c r="T1518" s="15">
        <v>80</v>
      </c>
      <c r="U1518" s="15">
        <v>1</v>
      </c>
      <c r="V1518" s="15">
        <v>1</v>
      </c>
      <c r="W1518" s="15">
        <v>0</v>
      </c>
      <c r="X1518" s="15">
        <f>IF(O1518='Udvaskning nøgletal'!$D$65,1,IF(O1518='Udvaskning nøgletal'!$D$66,2,IF(O1518='Udvaskning nøgletal'!$D$67,3,IF(O1518='Udvaskning nøgletal'!$D$68,2,""))))</f>
        <v>1</v>
      </c>
      <c r="Y1518" s="15">
        <f>LOOKUP(K1518,'Udvaskning nøgletal'!$C$12:$C$60,'Udvaskning nøgletal'!$H$12:$H$60)</f>
        <v>0</v>
      </c>
      <c r="Z1518" s="10">
        <f>IF(X1518=1,LOOKUP(K1518,'Udvaskning nøgletal'!$C$12:$C$60,'Udvaskning nøgletal'!$E$12:$E$60)+Markniveau!Y1518*Markniveau!S1518/100,IF(X1518=2,LOOKUP(K1518,'Udvaskning nøgletal'!$C$12:$C$60,'Udvaskning nøgletal'!$F$12:$F$60)+Markniveau!Y1518*Markniveau!S1518/100,IF(X1518=3,LOOKUP(K1518,'Udvaskning nøgletal'!$C$12:$C$60,'Udvaskning nøgletal'!G1528:G1576)+Markniveau!Y1518*Markniveau!S1518/100,"")))</f>
        <v>21.2</v>
      </c>
      <c r="AA1518" s="10">
        <f t="shared" si="236"/>
        <v>14.627999999999998</v>
      </c>
      <c r="AB1518" s="10">
        <f t="shared" si="235"/>
        <v>5.3</v>
      </c>
      <c r="AC1518" s="10">
        <f t="shared" si="237"/>
        <v>3.6569999999999996</v>
      </c>
      <c r="AD1518" s="10">
        <f>IF(AND(Q1518&gt;0,Q1518&lt;30,K1518&lt;8),Markniveau!Z1518*'Udvaskning nøgletal'!$I$12/100,IF(AND(Q1518&gt;0,Q1518&lt;30,K1518=216),Markniveau!Z1518*'Udvaskning nøgletal'!$I$34/100,Markniveau!Z1518))</f>
        <v>21.2</v>
      </c>
      <c r="AE1518" s="10">
        <f t="shared" si="243"/>
        <v>14.627999999999998</v>
      </c>
      <c r="AF1518" s="10">
        <f t="shared" si="238"/>
        <v>5.3</v>
      </c>
      <c r="AG1518" s="10">
        <f t="shared" si="244"/>
        <v>3.6569999999999996</v>
      </c>
      <c r="AH1518" s="10" t="str">
        <f>IF(AND(Q1518&gt;0,Q1518&lt;30,K1518=216),'Udvaskning nøgletal'!$C$42,IF(AND(Q1518&gt;0,Q1518&lt;30,K1518&gt;7,K1518&lt;17),'Udvaskning nøgletal'!$C$61,IF(AND(Q1518&gt;0,Q1518&lt;30,K1518&lt;7),'Udvaskning nøgletal'!$C$62,"")))</f>
        <v/>
      </c>
      <c r="AI1518" s="10">
        <f t="shared" si="240"/>
        <v>252</v>
      </c>
      <c r="AJ1518" s="10">
        <f>IF($X1518=1,LOOKUP(AI1518,'Udvaskning nøgletal'!$C$12:$C$62,'Udvaskning nøgletal'!$E$12:$E$62)+Markniveau!$Y1518*Markniveau!$S1518/100,IF($X1518=2,LOOKUP(AI1518,'Udvaskning nøgletal'!$C$12:$C$62,'Udvaskning nøgletal'!$F$12:$F$62)+Markniveau!$Y1518*Markniveau!$S1518/100,IF($X1518=3,LOOKUP(AI1518,'Udvaskning nøgletal'!$C$12:$C$62,'Udvaskning nøgletal'!Q1528:Q1578)+Markniveau!$Y1518*Markniveau!$S1518/100,"")))</f>
        <v>21.2</v>
      </c>
      <c r="AK1518" s="10">
        <f t="shared" si="239"/>
        <v>14.627999999999998</v>
      </c>
      <c r="AL1518" s="10">
        <f t="shared" si="241"/>
        <v>5.3</v>
      </c>
      <c r="AM1518" s="10">
        <f t="shared" si="242"/>
        <v>3.6569999999999996</v>
      </c>
    </row>
    <row r="1519" spans="1:39" x14ac:dyDescent="0.25">
      <c r="A1519" s="15">
        <v>78857919</v>
      </c>
      <c r="B1519" s="15">
        <v>82.92</v>
      </c>
      <c r="C1519" s="15">
        <v>407415</v>
      </c>
      <c r="D1519" s="15">
        <v>39501</v>
      </c>
      <c r="E1519" s="15" t="s">
        <v>377</v>
      </c>
      <c r="F1519" s="15">
        <v>2011</v>
      </c>
      <c r="G1519" s="15">
        <v>20110420</v>
      </c>
      <c r="H1519" s="15">
        <v>17505</v>
      </c>
      <c r="I1519" s="15">
        <v>1.75</v>
      </c>
      <c r="J1519" s="6" t="s">
        <v>1402</v>
      </c>
      <c r="K1519" s="15">
        <v>216</v>
      </c>
      <c r="L1519" s="15" t="s">
        <v>116</v>
      </c>
      <c r="M1519" s="15" t="s">
        <v>5</v>
      </c>
      <c r="N1519" s="11" t="s">
        <v>1384</v>
      </c>
      <c r="O1519" s="11" t="s">
        <v>28</v>
      </c>
      <c r="P1519" s="11" t="s">
        <v>29</v>
      </c>
      <c r="Q1519" s="15">
        <v>95</v>
      </c>
      <c r="R1519" s="11" t="s">
        <v>3</v>
      </c>
      <c r="S1519" s="10">
        <v>209.85474477560999</v>
      </c>
      <c r="T1519" s="15">
        <v>80</v>
      </c>
      <c r="U1519" s="15">
        <v>1</v>
      </c>
      <c r="V1519" s="15">
        <v>1</v>
      </c>
      <c r="W1519" s="15">
        <v>0</v>
      </c>
      <c r="X1519" s="15">
        <f>IF(O1519='Udvaskning nøgletal'!$D$65,1,IF(O1519='Udvaskning nøgletal'!$D$66,2,IF(O1519='Udvaskning nøgletal'!$D$67,3,IF(O1519='Udvaskning nøgletal'!$D$68,2,""))))</f>
        <v>1</v>
      </c>
      <c r="Y1519" s="15">
        <f>LOOKUP(K1519,'Udvaskning nøgletal'!$C$12:$C$60,'Udvaskning nøgletal'!$H$12:$H$60)</f>
        <v>0</v>
      </c>
      <c r="Z1519" s="10">
        <f>IF(X1519=1,LOOKUP(K1519,'Udvaskning nøgletal'!$C$12:$C$60,'Udvaskning nøgletal'!$E$12:$E$60)+Markniveau!Y1519*Markniveau!S1519/100,IF(X1519=2,LOOKUP(K1519,'Udvaskning nøgletal'!$C$12:$C$60,'Udvaskning nøgletal'!$F$12:$F$60)+Markniveau!Y1519*Markniveau!S1519/100,IF(X1519=3,LOOKUP(K1519,'Udvaskning nøgletal'!$C$12:$C$60,'Udvaskning nøgletal'!G1529:G1577)+Markniveau!Y1519*Markniveau!S1519/100,"")))</f>
        <v>125.85383557148924</v>
      </c>
      <c r="AA1519" s="10">
        <f t="shared" si="236"/>
        <v>220.24421225010616</v>
      </c>
      <c r="AB1519" s="10">
        <f t="shared" si="235"/>
        <v>6.2926917785744623</v>
      </c>
      <c r="AC1519" s="10">
        <f t="shared" si="237"/>
        <v>11.012210612505308</v>
      </c>
      <c r="AD1519" s="10">
        <f>IF(AND(Q1519&gt;0,Q1519&lt;30,K1519&lt;8),Markniveau!Z1519*'Udvaskning nøgletal'!$I$12/100,IF(AND(Q1519&gt;0,Q1519&lt;30,K1519=216),Markniveau!Z1519*'Udvaskning nøgletal'!$I$34/100,Markniveau!Z1519))</f>
        <v>125.85383557148924</v>
      </c>
      <c r="AE1519" s="10">
        <f t="shared" si="243"/>
        <v>220.24421225010616</v>
      </c>
      <c r="AF1519" s="10">
        <f t="shared" si="238"/>
        <v>6.2926917785744623</v>
      </c>
      <c r="AG1519" s="10">
        <f t="shared" si="244"/>
        <v>11.012210612505308</v>
      </c>
      <c r="AH1519" s="10" t="str">
        <f>IF(AND(Q1519&gt;0,Q1519&lt;30,K1519=216),'Udvaskning nøgletal'!$C$42,IF(AND(Q1519&gt;0,Q1519&lt;30,K1519&gt;7,K1519&lt;17),'Udvaskning nøgletal'!$C$61,IF(AND(Q1519&gt;0,Q1519&lt;30,K1519&lt;7),'Udvaskning nøgletal'!$C$62,"")))</f>
        <v/>
      </c>
      <c r="AI1519" s="10">
        <f t="shared" si="240"/>
        <v>216</v>
      </c>
      <c r="AJ1519" s="10">
        <f>IF($X1519=1,LOOKUP(AI1519,'Udvaskning nøgletal'!$C$12:$C$62,'Udvaskning nøgletal'!$E$12:$E$62)+Markniveau!$Y1519*Markniveau!$S1519/100,IF($X1519=2,LOOKUP(AI1519,'Udvaskning nøgletal'!$C$12:$C$62,'Udvaskning nøgletal'!$F$12:$F$62)+Markniveau!$Y1519*Markniveau!$S1519/100,IF($X1519=3,LOOKUP(AI1519,'Udvaskning nøgletal'!$C$12:$C$62,'Udvaskning nøgletal'!Q1529:Q1579)+Markniveau!$Y1519*Markniveau!$S1519/100,"")))</f>
        <v>125.85383557148924</v>
      </c>
      <c r="AK1519" s="10">
        <f t="shared" si="239"/>
        <v>220.24421225010616</v>
      </c>
      <c r="AL1519" s="10">
        <f t="shared" si="241"/>
        <v>6.2926917785744623</v>
      </c>
      <c r="AM1519" s="10">
        <f t="shared" si="242"/>
        <v>11.012210612505308</v>
      </c>
    </row>
    <row r="1520" spans="1:39" x14ac:dyDescent="0.25">
      <c r="A1520" s="15">
        <v>78857919</v>
      </c>
      <c r="B1520" s="15">
        <v>82.92</v>
      </c>
      <c r="C1520" s="15">
        <v>407417</v>
      </c>
      <c r="D1520" s="15">
        <v>39501</v>
      </c>
      <c r="E1520" s="15" t="s">
        <v>345</v>
      </c>
      <c r="F1520" s="15">
        <v>2011</v>
      </c>
      <c r="G1520" s="15">
        <v>20110420</v>
      </c>
      <c r="H1520" s="15">
        <v>28153</v>
      </c>
      <c r="I1520" s="15">
        <v>2.82</v>
      </c>
      <c r="J1520" s="6" t="s">
        <v>69</v>
      </c>
      <c r="K1520" s="15">
        <v>216</v>
      </c>
      <c r="L1520" s="15" t="s">
        <v>116</v>
      </c>
      <c r="M1520" s="15" t="s">
        <v>5</v>
      </c>
      <c r="N1520" s="11" t="s">
        <v>1406</v>
      </c>
      <c r="O1520" s="11" t="s">
        <v>46</v>
      </c>
      <c r="P1520" s="11" t="s">
        <v>29</v>
      </c>
      <c r="Q1520" s="15">
        <v>95</v>
      </c>
      <c r="R1520" s="11" t="s">
        <v>3</v>
      </c>
      <c r="S1520" s="10">
        <v>209.85474477560999</v>
      </c>
      <c r="T1520" s="15">
        <v>80</v>
      </c>
      <c r="U1520" s="15">
        <v>1</v>
      </c>
      <c r="V1520" s="15">
        <v>1</v>
      </c>
      <c r="W1520" s="15">
        <v>0</v>
      </c>
      <c r="X1520" s="15">
        <f>IF(O1520='Udvaskning nøgletal'!$D$65,1,IF(O1520='Udvaskning nøgletal'!$D$66,2,IF(O1520='Udvaskning nøgletal'!$D$67,3,IF(O1520='Udvaskning nøgletal'!$D$68,2,""))))</f>
        <v>2</v>
      </c>
      <c r="Y1520" s="15">
        <f>LOOKUP(K1520,'Udvaskning nøgletal'!$C$12:$C$60,'Udvaskning nøgletal'!$H$12:$H$60)</f>
        <v>0</v>
      </c>
      <c r="Z1520" s="10">
        <f>IF(X1520=1,LOOKUP(K1520,'Udvaskning nøgletal'!$C$12:$C$60,'Udvaskning nøgletal'!$E$12:$E$60)+Markniveau!Y1520*Markniveau!S1520/100,IF(X1520=2,LOOKUP(K1520,'Udvaskning nøgletal'!$C$12:$C$60,'Udvaskning nøgletal'!$F$12:$F$60)+Markniveau!Y1520*Markniveau!S1520/100,IF(X1520=3,LOOKUP(K1520,'Udvaskning nøgletal'!$C$12:$C$60,'Udvaskning nøgletal'!G1530:G1578)+Markniveau!Y1520*Markniveau!S1520/100,"")))</f>
        <v>101.66744640811392</v>
      </c>
      <c r="AA1520" s="10">
        <f t="shared" si="236"/>
        <v>286.7021988708812</v>
      </c>
      <c r="AB1520" s="10">
        <f t="shared" si="235"/>
        <v>5.0833723204056955</v>
      </c>
      <c r="AC1520" s="10">
        <f t="shared" si="237"/>
        <v>14.33510994354406</v>
      </c>
      <c r="AD1520" s="10">
        <f>IF(AND(Q1520&gt;0,Q1520&lt;30,K1520&lt;8),Markniveau!Z1520*'Udvaskning nøgletal'!$I$12/100,IF(AND(Q1520&gt;0,Q1520&lt;30,K1520=216),Markniveau!Z1520*'Udvaskning nøgletal'!$I$34/100,Markniveau!Z1520))</f>
        <v>101.66744640811392</v>
      </c>
      <c r="AE1520" s="10">
        <f t="shared" si="243"/>
        <v>286.7021988708812</v>
      </c>
      <c r="AF1520" s="10">
        <f t="shared" si="238"/>
        <v>5.0833723204056955</v>
      </c>
      <c r="AG1520" s="10">
        <f t="shared" si="244"/>
        <v>14.33510994354406</v>
      </c>
      <c r="AH1520" s="10" t="str">
        <f>IF(AND(Q1520&gt;0,Q1520&lt;30,K1520=216),'Udvaskning nøgletal'!$C$42,IF(AND(Q1520&gt;0,Q1520&lt;30,K1520&gt;7,K1520&lt;17),'Udvaskning nøgletal'!$C$61,IF(AND(Q1520&gt;0,Q1520&lt;30,K1520&lt;7),'Udvaskning nøgletal'!$C$62,"")))</f>
        <v/>
      </c>
      <c r="AI1520" s="10">
        <f t="shared" si="240"/>
        <v>216</v>
      </c>
      <c r="AJ1520" s="10">
        <f>IF($X1520=1,LOOKUP(AI1520,'Udvaskning nøgletal'!$C$12:$C$62,'Udvaskning nøgletal'!$E$12:$E$62)+Markniveau!$Y1520*Markniveau!$S1520/100,IF($X1520=2,LOOKUP(AI1520,'Udvaskning nøgletal'!$C$12:$C$62,'Udvaskning nøgletal'!$F$12:$F$62)+Markniveau!$Y1520*Markniveau!$S1520/100,IF($X1520=3,LOOKUP(AI1520,'Udvaskning nøgletal'!$C$12:$C$62,'Udvaskning nøgletal'!Q1530:Q1580)+Markniveau!$Y1520*Markniveau!$S1520/100,"")))</f>
        <v>101.66744640811392</v>
      </c>
      <c r="AK1520" s="10">
        <f t="shared" si="239"/>
        <v>286.7021988708812</v>
      </c>
      <c r="AL1520" s="10">
        <f t="shared" si="241"/>
        <v>5.0833723204056955</v>
      </c>
      <c r="AM1520" s="10">
        <f t="shared" si="242"/>
        <v>14.33510994354406</v>
      </c>
    </row>
    <row r="1521" spans="1:39" x14ac:dyDescent="0.25">
      <c r="A1521" s="15">
        <v>78857919</v>
      </c>
      <c r="B1521" s="15">
        <v>82.92</v>
      </c>
      <c r="C1521" s="15">
        <v>407929</v>
      </c>
      <c r="D1521" s="15">
        <v>39501</v>
      </c>
      <c r="E1521" s="15" t="s">
        <v>1246</v>
      </c>
      <c r="F1521" s="15">
        <v>2011</v>
      </c>
      <c r="G1521" s="15">
        <v>20110420</v>
      </c>
      <c r="H1521" s="15">
        <v>101799</v>
      </c>
      <c r="I1521" s="15">
        <v>10.18</v>
      </c>
      <c r="J1521" s="6" t="s">
        <v>38</v>
      </c>
      <c r="K1521" s="15">
        <v>216</v>
      </c>
      <c r="L1521" s="15" t="s">
        <v>116</v>
      </c>
      <c r="M1521" s="15" t="s">
        <v>5</v>
      </c>
      <c r="N1521" s="11" t="s">
        <v>1384</v>
      </c>
      <c r="O1521" s="11" t="s">
        <v>28</v>
      </c>
      <c r="P1521" s="11" t="s">
        <v>29</v>
      </c>
      <c r="Q1521" s="15">
        <v>95</v>
      </c>
      <c r="R1521" s="11" t="s">
        <v>3</v>
      </c>
      <c r="S1521" s="10">
        <v>209.85474477560999</v>
      </c>
      <c r="T1521" s="15">
        <v>80</v>
      </c>
      <c r="U1521" s="15">
        <v>1</v>
      </c>
      <c r="V1521" s="15">
        <v>1</v>
      </c>
      <c r="W1521" s="15">
        <v>0</v>
      </c>
      <c r="X1521" s="15">
        <f>IF(O1521='Udvaskning nøgletal'!$D$65,1,IF(O1521='Udvaskning nøgletal'!$D$66,2,IF(O1521='Udvaskning nøgletal'!$D$67,3,IF(O1521='Udvaskning nøgletal'!$D$68,2,""))))</f>
        <v>1</v>
      </c>
      <c r="Y1521" s="15">
        <f>LOOKUP(K1521,'Udvaskning nøgletal'!$C$12:$C$60,'Udvaskning nøgletal'!$H$12:$H$60)</f>
        <v>0</v>
      </c>
      <c r="Z1521" s="10">
        <f>IF(X1521=1,LOOKUP(K1521,'Udvaskning nøgletal'!$C$12:$C$60,'Udvaskning nøgletal'!$E$12:$E$60)+Markniveau!Y1521*Markniveau!S1521/100,IF(X1521=2,LOOKUP(K1521,'Udvaskning nøgletal'!$C$12:$C$60,'Udvaskning nøgletal'!$F$12:$F$60)+Markniveau!Y1521*Markniveau!S1521/100,IF(X1521=3,LOOKUP(K1521,'Udvaskning nøgletal'!$C$12:$C$60,'Udvaskning nøgletal'!G1531:G1579)+Markniveau!Y1521*Markniveau!S1521/100,"")))</f>
        <v>125.85383557148924</v>
      </c>
      <c r="AA1521" s="10">
        <f t="shared" si="236"/>
        <v>1281.1920461177604</v>
      </c>
      <c r="AB1521" s="10">
        <f t="shared" si="235"/>
        <v>6.2926917785744623</v>
      </c>
      <c r="AC1521" s="10">
        <f t="shared" si="237"/>
        <v>64.059602305888021</v>
      </c>
      <c r="AD1521" s="10">
        <f>IF(AND(Q1521&gt;0,Q1521&lt;30,K1521&lt;8),Markniveau!Z1521*'Udvaskning nøgletal'!$I$12/100,IF(AND(Q1521&gt;0,Q1521&lt;30,K1521=216),Markniveau!Z1521*'Udvaskning nøgletal'!$I$34/100,Markniveau!Z1521))</f>
        <v>125.85383557148924</v>
      </c>
      <c r="AE1521" s="10">
        <f t="shared" si="243"/>
        <v>1281.1920461177604</v>
      </c>
      <c r="AF1521" s="10">
        <f t="shared" si="238"/>
        <v>6.2926917785744623</v>
      </c>
      <c r="AG1521" s="10">
        <f t="shared" si="244"/>
        <v>64.059602305888021</v>
      </c>
      <c r="AH1521" s="10" t="str">
        <f>IF(AND(Q1521&gt;0,Q1521&lt;30,K1521=216),'Udvaskning nøgletal'!$C$42,IF(AND(Q1521&gt;0,Q1521&lt;30,K1521&gt;7,K1521&lt;17),'Udvaskning nøgletal'!$C$61,IF(AND(Q1521&gt;0,Q1521&lt;30,K1521&lt;7),'Udvaskning nøgletal'!$C$62,"")))</f>
        <v/>
      </c>
      <c r="AI1521" s="10">
        <f t="shared" si="240"/>
        <v>216</v>
      </c>
      <c r="AJ1521" s="10">
        <f>IF($X1521=1,LOOKUP(AI1521,'Udvaskning nøgletal'!$C$12:$C$62,'Udvaskning nøgletal'!$E$12:$E$62)+Markniveau!$Y1521*Markniveau!$S1521/100,IF($X1521=2,LOOKUP(AI1521,'Udvaskning nøgletal'!$C$12:$C$62,'Udvaskning nøgletal'!$F$12:$F$62)+Markniveau!$Y1521*Markniveau!$S1521/100,IF($X1521=3,LOOKUP(AI1521,'Udvaskning nøgletal'!$C$12:$C$62,'Udvaskning nøgletal'!Q1531:Q1581)+Markniveau!$Y1521*Markniveau!$S1521/100,"")))</f>
        <v>125.85383557148924</v>
      </c>
      <c r="AK1521" s="10">
        <f t="shared" si="239"/>
        <v>1281.1920461177604</v>
      </c>
      <c r="AL1521" s="10">
        <f t="shared" si="241"/>
        <v>6.2926917785744623</v>
      </c>
      <c r="AM1521" s="10">
        <f t="shared" si="242"/>
        <v>64.059602305888021</v>
      </c>
    </row>
    <row r="1522" spans="1:39" x14ac:dyDescent="0.25">
      <c r="A1522" s="15">
        <v>78857919</v>
      </c>
      <c r="B1522" s="15">
        <v>82.92</v>
      </c>
      <c r="C1522" s="15">
        <v>448006</v>
      </c>
      <c r="D1522" s="15">
        <v>39501</v>
      </c>
      <c r="E1522" s="15" t="s">
        <v>366</v>
      </c>
      <c r="F1522" s="15">
        <v>2011</v>
      </c>
      <c r="G1522" s="15">
        <v>20110420</v>
      </c>
      <c r="H1522" s="15">
        <v>86542</v>
      </c>
      <c r="I1522" s="15">
        <v>8.65</v>
      </c>
      <c r="J1522" s="6" t="s">
        <v>92</v>
      </c>
      <c r="K1522" s="15">
        <v>260</v>
      </c>
      <c r="L1522" s="15" t="s">
        <v>45</v>
      </c>
      <c r="M1522" s="15" t="s">
        <v>5</v>
      </c>
      <c r="N1522" s="11" t="s">
        <v>1384</v>
      </c>
      <c r="O1522" s="11" t="s">
        <v>28</v>
      </c>
      <c r="P1522" s="11" t="s">
        <v>29</v>
      </c>
      <c r="Q1522" s="15">
        <v>95</v>
      </c>
      <c r="R1522" s="11" t="s">
        <v>3</v>
      </c>
      <c r="S1522" s="10">
        <v>209.85474477560999</v>
      </c>
      <c r="T1522" s="15">
        <v>80</v>
      </c>
      <c r="U1522" s="15">
        <v>1</v>
      </c>
      <c r="V1522" s="15">
        <v>1</v>
      </c>
      <c r="W1522" s="15">
        <v>0</v>
      </c>
      <c r="X1522" s="15">
        <f>IF(O1522='Udvaskning nøgletal'!$D$65,1,IF(O1522='Udvaskning nøgletal'!$D$66,2,IF(O1522='Udvaskning nøgletal'!$D$67,3,IF(O1522='Udvaskning nøgletal'!$D$68,2,""))))</f>
        <v>1</v>
      </c>
      <c r="Y1522" s="15">
        <f>LOOKUP(K1522,'Udvaskning nøgletal'!$C$12:$C$60,'Udvaskning nøgletal'!$H$12:$H$60)</f>
        <v>0</v>
      </c>
      <c r="Z1522" s="10">
        <f>IF(X1522=1,LOOKUP(K1522,'Udvaskning nøgletal'!$C$12:$C$60,'Udvaskning nøgletal'!$E$12:$E$60)+Markniveau!Y1522*Markniveau!S1522/100,IF(X1522=2,LOOKUP(K1522,'Udvaskning nøgletal'!$C$12:$C$60,'Udvaskning nøgletal'!$F$12:$F$60)+Markniveau!Y1522*Markniveau!S1522/100,IF(X1522=3,LOOKUP(K1522,'Udvaskning nøgletal'!$C$12:$C$60,'Udvaskning nøgletal'!G1532:G1580)+Markniveau!Y1522*Markniveau!S1522/100,"")))</f>
        <v>33.723295792149436</v>
      </c>
      <c r="AA1522" s="10">
        <f t="shared" si="236"/>
        <v>291.70650860209264</v>
      </c>
      <c r="AB1522" s="10">
        <f t="shared" si="235"/>
        <v>1.6861647896074716</v>
      </c>
      <c r="AC1522" s="10">
        <f t="shared" si="237"/>
        <v>14.58532543010463</v>
      </c>
      <c r="AD1522" s="10">
        <f>IF(AND(Q1522&gt;0,Q1522&lt;30,K1522&lt;8),Markniveau!Z1522*'Udvaskning nøgletal'!$I$12/100,IF(AND(Q1522&gt;0,Q1522&lt;30,K1522=216),Markniveau!Z1522*'Udvaskning nøgletal'!$I$34/100,Markniveau!Z1522))</f>
        <v>33.723295792149436</v>
      </c>
      <c r="AE1522" s="10">
        <f t="shared" si="243"/>
        <v>291.70650860209264</v>
      </c>
      <c r="AF1522" s="10">
        <f t="shared" si="238"/>
        <v>1.6861647896074716</v>
      </c>
      <c r="AG1522" s="10">
        <f t="shared" si="244"/>
        <v>14.58532543010463</v>
      </c>
      <c r="AH1522" s="10" t="str">
        <f>IF(AND(Q1522&gt;0,Q1522&lt;30,K1522=216),'Udvaskning nøgletal'!$C$42,IF(AND(Q1522&gt;0,Q1522&lt;30,K1522&gt;7,K1522&lt;17),'Udvaskning nøgletal'!$C$61,IF(AND(Q1522&gt;0,Q1522&lt;30,K1522&lt;7),'Udvaskning nøgletal'!$C$62,"")))</f>
        <v/>
      </c>
      <c r="AI1522" s="10">
        <f t="shared" si="240"/>
        <v>260</v>
      </c>
      <c r="AJ1522" s="10">
        <f>IF($X1522=1,LOOKUP(AI1522,'Udvaskning nøgletal'!$C$12:$C$62,'Udvaskning nøgletal'!$E$12:$E$62)+Markniveau!$Y1522*Markniveau!$S1522/100,IF($X1522=2,LOOKUP(AI1522,'Udvaskning nøgletal'!$C$12:$C$62,'Udvaskning nøgletal'!$F$12:$F$62)+Markniveau!$Y1522*Markniveau!$S1522/100,IF($X1522=3,LOOKUP(AI1522,'Udvaskning nøgletal'!$C$12:$C$62,'Udvaskning nøgletal'!Q1532:Q1582)+Markniveau!$Y1522*Markniveau!$S1522/100,"")))</f>
        <v>33.723295792149436</v>
      </c>
      <c r="AK1522" s="10">
        <f t="shared" si="239"/>
        <v>291.70650860209264</v>
      </c>
      <c r="AL1522" s="10">
        <f t="shared" si="241"/>
        <v>1.6861647896074716</v>
      </c>
      <c r="AM1522" s="10">
        <f t="shared" si="242"/>
        <v>14.58532543010463</v>
      </c>
    </row>
    <row r="1523" spans="1:39" x14ac:dyDescent="0.25">
      <c r="A1523" s="15">
        <v>78857919</v>
      </c>
      <c r="B1523" s="15">
        <v>82.92</v>
      </c>
      <c r="C1523" s="15">
        <v>10589</v>
      </c>
      <c r="D1523" s="15">
        <v>39501</v>
      </c>
      <c r="E1523" s="15" t="s">
        <v>1246</v>
      </c>
      <c r="F1523" s="15">
        <v>2011</v>
      </c>
      <c r="G1523" s="15">
        <v>20110420</v>
      </c>
      <c r="H1523" s="15">
        <v>110094</v>
      </c>
      <c r="I1523" s="15">
        <v>11.01</v>
      </c>
      <c r="J1523" s="6" t="s">
        <v>31</v>
      </c>
      <c r="K1523" s="15">
        <v>260</v>
      </c>
      <c r="L1523" s="15" t="s">
        <v>45</v>
      </c>
      <c r="M1523" s="15" t="s">
        <v>5</v>
      </c>
      <c r="N1523" s="11" t="s">
        <v>1384</v>
      </c>
      <c r="O1523" s="11" t="s">
        <v>28</v>
      </c>
      <c r="P1523" s="11" t="s">
        <v>29</v>
      </c>
      <c r="Q1523" s="15">
        <v>95</v>
      </c>
      <c r="R1523" s="11" t="s">
        <v>3</v>
      </c>
      <c r="S1523" s="10">
        <v>209.85474477560999</v>
      </c>
      <c r="T1523" s="15">
        <v>80</v>
      </c>
      <c r="U1523" s="15">
        <v>1</v>
      </c>
      <c r="V1523" s="15">
        <v>1</v>
      </c>
      <c r="W1523" s="15">
        <v>0</v>
      </c>
      <c r="X1523" s="15">
        <f>IF(O1523='Udvaskning nøgletal'!$D$65,1,IF(O1523='Udvaskning nøgletal'!$D$66,2,IF(O1523='Udvaskning nøgletal'!$D$67,3,IF(O1523='Udvaskning nøgletal'!$D$68,2,""))))</f>
        <v>1</v>
      </c>
      <c r="Y1523" s="15">
        <f>LOOKUP(K1523,'Udvaskning nøgletal'!$C$12:$C$60,'Udvaskning nøgletal'!$H$12:$H$60)</f>
        <v>0</v>
      </c>
      <c r="Z1523" s="10">
        <f>IF(X1523=1,LOOKUP(K1523,'Udvaskning nøgletal'!$C$12:$C$60,'Udvaskning nøgletal'!$E$12:$E$60)+Markniveau!Y1523*Markniveau!S1523/100,IF(X1523=2,LOOKUP(K1523,'Udvaskning nøgletal'!$C$12:$C$60,'Udvaskning nøgletal'!$F$12:$F$60)+Markniveau!Y1523*Markniveau!S1523/100,IF(X1523=3,LOOKUP(K1523,'Udvaskning nøgletal'!$C$12:$C$60,'Udvaskning nøgletal'!G1533:G1581)+Markniveau!Y1523*Markniveau!S1523/100,"")))</f>
        <v>33.723295792149436</v>
      </c>
      <c r="AA1523" s="10">
        <f t="shared" si="236"/>
        <v>371.29348667156529</v>
      </c>
      <c r="AB1523" s="10">
        <f t="shared" si="235"/>
        <v>1.6861647896074716</v>
      </c>
      <c r="AC1523" s="10">
        <f t="shared" si="237"/>
        <v>18.564674333578264</v>
      </c>
      <c r="AD1523" s="10">
        <f>IF(AND(Q1523&gt;0,Q1523&lt;30,K1523&lt;8),Markniveau!Z1523*'Udvaskning nøgletal'!$I$12/100,IF(AND(Q1523&gt;0,Q1523&lt;30,K1523=216),Markniveau!Z1523*'Udvaskning nøgletal'!$I$34/100,Markniveau!Z1523))</f>
        <v>33.723295792149436</v>
      </c>
      <c r="AE1523" s="10">
        <f t="shared" si="243"/>
        <v>371.29348667156529</v>
      </c>
      <c r="AF1523" s="10">
        <f t="shared" si="238"/>
        <v>1.6861647896074716</v>
      </c>
      <c r="AG1523" s="10">
        <f t="shared" si="244"/>
        <v>18.564674333578264</v>
      </c>
      <c r="AH1523" s="10" t="str">
        <f>IF(AND(Q1523&gt;0,Q1523&lt;30,K1523=216),'Udvaskning nøgletal'!$C$42,IF(AND(Q1523&gt;0,Q1523&lt;30,K1523&gt;7,K1523&lt;17),'Udvaskning nøgletal'!$C$61,IF(AND(Q1523&gt;0,Q1523&lt;30,K1523&lt;7),'Udvaskning nøgletal'!$C$62,"")))</f>
        <v/>
      </c>
      <c r="AI1523" s="10">
        <f t="shared" si="240"/>
        <v>260</v>
      </c>
      <c r="AJ1523" s="10">
        <f>IF($X1523=1,LOOKUP(AI1523,'Udvaskning nøgletal'!$C$12:$C$62,'Udvaskning nøgletal'!$E$12:$E$62)+Markniveau!$Y1523*Markniveau!$S1523/100,IF($X1523=2,LOOKUP(AI1523,'Udvaskning nøgletal'!$C$12:$C$62,'Udvaskning nøgletal'!$F$12:$F$62)+Markniveau!$Y1523*Markniveau!$S1523/100,IF($X1523=3,LOOKUP(AI1523,'Udvaskning nøgletal'!$C$12:$C$62,'Udvaskning nøgletal'!Q1533:Q1583)+Markniveau!$Y1523*Markniveau!$S1523/100,"")))</f>
        <v>33.723295792149436</v>
      </c>
      <c r="AK1523" s="10">
        <f t="shared" si="239"/>
        <v>371.29348667156529</v>
      </c>
      <c r="AL1523" s="10">
        <f t="shared" si="241"/>
        <v>1.6861647896074716</v>
      </c>
      <c r="AM1523" s="10">
        <f t="shared" si="242"/>
        <v>18.564674333578264</v>
      </c>
    </row>
    <row r="1524" spans="1:39" x14ac:dyDescent="0.25">
      <c r="A1524" s="15">
        <v>78857919</v>
      </c>
      <c r="B1524" s="15">
        <v>82.92</v>
      </c>
      <c r="C1524" s="15">
        <v>10590</v>
      </c>
      <c r="D1524" s="15">
        <v>39501</v>
      </c>
      <c r="E1524" s="15" t="s">
        <v>1246</v>
      </c>
      <c r="F1524" s="15">
        <v>2011</v>
      </c>
      <c r="G1524" s="15">
        <v>20110420</v>
      </c>
      <c r="H1524" s="15">
        <v>106032</v>
      </c>
      <c r="I1524" s="15">
        <v>10.6</v>
      </c>
      <c r="J1524" s="6" t="s">
        <v>97</v>
      </c>
      <c r="K1524" s="15">
        <v>263</v>
      </c>
      <c r="L1524" s="15" t="s">
        <v>39</v>
      </c>
      <c r="M1524" s="15" t="s">
        <v>5</v>
      </c>
      <c r="N1524" s="11" t="s">
        <v>1384</v>
      </c>
      <c r="O1524" s="11" t="s">
        <v>28</v>
      </c>
      <c r="P1524" s="11" t="s">
        <v>29</v>
      </c>
      <c r="Q1524" s="15">
        <v>95</v>
      </c>
      <c r="R1524" s="11" t="s">
        <v>3</v>
      </c>
      <c r="S1524" s="10">
        <v>209.85474477560999</v>
      </c>
      <c r="T1524" s="15">
        <v>80</v>
      </c>
      <c r="U1524" s="15">
        <v>1</v>
      </c>
      <c r="V1524" s="15">
        <v>1</v>
      </c>
      <c r="W1524" s="15">
        <v>0</v>
      </c>
      <c r="X1524" s="15">
        <f>IF(O1524='Udvaskning nøgletal'!$D$65,1,IF(O1524='Udvaskning nøgletal'!$D$66,2,IF(O1524='Udvaskning nøgletal'!$D$67,3,IF(O1524='Udvaskning nøgletal'!$D$68,2,""))))</f>
        <v>1</v>
      </c>
      <c r="Y1524" s="15">
        <f>LOOKUP(K1524,'Udvaskning nøgletal'!$C$12:$C$60,'Udvaskning nøgletal'!$H$12:$H$60)</f>
        <v>0</v>
      </c>
      <c r="Z1524" s="10">
        <f>IF(X1524=1,LOOKUP(K1524,'Udvaskning nøgletal'!$C$12:$C$60,'Udvaskning nøgletal'!$E$12:$E$60)+Markniveau!Y1524*Markniveau!S1524/100,IF(X1524=2,LOOKUP(K1524,'Udvaskning nøgletal'!$C$12:$C$60,'Udvaskning nøgletal'!$F$12:$F$60)+Markniveau!Y1524*Markniveau!S1524/100,IF(X1524=3,LOOKUP(K1524,'Udvaskning nøgletal'!$C$12:$C$60,'Udvaskning nøgletal'!G1534:G1582)+Markniveau!Y1524*Markniveau!S1524/100,"")))</f>
        <v>33.723295792149436</v>
      </c>
      <c r="AA1524" s="10">
        <f t="shared" si="236"/>
        <v>357.46693539678404</v>
      </c>
      <c r="AB1524" s="10">
        <f t="shared" si="235"/>
        <v>1.6861647896074716</v>
      </c>
      <c r="AC1524" s="10">
        <f t="shared" si="237"/>
        <v>17.873346769839198</v>
      </c>
      <c r="AD1524" s="10">
        <f>IF(AND(Q1524&gt;0,Q1524&lt;30,K1524&lt;8),Markniveau!Z1524*'Udvaskning nøgletal'!$I$12/100,IF(AND(Q1524&gt;0,Q1524&lt;30,K1524=216),Markniveau!Z1524*'Udvaskning nøgletal'!$I$34/100,Markniveau!Z1524))</f>
        <v>33.723295792149436</v>
      </c>
      <c r="AE1524" s="10">
        <f t="shared" si="243"/>
        <v>357.46693539678404</v>
      </c>
      <c r="AF1524" s="10">
        <f t="shared" si="238"/>
        <v>1.6861647896074716</v>
      </c>
      <c r="AG1524" s="10">
        <f t="shared" si="244"/>
        <v>17.873346769839198</v>
      </c>
      <c r="AH1524" s="10" t="str">
        <f>IF(AND(Q1524&gt;0,Q1524&lt;30,K1524=216),'Udvaskning nøgletal'!$C$42,IF(AND(Q1524&gt;0,Q1524&lt;30,K1524&gt;7,K1524&lt;17),'Udvaskning nøgletal'!$C$61,IF(AND(Q1524&gt;0,Q1524&lt;30,K1524&lt;7),'Udvaskning nøgletal'!$C$62,"")))</f>
        <v/>
      </c>
      <c r="AI1524" s="10">
        <f t="shared" si="240"/>
        <v>263</v>
      </c>
      <c r="AJ1524" s="10">
        <f>IF($X1524=1,LOOKUP(AI1524,'Udvaskning nøgletal'!$C$12:$C$62,'Udvaskning nøgletal'!$E$12:$E$62)+Markniveau!$Y1524*Markniveau!$S1524/100,IF($X1524=2,LOOKUP(AI1524,'Udvaskning nøgletal'!$C$12:$C$62,'Udvaskning nøgletal'!$F$12:$F$62)+Markniveau!$Y1524*Markniveau!$S1524/100,IF($X1524=3,LOOKUP(AI1524,'Udvaskning nøgletal'!$C$12:$C$62,'Udvaskning nøgletal'!Q1534:Q1584)+Markniveau!$Y1524*Markniveau!$S1524/100,"")))</f>
        <v>33.723295792149436</v>
      </c>
      <c r="AK1524" s="10">
        <f t="shared" si="239"/>
        <v>357.46693539678404</v>
      </c>
      <c r="AL1524" s="10">
        <f t="shared" si="241"/>
        <v>1.6861647896074716</v>
      </c>
      <c r="AM1524" s="10">
        <f t="shared" si="242"/>
        <v>17.873346769839198</v>
      </c>
    </row>
    <row r="1525" spans="1:39" x14ac:dyDescent="0.25">
      <c r="A1525" s="15">
        <v>79051152</v>
      </c>
      <c r="B1525" s="15">
        <v>22.92</v>
      </c>
      <c r="C1525" s="15">
        <v>489854</v>
      </c>
      <c r="D1525" s="15">
        <v>31714</v>
      </c>
      <c r="E1525" s="15" t="s">
        <v>1247</v>
      </c>
      <c r="F1525" s="15">
        <v>2011</v>
      </c>
      <c r="G1525" s="15">
        <v>20110312</v>
      </c>
      <c r="H1525" s="15">
        <v>16608</v>
      </c>
      <c r="I1525" s="15">
        <v>1.66</v>
      </c>
      <c r="J1525" s="6" t="s">
        <v>34</v>
      </c>
      <c r="K1525" s="15">
        <v>583</v>
      </c>
      <c r="L1525" s="15" t="s">
        <v>154</v>
      </c>
      <c r="M1525" s="15" t="s">
        <v>155</v>
      </c>
      <c r="N1525" s="11" t="s">
        <v>1384</v>
      </c>
      <c r="O1525" s="11" t="s">
        <v>28</v>
      </c>
      <c r="P1525" s="11" t="s">
        <v>29</v>
      </c>
      <c r="Q1525" s="15">
        <v>1</v>
      </c>
      <c r="R1525" s="11" t="s">
        <v>11</v>
      </c>
      <c r="S1525" s="10">
        <v>191.25335892513999</v>
      </c>
      <c r="T1525" s="15">
        <v>80</v>
      </c>
      <c r="U1525" s="15">
        <v>0</v>
      </c>
      <c r="V1525" s="15">
        <v>0</v>
      </c>
      <c r="W1525" s="15">
        <v>0</v>
      </c>
      <c r="X1525" s="15">
        <f>IF(O1525='Udvaskning nøgletal'!$D$65,1,IF(O1525='Udvaskning nøgletal'!$D$66,2,IF(O1525='Udvaskning nøgletal'!$D$67,3,IF(O1525='Udvaskning nøgletal'!$D$68,2,""))))</f>
        <v>1</v>
      </c>
      <c r="Y1525" s="15">
        <f>LOOKUP(K1525,'Udvaskning nøgletal'!$C$12:$C$60,'Udvaskning nøgletal'!$H$12:$H$60)</f>
        <v>0</v>
      </c>
      <c r="Z1525" s="10">
        <f>IF(X1525=1,LOOKUP(K1525,'Udvaskning nøgletal'!$C$12:$C$60,'Udvaskning nøgletal'!$E$12:$E$60)+Markniveau!Y1525*Markniveau!S1525/100,IF(X1525=2,LOOKUP(K1525,'Udvaskning nøgletal'!$C$12:$C$60,'Udvaskning nøgletal'!$F$12:$F$60)+Markniveau!Y1525*Markniveau!S1525/100,IF(X1525=3,LOOKUP(K1525,'Udvaskning nøgletal'!$C$12:$C$60,'Udvaskning nøgletal'!G1535:G1583)+Markniveau!Y1525*Markniveau!S1525/100,"")))</f>
        <v>10</v>
      </c>
      <c r="AA1525" s="10">
        <f t="shared" si="236"/>
        <v>16.599999999999998</v>
      </c>
      <c r="AB1525" s="10">
        <f t="shared" si="235"/>
        <v>9.9</v>
      </c>
      <c r="AC1525" s="10">
        <f t="shared" si="237"/>
        <v>16.434000000000001</v>
      </c>
      <c r="AD1525" s="10">
        <f>IF(AND(Q1525&gt;0,Q1525&lt;30,K1525&lt;8),Markniveau!Z1525*'Udvaskning nøgletal'!$I$12/100,IF(AND(Q1525&gt;0,Q1525&lt;30,K1525=216),Markniveau!Z1525*'Udvaskning nøgletal'!$I$34/100,Markniveau!Z1525))</f>
        <v>10</v>
      </c>
      <c r="AE1525" s="10">
        <f t="shared" si="243"/>
        <v>16.599999999999998</v>
      </c>
      <c r="AF1525" s="10">
        <f t="shared" si="238"/>
        <v>9.9</v>
      </c>
      <c r="AG1525" s="10">
        <f t="shared" si="244"/>
        <v>16.434000000000001</v>
      </c>
      <c r="AH1525" s="10" t="str">
        <f>IF(AND(Q1525&gt;0,Q1525&lt;30,K1525=216),'Udvaskning nøgletal'!$C$42,IF(AND(Q1525&gt;0,Q1525&lt;30,K1525&gt;7,K1525&lt;17),'Udvaskning nøgletal'!$C$61,IF(AND(Q1525&gt;0,Q1525&lt;30,K1525&lt;7),'Udvaskning nøgletal'!$C$62,"")))</f>
        <v/>
      </c>
      <c r="AI1525" s="10">
        <f t="shared" si="240"/>
        <v>583</v>
      </c>
      <c r="AJ1525" s="10">
        <f>IF($X1525=1,LOOKUP(AI1525,'Udvaskning nøgletal'!$C$12:$C$62,'Udvaskning nøgletal'!$E$12:$E$62)+Markniveau!$Y1525*Markniveau!$S1525/100,IF($X1525=2,LOOKUP(AI1525,'Udvaskning nøgletal'!$C$12:$C$62,'Udvaskning nøgletal'!$F$12:$F$62)+Markniveau!$Y1525*Markniveau!$S1525/100,IF($X1525=3,LOOKUP(AI1525,'Udvaskning nøgletal'!$C$12:$C$62,'Udvaskning nøgletal'!Q1535:Q1585)+Markniveau!$Y1525*Markniveau!$S1525/100,"")))</f>
        <v>10</v>
      </c>
      <c r="AK1525" s="10">
        <f t="shared" si="239"/>
        <v>16.599999999999998</v>
      </c>
      <c r="AL1525" s="10">
        <f t="shared" si="241"/>
        <v>9.9</v>
      </c>
      <c r="AM1525" s="10">
        <f t="shared" si="242"/>
        <v>16.434000000000001</v>
      </c>
    </row>
    <row r="1526" spans="1:39" x14ac:dyDescent="0.25">
      <c r="A1526" s="15">
        <v>79051152</v>
      </c>
      <c r="B1526" s="15">
        <v>22.92</v>
      </c>
      <c r="C1526" s="15">
        <v>491923</v>
      </c>
      <c r="D1526" s="15">
        <v>31714</v>
      </c>
      <c r="E1526" s="15" t="s">
        <v>1248</v>
      </c>
      <c r="F1526" s="15">
        <v>2011</v>
      </c>
      <c r="G1526" s="15">
        <v>20110312</v>
      </c>
      <c r="H1526" s="15">
        <v>56263</v>
      </c>
      <c r="I1526" s="15">
        <v>5.63</v>
      </c>
      <c r="J1526" s="6" t="s">
        <v>31</v>
      </c>
      <c r="K1526" s="15">
        <v>583</v>
      </c>
      <c r="L1526" s="15" t="s">
        <v>154</v>
      </c>
      <c r="M1526" s="15" t="s">
        <v>155</v>
      </c>
      <c r="N1526" s="11" t="s">
        <v>1384</v>
      </c>
      <c r="O1526" s="11" t="s">
        <v>28</v>
      </c>
      <c r="P1526" s="11" t="s">
        <v>29</v>
      </c>
      <c r="Q1526" s="15">
        <v>1</v>
      </c>
      <c r="R1526" s="11" t="s">
        <v>11</v>
      </c>
      <c r="S1526" s="10">
        <v>191.25335892513999</v>
      </c>
      <c r="T1526" s="15">
        <v>80</v>
      </c>
      <c r="U1526" s="15">
        <v>0</v>
      </c>
      <c r="V1526" s="15">
        <v>0</v>
      </c>
      <c r="W1526" s="15">
        <v>0</v>
      </c>
      <c r="X1526" s="15">
        <f>IF(O1526='Udvaskning nøgletal'!$D$65,1,IF(O1526='Udvaskning nøgletal'!$D$66,2,IF(O1526='Udvaskning nøgletal'!$D$67,3,IF(O1526='Udvaskning nøgletal'!$D$68,2,""))))</f>
        <v>1</v>
      </c>
      <c r="Y1526" s="15">
        <f>LOOKUP(K1526,'Udvaskning nøgletal'!$C$12:$C$60,'Udvaskning nøgletal'!$H$12:$H$60)</f>
        <v>0</v>
      </c>
      <c r="Z1526" s="10">
        <f>IF(X1526=1,LOOKUP(K1526,'Udvaskning nøgletal'!$C$12:$C$60,'Udvaskning nøgletal'!$E$12:$E$60)+Markniveau!Y1526*Markniveau!S1526/100,IF(X1526=2,LOOKUP(K1526,'Udvaskning nøgletal'!$C$12:$C$60,'Udvaskning nøgletal'!$F$12:$F$60)+Markniveau!Y1526*Markniveau!S1526/100,IF(X1526=3,LOOKUP(K1526,'Udvaskning nøgletal'!$C$12:$C$60,'Udvaskning nøgletal'!G1536:G1584)+Markniveau!Y1526*Markniveau!S1526/100,"")))</f>
        <v>10</v>
      </c>
      <c r="AA1526" s="10">
        <f t="shared" si="236"/>
        <v>56.3</v>
      </c>
      <c r="AB1526" s="10">
        <f t="shared" si="235"/>
        <v>9.9</v>
      </c>
      <c r="AC1526" s="10">
        <f t="shared" si="237"/>
        <v>55.737000000000002</v>
      </c>
      <c r="AD1526" s="10">
        <f>IF(AND(Q1526&gt;0,Q1526&lt;30,K1526&lt;8),Markniveau!Z1526*'Udvaskning nøgletal'!$I$12/100,IF(AND(Q1526&gt;0,Q1526&lt;30,K1526=216),Markniveau!Z1526*'Udvaskning nøgletal'!$I$34/100,Markniveau!Z1526))</f>
        <v>10</v>
      </c>
      <c r="AE1526" s="10">
        <f t="shared" si="243"/>
        <v>56.3</v>
      </c>
      <c r="AF1526" s="10">
        <f t="shared" si="238"/>
        <v>9.9</v>
      </c>
      <c r="AG1526" s="10">
        <f t="shared" si="244"/>
        <v>55.737000000000002</v>
      </c>
      <c r="AH1526" s="10" t="str">
        <f>IF(AND(Q1526&gt;0,Q1526&lt;30,K1526=216),'Udvaskning nøgletal'!$C$42,IF(AND(Q1526&gt;0,Q1526&lt;30,K1526&gt;7,K1526&lt;17),'Udvaskning nøgletal'!$C$61,IF(AND(Q1526&gt;0,Q1526&lt;30,K1526&lt;7),'Udvaskning nøgletal'!$C$62,"")))</f>
        <v/>
      </c>
      <c r="AI1526" s="10">
        <f t="shared" si="240"/>
        <v>583</v>
      </c>
      <c r="AJ1526" s="10">
        <f>IF($X1526=1,LOOKUP(AI1526,'Udvaskning nøgletal'!$C$12:$C$62,'Udvaskning nøgletal'!$E$12:$E$62)+Markniveau!$Y1526*Markniveau!$S1526/100,IF($X1526=2,LOOKUP(AI1526,'Udvaskning nøgletal'!$C$12:$C$62,'Udvaskning nøgletal'!$F$12:$F$62)+Markniveau!$Y1526*Markniveau!$S1526/100,IF($X1526=3,LOOKUP(AI1526,'Udvaskning nøgletal'!$C$12:$C$62,'Udvaskning nøgletal'!Q1536:Q1586)+Markniveau!$Y1526*Markniveau!$S1526/100,"")))</f>
        <v>10</v>
      </c>
      <c r="AK1526" s="10">
        <f t="shared" si="239"/>
        <v>56.3</v>
      </c>
      <c r="AL1526" s="10">
        <f t="shared" si="241"/>
        <v>9.9</v>
      </c>
      <c r="AM1526" s="10">
        <f t="shared" si="242"/>
        <v>55.737000000000002</v>
      </c>
    </row>
    <row r="1527" spans="1:39" x14ac:dyDescent="0.25">
      <c r="A1527" s="15">
        <v>79051152</v>
      </c>
      <c r="B1527" s="15">
        <v>22.92</v>
      </c>
      <c r="C1527" s="15">
        <v>492023</v>
      </c>
      <c r="D1527" s="15">
        <v>31714</v>
      </c>
      <c r="E1527" s="15" t="s">
        <v>1249</v>
      </c>
      <c r="F1527" s="15">
        <v>2011</v>
      </c>
      <c r="G1527" s="15">
        <v>20110312</v>
      </c>
      <c r="H1527" s="15">
        <v>19848</v>
      </c>
      <c r="I1527" s="15">
        <v>1.98</v>
      </c>
      <c r="J1527" s="6" t="s">
        <v>1402</v>
      </c>
      <c r="K1527" s="15">
        <v>583</v>
      </c>
      <c r="L1527" s="15" t="s">
        <v>154</v>
      </c>
      <c r="M1527" s="15" t="s">
        <v>155</v>
      </c>
      <c r="N1527" s="11" t="s">
        <v>1384</v>
      </c>
      <c r="O1527" s="11" t="s">
        <v>28</v>
      </c>
      <c r="P1527" s="11" t="s">
        <v>33</v>
      </c>
      <c r="Q1527" s="15">
        <v>1</v>
      </c>
      <c r="R1527" s="11" t="s">
        <v>11</v>
      </c>
      <c r="S1527" s="10">
        <v>191.25335892513999</v>
      </c>
      <c r="T1527" s="15">
        <v>80</v>
      </c>
      <c r="U1527" s="15">
        <v>0</v>
      </c>
      <c r="V1527" s="15">
        <v>0</v>
      </c>
      <c r="W1527" s="15">
        <v>0</v>
      </c>
      <c r="X1527" s="15">
        <f>IF(O1527='Udvaskning nøgletal'!$D$65,1,IF(O1527='Udvaskning nøgletal'!$D$66,2,IF(O1527='Udvaskning nøgletal'!$D$67,3,IF(O1527='Udvaskning nøgletal'!$D$68,2,""))))</f>
        <v>1</v>
      </c>
      <c r="Y1527" s="15">
        <f>LOOKUP(K1527,'Udvaskning nøgletal'!$C$12:$C$60,'Udvaskning nøgletal'!$H$12:$H$60)</f>
        <v>0</v>
      </c>
      <c r="Z1527" s="10">
        <f>IF(X1527=1,LOOKUP(K1527,'Udvaskning nøgletal'!$C$12:$C$60,'Udvaskning nøgletal'!$E$12:$E$60)+Markniveau!Y1527*Markniveau!S1527/100,IF(X1527=2,LOOKUP(K1527,'Udvaskning nøgletal'!$C$12:$C$60,'Udvaskning nøgletal'!$F$12:$F$60)+Markniveau!Y1527*Markniveau!S1527/100,IF(X1527=3,LOOKUP(K1527,'Udvaskning nøgletal'!$C$12:$C$60,'Udvaskning nøgletal'!G1537:G1585)+Markniveau!Y1527*Markniveau!S1527/100,"")))</f>
        <v>10</v>
      </c>
      <c r="AA1527" s="10">
        <f t="shared" si="236"/>
        <v>19.8</v>
      </c>
      <c r="AB1527" s="10">
        <f t="shared" si="235"/>
        <v>9.9</v>
      </c>
      <c r="AC1527" s="10">
        <f t="shared" si="237"/>
        <v>19.602</v>
      </c>
      <c r="AD1527" s="10">
        <f>IF(AND(Q1527&gt;0,Q1527&lt;30,K1527&lt;8),Markniveau!Z1527*'Udvaskning nøgletal'!$I$12/100,IF(AND(Q1527&gt;0,Q1527&lt;30,K1527=216),Markniveau!Z1527*'Udvaskning nøgletal'!$I$34/100,Markniveau!Z1527))</f>
        <v>10</v>
      </c>
      <c r="AE1527" s="10">
        <f t="shared" si="243"/>
        <v>19.8</v>
      </c>
      <c r="AF1527" s="10">
        <f t="shared" si="238"/>
        <v>9.9</v>
      </c>
      <c r="AG1527" s="10">
        <f t="shared" si="244"/>
        <v>19.602</v>
      </c>
      <c r="AH1527" s="10" t="str">
        <f>IF(AND(Q1527&gt;0,Q1527&lt;30,K1527=216),'Udvaskning nøgletal'!$C$42,IF(AND(Q1527&gt;0,Q1527&lt;30,K1527&gt;7,K1527&lt;17),'Udvaskning nøgletal'!$C$61,IF(AND(Q1527&gt;0,Q1527&lt;30,K1527&lt;7),'Udvaskning nøgletal'!$C$62,"")))</f>
        <v/>
      </c>
      <c r="AI1527" s="10">
        <f t="shared" si="240"/>
        <v>583</v>
      </c>
      <c r="AJ1527" s="10">
        <f>IF($X1527=1,LOOKUP(AI1527,'Udvaskning nøgletal'!$C$12:$C$62,'Udvaskning nøgletal'!$E$12:$E$62)+Markniveau!$Y1527*Markniveau!$S1527/100,IF($X1527=2,LOOKUP(AI1527,'Udvaskning nøgletal'!$C$12:$C$62,'Udvaskning nøgletal'!$F$12:$F$62)+Markniveau!$Y1527*Markniveau!$S1527/100,IF($X1527=3,LOOKUP(AI1527,'Udvaskning nøgletal'!$C$12:$C$62,'Udvaskning nøgletal'!Q1537:Q1587)+Markniveau!$Y1527*Markniveau!$S1527/100,"")))</f>
        <v>10</v>
      </c>
      <c r="AK1527" s="10">
        <f t="shared" si="239"/>
        <v>19.8</v>
      </c>
      <c r="AL1527" s="10">
        <f t="shared" si="241"/>
        <v>9.9</v>
      </c>
      <c r="AM1527" s="10">
        <f t="shared" si="242"/>
        <v>19.602</v>
      </c>
    </row>
    <row r="1528" spans="1:39" x14ac:dyDescent="0.25">
      <c r="A1528" s="15">
        <v>79051152</v>
      </c>
      <c r="B1528" s="15">
        <v>22.92</v>
      </c>
      <c r="C1528" s="15">
        <v>432807</v>
      </c>
      <c r="D1528" s="15">
        <v>31714</v>
      </c>
      <c r="E1528" s="15" t="s">
        <v>1250</v>
      </c>
      <c r="F1528" s="15">
        <v>2011</v>
      </c>
      <c r="G1528" s="15">
        <v>20110312</v>
      </c>
      <c r="H1528" s="15">
        <v>156257</v>
      </c>
      <c r="I1528" s="15">
        <v>15.63</v>
      </c>
      <c r="J1528" s="6" t="s">
        <v>37</v>
      </c>
      <c r="K1528" s="15">
        <v>11</v>
      </c>
      <c r="L1528" s="15" t="s">
        <v>102</v>
      </c>
      <c r="M1528" s="15" t="s">
        <v>5</v>
      </c>
      <c r="N1528" s="11" t="s">
        <v>1384</v>
      </c>
      <c r="O1528" s="11" t="s">
        <v>28</v>
      </c>
      <c r="P1528" s="11" t="s">
        <v>29</v>
      </c>
      <c r="Q1528" s="15">
        <v>1</v>
      </c>
      <c r="R1528" s="11" t="s">
        <v>11</v>
      </c>
      <c r="S1528" s="10">
        <v>191.25335892513999</v>
      </c>
      <c r="T1528" s="15">
        <v>80</v>
      </c>
      <c r="U1528" s="15">
        <v>0</v>
      </c>
      <c r="V1528" s="15">
        <v>0</v>
      </c>
      <c r="W1528" s="15">
        <v>0</v>
      </c>
      <c r="X1528" s="15">
        <f>IF(O1528='Udvaskning nøgletal'!$D$65,1,IF(O1528='Udvaskning nøgletal'!$D$66,2,IF(O1528='Udvaskning nøgletal'!$D$67,3,IF(O1528='Udvaskning nøgletal'!$D$68,2,""))))</f>
        <v>1</v>
      </c>
      <c r="Y1528" s="15">
        <f>LOOKUP(K1528,'Udvaskning nøgletal'!$C$12:$C$60,'Udvaskning nøgletal'!$H$12:$H$60)</f>
        <v>5</v>
      </c>
      <c r="Z1528" s="10">
        <f>IF(X1528=1,LOOKUP(K1528,'Udvaskning nøgletal'!$C$12:$C$60,'Udvaskning nøgletal'!$E$12:$E$60)+Markniveau!Y1528*Markniveau!S1528/100,IF(X1528=2,LOOKUP(K1528,'Udvaskning nøgletal'!$C$12:$C$60,'Udvaskning nøgletal'!$F$12:$F$60)+Markniveau!Y1528*Markniveau!S1528/100,IF(X1528=3,LOOKUP(K1528,'Udvaskning nøgletal'!$C$12:$C$60,'Udvaskning nøgletal'!G1538:G1586)+Markniveau!Y1528*Markniveau!S1528/100,"")))</f>
        <v>74.22266794625699</v>
      </c>
      <c r="AA1528" s="10">
        <f t="shared" si="236"/>
        <v>1160.1002999999969</v>
      </c>
      <c r="AB1528" s="10">
        <f t="shared" si="235"/>
        <v>73.480441266794429</v>
      </c>
      <c r="AC1528" s="10">
        <f t="shared" si="237"/>
        <v>1148.4992969999969</v>
      </c>
      <c r="AD1528" s="10">
        <f>IF(AND(Q1528&gt;0,Q1528&lt;30,K1528&lt;8),Markniveau!Z1528*'Udvaskning nøgletal'!$I$12/100,IF(AND(Q1528&gt;0,Q1528&lt;30,K1528=216),Markniveau!Z1528*'Udvaskning nøgletal'!$I$34/100,Markniveau!Z1528))</f>
        <v>74.22266794625699</v>
      </c>
      <c r="AE1528" s="10">
        <f t="shared" si="243"/>
        <v>1160.1002999999969</v>
      </c>
      <c r="AF1528" s="10">
        <f t="shared" si="238"/>
        <v>73.480441266794429</v>
      </c>
      <c r="AG1528" s="10">
        <f t="shared" si="244"/>
        <v>1148.4992969999969</v>
      </c>
      <c r="AH1528" s="10">
        <f>IF(AND(Q1528&gt;0,Q1528&lt;30,K1528=216),'Udvaskning nøgletal'!$C$42,IF(AND(Q1528&gt;0,Q1528&lt;30,K1528&gt;7,K1528&lt;17),'Udvaskning nøgletal'!$C$61,IF(AND(Q1528&gt;0,Q1528&lt;30,K1528&lt;7),'Udvaskning nøgletal'!$C$62,"")))</f>
        <v>1001</v>
      </c>
      <c r="AI1528" s="10">
        <f t="shared" si="240"/>
        <v>1001</v>
      </c>
      <c r="AJ1528" s="10">
        <f>IF($X1528=1,LOOKUP(AI1528,'Udvaskning nøgletal'!$C$12:$C$62,'Udvaskning nøgletal'!$E$12:$E$62)+Markniveau!$Y1528*Markniveau!$S1528/100,IF($X1528=2,LOOKUP(AI1528,'Udvaskning nøgletal'!$C$12:$C$62,'Udvaskning nøgletal'!$F$12:$F$62)+Markniveau!$Y1528*Markniveau!$S1528/100,IF($X1528=3,LOOKUP(AI1528,'Udvaskning nøgletal'!$C$12:$C$62,'Udvaskning nøgletal'!Q1538:Q1588)+Markniveau!$Y1528*Markniveau!$S1528/100,"")))</f>
        <v>40.062667946257001</v>
      </c>
      <c r="AK1528" s="10">
        <f t="shared" si="239"/>
        <v>626.17949999999701</v>
      </c>
      <c r="AL1528" s="10">
        <f t="shared" si="241"/>
        <v>39.662041266794432</v>
      </c>
      <c r="AM1528" s="10">
        <f t="shared" si="242"/>
        <v>619.917704999997</v>
      </c>
    </row>
    <row r="1529" spans="1:39" x14ac:dyDescent="0.25">
      <c r="A1529" s="15">
        <v>79051152</v>
      </c>
      <c r="B1529" s="15">
        <v>22.92</v>
      </c>
      <c r="C1529" s="15">
        <v>488832</v>
      </c>
      <c r="D1529" s="15">
        <v>31714</v>
      </c>
      <c r="E1529" s="15" t="s">
        <v>1249</v>
      </c>
      <c r="F1529" s="15">
        <v>2011</v>
      </c>
      <c r="G1529" s="15">
        <v>20110312</v>
      </c>
      <c r="H1529" s="15">
        <v>21040</v>
      </c>
      <c r="I1529" s="15">
        <v>2.1</v>
      </c>
      <c r="J1529" s="6" t="s">
        <v>61</v>
      </c>
      <c r="K1529" s="15">
        <v>583</v>
      </c>
      <c r="L1529" s="15" t="s">
        <v>154</v>
      </c>
      <c r="M1529" s="15" t="s">
        <v>155</v>
      </c>
      <c r="N1529" s="11" t="s">
        <v>1384</v>
      </c>
      <c r="O1529" s="11" t="s">
        <v>28</v>
      </c>
      <c r="P1529" s="11" t="s">
        <v>33</v>
      </c>
      <c r="Q1529" s="15">
        <v>1</v>
      </c>
      <c r="R1529" s="11" t="s">
        <v>11</v>
      </c>
      <c r="S1529" s="10">
        <v>191.25335892513999</v>
      </c>
      <c r="T1529" s="15">
        <v>80</v>
      </c>
      <c r="U1529" s="15">
        <v>0</v>
      </c>
      <c r="V1529" s="15">
        <v>0</v>
      </c>
      <c r="W1529" s="15">
        <v>0</v>
      </c>
      <c r="X1529" s="15">
        <f>IF(O1529='Udvaskning nøgletal'!$D$65,1,IF(O1529='Udvaskning nøgletal'!$D$66,2,IF(O1529='Udvaskning nøgletal'!$D$67,3,IF(O1529='Udvaskning nøgletal'!$D$68,2,""))))</f>
        <v>1</v>
      </c>
      <c r="Y1529" s="15">
        <f>LOOKUP(K1529,'Udvaskning nøgletal'!$C$12:$C$60,'Udvaskning nøgletal'!$H$12:$H$60)</f>
        <v>0</v>
      </c>
      <c r="Z1529" s="10">
        <f>IF(X1529=1,LOOKUP(K1529,'Udvaskning nøgletal'!$C$12:$C$60,'Udvaskning nøgletal'!$E$12:$E$60)+Markniveau!Y1529*Markniveau!S1529/100,IF(X1529=2,LOOKUP(K1529,'Udvaskning nøgletal'!$C$12:$C$60,'Udvaskning nøgletal'!$F$12:$F$60)+Markniveau!Y1529*Markniveau!S1529/100,IF(X1529=3,LOOKUP(K1529,'Udvaskning nøgletal'!$C$12:$C$60,'Udvaskning nøgletal'!G1539:G1587)+Markniveau!Y1529*Markniveau!S1529/100,"")))</f>
        <v>10</v>
      </c>
      <c r="AA1529" s="10">
        <f t="shared" si="236"/>
        <v>21</v>
      </c>
      <c r="AB1529" s="10">
        <f t="shared" si="235"/>
        <v>9.9</v>
      </c>
      <c r="AC1529" s="10">
        <f t="shared" si="237"/>
        <v>20.790000000000003</v>
      </c>
      <c r="AD1529" s="10">
        <f>IF(AND(Q1529&gt;0,Q1529&lt;30,K1529&lt;8),Markniveau!Z1529*'Udvaskning nøgletal'!$I$12/100,IF(AND(Q1529&gt;0,Q1529&lt;30,K1529=216),Markniveau!Z1529*'Udvaskning nøgletal'!$I$34/100,Markniveau!Z1529))</f>
        <v>10</v>
      </c>
      <c r="AE1529" s="10">
        <f t="shared" si="243"/>
        <v>21</v>
      </c>
      <c r="AF1529" s="10">
        <f t="shared" si="238"/>
        <v>9.9</v>
      </c>
      <c r="AG1529" s="10">
        <f t="shared" si="244"/>
        <v>20.790000000000003</v>
      </c>
      <c r="AH1529" s="10" t="str">
        <f>IF(AND(Q1529&gt;0,Q1529&lt;30,K1529=216),'Udvaskning nøgletal'!$C$42,IF(AND(Q1529&gt;0,Q1529&lt;30,K1529&gt;7,K1529&lt;17),'Udvaskning nøgletal'!$C$61,IF(AND(Q1529&gt;0,Q1529&lt;30,K1529&lt;7),'Udvaskning nøgletal'!$C$62,"")))</f>
        <v/>
      </c>
      <c r="AI1529" s="10">
        <f t="shared" si="240"/>
        <v>583</v>
      </c>
      <c r="AJ1529" s="10">
        <f>IF($X1529=1,LOOKUP(AI1529,'Udvaskning nøgletal'!$C$12:$C$62,'Udvaskning nøgletal'!$E$12:$E$62)+Markniveau!$Y1529*Markniveau!$S1529/100,IF($X1529=2,LOOKUP(AI1529,'Udvaskning nøgletal'!$C$12:$C$62,'Udvaskning nøgletal'!$F$12:$F$62)+Markniveau!$Y1529*Markniveau!$S1529/100,IF($X1529=3,LOOKUP(AI1529,'Udvaskning nøgletal'!$C$12:$C$62,'Udvaskning nøgletal'!Q1539:Q1589)+Markniveau!$Y1529*Markniveau!$S1529/100,"")))</f>
        <v>10</v>
      </c>
      <c r="AK1529" s="10">
        <f t="shared" si="239"/>
        <v>21</v>
      </c>
      <c r="AL1529" s="10">
        <f t="shared" si="241"/>
        <v>9.9</v>
      </c>
      <c r="AM1529" s="10">
        <f t="shared" si="242"/>
        <v>20.790000000000003</v>
      </c>
    </row>
    <row r="1530" spans="1:39" x14ac:dyDescent="0.25">
      <c r="A1530" s="15">
        <v>79580759</v>
      </c>
      <c r="B1530" s="15">
        <v>12.39</v>
      </c>
      <c r="C1530" s="15">
        <v>303721</v>
      </c>
      <c r="D1530" s="15">
        <v>30965</v>
      </c>
      <c r="E1530" s="15" t="s">
        <v>1251</v>
      </c>
      <c r="F1530" s="15">
        <v>2011</v>
      </c>
      <c r="G1530" s="15">
        <v>20101220</v>
      </c>
      <c r="H1530" s="15">
        <v>40147</v>
      </c>
      <c r="I1530" s="15">
        <v>4.01</v>
      </c>
      <c r="J1530" s="6" t="s">
        <v>61</v>
      </c>
      <c r="K1530" s="15">
        <v>1</v>
      </c>
      <c r="L1530" s="15" t="s">
        <v>32</v>
      </c>
      <c r="M1530" s="15" t="s">
        <v>5</v>
      </c>
      <c r="N1530" s="11" t="s">
        <v>1384</v>
      </c>
      <c r="O1530" s="11" t="s">
        <v>28</v>
      </c>
      <c r="P1530" s="11" t="s">
        <v>29</v>
      </c>
      <c r="Q1530" s="15">
        <v>25</v>
      </c>
      <c r="R1530" s="11" t="s">
        <v>7</v>
      </c>
      <c r="S1530" s="10">
        <v>0</v>
      </c>
      <c r="T1530" s="15">
        <v>80</v>
      </c>
      <c r="U1530" s="15">
        <v>0</v>
      </c>
      <c r="V1530" s="15">
        <v>0</v>
      </c>
      <c r="W1530" s="15">
        <v>0</v>
      </c>
      <c r="X1530" s="15">
        <f>IF(O1530='Udvaskning nøgletal'!$D$65,1,IF(O1530='Udvaskning nøgletal'!$D$66,2,IF(O1530='Udvaskning nøgletal'!$D$67,3,IF(O1530='Udvaskning nøgletal'!$D$68,2,""))))</f>
        <v>1</v>
      </c>
      <c r="Y1530" s="15">
        <f>LOOKUP(K1530,'Udvaskning nøgletal'!$C$12:$C$60,'Udvaskning nøgletal'!$H$12:$H$60)</f>
        <v>5</v>
      </c>
      <c r="Z1530" s="10">
        <f>IF(X1530=1,LOOKUP(K1530,'Udvaskning nøgletal'!$C$12:$C$60,'Udvaskning nøgletal'!$E$12:$E$60)+Markniveau!Y1530*Markniveau!S1530/100,IF(X1530=2,LOOKUP(K1530,'Udvaskning nøgletal'!$C$12:$C$60,'Udvaskning nøgletal'!$F$12:$F$60)+Markniveau!Y1530*Markniveau!S1530/100,IF(X1530=3,LOOKUP(K1530,'Udvaskning nøgletal'!$C$12:$C$60,'Udvaskning nøgletal'!G1540:G1588)+Markniveau!Y1530*Markniveau!S1530/100,"")))</f>
        <v>64.66</v>
      </c>
      <c r="AA1530" s="10">
        <f t="shared" si="236"/>
        <v>259.28659999999996</v>
      </c>
      <c r="AB1530" s="10">
        <f t="shared" si="235"/>
        <v>48.494999999999997</v>
      </c>
      <c r="AC1530" s="10">
        <f t="shared" si="237"/>
        <v>194.46494999999999</v>
      </c>
      <c r="AD1530" s="10">
        <f>IF(AND(Q1530&gt;0,Q1530&lt;30,K1530&lt;8),Markniveau!Z1530*'Udvaskning nøgletal'!$I$12/100,IF(AND(Q1530&gt;0,Q1530&lt;30,K1530=216),Markniveau!Z1530*'Udvaskning nøgletal'!$I$34/100,Markniveau!Z1530))</f>
        <v>32.33</v>
      </c>
      <c r="AE1530" s="10">
        <f t="shared" si="243"/>
        <v>129.64329999999998</v>
      </c>
      <c r="AF1530" s="10">
        <f t="shared" si="238"/>
        <v>24.247499999999999</v>
      </c>
      <c r="AG1530" s="10">
        <f t="shared" si="244"/>
        <v>97.232474999999994</v>
      </c>
      <c r="AH1530" s="10">
        <f>IF(AND(Q1530&gt;0,Q1530&lt;30,K1530=216),'Udvaskning nøgletal'!$C$42,IF(AND(Q1530&gt;0,Q1530&lt;30,K1530&gt;7,K1530&lt;17),'Udvaskning nøgletal'!$C$61,IF(AND(Q1530&gt;0,Q1530&lt;30,K1530&lt;7),'Udvaskning nøgletal'!$C$62,"")))</f>
        <v>1002</v>
      </c>
      <c r="AI1530" s="10">
        <f t="shared" si="240"/>
        <v>1002</v>
      </c>
      <c r="AJ1530" s="10">
        <f>IF($X1530=1,LOOKUP(AI1530,'Udvaskning nøgletal'!$C$12:$C$62,'Udvaskning nøgletal'!$E$12:$E$62)+Markniveau!$Y1530*Markniveau!$S1530/100,IF($X1530=2,LOOKUP(AI1530,'Udvaskning nøgletal'!$C$12:$C$62,'Udvaskning nøgletal'!$F$12:$F$62)+Markniveau!$Y1530*Markniveau!$S1530/100,IF($X1530=3,LOOKUP(AI1530,'Udvaskning nøgletal'!$C$12:$C$62,'Udvaskning nøgletal'!Q1540:Q1590)+Markniveau!$Y1530*Markniveau!$S1530/100,"")))</f>
        <v>30.5</v>
      </c>
      <c r="AK1530" s="10">
        <f t="shared" si="239"/>
        <v>122.30499999999999</v>
      </c>
      <c r="AL1530" s="10">
        <f t="shared" si="241"/>
        <v>22.875</v>
      </c>
      <c r="AM1530" s="10">
        <f t="shared" si="242"/>
        <v>91.728749999999991</v>
      </c>
    </row>
    <row r="1531" spans="1:39" x14ac:dyDescent="0.25">
      <c r="A1531" s="15">
        <v>79580759</v>
      </c>
      <c r="B1531" s="15">
        <v>12.39</v>
      </c>
      <c r="C1531" s="15">
        <v>303722</v>
      </c>
      <c r="D1531" s="15">
        <v>30965</v>
      </c>
      <c r="E1531" s="15" t="s">
        <v>1251</v>
      </c>
      <c r="F1531" s="15">
        <v>2011</v>
      </c>
      <c r="G1531" s="15">
        <v>20101220</v>
      </c>
      <c r="H1531" s="15">
        <v>36648</v>
      </c>
      <c r="I1531" s="15">
        <v>3.66</v>
      </c>
      <c r="J1531" s="6" t="s">
        <v>37</v>
      </c>
      <c r="K1531" s="15">
        <v>1</v>
      </c>
      <c r="L1531" s="15" t="s">
        <v>32</v>
      </c>
      <c r="M1531" s="15" t="s">
        <v>5</v>
      </c>
      <c r="N1531" s="11" t="s">
        <v>1384</v>
      </c>
      <c r="O1531" s="11" t="s">
        <v>28</v>
      </c>
      <c r="P1531" s="11" t="s">
        <v>29</v>
      </c>
      <c r="Q1531" s="15">
        <v>25</v>
      </c>
      <c r="R1531" s="11" t="s">
        <v>7</v>
      </c>
      <c r="S1531" s="10">
        <v>0</v>
      </c>
      <c r="T1531" s="15">
        <v>80</v>
      </c>
      <c r="U1531" s="15">
        <v>0</v>
      </c>
      <c r="V1531" s="15">
        <v>0</v>
      </c>
      <c r="W1531" s="15">
        <v>0</v>
      </c>
      <c r="X1531" s="15">
        <f>IF(O1531='Udvaskning nøgletal'!$D$65,1,IF(O1531='Udvaskning nøgletal'!$D$66,2,IF(O1531='Udvaskning nøgletal'!$D$67,3,IF(O1531='Udvaskning nøgletal'!$D$68,2,""))))</f>
        <v>1</v>
      </c>
      <c r="Y1531" s="15">
        <f>LOOKUP(K1531,'Udvaskning nøgletal'!$C$12:$C$60,'Udvaskning nøgletal'!$H$12:$H$60)</f>
        <v>5</v>
      </c>
      <c r="Z1531" s="10">
        <f>IF(X1531=1,LOOKUP(K1531,'Udvaskning nøgletal'!$C$12:$C$60,'Udvaskning nøgletal'!$E$12:$E$60)+Markniveau!Y1531*Markniveau!S1531/100,IF(X1531=2,LOOKUP(K1531,'Udvaskning nøgletal'!$C$12:$C$60,'Udvaskning nøgletal'!$F$12:$F$60)+Markniveau!Y1531*Markniveau!S1531/100,IF(X1531=3,LOOKUP(K1531,'Udvaskning nøgletal'!$C$12:$C$60,'Udvaskning nøgletal'!G1541:G1589)+Markniveau!Y1531*Markniveau!S1531/100,"")))</f>
        <v>64.66</v>
      </c>
      <c r="AA1531" s="10">
        <f t="shared" si="236"/>
        <v>236.65559999999999</v>
      </c>
      <c r="AB1531" s="10">
        <f t="shared" si="235"/>
        <v>48.494999999999997</v>
      </c>
      <c r="AC1531" s="10">
        <f t="shared" si="237"/>
        <v>177.49170000000001</v>
      </c>
      <c r="AD1531" s="10">
        <f>IF(AND(Q1531&gt;0,Q1531&lt;30,K1531&lt;8),Markniveau!Z1531*'Udvaskning nøgletal'!$I$12/100,IF(AND(Q1531&gt;0,Q1531&lt;30,K1531=216),Markniveau!Z1531*'Udvaskning nøgletal'!$I$34/100,Markniveau!Z1531))</f>
        <v>32.33</v>
      </c>
      <c r="AE1531" s="10">
        <f t="shared" si="243"/>
        <v>118.3278</v>
      </c>
      <c r="AF1531" s="10">
        <f t="shared" si="238"/>
        <v>24.247499999999999</v>
      </c>
      <c r="AG1531" s="10">
        <f t="shared" si="244"/>
        <v>88.745850000000004</v>
      </c>
      <c r="AH1531" s="10">
        <f>IF(AND(Q1531&gt;0,Q1531&lt;30,K1531=216),'Udvaskning nøgletal'!$C$42,IF(AND(Q1531&gt;0,Q1531&lt;30,K1531&gt;7,K1531&lt;17),'Udvaskning nøgletal'!$C$61,IF(AND(Q1531&gt;0,Q1531&lt;30,K1531&lt;7),'Udvaskning nøgletal'!$C$62,"")))</f>
        <v>1002</v>
      </c>
      <c r="AI1531" s="10">
        <f t="shared" si="240"/>
        <v>1002</v>
      </c>
      <c r="AJ1531" s="10">
        <f>IF($X1531=1,LOOKUP(AI1531,'Udvaskning nøgletal'!$C$12:$C$62,'Udvaskning nøgletal'!$E$12:$E$62)+Markniveau!$Y1531*Markniveau!$S1531/100,IF($X1531=2,LOOKUP(AI1531,'Udvaskning nøgletal'!$C$12:$C$62,'Udvaskning nøgletal'!$F$12:$F$62)+Markniveau!$Y1531*Markniveau!$S1531/100,IF($X1531=3,LOOKUP(AI1531,'Udvaskning nøgletal'!$C$12:$C$62,'Udvaskning nøgletal'!Q1541:Q1591)+Markniveau!$Y1531*Markniveau!$S1531/100,"")))</f>
        <v>30.5</v>
      </c>
      <c r="AK1531" s="10">
        <f t="shared" si="239"/>
        <v>111.63000000000001</v>
      </c>
      <c r="AL1531" s="10">
        <f t="shared" si="241"/>
        <v>22.875</v>
      </c>
      <c r="AM1531" s="10">
        <f t="shared" si="242"/>
        <v>83.722499999999997</v>
      </c>
    </row>
    <row r="1532" spans="1:39" x14ac:dyDescent="0.25">
      <c r="A1532" s="15">
        <v>79580759</v>
      </c>
      <c r="B1532" s="15">
        <v>12.39</v>
      </c>
      <c r="C1532" s="15">
        <v>303723</v>
      </c>
      <c r="D1532" s="15">
        <v>30965</v>
      </c>
      <c r="E1532" s="15" t="s">
        <v>1251</v>
      </c>
      <c r="F1532" s="15">
        <v>2011</v>
      </c>
      <c r="G1532" s="15">
        <v>20101220</v>
      </c>
      <c r="H1532" s="15">
        <v>40213</v>
      </c>
      <c r="I1532" s="15">
        <v>4.0199999999999996</v>
      </c>
      <c r="J1532" s="6" t="s">
        <v>97</v>
      </c>
      <c r="K1532" s="15">
        <v>1</v>
      </c>
      <c r="L1532" s="15" t="s">
        <v>32</v>
      </c>
      <c r="M1532" s="15" t="s">
        <v>5</v>
      </c>
      <c r="N1532" s="11" t="s">
        <v>1384</v>
      </c>
      <c r="O1532" s="11" t="s">
        <v>28</v>
      </c>
      <c r="P1532" s="11" t="s">
        <v>29</v>
      </c>
      <c r="Q1532" s="15">
        <v>25</v>
      </c>
      <c r="R1532" s="11" t="s">
        <v>7</v>
      </c>
      <c r="S1532" s="10">
        <v>0</v>
      </c>
      <c r="T1532" s="15">
        <v>80</v>
      </c>
      <c r="U1532" s="15">
        <v>0</v>
      </c>
      <c r="V1532" s="15">
        <v>0</v>
      </c>
      <c r="W1532" s="15">
        <v>0</v>
      </c>
      <c r="X1532" s="15">
        <f>IF(O1532='Udvaskning nøgletal'!$D$65,1,IF(O1532='Udvaskning nøgletal'!$D$66,2,IF(O1532='Udvaskning nøgletal'!$D$67,3,IF(O1532='Udvaskning nøgletal'!$D$68,2,""))))</f>
        <v>1</v>
      </c>
      <c r="Y1532" s="15">
        <f>LOOKUP(K1532,'Udvaskning nøgletal'!$C$12:$C$60,'Udvaskning nøgletal'!$H$12:$H$60)</f>
        <v>5</v>
      </c>
      <c r="Z1532" s="10">
        <f>IF(X1532=1,LOOKUP(K1532,'Udvaskning nøgletal'!$C$12:$C$60,'Udvaskning nøgletal'!$E$12:$E$60)+Markniveau!Y1532*Markniveau!S1532/100,IF(X1532=2,LOOKUP(K1532,'Udvaskning nøgletal'!$C$12:$C$60,'Udvaskning nøgletal'!$F$12:$F$60)+Markniveau!Y1532*Markniveau!S1532/100,IF(X1532=3,LOOKUP(K1532,'Udvaskning nøgletal'!$C$12:$C$60,'Udvaskning nøgletal'!G1542:G1590)+Markniveau!Y1532*Markniveau!S1532/100,"")))</f>
        <v>64.66</v>
      </c>
      <c r="AA1532" s="10">
        <f t="shared" si="236"/>
        <v>259.93319999999994</v>
      </c>
      <c r="AB1532" s="10">
        <f t="shared" si="235"/>
        <v>48.494999999999997</v>
      </c>
      <c r="AC1532" s="10">
        <f t="shared" si="237"/>
        <v>194.94989999999996</v>
      </c>
      <c r="AD1532" s="10">
        <f>IF(AND(Q1532&gt;0,Q1532&lt;30,K1532&lt;8),Markniveau!Z1532*'Udvaskning nøgletal'!$I$12/100,IF(AND(Q1532&gt;0,Q1532&lt;30,K1532=216),Markniveau!Z1532*'Udvaskning nøgletal'!$I$34/100,Markniveau!Z1532))</f>
        <v>32.33</v>
      </c>
      <c r="AE1532" s="10">
        <f t="shared" si="243"/>
        <v>129.96659999999997</v>
      </c>
      <c r="AF1532" s="10">
        <f t="shared" si="238"/>
        <v>24.247499999999999</v>
      </c>
      <c r="AG1532" s="10">
        <f t="shared" si="244"/>
        <v>97.474949999999978</v>
      </c>
      <c r="AH1532" s="10">
        <f>IF(AND(Q1532&gt;0,Q1532&lt;30,K1532=216),'Udvaskning nøgletal'!$C$42,IF(AND(Q1532&gt;0,Q1532&lt;30,K1532&gt;7,K1532&lt;17),'Udvaskning nøgletal'!$C$61,IF(AND(Q1532&gt;0,Q1532&lt;30,K1532&lt;7),'Udvaskning nøgletal'!$C$62,"")))</f>
        <v>1002</v>
      </c>
      <c r="AI1532" s="10">
        <f t="shared" si="240"/>
        <v>1002</v>
      </c>
      <c r="AJ1532" s="10">
        <f>IF($X1532=1,LOOKUP(AI1532,'Udvaskning nøgletal'!$C$12:$C$62,'Udvaskning nøgletal'!$E$12:$E$62)+Markniveau!$Y1532*Markniveau!$S1532/100,IF($X1532=2,LOOKUP(AI1532,'Udvaskning nøgletal'!$C$12:$C$62,'Udvaskning nøgletal'!$F$12:$F$62)+Markniveau!$Y1532*Markniveau!$S1532/100,IF($X1532=3,LOOKUP(AI1532,'Udvaskning nøgletal'!$C$12:$C$62,'Udvaskning nøgletal'!Q1542:Q1592)+Markniveau!$Y1532*Markniveau!$S1532/100,"")))</f>
        <v>30.5</v>
      </c>
      <c r="AK1532" s="10">
        <f t="shared" si="239"/>
        <v>122.60999999999999</v>
      </c>
      <c r="AL1532" s="10">
        <f t="shared" si="241"/>
        <v>22.875</v>
      </c>
      <c r="AM1532" s="10">
        <f t="shared" si="242"/>
        <v>91.957499999999996</v>
      </c>
    </row>
    <row r="1533" spans="1:39" x14ac:dyDescent="0.25">
      <c r="A1533" s="15">
        <v>79580759</v>
      </c>
      <c r="B1533" s="15">
        <v>12.39</v>
      </c>
      <c r="C1533" s="15">
        <v>304225</v>
      </c>
      <c r="D1533" s="15">
        <v>30965</v>
      </c>
      <c r="E1533" s="15" t="s">
        <v>1251</v>
      </c>
      <c r="F1533" s="15">
        <v>2011</v>
      </c>
      <c r="G1533" s="15">
        <v>20101220</v>
      </c>
      <c r="H1533" s="15">
        <v>34841</v>
      </c>
      <c r="I1533" s="15">
        <v>3.48</v>
      </c>
      <c r="J1533" s="6" t="s">
        <v>31</v>
      </c>
      <c r="K1533" s="15">
        <v>14</v>
      </c>
      <c r="L1533" s="15" t="s">
        <v>83</v>
      </c>
      <c r="M1533" s="15" t="s">
        <v>5</v>
      </c>
      <c r="N1533" s="11" t="s">
        <v>1384</v>
      </c>
      <c r="O1533" s="11" t="s">
        <v>28</v>
      </c>
      <c r="P1533" s="11" t="s">
        <v>33</v>
      </c>
      <c r="Q1533" s="15">
        <v>25</v>
      </c>
      <c r="R1533" s="11" t="s">
        <v>7</v>
      </c>
      <c r="S1533" s="10">
        <v>0</v>
      </c>
      <c r="T1533" s="15">
        <v>80</v>
      </c>
      <c r="U1533" s="15">
        <v>0</v>
      </c>
      <c r="V1533" s="15">
        <v>0</v>
      </c>
      <c r="W1533" s="15">
        <v>0</v>
      </c>
      <c r="X1533" s="15">
        <f>IF(O1533='Udvaskning nøgletal'!$D$65,1,IF(O1533='Udvaskning nøgletal'!$D$66,2,IF(O1533='Udvaskning nøgletal'!$D$67,3,IF(O1533='Udvaskning nøgletal'!$D$68,2,""))))</f>
        <v>1</v>
      </c>
      <c r="Y1533" s="15">
        <f>LOOKUP(K1533,'Udvaskning nøgletal'!$C$12:$C$60,'Udvaskning nøgletal'!$H$12:$H$60)</f>
        <v>5</v>
      </c>
      <c r="Z1533" s="10">
        <f>IF(X1533=1,LOOKUP(K1533,'Udvaskning nøgletal'!$C$12:$C$60,'Udvaskning nøgletal'!$E$12:$E$60)+Markniveau!Y1533*Markniveau!S1533/100,IF(X1533=2,LOOKUP(K1533,'Udvaskning nøgletal'!$C$12:$C$60,'Udvaskning nøgletal'!$F$12:$F$60)+Markniveau!Y1533*Markniveau!S1533/100,IF(X1533=3,LOOKUP(K1533,'Udvaskning nøgletal'!$C$12:$C$60,'Udvaskning nøgletal'!G1543:G1591)+Markniveau!Y1533*Markniveau!S1533/100,"")))</f>
        <v>64.66</v>
      </c>
      <c r="AA1533" s="10">
        <f t="shared" si="236"/>
        <v>225.01679999999999</v>
      </c>
      <c r="AB1533" s="10">
        <f t="shared" si="235"/>
        <v>48.494999999999997</v>
      </c>
      <c r="AC1533" s="10">
        <f t="shared" si="237"/>
        <v>168.76259999999999</v>
      </c>
      <c r="AD1533" s="10">
        <f>IF(AND(Q1533&gt;0,Q1533&lt;30,K1533&lt;8),Markniveau!Z1533*'Udvaskning nøgletal'!$I$12/100,IF(AND(Q1533&gt;0,Q1533&lt;30,K1533=216),Markniveau!Z1533*'Udvaskning nøgletal'!$I$34/100,Markniveau!Z1533))</f>
        <v>64.66</v>
      </c>
      <c r="AE1533" s="10">
        <f t="shared" si="243"/>
        <v>225.01679999999999</v>
      </c>
      <c r="AF1533" s="10">
        <f t="shared" si="238"/>
        <v>48.494999999999997</v>
      </c>
      <c r="AG1533" s="10">
        <f t="shared" si="244"/>
        <v>168.76259999999999</v>
      </c>
      <c r="AH1533" s="10">
        <f>IF(AND(Q1533&gt;0,Q1533&lt;30,K1533=216),'Udvaskning nøgletal'!$C$42,IF(AND(Q1533&gt;0,Q1533&lt;30,K1533&gt;7,K1533&lt;17),'Udvaskning nøgletal'!$C$61,IF(AND(Q1533&gt;0,Q1533&lt;30,K1533&lt;7),'Udvaskning nøgletal'!$C$62,"")))</f>
        <v>1001</v>
      </c>
      <c r="AI1533" s="10">
        <f t="shared" si="240"/>
        <v>1001</v>
      </c>
      <c r="AJ1533" s="10">
        <f>IF($X1533=1,LOOKUP(AI1533,'Udvaskning nøgletal'!$C$12:$C$62,'Udvaskning nøgletal'!$E$12:$E$62)+Markniveau!$Y1533*Markniveau!$S1533/100,IF($X1533=2,LOOKUP(AI1533,'Udvaskning nøgletal'!$C$12:$C$62,'Udvaskning nøgletal'!$F$12:$F$62)+Markniveau!$Y1533*Markniveau!$S1533/100,IF($X1533=3,LOOKUP(AI1533,'Udvaskning nøgletal'!$C$12:$C$62,'Udvaskning nøgletal'!Q1543:Q1593)+Markniveau!$Y1533*Markniveau!$S1533/100,"")))</f>
        <v>30.5</v>
      </c>
      <c r="AK1533" s="10">
        <f t="shared" si="239"/>
        <v>106.14</v>
      </c>
      <c r="AL1533" s="10">
        <f t="shared" si="241"/>
        <v>22.875</v>
      </c>
      <c r="AM1533" s="10">
        <f t="shared" si="242"/>
        <v>79.605000000000004</v>
      </c>
    </row>
    <row r="1534" spans="1:39" x14ac:dyDescent="0.25">
      <c r="A1534" s="15">
        <v>79580759</v>
      </c>
      <c r="B1534" s="15">
        <v>12.39</v>
      </c>
      <c r="C1534" s="15">
        <v>304227</v>
      </c>
      <c r="D1534" s="15">
        <v>30965</v>
      </c>
      <c r="E1534" s="15" t="s">
        <v>1252</v>
      </c>
      <c r="F1534" s="15">
        <v>2011</v>
      </c>
      <c r="G1534" s="15">
        <v>20101220</v>
      </c>
      <c r="H1534" s="15">
        <v>7031</v>
      </c>
      <c r="I1534" s="15">
        <v>0.7</v>
      </c>
      <c r="J1534" s="6" t="s">
        <v>1402</v>
      </c>
      <c r="K1534" s="15">
        <v>1</v>
      </c>
      <c r="L1534" s="15" t="s">
        <v>32</v>
      </c>
      <c r="M1534" s="15" t="s">
        <v>5</v>
      </c>
      <c r="N1534" s="11" t="s">
        <v>1384</v>
      </c>
      <c r="O1534" s="11" t="s">
        <v>28</v>
      </c>
      <c r="P1534" s="11" t="s">
        <v>29</v>
      </c>
      <c r="Q1534" s="15">
        <v>95</v>
      </c>
      <c r="R1534" s="11" t="s">
        <v>3</v>
      </c>
      <c r="S1534" s="10">
        <v>0</v>
      </c>
      <c r="T1534" s="15">
        <v>80</v>
      </c>
      <c r="U1534" s="15">
        <v>0</v>
      </c>
      <c r="V1534" s="15">
        <v>0</v>
      </c>
      <c r="W1534" s="15">
        <v>0</v>
      </c>
      <c r="X1534" s="15">
        <f>IF(O1534='Udvaskning nøgletal'!$D$65,1,IF(O1534='Udvaskning nøgletal'!$D$66,2,IF(O1534='Udvaskning nøgletal'!$D$67,3,IF(O1534='Udvaskning nøgletal'!$D$68,2,""))))</f>
        <v>1</v>
      </c>
      <c r="Y1534" s="15">
        <f>LOOKUP(K1534,'Udvaskning nøgletal'!$C$12:$C$60,'Udvaskning nøgletal'!$H$12:$H$60)</f>
        <v>5</v>
      </c>
      <c r="Z1534" s="10">
        <f>IF(X1534=1,LOOKUP(K1534,'Udvaskning nøgletal'!$C$12:$C$60,'Udvaskning nøgletal'!$E$12:$E$60)+Markniveau!Y1534*Markniveau!S1534/100,IF(X1534=2,LOOKUP(K1534,'Udvaskning nøgletal'!$C$12:$C$60,'Udvaskning nøgletal'!$F$12:$F$60)+Markniveau!Y1534*Markniveau!S1534/100,IF(X1534=3,LOOKUP(K1534,'Udvaskning nøgletal'!$C$12:$C$60,'Udvaskning nøgletal'!G1544:G1592)+Markniveau!Y1534*Markniveau!S1534/100,"")))</f>
        <v>64.66</v>
      </c>
      <c r="AA1534" s="10">
        <f t="shared" si="236"/>
        <v>45.261999999999993</v>
      </c>
      <c r="AB1534" s="10">
        <f t="shared" si="235"/>
        <v>3.2329999999999997</v>
      </c>
      <c r="AC1534" s="10">
        <f t="shared" si="237"/>
        <v>2.2630999999999997</v>
      </c>
      <c r="AD1534" s="10">
        <f>IF(AND(Q1534&gt;0,Q1534&lt;30,K1534&lt;8),Markniveau!Z1534*'Udvaskning nøgletal'!$I$12/100,IF(AND(Q1534&gt;0,Q1534&lt;30,K1534=216),Markniveau!Z1534*'Udvaskning nøgletal'!$I$34/100,Markniveau!Z1534))</f>
        <v>64.66</v>
      </c>
      <c r="AE1534" s="10">
        <f t="shared" si="243"/>
        <v>45.261999999999993</v>
      </c>
      <c r="AF1534" s="10">
        <f t="shared" si="238"/>
        <v>3.2329999999999997</v>
      </c>
      <c r="AG1534" s="10">
        <f t="shared" si="244"/>
        <v>2.2630999999999997</v>
      </c>
      <c r="AH1534" s="10" t="str">
        <f>IF(AND(Q1534&gt;0,Q1534&lt;30,K1534=216),'Udvaskning nøgletal'!$C$42,IF(AND(Q1534&gt;0,Q1534&lt;30,K1534&gt;7,K1534&lt;17),'Udvaskning nøgletal'!$C$61,IF(AND(Q1534&gt;0,Q1534&lt;30,K1534&lt;7),'Udvaskning nøgletal'!$C$62,"")))</f>
        <v/>
      </c>
      <c r="AI1534" s="10">
        <f t="shared" si="240"/>
        <v>1</v>
      </c>
      <c r="AJ1534" s="10">
        <f>IF($X1534=1,LOOKUP(AI1534,'Udvaskning nøgletal'!$C$12:$C$62,'Udvaskning nøgletal'!$E$12:$E$62)+Markniveau!$Y1534*Markniveau!$S1534/100,IF($X1534=2,LOOKUP(AI1534,'Udvaskning nøgletal'!$C$12:$C$62,'Udvaskning nøgletal'!$F$12:$F$62)+Markniveau!$Y1534*Markniveau!$S1534/100,IF($X1534=3,LOOKUP(AI1534,'Udvaskning nøgletal'!$C$12:$C$62,'Udvaskning nøgletal'!Q1544:Q1594)+Markniveau!$Y1534*Markniveau!$S1534/100,"")))</f>
        <v>64.66</v>
      </c>
      <c r="AK1534" s="10">
        <f t="shared" si="239"/>
        <v>45.261999999999993</v>
      </c>
      <c r="AL1534" s="10">
        <f t="shared" si="241"/>
        <v>3.2329999999999997</v>
      </c>
      <c r="AM1534" s="10">
        <f t="shared" si="242"/>
        <v>2.2630999999999997</v>
      </c>
    </row>
    <row r="1535" spans="1:39" x14ac:dyDescent="0.25">
      <c r="A1535" s="15">
        <v>79580759</v>
      </c>
      <c r="B1535" s="15">
        <v>12.39</v>
      </c>
      <c r="C1535" s="15">
        <v>300616</v>
      </c>
      <c r="D1535" s="15">
        <v>30965</v>
      </c>
      <c r="E1535" s="15" t="s">
        <v>1252</v>
      </c>
      <c r="F1535" s="15">
        <v>2011</v>
      </c>
      <c r="G1535" s="15">
        <v>20101220</v>
      </c>
      <c r="H1535" s="15">
        <v>29646</v>
      </c>
      <c r="I1535" s="15">
        <v>2.96</v>
      </c>
      <c r="J1535" s="6" t="s">
        <v>34</v>
      </c>
      <c r="K1535" s="15">
        <v>14</v>
      </c>
      <c r="L1535" s="15" t="s">
        <v>83</v>
      </c>
      <c r="M1535" s="15" t="s">
        <v>5</v>
      </c>
      <c r="N1535" s="11" t="s">
        <v>1384</v>
      </c>
      <c r="O1535" s="11" t="s">
        <v>28</v>
      </c>
      <c r="P1535" s="11" t="s">
        <v>33</v>
      </c>
      <c r="Q1535" s="15">
        <v>0</v>
      </c>
      <c r="R1535" s="11" t="s">
        <v>1386</v>
      </c>
      <c r="S1535" s="10">
        <v>0</v>
      </c>
      <c r="T1535" s="15">
        <v>80</v>
      </c>
      <c r="U1535" s="15">
        <v>0</v>
      </c>
      <c r="V1535" s="15">
        <v>0</v>
      </c>
      <c r="W1535" s="15">
        <v>0</v>
      </c>
      <c r="X1535" s="15">
        <f>IF(O1535='Udvaskning nøgletal'!$D$65,1,IF(O1535='Udvaskning nøgletal'!$D$66,2,IF(O1535='Udvaskning nøgletal'!$D$67,3,IF(O1535='Udvaskning nøgletal'!$D$68,2,""))))</f>
        <v>1</v>
      </c>
      <c r="Y1535" s="15">
        <f>LOOKUP(K1535,'Udvaskning nøgletal'!$C$12:$C$60,'Udvaskning nøgletal'!$H$12:$H$60)</f>
        <v>5</v>
      </c>
      <c r="Z1535" s="10">
        <f>IF(X1535=1,LOOKUP(K1535,'Udvaskning nøgletal'!$C$12:$C$60,'Udvaskning nøgletal'!$E$12:$E$60)+Markniveau!Y1535*Markniveau!S1535/100,IF(X1535=2,LOOKUP(K1535,'Udvaskning nøgletal'!$C$12:$C$60,'Udvaskning nøgletal'!$F$12:$F$60)+Markniveau!Y1535*Markniveau!S1535/100,IF(X1535=3,LOOKUP(K1535,'Udvaskning nøgletal'!$C$12:$C$60,'Udvaskning nøgletal'!G1545:G1593)+Markniveau!Y1535*Markniveau!S1535/100,"")))</f>
        <v>64.66</v>
      </c>
      <c r="AA1535" s="10">
        <f t="shared" si="236"/>
        <v>191.39359999999999</v>
      </c>
      <c r="AB1535" s="10" t="str">
        <f t="shared" si="235"/>
        <v/>
      </c>
      <c r="AC1535" s="10" t="str">
        <f t="shared" si="237"/>
        <v/>
      </c>
      <c r="AD1535" s="10">
        <f>IF(AND(Q1535&gt;0,Q1535&lt;30,K1535&lt;8),Markniveau!Z1535*'Udvaskning nøgletal'!$I$12/100,IF(AND(Q1535&gt;0,Q1535&lt;30,K1535=216),Markniveau!Z1535*'Udvaskning nøgletal'!$I$34/100,Markniveau!Z1535))</f>
        <v>64.66</v>
      </c>
      <c r="AE1535" s="10">
        <f t="shared" si="243"/>
        <v>191.39359999999999</v>
      </c>
      <c r="AF1535" s="10" t="str">
        <f t="shared" si="238"/>
        <v/>
      </c>
      <c r="AG1535" s="10" t="str">
        <f t="shared" si="244"/>
        <v/>
      </c>
      <c r="AH1535" s="10" t="str">
        <f>IF(AND(Q1535&gt;0,Q1535&lt;30,K1535=216),'Udvaskning nøgletal'!$C$42,IF(AND(Q1535&gt;0,Q1535&lt;30,K1535&gt;7,K1535&lt;17),'Udvaskning nøgletal'!$C$61,IF(AND(Q1535&gt;0,Q1535&lt;30,K1535&lt;7),'Udvaskning nøgletal'!$C$62,"")))</f>
        <v/>
      </c>
      <c r="AI1535" s="10">
        <f t="shared" si="240"/>
        <v>14</v>
      </c>
      <c r="AJ1535" s="10">
        <f>IF($X1535=1,LOOKUP(AI1535,'Udvaskning nøgletal'!$C$12:$C$62,'Udvaskning nøgletal'!$E$12:$E$62)+Markniveau!$Y1535*Markniveau!$S1535/100,IF($X1535=2,LOOKUP(AI1535,'Udvaskning nøgletal'!$C$12:$C$62,'Udvaskning nøgletal'!$F$12:$F$62)+Markniveau!$Y1535*Markniveau!$S1535/100,IF($X1535=3,LOOKUP(AI1535,'Udvaskning nøgletal'!$C$12:$C$62,'Udvaskning nøgletal'!Q1545:Q1595)+Markniveau!$Y1535*Markniveau!$S1535/100,"")))</f>
        <v>64.66</v>
      </c>
      <c r="AK1535" s="10">
        <f t="shared" si="239"/>
        <v>191.39359999999999</v>
      </c>
      <c r="AL1535" s="10" t="str">
        <f t="shared" si="241"/>
        <v/>
      </c>
      <c r="AM1535" s="10" t="str">
        <f t="shared" si="242"/>
        <v/>
      </c>
    </row>
    <row r="1536" spans="1:39" x14ac:dyDescent="0.25">
      <c r="A1536" s="15">
        <v>79580759</v>
      </c>
      <c r="B1536" s="15">
        <v>12.39</v>
      </c>
      <c r="C1536" s="15">
        <v>301119</v>
      </c>
      <c r="D1536" s="15">
        <v>30965</v>
      </c>
      <c r="E1536" s="15" t="s">
        <v>30</v>
      </c>
      <c r="F1536" s="15">
        <v>2011</v>
      </c>
      <c r="G1536" s="15">
        <v>20101220</v>
      </c>
      <c r="H1536" s="15">
        <v>51263</v>
      </c>
      <c r="I1536" s="15">
        <v>5.13</v>
      </c>
      <c r="J1536" s="6" t="s">
        <v>36</v>
      </c>
      <c r="K1536" s="15">
        <v>14</v>
      </c>
      <c r="L1536" s="15" t="s">
        <v>83</v>
      </c>
      <c r="M1536" s="15" t="s">
        <v>5</v>
      </c>
      <c r="N1536" s="11" t="s">
        <v>1384</v>
      </c>
      <c r="O1536" s="11" t="s">
        <v>28</v>
      </c>
      <c r="P1536" s="11" t="s">
        <v>33</v>
      </c>
      <c r="Q1536" s="15">
        <v>0</v>
      </c>
      <c r="R1536" s="11" t="s">
        <v>1386</v>
      </c>
      <c r="S1536" s="10">
        <v>0</v>
      </c>
      <c r="T1536" s="15">
        <v>80</v>
      </c>
      <c r="U1536" s="15">
        <v>0</v>
      </c>
      <c r="V1536" s="15">
        <v>0</v>
      </c>
      <c r="W1536" s="15">
        <v>0</v>
      </c>
      <c r="X1536" s="15">
        <f>IF(O1536='Udvaskning nøgletal'!$D$65,1,IF(O1536='Udvaskning nøgletal'!$D$66,2,IF(O1536='Udvaskning nøgletal'!$D$67,3,IF(O1536='Udvaskning nøgletal'!$D$68,2,""))))</f>
        <v>1</v>
      </c>
      <c r="Y1536" s="15">
        <f>LOOKUP(K1536,'Udvaskning nøgletal'!$C$12:$C$60,'Udvaskning nøgletal'!$H$12:$H$60)</f>
        <v>5</v>
      </c>
      <c r="Z1536" s="10">
        <f>IF(X1536=1,LOOKUP(K1536,'Udvaskning nøgletal'!$C$12:$C$60,'Udvaskning nøgletal'!$E$12:$E$60)+Markniveau!Y1536*Markniveau!S1536/100,IF(X1536=2,LOOKUP(K1536,'Udvaskning nøgletal'!$C$12:$C$60,'Udvaskning nøgletal'!$F$12:$F$60)+Markniveau!Y1536*Markniveau!S1536/100,IF(X1536=3,LOOKUP(K1536,'Udvaskning nøgletal'!$C$12:$C$60,'Udvaskning nøgletal'!G1546:G1594)+Markniveau!Y1536*Markniveau!S1536/100,"")))</f>
        <v>64.66</v>
      </c>
      <c r="AA1536" s="10">
        <f t="shared" si="236"/>
        <v>331.70579999999995</v>
      </c>
      <c r="AB1536" s="10" t="str">
        <f t="shared" si="235"/>
        <v/>
      </c>
      <c r="AC1536" s="10" t="str">
        <f t="shared" si="237"/>
        <v/>
      </c>
      <c r="AD1536" s="10">
        <f>IF(AND(Q1536&gt;0,Q1536&lt;30,K1536&lt;8),Markniveau!Z1536*'Udvaskning nøgletal'!$I$12/100,IF(AND(Q1536&gt;0,Q1536&lt;30,K1536=216),Markniveau!Z1536*'Udvaskning nøgletal'!$I$34/100,Markniveau!Z1536))</f>
        <v>64.66</v>
      </c>
      <c r="AE1536" s="10">
        <f t="shared" si="243"/>
        <v>331.70579999999995</v>
      </c>
      <c r="AF1536" s="10" t="str">
        <f t="shared" si="238"/>
        <v/>
      </c>
      <c r="AG1536" s="10" t="str">
        <f t="shared" si="244"/>
        <v/>
      </c>
      <c r="AH1536" s="10" t="str">
        <f>IF(AND(Q1536&gt;0,Q1536&lt;30,K1536=216),'Udvaskning nøgletal'!$C$42,IF(AND(Q1536&gt;0,Q1536&lt;30,K1536&gt;7,K1536&lt;17),'Udvaskning nøgletal'!$C$61,IF(AND(Q1536&gt;0,Q1536&lt;30,K1536&lt;7),'Udvaskning nøgletal'!$C$62,"")))</f>
        <v/>
      </c>
      <c r="AI1536" s="10">
        <f t="shared" si="240"/>
        <v>14</v>
      </c>
      <c r="AJ1536" s="10">
        <f>IF($X1536=1,LOOKUP(AI1536,'Udvaskning nøgletal'!$C$12:$C$62,'Udvaskning nøgletal'!$E$12:$E$62)+Markniveau!$Y1536*Markniveau!$S1536/100,IF($X1536=2,LOOKUP(AI1536,'Udvaskning nøgletal'!$C$12:$C$62,'Udvaskning nøgletal'!$F$12:$F$62)+Markniveau!$Y1536*Markniveau!$S1536/100,IF($X1536=3,LOOKUP(AI1536,'Udvaskning nøgletal'!$C$12:$C$62,'Udvaskning nøgletal'!Q1546:Q1596)+Markniveau!$Y1536*Markniveau!$S1536/100,"")))</f>
        <v>64.66</v>
      </c>
      <c r="AK1536" s="10">
        <f t="shared" si="239"/>
        <v>331.70579999999995</v>
      </c>
      <c r="AL1536" s="10" t="str">
        <f t="shared" si="241"/>
        <v/>
      </c>
      <c r="AM1536" s="10" t="str">
        <f t="shared" si="242"/>
        <v/>
      </c>
    </row>
    <row r="1537" spans="1:39" x14ac:dyDescent="0.25">
      <c r="A1537" s="15">
        <v>79622559</v>
      </c>
      <c r="B1537" s="15">
        <v>24.93</v>
      </c>
      <c r="C1537" s="15">
        <v>352108</v>
      </c>
      <c r="D1537" s="15">
        <v>58458</v>
      </c>
      <c r="E1537" s="15" t="s">
        <v>1253</v>
      </c>
      <c r="F1537" s="15">
        <v>2011</v>
      </c>
      <c r="G1537" s="15">
        <v>20110214</v>
      </c>
      <c r="H1537" s="15">
        <v>7473</v>
      </c>
      <c r="I1537" s="15">
        <v>0.75</v>
      </c>
      <c r="J1537" s="6" t="s">
        <v>35</v>
      </c>
      <c r="K1537" s="15">
        <v>3</v>
      </c>
      <c r="L1537" s="15" t="s">
        <v>114</v>
      </c>
      <c r="M1537" s="15" t="s">
        <v>5</v>
      </c>
      <c r="N1537" s="11" t="s">
        <v>1391</v>
      </c>
      <c r="O1537" s="11" t="s">
        <v>46</v>
      </c>
      <c r="P1537" s="11" t="s">
        <v>33</v>
      </c>
      <c r="Q1537" s="15">
        <v>0</v>
      </c>
      <c r="R1537" s="11" t="s">
        <v>1386</v>
      </c>
      <c r="S1537" s="10">
        <v>64.357958361315994</v>
      </c>
      <c r="T1537" s="15">
        <v>80</v>
      </c>
      <c r="U1537" s="15">
        <v>0</v>
      </c>
      <c r="V1537" s="15">
        <v>0</v>
      </c>
      <c r="W1537" s="15">
        <v>0</v>
      </c>
      <c r="X1537" s="15">
        <f>IF(O1537='Udvaskning nøgletal'!$D$65,1,IF(O1537='Udvaskning nøgletal'!$D$66,2,IF(O1537='Udvaskning nøgletal'!$D$67,3,IF(O1537='Udvaskning nøgletal'!$D$68,2,""))))</f>
        <v>2</v>
      </c>
      <c r="Y1537" s="15">
        <f>LOOKUP(K1537,'Udvaskning nøgletal'!$C$12:$C$60,'Udvaskning nøgletal'!$H$12:$H$60)</f>
        <v>5</v>
      </c>
      <c r="Z1537" s="10">
        <f>IF(X1537=1,LOOKUP(K1537,'Udvaskning nøgletal'!$C$12:$C$60,'Udvaskning nøgletal'!$E$12:$E$60)+Markniveau!Y1537*Markniveau!S1537/100,IF(X1537=2,LOOKUP(K1537,'Udvaskning nøgletal'!$C$12:$C$60,'Udvaskning nøgletal'!$F$12:$F$60)+Markniveau!Y1537*Markniveau!S1537/100,IF(X1537=3,LOOKUP(K1537,'Udvaskning nøgletal'!$C$12:$C$60,'Udvaskning nøgletal'!G1547:G1595)+Markniveau!Y1537*Markniveau!S1537/100,"")))</f>
        <v>54.097897918065804</v>
      </c>
      <c r="AA1537" s="10">
        <f t="shared" si="236"/>
        <v>40.573423438549355</v>
      </c>
      <c r="AB1537" s="10" t="str">
        <f t="shared" si="235"/>
        <v/>
      </c>
      <c r="AC1537" s="10" t="str">
        <f t="shared" si="237"/>
        <v/>
      </c>
      <c r="AD1537" s="10">
        <f>IF(AND(Q1537&gt;0,Q1537&lt;30,K1537&lt;8),Markniveau!Z1537*'Udvaskning nøgletal'!$I$12/100,IF(AND(Q1537&gt;0,Q1537&lt;30,K1537=216),Markniveau!Z1537*'Udvaskning nøgletal'!$I$34/100,Markniveau!Z1537))</f>
        <v>54.097897918065804</v>
      </c>
      <c r="AE1537" s="10">
        <f t="shared" si="243"/>
        <v>40.573423438549355</v>
      </c>
      <c r="AF1537" s="10" t="str">
        <f t="shared" si="238"/>
        <v/>
      </c>
      <c r="AG1537" s="10" t="str">
        <f t="shared" si="244"/>
        <v/>
      </c>
      <c r="AH1537" s="10" t="str">
        <f>IF(AND(Q1537&gt;0,Q1537&lt;30,K1537=216),'Udvaskning nøgletal'!$C$42,IF(AND(Q1537&gt;0,Q1537&lt;30,K1537&gt;7,K1537&lt;17),'Udvaskning nøgletal'!$C$61,IF(AND(Q1537&gt;0,Q1537&lt;30,K1537&lt;7),'Udvaskning nøgletal'!$C$62,"")))</f>
        <v/>
      </c>
      <c r="AI1537" s="10">
        <f t="shared" si="240"/>
        <v>3</v>
      </c>
      <c r="AJ1537" s="10">
        <f>IF($X1537=1,LOOKUP(AI1537,'Udvaskning nøgletal'!$C$12:$C$62,'Udvaskning nøgletal'!$E$12:$E$62)+Markniveau!$Y1537*Markniveau!$S1537/100,IF($X1537=2,LOOKUP(AI1537,'Udvaskning nøgletal'!$C$12:$C$62,'Udvaskning nøgletal'!$F$12:$F$62)+Markniveau!$Y1537*Markniveau!$S1537/100,IF($X1537=3,LOOKUP(AI1537,'Udvaskning nøgletal'!$C$12:$C$62,'Udvaskning nøgletal'!Q1547:Q1597)+Markniveau!$Y1537*Markniveau!$S1537/100,"")))</f>
        <v>54.097897918065804</v>
      </c>
      <c r="AK1537" s="10">
        <f t="shared" si="239"/>
        <v>40.573423438549355</v>
      </c>
      <c r="AL1537" s="10" t="str">
        <f t="shared" si="241"/>
        <v/>
      </c>
      <c r="AM1537" s="10" t="str">
        <f t="shared" si="242"/>
        <v/>
      </c>
    </row>
    <row r="1538" spans="1:39" x14ac:dyDescent="0.25">
      <c r="A1538" s="15">
        <v>79622559</v>
      </c>
      <c r="B1538" s="15">
        <v>24.93</v>
      </c>
      <c r="C1538" s="15">
        <v>352653</v>
      </c>
      <c r="D1538" s="15">
        <v>58458</v>
      </c>
      <c r="E1538" s="15" t="s">
        <v>1253</v>
      </c>
      <c r="F1538" s="15">
        <v>2011</v>
      </c>
      <c r="G1538" s="15">
        <v>20110214</v>
      </c>
      <c r="H1538" s="15">
        <v>33752</v>
      </c>
      <c r="I1538" s="15">
        <v>3.38</v>
      </c>
      <c r="J1538" s="6" t="s">
        <v>38</v>
      </c>
      <c r="K1538" s="15">
        <v>3</v>
      </c>
      <c r="L1538" s="15" t="s">
        <v>114</v>
      </c>
      <c r="M1538" s="15" t="s">
        <v>5</v>
      </c>
      <c r="N1538" s="11" t="s">
        <v>1391</v>
      </c>
      <c r="O1538" s="11" t="s">
        <v>46</v>
      </c>
      <c r="P1538" s="11" t="s">
        <v>29</v>
      </c>
      <c r="Q1538" s="15">
        <v>0</v>
      </c>
      <c r="R1538" s="11" t="s">
        <v>1386</v>
      </c>
      <c r="S1538" s="10">
        <v>64.357958361315994</v>
      </c>
      <c r="T1538" s="15">
        <v>80</v>
      </c>
      <c r="U1538" s="15">
        <v>0</v>
      </c>
      <c r="V1538" s="15">
        <v>0</v>
      </c>
      <c r="W1538" s="15">
        <v>0</v>
      </c>
      <c r="X1538" s="15">
        <f>IF(O1538='Udvaskning nøgletal'!$D$65,1,IF(O1538='Udvaskning nøgletal'!$D$66,2,IF(O1538='Udvaskning nøgletal'!$D$67,3,IF(O1538='Udvaskning nøgletal'!$D$68,2,""))))</f>
        <v>2</v>
      </c>
      <c r="Y1538" s="15">
        <f>LOOKUP(K1538,'Udvaskning nøgletal'!$C$12:$C$60,'Udvaskning nøgletal'!$H$12:$H$60)</f>
        <v>5</v>
      </c>
      <c r="Z1538" s="10">
        <f>IF(X1538=1,LOOKUP(K1538,'Udvaskning nøgletal'!$C$12:$C$60,'Udvaskning nøgletal'!$E$12:$E$60)+Markniveau!Y1538*Markniveau!S1538/100,IF(X1538=2,LOOKUP(K1538,'Udvaskning nøgletal'!$C$12:$C$60,'Udvaskning nøgletal'!$F$12:$F$60)+Markniveau!Y1538*Markniveau!S1538/100,IF(X1538=3,LOOKUP(K1538,'Udvaskning nøgletal'!$C$12:$C$60,'Udvaskning nøgletal'!G1548:G1596)+Markniveau!Y1538*Markniveau!S1538/100,"")))</f>
        <v>54.097897918065804</v>
      </c>
      <c r="AA1538" s="10">
        <f t="shared" si="236"/>
        <v>182.85089496306242</v>
      </c>
      <c r="AB1538" s="10" t="str">
        <f t="shared" ref="AB1538:AB1601" si="245">IF(Q1538&gt;0,(100-Q1538)*Z1538/100,"")</f>
        <v/>
      </c>
      <c r="AC1538" s="10" t="str">
        <f t="shared" si="237"/>
        <v/>
      </c>
      <c r="AD1538" s="10">
        <f>IF(AND(Q1538&gt;0,Q1538&lt;30,K1538&lt;8),Markniveau!Z1538*'Udvaskning nøgletal'!$I$12/100,IF(AND(Q1538&gt;0,Q1538&lt;30,K1538=216),Markniveau!Z1538*'Udvaskning nøgletal'!$I$34/100,Markniveau!Z1538))</f>
        <v>54.097897918065804</v>
      </c>
      <c r="AE1538" s="10">
        <f t="shared" si="243"/>
        <v>182.85089496306242</v>
      </c>
      <c r="AF1538" s="10" t="str">
        <f t="shared" si="238"/>
        <v/>
      </c>
      <c r="AG1538" s="10" t="str">
        <f t="shared" si="244"/>
        <v/>
      </c>
      <c r="AH1538" s="10" t="str">
        <f>IF(AND(Q1538&gt;0,Q1538&lt;30,K1538=216),'Udvaskning nøgletal'!$C$42,IF(AND(Q1538&gt;0,Q1538&lt;30,K1538&gt;7,K1538&lt;17),'Udvaskning nøgletal'!$C$61,IF(AND(Q1538&gt;0,Q1538&lt;30,K1538&lt;7),'Udvaskning nøgletal'!$C$62,"")))</f>
        <v/>
      </c>
      <c r="AI1538" s="10">
        <f t="shared" si="240"/>
        <v>3</v>
      </c>
      <c r="AJ1538" s="10">
        <f>IF($X1538=1,LOOKUP(AI1538,'Udvaskning nøgletal'!$C$12:$C$62,'Udvaskning nøgletal'!$E$12:$E$62)+Markniveau!$Y1538*Markniveau!$S1538/100,IF($X1538=2,LOOKUP(AI1538,'Udvaskning nøgletal'!$C$12:$C$62,'Udvaskning nøgletal'!$F$12:$F$62)+Markniveau!$Y1538*Markniveau!$S1538/100,IF($X1538=3,LOOKUP(AI1538,'Udvaskning nøgletal'!$C$12:$C$62,'Udvaskning nøgletal'!Q1548:Q1598)+Markniveau!$Y1538*Markniveau!$S1538/100,"")))</f>
        <v>54.097897918065804</v>
      </c>
      <c r="AK1538" s="10">
        <f t="shared" si="239"/>
        <v>182.85089496306242</v>
      </c>
      <c r="AL1538" s="10" t="str">
        <f t="shared" si="241"/>
        <v/>
      </c>
      <c r="AM1538" s="10" t="str">
        <f t="shared" si="242"/>
        <v/>
      </c>
    </row>
    <row r="1539" spans="1:39" x14ac:dyDescent="0.25">
      <c r="A1539" s="15">
        <v>79622559</v>
      </c>
      <c r="B1539" s="15">
        <v>24.93</v>
      </c>
      <c r="C1539" s="15">
        <v>352655</v>
      </c>
      <c r="D1539" s="15">
        <v>58458</v>
      </c>
      <c r="E1539" s="15" t="s">
        <v>1254</v>
      </c>
      <c r="F1539" s="15">
        <v>2011</v>
      </c>
      <c r="G1539" s="15">
        <v>20110214</v>
      </c>
      <c r="H1539" s="15">
        <v>65194</v>
      </c>
      <c r="I1539" s="15">
        <v>6.52</v>
      </c>
      <c r="J1539" s="6" t="s">
        <v>61</v>
      </c>
      <c r="K1539" s="15">
        <v>1</v>
      </c>
      <c r="L1539" s="15" t="s">
        <v>32</v>
      </c>
      <c r="M1539" s="15" t="s">
        <v>5</v>
      </c>
      <c r="N1539" s="11" t="s">
        <v>1391</v>
      </c>
      <c r="O1539" s="11" t="s">
        <v>46</v>
      </c>
      <c r="P1539" s="11" t="s">
        <v>29</v>
      </c>
      <c r="Q1539" s="15">
        <v>0</v>
      </c>
      <c r="R1539" s="11" t="s">
        <v>1386</v>
      </c>
      <c r="S1539" s="10">
        <v>64.357958361315994</v>
      </c>
      <c r="T1539" s="15">
        <v>80</v>
      </c>
      <c r="U1539" s="15">
        <v>0</v>
      </c>
      <c r="V1539" s="15">
        <v>0</v>
      </c>
      <c r="W1539" s="15">
        <v>0</v>
      </c>
      <c r="X1539" s="15">
        <f>IF(O1539='Udvaskning nøgletal'!$D$65,1,IF(O1539='Udvaskning nøgletal'!$D$66,2,IF(O1539='Udvaskning nøgletal'!$D$67,3,IF(O1539='Udvaskning nøgletal'!$D$68,2,""))))</f>
        <v>2</v>
      </c>
      <c r="Y1539" s="15">
        <f>LOOKUP(K1539,'Udvaskning nøgletal'!$C$12:$C$60,'Udvaskning nøgletal'!$H$12:$H$60)</f>
        <v>5</v>
      </c>
      <c r="Z1539" s="10">
        <f>IF(X1539=1,LOOKUP(K1539,'Udvaskning nøgletal'!$C$12:$C$60,'Udvaskning nøgletal'!$E$12:$E$60)+Markniveau!Y1539*Markniveau!S1539/100,IF(X1539=2,LOOKUP(K1539,'Udvaskning nøgletal'!$C$12:$C$60,'Udvaskning nøgletal'!$F$12:$F$60)+Markniveau!Y1539*Markniveau!S1539/100,IF(X1539=3,LOOKUP(K1539,'Udvaskning nøgletal'!$C$12:$C$60,'Udvaskning nøgletal'!G1549:G1597)+Markniveau!Y1539*Markniveau!S1539/100,"")))</f>
        <v>54.097897918065804</v>
      </c>
      <c r="AA1539" s="10">
        <f t="shared" ref="AA1539:AA1602" si="246">Z1539*I1539</f>
        <v>352.718294425789</v>
      </c>
      <c r="AB1539" s="10" t="str">
        <f t="shared" si="245"/>
        <v/>
      </c>
      <c r="AC1539" s="10" t="str">
        <f t="shared" ref="AC1539:AC1602" si="247">IF(Q1539&gt;0,AB1539*I1539,"")</f>
        <v/>
      </c>
      <c r="AD1539" s="10">
        <f>IF(AND(Q1539&gt;0,Q1539&lt;30,K1539&lt;8),Markniveau!Z1539*'Udvaskning nøgletal'!$I$12/100,IF(AND(Q1539&gt;0,Q1539&lt;30,K1539=216),Markniveau!Z1539*'Udvaskning nøgletal'!$I$34/100,Markniveau!Z1539))</f>
        <v>54.097897918065804</v>
      </c>
      <c r="AE1539" s="10">
        <f t="shared" si="243"/>
        <v>352.718294425789</v>
      </c>
      <c r="AF1539" s="10" t="str">
        <f t="shared" ref="AF1539:AF1602" si="248">IF($Q1539&gt;0,(100-$Q1539)*$AD1539/100,"")</f>
        <v/>
      </c>
      <c r="AG1539" s="10" t="str">
        <f t="shared" si="244"/>
        <v/>
      </c>
      <c r="AH1539" s="10" t="str">
        <f>IF(AND(Q1539&gt;0,Q1539&lt;30,K1539=216),'Udvaskning nøgletal'!$C$42,IF(AND(Q1539&gt;0,Q1539&lt;30,K1539&gt;7,K1539&lt;17),'Udvaskning nøgletal'!$C$61,IF(AND(Q1539&gt;0,Q1539&lt;30,K1539&lt;7),'Udvaskning nøgletal'!$C$62,"")))</f>
        <v/>
      </c>
      <c r="AI1539" s="10">
        <f t="shared" si="240"/>
        <v>1</v>
      </c>
      <c r="AJ1539" s="10">
        <f>IF($X1539=1,LOOKUP(AI1539,'Udvaskning nøgletal'!$C$12:$C$62,'Udvaskning nøgletal'!$E$12:$E$62)+Markniveau!$Y1539*Markniveau!$S1539/100,IF($X1539=2,LOOKUP(AI1539,'Udvaskning nøgletal'!$C$12:$C$62,'Udvaskning nøgletal'!$F$12:$F$62)+Markniveau!$Y1539*Markniveau!$S1539/100,IF($X1539=3,LOOKUP(AI1539,'Udvaskning nøgletal'!$C$12:$C$62,'Udvaskning nøgletal'!Q1549:Q1599)+Markniveau!$Y1539*Markniveau!$S1539/100,"")))</f>
        <v>54.097897918065804</v>
      </c>
      <c r="AK1539" s="10">
        <f t="shared" ref="AK1539:AK1602" si="249">AJ1539*$I1539</f>
        <v>352.718294425789</v>
      </c>
      <c r="AL1539" s="10" t="str">
        <f t="shared" si="241"/>
        <v/>
      </c>
      <c r="AM1539" s="10" t="str">
        <f t="shared" si="242"/>
        <v/>
      </c>
    </row>
    <row r="1540" spans="1:39" x14ac:dyDescent="0.25">
      <c r="A1540" s="15">
        <v>79622559</v>
      </c>
      <c r="B1540" s="15">
        <v>24.93</v>
      </c>
      <c r="C1540" s="15">
        <v>352656</v>
      </c>
      <c r="D1540" s="15">
        <v>58458</v>
      </c>
      <c r="E1540" s="15" t="s">
        <v>1255</v>
      </c>
      <c r="F1540" s="15">
        <v>2011</v>
      </c>
      <c r="G1540" s="15">
        <v>20110214</v>
      </c>
      <c r="H1540" s="15">
        <v>30872</v>
      </c>
      <c r="I1540" s="15">
        <v>3.09</v>
      </c>
      <c r="J1540" s="6" t="s">
        <v>37</v>
      </c>
      <c r="K1540" s="15">
        <v>260</v>
      </c>
      <c r="L1540" s="15" t="s">
        <v>45</v>
      </c>
      <c r="M1540" s="15" t="s">
        <v>5</v>
      </c>
      <c r="N1540" s="11" t="s">
        <v>1391</v>
      </c>
      <c r="O1540" s="11" t="s">
        <v>46</v>
      </c>
      <c r="P1540" s="11" t="s">
        <v>33</v>
      </c>
      <c r="Q1540" s="15">
        <v>0</v>
      </c>
      <c r="R1540" s="11" t="s">
        <v>1386</v>
      </c>
      <c r="S1540" s="10">
        <v>64.357958361315994</v>
      </c>
      <c r="T1540" s="15">
        <v>80</v>
      </c>
      <c r="U1540" s="15">
        <v>0</v>
      </c>
      <c r="V1540" s="15">
        <v>0</v>
      </c>
      <c r="W1540" s="15">
        <v>0</v>
      </c>
      <c r="X1540" s="15">
        <f>IF(O1540='Udvaskning nøgletal'!$D$65,1,IF(O1540='Udvaskning nøgletal'!$D$66,2,IF(O1540='Udvaskning nøgletal'!$D$67,3,IF(O1540='Udvaskning nøgletal'!$D$68,2,""))))</f>
        <v>2</v>
      </c>
      <c r="Y1540" s="15">
        <f>LOOKUP(K1540,'Udvaskning nøgletal'!$C$12:$C$60,'Udvaskning nøgletal'!$H$12:$H$60)</f>
        <v>0</v>
      </c>
      <c r="Z1540" s="10">
        <f>IF(X1540=1,LOOKUP(K1540,'Udvaskning nøgletal'!$C$12:$C$60,'Udvaskning nøgletal'!$E$12:$E$60)+Markniveau!Y1540*Markniveau!S1540/100,IF(X1540=2,LOOKUP(K1540,'Udvaskning nøgletal'!$C$12:$C$60,'Udvaskning nøgletal'!$F$12:$F$60)+Markniveau!Y1540*Markniveau!S1540/100,IF(X1540=3,LOOKUP(K1540,'Udvaskning nøgletal'!$C$12:$C$60,'Udvaskning nøgletal'!G1550:G1598)+Markniveau!Y1540*Markniveau!S1540/100,"")))</f>
        <v>27.331185321443094</v>
      </c>
      <c r="AA1540" s="10">
        <f t="shared" si="246"/>
        <v>84.453362643259155</v>
      </c>
      <c r="AB1540" s="10" t="str">
        <f t="shared" si="245"/>
        <v/>
      </c>
      <c r="AC1540" s="10" t="str">
        <f t="shared" si="247"/>
        <v/>
      </c>
      <c r="AD1540" s="10">
        <f>IF(AND(Q1540&gt;0,Q1540&lt;30,K1540&lt;8),Markniveau!Z1540*'Udvaskning nøgletal'!$I$12/100,IF(AND(Q1540&gt;0,Q1540&lt;30,K1540=216),Markniveau!Z1540*'Udvaskning nøgletal'!$I$34/100,Markniveau!Z1540))</f>
        <v>27.331185321443094</v>
      </c>
      <c r="AE1540" s="10">
        <f t="shared" si="243"/>
        <v>84.453362643259155</v>
      </c>
      <c r="AF1540" s="10" t="str">
        <f t="shared" si="248"/>
        <v/>
      </c>
      <c r="AG1540" s="10" t="str">
        <f t="shared" si="244"/>
        <v/>
      </c>
      <c r="AH1540" s="10" t="str">
        <f>IF(AND(Q1540&gt;0,Q1540&lt;30,K1540=216),'Udvaskning nøgletal'!$C$42,IF(AND(Q1540&gt;0,Q1540&lt;30,K1540&gt;7,K1540&lt;17),'Udvaskning nøgletal'!$C$61,IF(AND(Q1540&gt;0,Q1540&lt;30,K1540&lt;7),'Udvaskning nøgletal'!$C$62,"")))</f>
        <v/>
      </c>
      <c r="AI1540" s="10">
        <f t="shared" si="240"/>
        <v>260</v>
      </c>
      <c r="AJ1540" s="10">
        <f>IF($X1540=1,LOOKUP(AI1540,'Udvaskning nøgletal'!$C$12:$C$62,'Udvaskning nøgletal'!$E$12:$E$62)+Markniveau!$Y1540*Markniveau!$S1540/100,IF($X1540=2,LOOKUP(AI1540,'Udvaskning nøgletal'!$C$12:$C$62,'Udvaskning nøgletal'!$F$12:$F$62)+Markniveau!$Y1540*Markniveau!$S1540/100,IF($X1540=3,LOOKUP(AI1540,'Udvaskning nøgletal'!$C$12:$C$62,'Udvaskning nøgletal'!Q1550:Q1600)+Markniveau!$Y1540*Markniveau!$S1540/100,"")))</f>
        <v>27.331185321443094</v>
      </c>
      <c r="AK1540" s="10">
        <f t="shared" si="249"/>
        <v>84.453362643259155</v>
      </c>
      <c r="AL1540" s="10" t="str">
        <f t="shared" si="241"/>
        <v/>
      </c>
      <c r="AM1540" s="10" t="str">
        <f t="shared" si="242"/>
        <v/>
      </c>
    </row>
    <row r="1541" spans="1:39" x14ac:dyDescent="0.25">
      <c r="A1541" s="15">
        <v>79622559</v>
      </c>
      <c r="B1541" s="15">
        <v>24.93</v>
      </c>
      <c r="C1541" s="15">
        <v>353182</v>
      </c>
      <c r="D1541" s="15">
        <v>58458</v>
      </c>
      <c r="E1541" s="15" t="s">
        <v>1255</v>
      </c>
      <c r="F1541" s="15">
        <v>2011</v>
      </c>
      <c r="G1541" s="15">
        <v>20110214</v>
      </c>
      <c r="H1541" s="15">
        <v>31394</v>
      </c>
      <c r="I1541" s="15">
        <v>3.14</v>
      </c>
      <c r="J1541" s="6" t="s">
        <v>97</v>
      </c>
      <c r="K1541" s="15">
        <v>1</v>
      </c>
      <c r="L1541" s="15" t="s">
        <v>32</v>
      </c>
      <c r="M1541" s="15" t="s">
        <v>5</v>
      </c>
      <c r="N1541" s="11" t="s">
        <v>1391</v>
      </c>
      <c r="O1541" s="11" t="s">
        <v>46</v>
      </c>
      <c r="P1541" s="11" t="s">
        <v>29</v>
      </c>
      <c r="Q1541" s="15">
        <v>95</v>
      </c>
      <c r="R1541" s="11" t="s">
        <v>3</v>
      </c>
      <c r="S1541" s="10">
        <v>64.357958361315994</v>
      </c>
      <c r="T1541" s="15">
        <v>80</v>
      </c>
      <c r="U1541" s="15">
        <v>0</v>
      </c>
      <c r="V1541" s="15">
        <v>0</v>
      </c>
      <c r="W1541" s="15">
        <v>0</v>
      </c>
      <c r="X1541" s="15">
        <f>IF(O1541='Udvaskning nøgletal'!$D$65,1,IF(O1541='Udvaskning nøgletal'!$D$66,2,IF(O1541='Udvaskning nøgletal'!$D$67,3,IF(O1541='Udvaskning nøgletal'!$D$68,2,""))))</f>
        <v>2</v>
      </c>
      <c r="Y1541" s="15">
        <f>LOOKUP(K1541,'Udvaskning nøgletal'!$C$12:$C$60,'Udvaskning nøgletal'!$H$12:$H$60)</f>
        <v>5</v>
      </c>
      <c r="Z1541" s="10">
        <f>IF(X1541=1,LOOKUP(K1541,'Udvaskning nøgletal'!$C$12:$C$60,'Udvaskning nøgletal'!$E$12:$E$60)+Markniveau!Y1541*Markniveau!S1541/100,IF(X1541=2,LOOKUP(K1541,'Udvaskning nøgletal'!$C$12:$C$60,'Udvaskning nøgletal'!$F$12:$F$60)+Markniveau!Y1541*Markniveau!S1541/100,IF(X1541=3,LOOKUP(K1541,'Udvaskning nøgletal'!$C$12:$C$60,'Udvaskning nøgletal'!G1551:G1599)+Markniveau!Y1541*Markniveau!S1541/100,"")))</f>
        <v>54.097897918065804</v>
      </c>
      <c r="AA1541" s="10">
        <f t="shared" si="246"/>
        <v>169.86739946272664</v>
      </c>
      <c r="AB1541" s="10">
        <f t="shared" si="245"/>
        <v>2.7048948959032901</v>
      </c>
      <c r="AC1541" s="10">
        <f t="shared" si="247"/>
        <v>8.4933699731363319</v>
      </c>
      <c r="AD1541" s="10">
        <f>IF(AND(Q1541&gt;0,Q1541&lt;30,K1541&lt;8),Markniveau!Z1541*'Udvaskning nøgletal'!$I$12/100,IF(AND(Q1541&gt;0,Q1541&lt;30,K1541=216),Markniveau!Z1541*'Udvaskning nøgletal'!$I$34/100,Markniveau!Z1541))</f>
        <v>54.097897918065804</v>
      </c>
      <c r="AE1541" s="10">
        <f t="shared" si="243"/>
        <v>169.86739946272664</v>
      </c>
      <c r="AF1541" s="10">
        <f t="shared" si="248"/>
        <v>2.7048948959032901</v>
      </c>
      <c r="AG1541" s="10">
        <f t="shared" si="244"/>
        <v>8.4933699731363319</v>
      </c>
      <c r="AH1541" s="10" t="str">
        <f>IF(AND(Q1541&gt;0,Q1541&lt;30,K1541=216),'Udvaskning nøgletal'!$C$42,IF(AND(Q1541&gt;0,Q1541&lt;30,K1541&gt;7,K1541&lt;17),'Udvaskning nøgletal'!$C$61,IF(AND(Q1541&gt;0,Q1541&lt;30,K1541&lt;7),'Udvaskning nøgletal'!$C$62,"")))</f>
        <v/>
      </c>
      <c r="AI1541" s="10">
        <f t="shared" si="240"/>
        <v>1</v>
      </c>
      <c r="AJ1541" s="10">
        <f>IF($X1541=1,LOOKUP(AI1541,'Udvaskning nøgletal'!$C$12:$C$62,'Udvaskning nøgletal'!$E$12:$E$62)+Markniveau!$Y1541*Markniveau!$S1541/100,IF($X1541=2,LOOKUP(AI1541,'Udvaskning nøgletal'!$C$12:$C$62,'Udvaskning nøgletal'!$F$12:$F$62)+Markniveau!$Y1541*Markniveau!$S1541/100,IF($X1541=3,LOOKUP(AI1541,'Udvaskning nøgletal'!$C$12:$C$62,'Udvaskning nøgletal'!Q1551:Q1601)+Markniveau!$Y1541*Markniveau!$S1541/100,"")))</f>
        <v>54.097897918065804</v>
      </c>
      <c r="AK1541" s="10">
        <f t="shared" si="249"/>
        <v>169.86739946272664</v>
      </c>
      <c r="AL1541" s="10">
        <f t="shared" si="241"/>
        <v>2.7048948959032901</v>
      </c>
      <c r="AM1541" s="10">
        <f t="shared" si="242"/>
        <v>8.4933699731363319</v>
      </c>
    </row>
    <row r="1542" spans="1:39" x14ac:dyDescent="0.25">
      <c r="A1542" s="15">
        <v>79622559</v>
      </c>
      <c r="B1542" s="15">
        <v>24.93</v>
      </c>
      <c r="C1542" s="15">
        <v>353186</v>
      </c>
      <c r="D1542" s="15">
        <v>58458</v>
      </c>
      <c r="E1542" s="15" t="s">
        <v>1255</v>
      </c>
      <c r="F1542" s="15">
        <v>2011</v>
      </c>
      <c r="G1542" s="15">
        <v>20110214</v>
      </c>
      <c r="H1542" s="15">
        <v>23645</v>
      </c>
      <c r="I1542" s="15">
        <v>2.36</v>
      </c>
      <c r="J1542" s="6" t="s">
        <v>31</v>
      </c>
      <c r="K1542" s="15">
        <v>230</v>
      </c>
      <c r="L1542" s="15" t="s">
        <v>120</v>
      </c>
      <c r="M1542" s="15" t="s">
        <v>5</v>
      </c>
      <c r="N1542" s="11" t="s">
        <v>1391</v>
      </c>
      <c r="O1542" s="11" t="s">
        <v>46</v>
      </c>
      <c r="P1542" s="11" t="s">
        <v>29</v>
      </c>
      <c r="Q1542" s="15">
        <v>95</v>
      </c>
      <c r="R1542" s="11" t="s">
        <v>3</v>
      </c>
      <c r="S1542" s="10">
        <v>64.357958361315994</v>
      </c>
      <c r="T1542" s="15">
        <v>80</v>
      </c>
      <c r="U1542" s="15">
        <v>0</v>
      </c>
      <c r="V1542" s="15">
        <v>0</v>
      </c>
      <c r="W1542" s="15">
        <v>0</v>
      </c>
      <c r="X1542" s="15">
        <f>IF(O1542='Udvaskning nøgletal'!$D$65,1,IF(O1542='Udvaskning nøgletal'!$D$66,2,IF(O1542='Udvaskning nøgletal'!$D$67,3,IF(O1542='Udvaskning nøgletal'!$D$68,2,""))))</f>
        <v>2</v>
      </c>
      <c r="Y1542" s="15">
        <f>LOOKUP(K1542,'Udvaskning nøgletal'!$C$12:$C$60,'Udvaskning nøgletal'!$H$12:$H$60)</f>
        <v>0</v>
      </c>
      <c r="Z1542" s="10">
        <f>IF(X1542=1,LOOKUP(K1542,'Udvaskning nøgletal'!$C$12:$C$60,'Udvaskning nøgletal'!$E$12:$E$60)+Markniveau!Y1542*Markniveau!S1542/100,IF(X1542=2,LOOKUP(K1542,'Udvaskning nøgletal'!$C$12:$C$60,'Udvaskning nøgletal'!$F$12:$F$60)+Markniveau!Y1542*Markniveau!S1542/100,IF(X1542=3,LOOKUP(K1542,'Udvaskning nøgletal'!$C$12:$C$60,'Udvaskning nøgletal'!G1552:G1600)+Markniveau!Y1542*Markniveau!S1542/100,"")))</f>
        <v>31.161328188970323</v>
      </c>
      <c r="AA1542" s="10">
        <f t="shared" si="246"/>
        <v>73.540734525969953</v>
      </c>
      <c r="AB1542" s="10">
        <f t="shared" si="245"/>
        <v>1.5580664094485162</v>
      </c>
      <c r="AC1542" s="10">
        <f t="shared" si="247"/>
        <v>3.677036726298498</v>
      </c>
      <c r="AD1542" s="10">
        <f>IF(AND(Q1542&gt;0,Q1542&lt;30,K1542&lt;8),Markniveau!Z1542*'Udvaskning nøgletal'!$I$12/100,IF(AND(Q1542&gt;0,Q1542&lt;30,K1542=216),Markniveau!Z1542*'Udvaskning nøgletal'!$I$34/100,Markniveau!Z1542))</f>
        <v>31.161328188970323</v>
      </c>
      <c r="AE1542" s="10">
        <f t="shared" si="243"/>
        <v>73.540734525969953</v>
      </c>
      <c r="AF1542" s="10">
        <f t="shared" si="248"/>
        <v>1.5580664094485162</v>
      </c>
      <c r="AG1542" s="10">
        <f t="shared" si="244"/>
        <v>3.677036726298498</v>
      </c>
      <c r="AH1542" s="10" t="str">
        <f>IF(AND(Q1542&gt;0,Q1542&lt;30,K1542=216),'Udvaskning nøgletal'!$C$42,IF(AND(Q1542&gt;0,Q1542&lt;30,K1542&gt;7,K1542&lt;17),'Udvaskning nøgletal'!$C$61,IF(AND(Q1542&gt;0,Q1542&lt;30,K1542&lt;7),'Udvaskning nøgletal'!$C$62,"")))</f>
        <v/>
      </c>
      <c r="AI1542" s="10">
        <f t="shared" si="240"/>
        <v>230</v>
      </c>
      <c r="AJ1542" s="10">
        <f>IF($X1542=1,LOOKUP(AI1542,'Udvaskning nøgletal'!$C$12:$C$62,'Udvaskning nøgletal'!$E$12:$E$62)+Markniveau!$Y1542*Markniveau!$S1542/100,IF($X1542=2,LOOKUP(AI1542,'Udvaskning nøgletal'!$C$12:$C$62,'Udvaskning nøgletal'!$F$12:$F$62)+Markniveau!$Y1542*Markniveau!$S1542/100,IF($X1542=3,LOOKUP(AI1542,'Udvaskning nøgletal'!$C$12:$C$62,'Udvaskning nøgletal'!Q1552:Q1602)+Markniveau!$Y1542*Markniveau!$S1542/100,"")))</f>
        <v>31.161328188970323</v>
      </c>
      <c r="AK1542" s="10">
        <f t="shared" si="249"/>
        <v>73.540734525969953</v>
      </c>
      <c r="AL1542" s="10">
        <f t="shared" si="241"/>
        <v>1.5580664094485162</v>
      </c>
      <c r="AM1542" s="10">
        <f t="shared" si="242"/>
        <v>3.677036726298498</v>
      </c>
    </row>
    <row r="1543" spans="1:39" x14ac:dyDescent="0.25">
      <c r="A1543" s="15">
        <v>79622559</v>
      </c>
      <c r="B1543" s="15">
        <v>24.93</v>
      </c>
      <c r="C1543" s="15">
        <v>416546</v>
      </c>
      <c r="D1543" s="15">
        <v>58458</v>
      </c>
      <c r="E1543" s="15" t="s">
        <v>1253</v>
      </c>
      <c r="F1543" s="15">
        <v>2011</v>
      </c>
      <c r="G1543" s="15">
        <v>20110218</v>
      </c>
      <c r="H1543" s="15">
        <v>29100</v>
      </c>
      <c r="I1543" s="15">
        <v>2.91</v>
      </c>
      <c r="J1543" s="6" t="s">
        <v>91</v>
      </c>
      <c r="K1543" s="15">
        <v>263</v>
      </c>
      <c r="L1543" s="15" t="s">
        <v>39</v>
      </c>
      <c r="M1543" s="15" t="s">
        <v>5</v>
      </c>
      <c r="N1543" s="11" t="s">
        <v>1391</v>
      </c>
      <c r="O1543" s="11" t="s">
        <v>46</v>
      </c>
      <c r="P1543" s="11" t="s">
        <v>29</v>
      </c>
      <c r="Q1543" s="15">
        <v>95</v>
      </c>
      <c r="R1543" s="11" t="s">
        <v>3</v>
      </c>
      <c r="S1543" s="10">
        <v>64.357958361315994</v>
      </c>
      <c r="T1543" s="15">
        <v>80</v>
      </c>
      <c r="U1543" s="15">
        <v>0</v>
      </c>
      <c r="V1543" s="15">
        <v>0</v>
      </c>
      <c r="W1543" s="15">
        <v>0</v>
      </c>
      <c r="X1543" s="15">
        <f>IF(O1543='Udvaskning nøgletal'!$D$65,1,IF(O1543='Udvaskning nøgletal'!$D$66,2,IF(O1543='Udvaskning nøgletal'!$D$67,3,IF(O1543='Udvaskning nøgletal'!$D$68,2,""))))</f>
        <v>2</v>
      </c>
      <c r="Y1543" s="15">
        <f>LOOKUP(K1543,'Udvaskning nøgletal'!$C$12:$C$60,'Udvaskning nøgletal'!$H$12:$H$60)</f>
        <v>0</v>
      </c>
      <c r="Z1543" s="10">
        <f>IF(X1543=1,LOOKUP(K1543,'Udvaskning nøgletal'!$C$12:$C$60,'Udvaskning nøgletal'!$E$12:$E$60)+Markniveau!Y1543*Markniveau!S1543/100,IF(X1543=2,LOOKUP(K1543,'Udvaskning nøgletal'!$C$12:$C$60,'Udvaskning nøgletal'!$F$12:$F$60)+Markniveau!Y1543*Markniveau!S1543/100,IF(X1543=3,LOOKUP(K1543,'Udvaskning nøgletal'!$C$12:$C$60,'Udvaskning nøgletal'!G1553:G1601)+Markniveau!Y1543*Markniveau!S1543/100,"")))</f>
        <v>27.331185321443094</v>
      </c>
      <c r="AA1543" s="10">
        <f t="shared" si="246"/>
        <v>79.533749285399409</v>
      </c>
      <c r="AB1543" s="10">
        <f t="shared" si="245"/>
        <v>1.3665592660721546</v>
      </c>
      <c r="AC1543" s="10">
        <f t="shared" si="247"/>
        <v>3.9766874642699701</v>
      </c>
      <c r="AD1543" s="10">
        <f>IF(AND(Q1543&gt;0,Q1543&lt;30,K1543&lt;8),Markniveau!Z1543*'Udvaskning nøgletal'!$I$12/100,IF(AND(Q1543&gt;0,Q1543&lt;30,K1543=216),Markniveau!Z1543*'Udvaskning nøgletal'!$I$34/100,Markniveau!Z1543))</f>
        <v>27.331185321443094</v>
      </c>
      <c r="AE1543" s="10">
        <f t="shared" si="243"/>
        <v>79.533749285399409</v>
      </c>
      <c r="AF1543" s="10">
        <f t="shared" si="248"/>
        <v>1.3665592660721546</v>
      </c>
      <c r="AG1543" s="10">
        <f t="shared" si="244"/>
        <v>3.9766874642699701</v>
      </c>
      <c r="AH1543" s="10" t="str">
        <f>IF(AND(Q1543&gt;0,Q1543&lt;30,K1543=216),'Udvaskning nøgletal'!$C$42,IF(AND(Q1543&gt;0,Q1543&lt;30,K1543&gt;7,K1543&lt;17),'Udvaskning nøgletal'!$C$61,IF(AND(Q1543&gt;0,Q1543&lt;30,K1543&lt;7),'Udvaskning nøgletal'!$C$62,"")))</f>
        <v/>
      </c>
      <c r="AI1543" s="10">
        <f t="shared" si="240"/>
        <v>263</v>
      </c>
      <c r="AJ1543" s="10">
        <f>IF($X1543=1,LOOKUP(AI1543,'Udvaskning nøgletal'!$C$12:$C$62,'Udvaskning nøgletal'!$E$12:$E$62)+Markniveau!$Y1543*Markniveau!$S1543/100,IF($X1543=2,LOOKUP(AI1543,'Udvaskning nøgletal'!$C$12:$C$62,'Udvaskning nøgletal'!$F$12:$F$62)+Markniveau!$Y1543*Markniveau!$S1543/100,IF($X1543=3,LOOKUP(AI1543,'Udvaskning nøgletal'!$C$12:$C$62,'Udvaskning nøgletal'!Q1553:Q1603)+Markniveau!$Y1543*Markniveau!$S1543/100,"")))</f>
        <v>27.331185321443094</v>
      </c>
      <c r="AK1543" s="10">
        <f t="shared" si="249"/>
        <v>79.533749285399409</v>
      </c>
      <c r="AL1543" s="10">
        <f t="shared" si="241"/>
        <v>1.3665592660721546</v>
      </c>
      <c r="AM1543" s="10">
        <f t="shared" si="242"/>
        <v>3.9766874642699701</v>
      </c>
    </row>
    <row r="1544" spans="1:39" x14ac:dyDescent="0.25">
      <c r="A1544" s="15">
        <v>79622559</v>
      </c>
      <c r="B1544" s="15">
        <v>24.93</v>
      </c>
      <c r="C1544" s="15">
        <v>465993</v>
      </c>
      <c r="D1544" s="15">
        <v>58458</v>
      </c>
      <c r="E1544" s="15" t="s">
        <v>1253</v>
      </c>
      <c r="F1544" s="15">
        <v>2011</v>
      </c>
      <c r="G1544" s="15">
        <v>20110218</v>
      </c>
      <c r="H1544" s="15">
        <v>18219</v>
      </c>
      <c r="I1544" s="15">
        <v>1.82</v>
      </c>
      <c r="J1544" s="6" t="s">
        <v>69</v>
      </c>
      <c r="K1544" s="15">
        <v>3</v>
      </c>
      <c r="L1544" s="15" t="s">
        <v>114</v>
      </c>
      <c r="M1544" s="15" t="s">
        <v>5</v>
      </c>
      <c r="N1544" s="11" t="s">
        <v>1391</v>
      </c>
      <c r="O1544" s="11" t="s">
        <v>46</v>
      </c>
      <c r="P1544" s="11" t="s">
        <v>29</v>
      </c>
      <c r="Q1544" s="15">
        <v>0</v>
      </c>
      <c r="R1544" s="11" t="s">
        <v>1386</v>
      </c>
      <c r="S1544" s="10">
        <v>64.357958361315994</v>
      </c>
      <c r="T1544" s="15">
        <v>80</v>
      </c>
      <c r="U1544" s="15">
        <v>0</v>
      </c>
      <c r="V1544" s="15">
        <v>0</v>
      </c>
      <c r="W1544" s="15">
        <v>0</v>
      </c>
      <c r="X1544" s="15">
        <f>IF(O1544='Udvaskning nøgletal'!$D$65,1,IF(O1544='Udvaskning nøgletal'!$D$66,2,IF(O1544='Udvaskning nøgletal'!$D$67,3,IF(O1544='Udvaskning nøgletal'!$D$68,2,""))))</f>
        <v>2</v>
      </c>
      <c r="Y1544" s="15">
        <f>LOOKUP(K1544,'Udvaskning nøgletal'!$C$12:$C$60,'Udvaskning nøgletal'!$H$12:$H$60)</f>
        <v>5</v>
      </c>
      <c r="Z1544" s="10">
        <f>IF(X1544=1,LOOKUP(K1544,'Udvaskning nøgletal'!$C$12:$C$60,'Udvaskning nøgletal'!$E$12:$E$60)+Markniveau!Y1544*Markniveau!S1544/100,IF(X1544=2,LOOKUP(K1544,'Udvaskning nøgletal'!$C$12:$C$60,'Udvaskning nøgletal'!$F$12:$F$60)+Markniveau!Y1544*Markniveau!S1544/100,IF(X1544=3,LOOKUP(K1544,'Udvaskning nøgletal'!$C$12:$C$60,'Udvaskning nøgletal'!G1554:G1602)+Markniveau!Y1544*Markniveau!S1544/100,"")))</f>
        <v>54.097897918065804</v>
      </c>
      <c r="AA1544" s="10">
        <f t="shared" si="246"/>
        <v>98.458174210879761</v>
      </c>
      <c r="AB1544" s="10" t="str">
        <f t="shared" si="245"/>
        <v/>
      </c>
      <c r="AC1544" s="10" t="str">
        <f t="shared" si="247"/>
        <v/>
      </c>
      <c r="AD1544" s="10">
        <f>IF(AND(Q1544&gt;0,Q1544&lt;30,K1544&lt;8),Markniveau!Z1544*'Udvaskning nøgletal'!$I$12/100,IF(AND(Q1544&gt;0,Q1544&lt;30,K1544=216),Markniveau!Z1544*'Udvaskning nøgletal'!$I$34/100,Markniveau!Z1544))</f>
        <v>54.097897918065804</v>
      </c>
      <c r="AE1544" s="10">
        <f t="shared" si="243"/>
        <v>98.458174210879761</v>
      </c>
      <c r="AF1544" s="10" t="str">
        <f t="shared" si="248"/>
        <v/>
      </c>
      <c r="AG1544" s="10" t="str">
        <f t="shared" si="244"/>
        <v/>
      </c>
      <c r="AH1544" s="10" t="str">
        <f>IF(AND(Q1544&gt;0,Q1544&lt;30,K1544=216),'Udvaskning nøgletal'!$C$42,IF(AND(Q1544&gt;0,Q1544&lt;30,K1544&gt;7,K1544&lt;17),'Udvaskning nøgletal'!$C$61,IF(AND(Q1544&gt;0,Q1544&lt;30,K1544&lt;7),'Udvaskning nøgletal'!$C$62,"")))</f>
        <v/>
      </c>
      <c r="AI1544" s="10">
        <f t="shared" ref="AI1544:AI1607" si="250">IF(SUM(AH1544)&gt;0,AH1544,K1544)</f>
        <v>3</v>
      </c>
      <c r="AJ1544" s="10">
        <f>IF($X1544=1,LOOKUP(AI1544,'Udvaskning nøgletal'!$C$12:$C$62,'Udvaskning nøgletal'!$E$12:$E$62)+Markniveau!$Y1544*Markniveau!$S1544/100,IF($X1544=2,LOOKUP(AI1544,'Udvaskning nøgletal'!$C$12:$C$62,'Udvaskning nøgletal'!$F$12:$F$62)+Markniveau!$Y1544*Markniveau!$S1544/100,IF($X1544=3,LOOKUP(AI1544,'Udvaskning nøgletal'!$C$12:$C$62,'Udvaskning nøgletal'!Q1554:Q1604)+Markniveau!$Y1544*Markniveau!$S1544/100,"")))</f>
        <v>54.097897918065804</v>
      </c>
      <c r="AK1544" s="10">
        <f t="shared" si="249"/>
        <v>98.458174210879761</v>
      </c>
      <c r="AL1544" s="10" t="str">
        <f t="shared" si="241"/>
        <v/>
      </c>
      <c r="AM1544" s="10" t="str">
        <f t="shared" si="242"/>
        <v/>
      </c>
    </row>
    <row r="1545" spans="1:39" x14ac:dyDescent="0.25">
      <c r="A1545" s="15">
        <v>79622559</v>
      </c>
      <c r="B1545" s="15">
        <v>24.93</v>
      </c>
      <c r="C1545" s="15">
        <v>352105</v>
      </c>
      <c r="D1545" s="15">
        <v>58458</v>
      </c>
      <c r="E1545" s="15" t="s">
        <v>1068</v>
      </c>
      <c r="F1545" s="15">
        <v>2011</v>
      </c>
      <c r="G1545" s="15">
        <v>20110214</v>
      </c>
      <c r="H1545" s="15">
        <v>10125</v>
      </c>
      <c r="I1545" s="15">
        <v>1.01</v>
      </c>
      <c r="J1545" s="6" t="s">
        <v>34</v>
      </c>
      <c r="K1545" s="15">
        <v>263</v>
      </c>
      <c r="L1545" s="15" t="s">
        <v>39</v>
      </c>
      <c r="M1545" s="15" t="s">
        <v>5</v>
      </c>
      <c r="N1545" s="11" t="s">
        <v>1391</v>
      </c>
      <c r="O1545" s="11" t="s">
        <v>46</v>
      </c>
      <c r="P1545" s="11" t="s">
        <v>33</v>
      </c>
      <c r="Q1545" s="15">
        <v>0</v>
      </c>
      <c r="R1545" s="11" t="s">
        <v>1386</v>
      </c>
      <c r="S1545" s="10">
        <v>64.357958361315994</v>
      </c>
      <c r="T1545" s="15">
        <v>80</v>
      </c>
      <c r="U1545" s="15">
        <v>0</v>
      </c>
      <c r="V1545" s="15">
        <v>0</v>
      </c>
      <c r="W1545" s="15">
        <v>0</v>
      </c>
      <c r="X1545" s="15">
        <f>IF(O1545='Udvaskning nøgletal'!$D$65,1,IF(O1545='Udvaskning nøgletal'!$D$66,2,IF(O1545='Udvaskning nøgletal'!$D$67,3,IF(O1545='Udvaskning nøgletal'!$D$68,2,""))))</f>
        <v>2</v>
      </c>
      <c r="Y1545" s="15">
        <f>LOOKUP(K1545,'Udvaskning nøgletal'!$C$12:$C$60,'Udvaskning nøgletal'!$H$12:$H$60)</f>
        <v>0</v>
      </c>
      <c r="Z1545" s="10">
        <f>IF(X1545=1,LOOKUP(K1545,'Udvaskning nøgletal'!$C$12:$C$60,'Udvaskning nøgletal'!$E$12:$E$60)+Markniveau!Y1545*Markniveau!S1545/100,IF(X1545=2,LOOKUP(K1545,'Udvaskning nøgletal'!$C$12:$C$60,'Udvaskning nøgletal'!$F$12:$F$60)+Markniveau!Y1545*Markniveau!S1545/100,IF(X1545=3,LOOKUP(K1545,'Udvaskning nøgletal'!$C$12:$C$60,'Udvaskning nøgletal'!G1555:G1603)+Markniveau!Y1545*Markniveau!S1545/100,"")))</f>
        <v>27.331185321443094</v>
      </c>
      <c r="AA1545" s="10">
        <f t="shared" si="246"/>
        <v>27.604497174657524</v>
      </c>
      <c r="AB1545" s="10" t="str">
        <f t="shared" si="245"/>
        <v/>
      </c>
      <c r="AC1545" s="10" t="str">
        <f t="shared" si="247"/>
        <v/>
      </c>
      <c r="AD1545" s="10">
        <f>IF(AND(Q1545&gt;0,Q1545&lt;30,K1545&lt;8),Markniveau!Z1545*'Udvaskning nøgletal'!$I$12/100,IF(AND(Q1545&gt;0,Q1545&lt;30,K1545=216),Markniveau!Z1545*'Udvaskning nøgletal'!$I$34/100,Markniveau!Z1545))</f>
        <v>27.331185321443094</v>
      </c>
      <c r="AE1545" s="10">
        <f t="shared" si="243"/>
        <v>27.604497174657524</v>
      </c>
      <c r="AF1545" s="10" t="str">
        <f t="shared" si="248"/>
        <v/>
      </c>
      <c r="AG1545" s="10" t="str">
        <f t="shared" si="244"/>
        <v/>
      </c>
      <c r="AH1545" s="10" t="str">
        <f>IF(AND(Q1545&gt;0,Q1545&lt;30,K1545=216),'Udvaskning nøgletal'!$C$42,IF(AND(Q1545&gt;0,Q1545&lt;30,K1545&gt;7,K1545&lt;17),'Udvaskning nøgletal'!$C$61,IF(AND(Q1545&gt;0,Q1545&lt;30,K1545&lt;7),'Udvaskning nøgletal'!$C$62,"")))</f>
        <v/>
      </c>
      <c r="AI1545" s="10">
        <f t="shared" si="250"/>
        <v>263</v>
      </c>
      <c r="AJ1545" s="10">
        <f>IF($X1545=1,LOOKUP(AI1545,'Udvaskning nøgletal'!$C$12:$C$62,'Udvaskning nøgletal'!$E$12:$E$62)+Markniveau!$Y1545*Markniveau!$S1545/100,IF($X1545=2,LOOKUP(AI1545,'Udvaskning nøgletal'!$C$12:$C$62,'Udvaskning nøgletal'!$F$12:$F$62)+Markniveau!$Y1545*Markniveau!$S1545/100,IF($X1545=3,LOOKUP(AI1545,'Udvaskning nøgletal'!$C$12:$C$62,'Udvaskning nøgletal'!Q1555:Q1605)+Markniveau!$Y1545*Markniveau!$S1545/100,"")))</f>
        <v>27.331185321443094</v>
      </c>
      <c r="AK1545" s="10">
        <f t="shared" si="249"/>
        <v>27.604497174657524</v>
      </c>
      <c r="AL1545" s="10" t="str">
        <f t="shared" si="241"/>
        <v/>
      </c>
      <c r="AM1545" s="10" t="str">
        <f t="shared" si="242"/>
        <v/>
      </c>
    </row>
    <row r="1546" spans="1:39" x14ac:dyDescent="0.25">
      <c r="A1546" s="15">
        <v>79622559</v>
      </c>
      <c r="B1546" s="15">
        <v>24.93</v>
      </c>
      <c r="C1546" s="15">
        <v>352106</v>
      </c>
      <c r="D1546" s="15">
        <v>58458</v>
      </c>
      <c r="E1546" s="15" t="s">
        <v>1253</v>
      </c>
      <c r="F1546" s="15">
        <v>2011</v>
      </c>
      <c r="G1546" s="15">
        <v>20110214</v>
      </c>
      <c r="H1546" s="15">
        <v>48021</v>
      </c>
      <c r="I1546" s="15">
        <v>4.8</v>
      </c>
      <c r="J1546" s="6" t="s">
        <v>36</v>
      </c>
      <c r="K1546" s="15">
        <v>3</v>
      </c>
      <c r="L1546" s="15" t="s">
        <v>114</v>
      </c>
      <c r="M1546" s="15" t="s">
        <v>5</v>
      </c>
      <c r="N1546" s="11" t="s">
        <v>1391</v>
      </c>
      <c r="O1546" s="11" t="s">
        <v>46</v>
      </c>
      <c r="P1546" s="11" t="s">
        <v>29</v>
      </c>
      <c r="Q1546" s="15">
        <v>0</v>
      </c>
      <c r="R1546" s="11" t="s">
        <v>1386</v>
      </c>
      <c r="S1546" s="10">
        <v>64.357958361315994</v>
      </c>
      <c r="T1546" s="15">
        <v>80</v>
      </c>
      <c r="U1546" s="15">
        <v>0</v>
      </c>
      <c r="V1546" s="15">
        <v>0</v>
      </c>
      <c r="W1546" s="15">
        <v>0</v>
      </c>
      <c r="X1546" s="15">
        <f>IF(O1546='Udvaskning nøgletal'!$D$65,1,IF(O1546='Udvaskning nøgletal'!$D$66,2,IF(O1546='Udvaskning nøgletal'!$D$67,3,IF(O1546='Udvaskning nøgletal'!$D$68,2,""))))</f>
        <v>2</v>
      </c>
      <c r="Y1546" s="15">
        <f>LOOKUP(K1546,'Udvaskning nøgletal'!$C$12:$C$60,'Udvaskning nøgletal'!$H$12:$H$60)</f>
        <v>5</v>
      </c>
      <c r="Z1546" s="10">
        <f>IF(X1546=1,LOOKUP(K1546,'Udvaskning nøgletal'!$C$12:$C$60,'Udvaskning nøgletal'!$E$12:$E$60)+Markniveau!Y1546*Markniveau!S1546/100,IF(X1546=2,LOOKUP(K1546,'Udvaskning nøgletal'!$C$12:$C$60,'Udvaskning nøgletal'!$F$12:$F$60)+Markniveau!Y1546*Markniveau!S1546/100,IF(X1546=3,LOOKUP(K1546,'Udvaskning nøgletal'!$C$12:$C$60,'Udvaskning nøgletal'!G1556:G1604)+Markniveau!Y1546*Markniveau!S1546/100,"")))</f>
        <v>54.097897918065804</v>
      </c>
      <c r="AA1546" s="10">
        <f t="shared" si="246"/>
        <v>259.66991000671584</v>
      </c>
      <c r="AB1546" s="10" t="str">
        <f t="shared" si="245"/>
        <v/>
      </c>
      <c r="AC1546" s="10" t="str">
        <f t="shared" si="247"/>
        <v/>
      </c>
      <c r="AD1546" s="10">
        <f>IF(AND(Q1546&gt;0,Q1546&lt;30,K1546&lt;8),Markniveau!Z1546*'Udvaskning nøgletal'!$I$12/100,IF(AND(Q1546&gt;0,Q1546&lt;30,K1546=216),Markniveau!Z1546*'Udvaskning nøgletal'!$I$34/100,Markniveau!Z1546))</f>
        <v>54.097897918065804</v>
      </c>
      <c r="AE1546" s="10">
        <f t="shared" si="243"/>
        <v>259.66991000671584</v>
      </c>
      <c r="AF1546" s="10" t="str">
        <f t="shared" si="248"/>
        <v/>
      </c>
      <c r="AG1546" s="10" t="str">
        <f t="shared" si="244"/>
        <v/>
      </c>
      <c r="AH1546" s="10" t="str">
        <f>IF(AND(Q1546&gt;0,Q1546&lt;30,K1546=216),'Udvaskning nøgletal'!$C$42,IF(AND(Q1546&gt;0,Q1546&lt;30,K1546&gt;7,K1546&lt;17),'Udvaskning nøgletal'!$C$61,IF(AND(Q1546&gt;0,Q1546&lt;30,K1546&lt;7),'Udvaskning nøgletal'!$C$62,"")))</f>
        <v/>
      </c>
      <c r="AI1546" s="10">
        <f t="shared" si="250"/>
        <v>3</v>
      </c>
      <c r="AJ1546" s="10">
        <f>IF($X1546=1,LOOKUP(AI1546,'Udvaskning nøgletal'!$C$12:$C$62,'Udvaskning nøgletal'!$E$12:$E$62)+Markniveau!$Y1546*Markniveau!$S1546/100,IF($X1546=2,LOOKUP(AI1546,'Udvaskning nøgletal'!$C$12:$C$62,'Udvaskning nøgletal'!$F$12:$F$62)+Markniveau!$Y1546*Markniveau!$S1546/100,IF($X1546=3,LOOKUP(AI1546,'Udvaskning nøgletal'!$C$12:$C$62,'Udvaskning nøgletal'!Q1556:Q1606)+Markniveau!$Y1546*Markniveau!$S1546/100,"")))</f>
        <v>54.097897918065804</v>
      </c>
      <c r="AK1546" s="10">
        <f t="shared" si="249"/>
        <v>259.66991000671584</v>
      </c>
      <c r="AL1546" s="10" t="str">
        <f t="shared" si="241"/>
        <v/>
      </c>
      <c r="AM1546" s="10" t="str">
        <f t="shared" si="242"/>
        <v/>
      </c>
    </row>
    <row r="1547" spans="1:39" x14ac:dyDescent="0.25">
      <c r="A1547" s="15">
        <v>83514116</v>
      </c>
      <c r="B1547" s="15">
        <v>13.02</v>
      </c>
      <c r="C1547" s="15">
        <v>270572</v>
      </c>
      <c r="D1547" s="15">
        <v>63097</v>
      </c>
      <c r="E1547" s="15" t="s">
        <v>1256</v>
      </c>
      <c r="F1547" s="15">
        <v>2011</v>
      </c>
      <c r="G1547" s="15">
        <v>20110526</v>
      </c>
      <c r="H1547" s="15">
        <v>21871</v>
      </c>
      <c r="I1547" s="15">
        <v>2.19</v>
      </c>
      <c r="J1547" s="6" t="s">
        <v>1467</v>
      </c>
      <c r="K1547" s="15">
        <v>1</v>
      </c>
      <c r="L1547" s="15" t="s">
        <v>32</v>
      </c>
      <c r="M1547" s="15" t="s">
        <v>5</v>
      </c>
      <c r="N1547" s="11" t="s">
        <v>1391</v>
      </c>
      <c r="O1547" s="11" t="s">
        <v>46</v>
      </c>
      <c r="P1547" s="11" t="s">
        <v>29</v>
      </c>
      <c r="Q1547" s="15">
        <v>95</v>
      </c>
      <c r="R1547" s="11" t="s">
        <v>3</v>
      </c>
      <c r="S1547" s="10">
        <v>282.83388338833998</v>
      </c>
      <c r="T1547" s="15">
        <v>80</v>
      </c>
      <c r="U1547" s="15">
        <v>1</v>
      </c>
      <c r="V1547" s="15">
        <v>0</v>
      </c>
      <c r="W1547" s="15">
        <v>0</v>
      </c>
      <c r="X1547" s="15">
        <f>IF(O1547='Udvaskning nøgletal'!$D$65,1,IF(O1547='Udvaskning nøgletal'!$D$66,2,IF(O1547='Udvaskning nøgletal'!$D$67,3,IF(O1547='Udvaskning nøgletal'!$D$68,2,""))))</f>
        <v>2</v>
      </c>
      <c r="Y1547" s="15">
        <f>LOOKUP(K1547,'Udvaskning nøgletal'!$C$12:$C$60,'Udvaskning nøgletal'!$H$12:$H$60)</f>
        <v>5</v>
      </c>
      <c r="Z1547" s="10">
        <f>IF(X1547=1,LOOKUP(K1547,'Udvaskning nøgletal'!$C$12:$C$60,'Udvaskning nøgletal'!$E$12:$E$60)+Markniveau!Y1547*Markniveau!S1547/100,IF(X1547=2,LOOKUP(K1547,'Udvaskning nøgletal'!$C$12:$C$60,'Udvaskning nøgletal'!$F$12:$F$60)+Markniveau!Y1547*Markniveau!S1547/100,IF(X1547=3,LOOKUP(K1547,'Udvaskning nøgletal'!$C$12:$C$60,'Udvaskning nøgletal'!G1557:G1605)+Markniveau!Y1547*Markniveau!S1547/100,"")))</f>
        <v>65.021694169417003</v>
      </c>
      <c r="AA1547" s="10">
        <f t="shared" si="246"/>
        <v>142.39751023102323</v>
      </c>
      <c r="AB1547" s="10">
        <f t="shared" si="245"/>
        <v>3.2510847084708501</v>
      </c>
      <c r="AC1547" s="10">
        <f t="shared" si="247"/>
        <v>7.1198755115511618</v>
      </c>
      <c r="AD1547" s="10">
        <f>IF(AND(Q1547&gt;0,Q1547&lt;30,K1547&lt;8),Markniveau!Z1547*'Udvaskning nøgletal'!$I$12/100,IF(AND(Q1547&gt;0,Q1547&lt;30,K1547=216),Markniveau!Z1547*'Udvaskning nøgletal'!$I$34/100,Markniveau!Z1547))</f>
        <v>65.021694169417003</v>
      </c>
      <c r="AE1547" s="10">
        <f t="shared" si="243"/>
        <v>142.39751023102323</v>
      </c>
      <c r="AF1547" s="10">
        <f t="shared" si="248"/>
        <v>3.2510847084708501</v>
      </c>
      <c r="AG1547" s="10">
        <f t="shared" si="244"/>
        <v>7.1198755115511618</v>
      </c>
      <c r="AH1547" s="10" t="str">
        <f>IF(AND(Q1547&gt;0,Q1547&lt;30,K1547=216),'Udvaskning nøgletal'!$C$42,IF(AND(Q1547&gt;0,Q1547&lt;30,K1547&gt;7,K1547&lt;17),'Udvaskning nøgletal'!$C$61,IF(AND(Q1547&gt;0,Q1547&lt;30,K1547&lt;7),'Udvaskning nøgletal'!$C$62,"")))</f>
        <v/>
      </c>
      <c r="AI1547" s="10">
        <f t="shared" si="250"/>
        <v>1</v>
      </c>
      <c r="AJ1547" s="10">
        <f>IF($X1547=1,LOOKUP(AI1547,'Udvaskning nøgletal'!$C$12:$C$62,'Udvaskning nøgletal'!$E$12:$E$62)+Markniveau!$Y1547*Markniveau!$S1547/100,IF($X1547=2,LOOKUP(AI1547,'Udvaskning nøgletal'!$C$12:$C$62,'Udvaskning nøgletal'!$F$12:$F$62)+Markniveau!$Y1547*Markniveau!$S1547/100,IF($X1547=3,LOOKUP(AI1547,'Udvaskning nøgletal'!$C$12:$C$62,'Udvaskning nøgletal'!Q1557:Q1607)+Markniveau!$Y1547*Markniveau!$S1547/100,"")))</f>
        <v>65.021694169417003</v>
      </c>
      <c r="AK1547" s="10">
        <f t="shared" si="249"/>
        <v>142.39751023102323</v>
      </c>
      <c r="AL1547" s="10">
        <f t="shared" ref="AL1547:AL1610" si="251">IF($Q1547&gt;0,(100-$Q1547)*AJ1547/100,"")</f>
        <v>3.2510847084708501</v>
      </c>
      <c r="AM1547" s="10">
        <f t="shared" ref="AM1547:AM1610" si="252">IF($Q1547&gt;0,(100-$Q1547)*AJ1547/100*I1547,"")</f>
        <v>7.1198755115511618</v>
      </c>
    </row>
    <row r="1548" spans="1:39" x14ac:dyDescent="0.25">
      <c r="A1548" s="15">
        <v>83514116</v>
      </c>
      <c r="B1548" s="15">
        <v>13.02</v>
      </c>
      <c r="C1548" s="15">
        <v>275482</v>
      </c>
      <c r="D1548" s="15">
        <v>63097</v>
      </c>
      <c r="E1548" s="15" t="s">
        <v>1256</v>
      </c>
      <c r="F1548" s="15">
        <v>2011</v>
      </c>
      <c r="G1548" s="15">
        <v>20110526</v>
      </c>
      <c r="H1548" s="15">
        <v>13859</v>
      </c>
      <c r="I1548" s="15">
        <v>1.39</v>
      </c>
      <c r="J1548" s="6" t="s">
        <v>1391</v>
      </c>
      <c r="K1548" s="15">
        <v>252</v>
      </c>
      <c r="L1548" s="15" t="s">
        <v>41</v>
      </c>
      <c r="M1548" s="15" t="s">
        <v>4</v>
      </c>
      <c r="N1548" s="11" t="s">
        <v>1391</v>
      </c>
      <c r="O1548" s="11" t="s">
        <v>46</v>
      </c>
      <c r="P1548" s="11" t="s">
        <v>29</v>
      </c>
      <c r="Q1548" s="15">
        <v>95</v>
      </c>
      <c r="R1548" s="11" t="s">
        <v>3</v>
      </c>
      <c r="S1548" s="10">
        <v>282.83388338833998</v>
      </c>
      <c r="T1548" s="15">
        <v>80</v>
      </c>
      <c r="U1548" s="15">
        <v>1</v>
      </c>
      <c r="V1548" s="15">
        <v>0</v>
      </c>
      <c r="W1548" s="15">
        <v>0</v>
      </c>
      <c r="X1548" s="15">
        <f>IF(O1548='Udvaskning nøgletal'!$D$65,1,IF(O1548='Udvaskning nøgletal'!$D$66,2,IF(O1548='Udvaskning nøgletal'!$D$67,3,IF(O1548='Udvaskning nøgletal'!$D$68,2,""))))</f>
        <v>2</v>
      </c>
      <c r="Y1548" s="15">
        <f>LOOKUP(K1548,'Udvaskning nøgletal'!$C$12:$C$60,'Udvaskning nøgletal'!$H$12:$H$60)</f>
        <v>0</v>
      </c>
      <c r="Z1548" s="10">
        <f>IF(X1548=1,LOOKUP(K1548,'Udvaskning nøgletal'!$C$12:$C$60,'Udvaskning nøgletal'!$E$12:$E$60)+Markniveau!Y1548*Markniveau!S1548/100,IF(X1548=2,LOOKUP(K1548,'Udvaskning nøgletal'!$C$12:$C$60,'Udvaskning nøgletal'!$F$12:$F$60)+Markniveau!Y1548*Markniveau!S1548/100,IF(X1548=3,LOOKUP(K1548,'Udvaskning nøgletal'!$C$12:$C$60,'Udvaskning nøgletal'!G1558:G1606)+Markniveau!Y1548*Markniveau!S1548/100,"")))</f>
        <v>21.2</v>
      </c>
      <c r="AA1548" s="10">
        <f t="shared" si="246"/>
        <v>29.467999999999996</v>
      </c>
      <c r="AB1548" s="10">
        <f t="shared" si="245"/>
        <v>1.06</v>
      </c>
      <c r="AC1548" s="10">
        <f t="shared" si="247"/>
        <v>1.4734</v>
      </c>
      <c r="AD1548" s="10">
        <f>IF(AND(Q1548&gt;0,Q1548&lt;30,K1548&lt;8),Markniveau!Z1548*'Udvaskning nøgletal'!$I$12/100,IF(AND(Q1548&gt;0,Q1548&lt;30,K1548=216),Markniveau!Z1548*'Udvaskning nøgletal'!$I$34/100,Markniveau!Z1548))</f>
        <v>21.2</v>
      </c>
      <c r="AE1548" s="10">
        <f t="shared" si="243"/>
        <v>29.467999999999996</v>
      </c>
      <c r="AF1548" s="10">
        <f t="shared" si="248"/>
        <v>1.06</v>
      </c>
      <c r="AG1548" s="10">
        <f t="shared" si="244"/>
        <v>1.4734</v>
      </c>
      <c r="AH1548" s="10" t="str">
        <f>IF(AND(Q1548&gt;0,Q1548&lt;30,K1548=216),'Udvaskning nøgletal'!$C$42,IF(AND(Q1548&gt;0,Q1548&lt;30,K1548&gt;7,K1548&lt;17),'Udvaskning nøgletal'!$C$61,IF(AND(Q1548&gt;0,Q1548&lt;30,K1548&lt;7),'Udvaskning nøgletal'!$C$62,"")))</f>
        <v/>
      </c>
      <c r="AI1548" s="10">
        <f t="shared" si="250"/>
        <v>252</v>
      </c>
      <c r="AJ1548" s="10">
        <f>IF($X1548=1,LOOKUP(AI1548,'Udvaskning nøgletal'!$C$12:$C$62,'Udvaskning nøgletal'!$E$12:$E$62)+Markniveau!$Y1548*Markniveau!$S1548/100,IF($X1548=2,LOOKUP(AI1548,'Udvaskning nøgletal'!$C$12:$C$62,'Udvaskning nøgletal'!$F$12:$F$62)+Markniveau!$Y1548*Markniveau!$S1548/100,IF($X1548=3,LOOKUP(AI1548,'Udvaskning nøgletal'!$C$12:$C$62,'Udvaskning nøgletal'!Q1558:Q1608)+Markniveau!$Y1548*Markniveau!$S1548/100,"")))</f>
        <v>21.2</v>
      </c>
      <c r="AK1548" s="10">
        <f t="shared" si="249"/>
        <v>29.467999999999996</v>
      </c>
      <c r="AL1548" s="10">
        <f t="shared" si="251"/>
        <v>1.06</v>
      </c>
      <c r="AM1548" s="10">
        <f t="shared" si="252"/>
        <v>1.4734</v>
      </c>
    </row>
    <row r="1549" spans="1:39" x14ac:dyDescent="0.25">
      <c r="A1549" s="15">
        <v>83514116</v>
      </c>
      <c r="B1549" s="15">
        <v>13.02</v>
      </c>
      <c r="C1549" s="15">
        <v>282388</v>
      </c>
      <c r="D1549" s="15">
        <v>63097</v>
      </c>
      <c r="E1549" s="15" t="s">
        <v>1256</v>
      </c>
      <c r="F1549" s="15">
        <v>2011</v>
      </c>
      <c r="G1549" s="15">
        <v>20110526</v>
      </c>
      <c r="H1549" s="15">
        <v>13779</v>
      </c>
      <c r="I1549" s="15">
        <v>1.38</v>
      </c>
      <c r="J1549" s="6" t="s">
        <v>1406</v>
      </c>
      <c r="K1549" s="15">
        <v>1</v>
      </c>
      <c r="L1549" s="15" t="s">
        <v>32</v>
      </c>
      <c r="M1549" s="15" t="s">
        <v>5</v>
      </c>
      <c r="N1549" s="11" t="s">
        <v>1391</v>
      </c>
      <c r="O1549" s="11" t="s">
        <v>46</v>
      </c>
      <c r="P1549" s="11" t="s">
        <v>29</v>
      </c>
      <c r="Q1549" s="15">
        <v>95</v>
      </c>
      <c r="R1549" s="11" t="s">
        <v>3</v>
      </c>
      <c r="S1549" s="10">
        <v>282.83388338833998</v>
      </c>
      <c r="T1549" s="15">
        <v>80</v>
      </c>
      <c r="U1549" s="15">
        <v>1</v>
      </c>
      <c r="V1549" s="15">
        <v>0</v>
      </c>
      <c r="W1549" s="15">
        <v>0</v>
      </c>
      <c r="X1549" s="15">
        <f>IF(O1549='Udvaskning nøgletal'!$D$65,1,IF(O1549='Udvaskning nøgletal'!$D$66,2,IF(O1549='Udvaskning nøgletal'!$D$67,3,IF(O1549='Udvaskning nøgletal'!$D$68,2,""))))</f>
        <v>2</v>
      </c>
      <c r="Y1549" s="15">
        <f>LOOKUP(K1549,'Udvaskning nøgletal'!$C$12:$C$60,'Udvaskning nøgletal'!$H$12:$H$60)</f>
        <v>5</v>
      </c>
      <c r="Z1549" s="10">
        <f>IF(X1549=1,LOOKUP(K1549,'Udvaskning nøgletal'!$C$12:$C$60,'Udvaskning nøgletal'!$E$12:$E$60)+Markniveau!Y1549*Markniveau!S1549/100,IF(X1549=2,LOOKUP(K1549,'Udvaskning nøgletal'!$C$12:$C$60,'Udvaskning nøgletal'!$F$12:$F$60)+Markniveau!Y1549*Markniveau!S1549/100,IF(X1549=3,LOOKUP(K1549,'Udvaskning nøgletal'!$C$12:$C$60,'Udvaskning nøgletal'!G1559:G1607)+Markniveau!Y1549*Markniveau!S1549/100,"")))</f>
        <v>65.021694169417003</v>
      </c>
      <c r="AA1549" s="10">
        <f t="shared" si="246"/>
        <v>89.729937953795456</v>
      </c>
      <c r="AB1549" s="10">
        <f t="shared" si="245"/>
        <v>3.2510847084708501</v>
      </c>
      <c r="AC1549" s="10">
        <f t="shared" si="247"/>
        <v>4.486496897689773</v>
      </c>
      <c r="AD1549" s="10">
        <f>IF(AND(Q1549&gt;0,Q1549&lt;30,K1549&lt;8),Markniveau!Z1549*'Udvaskning nøgletal'!$I$12/100,IF(AND(Q1549&gt;0,Q1549&lt;30,K1549=216),Markniveau!Z1549*'Udvaskning nøgletal'!$I$34/100,Markniveau!Z1549))</f>
        <v>65.021694169417003</v>
      </c>
      <c r="AE1549" s="10">
        <f t="shared" si="243"/>
        <v>89.729937953795456</v>
      </c>
      <c r="AF1549" s="10">
        <f t="shared" si="248"/>
        <v>3.2510847084708501</v>
      </c>
      <c r="AG1549" s="10">
        <f t="shared" si="244"/>
        <v>4.486496897689773</v>
      </c>
      <c r="AH1549" s="10" t="str">
        <f>IF(AND(Q1549&gt;0,Q1549&lt;30,K1549=216),'Udvaskning nøgletal'!$C$42,IF(AND(Q1549&gt;0,Q1549&lt;30,K1549&gt;7,K1549&lt;17),'Udvaskning nøgletal'!$C$61,IF(AND(Q1549&gt;0,Q1549&lt;30,K1549&lt;7),'Udvaskning nøgletal'!$C$62,"")))</f>
        <v/>
      </c>
      <c r="AI1549" s="10">
        <f t="shared" si="250"/>
        <v>1</v>
      </c>
      <c r="AJ1549" s="10">
        <f>IF($X1549=1,LOOKUP(AI1549,'Udvaskning nøgletal'!$C$12:$C$62,'Udvaskning nøgletal'!$E$12:$E$62)+Markniveau!$Y1549*Markniveau!$S1549/100,IF($X1549=2,LOOKUP(AI1549,'Udvaskning nøgletal'!$C$12:$C$62,'Udvaskning nøgletal'!$F$12:$F$62)+Markniveau!$Y1549*Markniveau!$S1549/100,IF($X1549=3,LOOKUP(AI1549,'Udvaskning nøgletal'!$C$12:$C$62,'Udvaskning nøgletal'!Q1559:Q1609)+Markniveau!$Y1549*Markniveau!$S1549/100,"")))</f>
        <v>65.021694169417003</v>
      </c>
      <c r="AK1549" s="10">
        <f t="shared" si="249"/>
        <v>89.729937953795456</v>
      </c>
      <c r="AL1549" s="10">
        <f t="shared" si="251"/>
        <v>3.2510847084708501</v>
      </c>
      <c r="AM1549" s="10">
        <f t="shared" si="252"/>
        <v>4.486496897689773</v>
      </c>
    </row>
    <row r="1550" spans="1:39" x14ac:dyDescent="0.25">
      <c r="A1550" s="15">
        <v>83514116</v>
      </c>
      <c r="B1550" s="15">
        <v>13.02</v>
      </c>
      <c r="C1550" s="15">
        <v>282389</v>
      </c>
      <c r="D1550" s="15">
        <v>63097</v>
      </c>
      <c r="E1550" s="15" t="s">
        <v>1256</v>
      </c>
      <c r="F1550" s="15">
        <v>2011</v>
      </c>
      <c r="G1550" s="15">
        <v>20110526</v>
      </c>
      <c r="H1550" s="15">
        <v>32755</v>
      </c>
      <c r="I1550" s="15">
        <v>3.28</v>
      </c>
      <c r="J1550" s="6" t="s">
        <v>1384</v>
      </c>
      <c r="K1550" s="15">
        <v>1</v>
      </c>
      <c r="L1550" s="15" t="s">
        <v>32</v>
      </c>
      <c r="M1550" s="15" t="s">
        <v>5</v>
      </c>
      <c r="N1550" s="11" t="s">
        <v>1391</v>
      </c>
      <c r="O1550" s="11" t="s">
        <v>46</v>
      </c>
      <c r="P1550" s="11" t="s">
        <v>29</v>
      </c>
      <c r="Q1550" s="15">
        <v>95</v>
      </c>
      <c r="R1550" s="11" t="s">
        <v>3</v>
      </c>
      <c r="S1550" s="10">
        <v>282.83388338833998</v>
      </c>
      <c r="T1550" s="15">
        <v>80</v>
      </c>
      <c r="U1550" s="15">
        <v>1</v>
      </c>
      <c r="V1550" s="15">
        <v>0</v>
      </c>
      <c r="W1550" s="15">
        <v>0</v>
      </c>
      <c r="X1550" s="15">
        <f>IF(O1550='Udvaskning nøgletal'!$D$65,1,IF(O1550='Udvaskning nøgletal'!$D$66,2,IF(O1550='Udvaskning nøgletal'!$D$67,3,IF(O1550='Udvaskning nøgletal'!$D$68,2,""))))</f>
        <v>2</v>
      </c>
      <c r="Y1550" s="15">
        <f>LOOKUP(K1550,'Udvaskning nøgletal'!$C$12:$C$60,'Udvaskning nøgletal'!$H$12:$H$60)</f>
        <v>5</v>
      </c>
      <c r="Z1550" s="10">
        <f>IF(X1550=1,LOOKUP(K1550,'Udvaskning nøgletal'!$C$12:$C$60,'Udvaskning nøgletal'!$E$12:$E$60)+Markniveau!Y1550*Markniveau!S1550/100,IF(X1550=2,LOOKUP(K1550,'Udvaskning nøgletal'!$C$12:$C$60,'Udvaskning nøgletal'!$F$12:$F$60)+Markniveau!Y1550*Markniveau!S1550/100,IF(X1550=3,LOOKUP(K1550,'Udvaskning nøgletal'!$C$12:$C$60,'Udvaskning nøgletal'!G1560:G1608)+Markniveau!Y1550*Markniveau!S1550/100,"")))</f>
        <v>65.021694169417003</v>
      </c>
      <c r="AA1550" s="10">
        <f t="shared" si="246"/>
        <v>213.27115687568775</v>
      </c>
      <c r="AB1550" s="10">
        <f t="shared" si="245"/>
        <v>3.2510847084708501</v>
      </c>
      <c r="AC1550" s="10">
        <f t="shared" si="247"/>
        <v>10.663557843784387</v>
      </c>
      <c r="AD1550" s="10">
        <f>IF(AND(Q1550&gt;0,Q1550&lt;30,K1550&lt;8),Markniveau!Z1550*'Udvaskning nøgletal'!$I$12/100,IF(AND(Q1550&gt;0,Q1550&lt;30,K1550=216),Markniveau!Z1550*'Udvaskning nøgletal'!$I$34/100,Markniveau!Z1550))</f>
        <v>65.021694169417003</v>
      </c>
      <c r="AE1550" s="10">
        <f t="shared" si="243"/>
        <v>213.27115687568775</v>
      </c>
      <c r="AF1550" s="10">
        <f t="shared" si="248"/>
        <v>3.2510847084708501</v>
      </c>
      <c r="AG1550" s="10">
        <f t="shared" si="244"/>
        <v>10.663557843784387</v>
      </c>
      <c r="AH1550" s="10" t="str">
        <f>IF(AND(Q1550&gt;0,Q1550&lt;30,K1550=216),'Udvaskning nøgletal'!$C$42,IF(AND(Q1550&gt;0,Q1550&lt;30,K1550&gt;7,K1550&lt;17),'Udvaskning nøgletal'!$C$61,IF(AND(Q1550&gt;0,Q1550&lt;30,K1550&lt;7),'Udvaskning nøgletal'!$C$62,"")))</f>
        <v/>
      </c>
      <c r="AI1550" s="10">
        <f t="shared" si="250"/>
        <v>1</v>
      </c>
      <c r="AJ1550" s="10">
        <f>IF($X1550=1,LOOKUP(AI1550,'Udvaskning nøgletal'!$C$12:$C$62,'Udvaskning nøgletal'!$E$12:$E$62)+Markniveau!$Y1550*Markniveau!$S1550/100,IF($X1550=2,LOOKUP(AI1550,'Udvaskning nøgletal'!$C$12:$C$62,'Udvaskning nøgletal'!$F$12:$F$62)+Markniveau!$Y1550*Markniveau!$S1550/100,IF($X1550=3,LOOKUP(AI1550,'Udvaskning nøgletal'!$C$12:$C$62,'Udvaskning nøgletal'!Q1560:Q1610)+Markniveau!$Y1550*Markniveau!$S1550/100,"")))</f>
        <v>65.021694169417003</v>
      </c>
      <c r="AK1550" s="10">
        <f t="shared" si="249"/>
        <v>213.27115687568775</v>
      </c>
      <c r="AL1550" s="10">
        <f t="shared" si="251"/>
        <v>3.2510847084708501</v>
      </c>
      <c r="AM1550" s="10">
        <f t="shared" si="252"/>
        <v>10.663557843784387</v>
      </c>
    </row>
    <row r="1551" spans="1:39" x14ac:dyDescent="0.25">
      <c r="A1551" s="15">
        <v>83514116</v>
      </c>
      <c r="B1551" s="15">
        <v>13.02</v>
      </c>
      <c r="C1551" s="15">
        <v>141512</v>
      </c>
      <c r="D1551" s="15">
        <v>63097</v>
      </c>
      <c r="E1551" s="15" t="s">
        <v>1257</v>
      </c>
      <c r="F1551" s="15">
        <v>2011</v>
      </c>
      <c r="G1551" s="15">
        <v>20110526</v>
      </c>
      <c r="H1551" s="15">
        <v>22735</v>
      </c>
      <c r="I1551" s="15">
        <v>2.27</v>
      </c>
      <c r="J1551" s="6" t="s">
        <v>1470</v>
      </c>
      <c r="K1551" s="15">
        <v>252</v>
      </c>
      <c r="L1551" s="15" t="s">
        <v>41</v>
      </c>
      <c r="M1551" s="15" t="s">
        <v>4</v>
      </c>
      <c r="N1551" s="11" t="s">
        <v>1391</v>
      </c>
      <c r="O1551" s="11" t="s">
        <v>46</v>
      </c>
      <c r="P1551" s="11" t="s">
        <v>29</v>
      </c>
      <c r="Q1551" s="15">
        <v>95</v>
      </c>
      <c r="R1551" s="11" t="s">
        <v>3</v>
      </c>
      <c r="S1551" s="10">
        <v>282.83388338833998</v>
      </c>
      <c r="T1551" s="15">
        <v>80</v>
      </c>
      <c r="U1551" s="15">
        <v>1</v>
      </c>
      <c r="V1551" s="15">
        <v>0</v>
      </c>
      <c r="W1551" s="15">
        <v>0</v>
      </c>
      <c r="X1551" s="15">
        <f>IF(O1551='Udvaskning nøgletal'!$D$65,1,IF(O1551='Udvaskning nøgletal'!$D$66,2,IF(O1551='Udvaskning nøgletal'!$D$67,3,IF(O1551='Udvaskning nøgletal'!$D$68,2,""))))</f>
        <v>2</v>
      </c>
      <c r="Y1551" s="15">
        <f>LOOKUP(K1551,'Udvaskning nøgletal'!$C$12:$C$60,'Udvaskning nøgletal'!$H$12:$H$60)</f>
        <v>0</v>
      </c>
      <c r="Z1551" s="10">
        <f>IF(X1551=1,LOOKUP(K1551,'Udvaskning nøgletal'!$C$12:$C$60,'Udvaskning nøgletal'!$E$12:$E$60)+Markniveau!Y1551*Markniveau!S1551/100,IF(X1551=2,LOOKUP(K1551,'Udvaskning nøgletal'!$C$12:$C$60,'Udvaskning nøgletal'!$F$12:$F$60)+Markniveau!Y1551*Markniveau!S1551/100,IF(X1551=3,LOOKUP(K1551,'Udvaskning nøgletal'!$C$12:$C$60,'Udvaskning nøgletal'!G1561:G1609)+Markniveau!Y1551*Markniveau!S1551/100,"")))</f>
        <v>21.2</v>
      </c>
      <c r="AA1551" s="10">
        <f t="shared" si="246"/>
        <v>48.123999999999995</v>
      </c>
      <c r="AB1551" s="10">
        <f t="shared" si="245"/>
        <v>1.06</v>
      </c>
      <c r="AC1551" s="10">
        <f t="shared" si="247"/>
        <v>2.4062000000000001</v>
      </c>
      <c r="AD1551" s="10">
        <f>IF(AND(Q1551&gt;0,Q1551&lt;30,K1551&lt;8),Markniveau!Z1551*'Udvaskning nøgletal'!$I$12/100,IF(AND(Q1551&gt;0,Q1551&lt;30,K1551=216),Markniveau!Z1551*'Udvaskning nøgletal'!$I$34/100,Markniveau!Z1551))</f>
        <v>21.2</v>
      </c>
      <c r="AE1551" s="10">
        <f t="shared" si="243"/>
        <v>48.123999999999995</v>
      </c>
      <c r="AF1551" s="10">
        <f t="shared" si="248"/>
        <v>1.06</v>
      </c>
      <c r="AG1551" s="10">
        <f t="shared" si="244"/>
        <v>2.4062000000000001</v>
      </c>
      <c r="AH1551" s="10" t="str">
        <f>IF(AND(Q1551&gt;0,Q1551&lt;30,K1551=216),'Udvaskning nøgletal'!$C$42,IF(AND(Q1551&gt;0,Q1551&lt;30,K1551&gt;7,K1551&lt;17),'Udvaskning nøgletal'!$C$61,IF(AND(Q1551&gt;0,Q1551&lt;30,K1551&lt;7),'Udvaskning nøgletal'!$C$62,"")))</f>
        <v/>
      </c>
      <c r="AI1551" s="10">
        <f t="shared" si="250"/>
        <v>252</v>
      </c>
      <c r="AJ1551" s="10">
        <f>IF($X1551=1,LOOKUP(AI1551,'Udvaskning nøgletal'!$C$12:$C$62,'Udvaskning nøgletal'!$E$12:$E$62)+Markniveau!$Y1551*Markniveau!$S1551/100,IF($X1551=2,LOOKUP(AI1551,'Udvaskning nøgletal'!$C$12:$C$62,'Udvaskning nøgletal'!$F$12:$F$62)+Markniveau!$Y1551*Markniveau!$S1551/100,IF($X1551=3,LOOKUP(AI1551,'Udvaskning nøgletal'!$C$12:$C$62,'Udvaskning nøgletal'!Q1561:Q1611)+Markniveau!$Y1551*Markniveau!$S1551/100,"")))</f>
        <v>21.2</v>
      </c>
      <c r="AK1551" s="10">
        <f t="shared" si="249"/>
        <v>48.123999999999995</v>
      </c>
      <c r="AL1551" s="10">
        <f t="shared" si="251"/>
        <v>1.06</v>
      </c>
      <c r="AM1551" s="10">
        <f t="shared" si="252"/>
        <v>2.4062000000000001</v>
      </c>
    </row>
    <row r="1552" spans="1:39" x14ac:dyDescent="0.25">
      <c r="A1552" s="15">
        <v>83514116</v>
      </c>
      <c r="B1552" s="15">
        <v>13.02</v>
      </c>
      <c r="C1552" s="15">
        <v>270569</v>
      </c>
      <c r="D1552" s="15">
        <v>63097</v>
      </c>
      <c r="E1552" s="15" t="s">
        <v>1258</v>
      </c>
      <c r="F1552" s="15">
        <v>2011</v>
      </c>
      <c r="G1552" s="15">
        <v>20110526</v>
      </c>
      <c r="H1552" s="15">
        <v>22387</v>
      </c>
      <c r="I1552" s="15">
        <v>2.2400000000000002</v>
      </c>
      <c r="J1552" s="6" t="s">
        <v>1468</v>
      </c>
      <c r="K1552" s="15">
        <v>1</v>
      </c>
      <c r="L1552" s="15" t="s">
        <v>32</v>
      </c>
      <c r="M1552" s="15" t="s">
        <v>5</v>
      </c>
      <c r="N1552" s="11" t="s">
        <v>1391</v>
      </c>
      <c r="O1552" s="11" t="s">
        <v>46</v>
      </c>
      <c r="P1552" s="11" t="s">
        <v>29</v>
      </c>
      <c r="Q1552" s="15">
        <v>95</v>
      </c>
      <c r="R1552" s="11" t="s">
        <v>3</v>
      </c>
      <c r="S1552" s="10">
        <v>282.83388338833998</v>
      </c>
      <c r="T1552" s="15">
        <v>80</v>
      </c>
      <c r="U1552" s="15">
        <v>1</v>
      </c>
      <c r="V1552" s="15">
        <v>0</v>
      </c>
      <c r="W1552" s="15">
        <v>0</v>
      </c>
      <c r="X1552" s="15">
        <f>IF(O1552='Udvaskning nøgletal'!$D$65,1,IF(O1552='Udvaskning nøgletal'!$D$66,2,IF(O1552='Udvaskning nøgletal'!$D$67,3,IF(O1552='Udvaskning nøgletal'!$D$68,2,""))))</f>
        <v>2</v>
      </c>
      <c r="Y1552" s="15">
        <f>LOOKUP(K1552,'Udvaskning nøgletal'!$C$12:$C$60,'Udvaskning nøgletal'!$H$12:$H$60)</f>
        <v>5</v>
      </c>
      <c r="Z1552" s="10">
        <f>IF(X1552=1,LOOKUP(K1552,'Udvaskning nøgletal'!$C$12:$C$60,'Udvaskning nøgletal'!$E$12:$E$60)+Markniveau!Y1552*Markniveau!S1552/100,IF(X1552=2,LOOKUP(K1552,'Udvaskning nøgletal'!$C$12:$C$60,'Udvaskning nøgletal'!$F$12:$F$60)+Markniveau!Y1552*Markniveau!S1552/100,IF(X1552=3,LOOKUP(K1552,'Udvaskning nøgletal'!$C$12:$C$60,'Udvaskning nøgletal'!G1562:G1610)+Markniveau!Y1552*Markniveau!S1552/100,"")))</f>
        <v>65.021694169417003</v>
      </c>
      <c r="AA1552" s="10">
        <f t="shared" si="246"/>
        <v>145.6485949394941</v>
      </c>
      <c r="AB1552" s="10">
        <f t="shared" si="245"/>
        <v>3.2510847084708501</v>
      </c>
      <c r="AC1552" s="10">
        <f t="shared" si="247"/>
        <v>7.2824297469747048</v>
      </c>
      <c r="AD1552" s="10">
        <f>IF(AND(Q1552&gt;0,Q1552&lt;30,K1552&lt;8),Markniveau!Z1552*'Udvaskning nøgletal'!$I$12/100,IF(AND(Q1552&gt;0,Q1552&lt;30,K1552=216),Markniveau!Z1552*'Udvaskning nøgletal'!$I$34/100,Markniveau!Z1552))</f>
        <v>65.021694169417003</v>
      </c>
      <c r="AE1552" s="10">
        <f t="shared" si="243"/>
        <v>145.6485949394941</v>
      </c>
      <c r="AF1552" s="10">
        <f t="shared" si="248"/>
        <v>3.2510847084708501</v>
      </c>
      <c r="AG1552" s="10">
        <f t="shared" si="244"/>
        <v>7.2824297469747048</v>
      </c>
      <c r="AH1552" s="10" t="str">
        <f>IF(AND(Q1552&gt;0,Q1552&lt;30,K1552=216),'Udvaskning nøgletal'!$C$42,IF(AND(Q1552&gt;0,Q1552&lt;30,K1552&gt;7,K1552&lt;17),'Udvaskning nøgletal'!$C$61,IF(AND(Q1552&gt;0,Q1552&lt;30,K1552&lt;7),'Udvaskning nøgletal'!$C$62,"")))</f>
        <v/>
      </c>
      <c r="AI1552" s="10">
        <f t="shared" si="250"/>
        <v>1</v>
      </c>
      <c r="AJ1552" s="10">
        <f>IF($X1552=1,LOOKUP(AI1552,'Udvaskning nøgletal'!$C$12:$C$62,'Udvaskning nøgletal'!$E$12:$E$62)+Markniveau!$Y1552*Markniveau!$S1552/100,IF($X1552=2,LOOKUP(AI1552,'Udvaskning nøgletal'!$C$12:$C$62,'Udvaskning nøgletal'!$F$12:$F$62)+Markniveau!$Y1552*Markniveau!$S1552/100,IF($X1552=3,LOOKUP(AI1552,'Udvaskning nøgletal'!$C$12:$C$62,'Udvaskning nøgletal'!Q1562:Q1612)+Markniveau!$Y1552*Markniveau!$S1552/100,"")))</f>
        <v>65.021694169417003</v>
      </c>
      <c r="AK1552" s="10">
        <f t="shared" si="249"/>
        <v>145.6485949394941</v>
      </c>
      <c r="AL1552" s="10">
        <f t="shared" si="251"/>
        <v>3.2510847084708501</v>
      </c>
      <c r="AM1552" s="10">
        <f t="shared" si="252"/>
        <v>7.2824297469747048</v>
      </c>
    </row>
    <row r="1553" spans="1:39" x14ac:dyDescent="0.25">
      <c r="A1553" s="15">
        <v>84696714</v>
      </c>
      <c r="B1553" s="15">
        <v>28.76</v>
      </c>
      <c r="C1553" s="15">
        <v>290841</v>
      </c>
      <c r="D1553" s="15">
        <v>33522</v>
      </c>
      <c r="E1553" s="15" t="s">
        <v>1259</v>
      </c>
      <c r="F1553" s="15">
        <v>2011</v>
      </c>
      <c r="G1553" s="15">
        <v>20110401</v>
      </c>
      <c r="H1553" s="15">
        <v>62935</v>
      </c>
      <c r="I1553" s="15">
        <v>6.29</v>
      </c>
      <c r="J1553" s="6" t="s">
        <v>1384</v>
      </c>
      <c r="K1553" s="15">
        <v>22</v>
      </c>
      <c r="L1553" s="15" t="s">
        <v>213</v>
      </c>
      <c r="M1553" s="15" t="s">
        <v>5</v>
      </c>
      <c r="N1553" s="11" t="s">
        <v>1391</v>
      </c>
      <c r="O1553" s="11" t="s">
        <v>46</v>
      </c>
      <c r="P1553" s="11" t="s">
        <v>29</v>
      </c>
      <c r="Q1553" s="15">
        <v>95</v>
      </c>
      <c r="R1553" s="11" t="s">
        <v>3</v>
      </c>
      <c r="S1553" s="10">
        <v>99.573617588274004</v>
      </c>
      <c r="T1553" s="15">
        <v>80</v>
      </c>
      <c r="U1553" s="15">
        <v>0</v>
      </c>
      <c r="V1553" s="15">
        <v>0</v>
      </c>
      <c r="W1553" s="15">
        <v>0</v>
      </c>
      <c r="X1553" s="15">
        <f>IF(O1553='Udvaskning nøgletal'!$D$65,1,IF(O1553='Udvaskning nøgletal'!$D$66,2,IF(O1553='Udvaskning nøgletal'!$D$67,3,IF(O1553='Udvaskning nøgletal'!$D$68,2,""))))</f>
        <v>2</v>
      </c>
      <c r="Y1553" s="15">
        <f>LOOKUP(K1553,'Udvaskning nøgletal'!$C$12:$C$60,'Udvaskning nøgletal'!$H$12:$H$60)</f>
        <v>5</v>
      </c>
      <c r="Z1553" s="10">
        <f>IF(X1553=1,LOOKUP(K1553,'Udvaskning nøgletal'!$C$12:$C$60,'Udvaskning nøgletal'!$E$12:$E$60)+Markniveau!Y1553*Markniveau!S1553/100,IF(X1553=2,LOOKUP(K1553,'Udvaskning nøgletal'!$C$12:$C$60,'Udvaskning nøgletal'!$F$12:$F$60)+Markniveau!Y1553*Markniveau!S1553/100,IF(X1553=3,LOOKUP(K1553,'Udvaskning nøgletal'!$C$12:$C$60,'Udvaskning nøgletal'!G1563:G1611)+Markniveau!Y1553*Markniveau!S1553/100,"")))</f>
        <v>55.858680879413704</v>
      </c>
      <c r="AA1553" s="10">
        <f t="shared" si="246"/>
        <v>351.35110273151219</v>
      </c>
      <c r="AB1553" s="10">
        <f t="shared" si="245"/>
        <v>2.7929340439706851</v>
      </c>
      <c r="AC1553" s="10">
        <f t="shared" si="247"/>
        <v>17.56755513657561</v>
      </c>
      <c r="AD1553" s="10">
        <f>IF(AND(Q1553&gt;0,Q1553&lt;30,K1553&lt;8),Markniveau!Z1553*'Udvaskning nøgletal'!$I$12/100,IF(AND(Q1553&gt;0,Q1553&lt;30,K1553=216),Markniveau!Z1553*'Udvaskning nøgletal'!$I$34/100,Markniveau!Z1553))</f>
        <v>55.858680879413704</v>
      </c>
      <c r="AE1553" s="10">
        <f t="shared" ref="AE1553:AE1616" si="253">AD1553*I1553</f>
        <v>351.35110273151219</v>
      </c>
      <c r="AF1553" s="10">
        <f t="shared" si="248"/>
        <v>2.7929340439706851</v>
      </c>
      <c r="AG1553" s="10">
        <f t="shared" ref="AG1553:AG1616" si="254">IF($Q1553&gt;0,(100-$Q1553)*$AD1553/100*I1553,"")</f>
        <v>17.56755513657561</v>
      </c>
      <c r="AH1553" s="10" t="str">
        <f>IF(AND(Q1553&gt;0,Q1553&lt;30,K1553=216),'Udvaskning nøgletal'!$C$42,IF(AND(Q1553&gt;0,Q1553&lt;30,K1553&gt;7,K1553&lt;17),'Udvaskning nøgletal'!$C$61,IF(AND(Q1553&gt;0,Q1553&lt;30,K1553&lt;7),'Udvaskning nøgletal'!$C$62,"")))</f>
        <v/>
      </c>
      <c r="AI1553" s="10">
        <f t="shared" si="250"/>
        <v>22</v>
      </c>
      <c r="AJ1553" s="10">
        <f>IF($X1553=1,LOOKUP(AI1553,'Udvaskning nøgletal'!$C$12:$C$62,'Udvaskning nøgletal'!$E$12:$E$62)+Markniveau!$Y1553*Markniveau!$S1553/100,IF($X1553=2,LOOKUP(AI1553,'Udvaskning nøgletal'!$C$12:$C$62,'Udvaskning nøgletal'!$F$12:$F$62)+Markniveau!$Y1553*Markniveau!$S1553/100,IF($X1553=3,LOOKUP(AI1553,'Udvaskning nøgletal'!$C$12:$C$62,'Udvaskning nøgletal'!Q1563:Q1613)+Markniveau!$Y1553*Markniveau!$S1553/100,"")))</f>
        <v>55.858680879413704</v>
      </c>
      <c r="AK1553" s="10">
        <f t="shared" si="249"/>
        <v>351.35110273151219</v>
      </c>
      <c r="AL1553" s="10">
        <f t="shared" si="251"/>
        <v>2.7929340439706851</v>
      </c>
      <c r="AM1553" s="10">
        <f t="shared" si="252"/>
        <v>17.56755513657561</v>
      </c>
    </row>
    <row r="1554" spans="1:39" x14ac:dyDescent="0.25">
      <c r="A1554" s="15">
        <v>84696714</v>
      </c>
      <c r="B1554" s="15">
        <v>28.76</v>
      </c>
      <c r="C1554" s="15">
        <v>394099</v>
      </c>
      <c r="D1554" s="15">
        <v>33522</v>
      </c>
      <c r="E1554" s="15" t="s">
        <v>130</v>
      </c>
      <c r="F1554" s="15">
        <v>2011</v>
      </c>
      <c r="G1554" s="15">
        <v>20110401</v>
      </c>
      <c r="H1554" s="15">
        <v>69855</v>
      </c>
      <c r="I1554" s="15">
        <v>6.99</v>
      </c>
      <c r="J1554" s="6" t="s">
        <v>1468</v>
      </c>
      <c r="K1554" s="15">
        <v>1</v>
      </c>
      <c r="L1554" s="15" t="s">
        <v>32</v>
      </c>
      <c r="M1554" s="15" t="s">
        <v>5</v>
      </c>
      <c r="N1554" s="11" t="s">
        <v>1391</v>
      </c>
      <c r="O1554" s="11" t="s">
        <v>46</v>
      </c>
      <c r="P1554" s="11" t="s">
        <v>29</v>
      </c>
      <c r="Q1554" s="15">
        <v>95</v>
      </c>
      <c r="R1554" s="11" t="s">
        <v>3</v>
      </c>
      <c r="S1554" s="10">
        <v>99.573617588274004</v>
      </c>
      <c r="T1554" s="15">
        <v>80</v>
      </c>
      <c r="U1554" s="15">
        <v>0</v>
      </c>
      <c r="V1554" s="15">
        <v>0</v>
      </c>
      <c r="W1554" s="15">
        <v>0</v>
      </c>
      <c r="X1554" s="15">
        <f>IF(O1554='Udvaskning nøgletal'!$D$65,1,IF(O1554='Udvaskning nøgletal'!$D$66,2,IF(O1554='Udvaskning nøgletal'!$D$67,3,IF(O1554='Udvaskning nøgletal'!$D$68,2,""))))</f>
        <v>2</v>
      </c>
      <c r="Y1554" s="15">
        <f>LOOKUP(K1554,'Udvaskning nøgletal'!$C$12:$C$60,'Udvaskning nøgletal'!$H$12:$H$60)</f>
        <v>5</v>
      </c>
      <c r="Z1554" s="10">
        <f>IF(X1554=1,LOOKUP(K1554,'Udvaskning nøgletal'!$C$12:$C$60,'Udvaskning nøgletal'!$E$12:$E$60)+Markniveau!Y1554*Markniveau!S1554/100,IF(X1554=2,LOOKUP(K1554,'Udvaskning nøgletal'!$C$12:$C$60,'Udvaskning nøgletal'!$F$12:$F$60)+Markniveau!Y1554*Markniveau!S1554/100,IF(X1554=3,LOOKUP(K1554,'Udvaskning nøgletal'!$C$12:$C$60,'Udvaskning nøgletal'!G1564:G1612)+Markniveau!Y1554*Markniveau!S1554/100,"")))</f>
        <v>55.858680879413704</v>
      </c>
      <c r="AA1554" s="10">
        <f t="shared" si="246"/>
        <v>390.45217934710178</v>
      </c>
      <c r="AB1554" s="10">
        <f t="shared" si="245"/>
        <v>2.7929340439706851</v>
      </c>
      <c r="AC1554" s="10">
        <f t="shared" si="247"/>
        <v>19.52260896735509</v>
      </c>
      <c r="AD1554" s="10">
        <f>IF(AND(Q1554&gt;0,Q1554&lt;30,K1554&lt;8),Markniveau!Z1554*'Udvaskning nøgletal'!$I$12/100,IF(AND(Q1554&gt;0,Q1554&lt;30,K1554=216),Markniveau!Z1554*'Udvaskning nøgletal'!$I$34/100,Markniveau!Z1554))</f>
        <v>55.858680879413704</v>
      </c>
      <c r="AE1554" s="10">
        <f t="shared" si="253"/>
        <v>390.45217934710178</v>
      </c>
      <c r="AF1554" s="10">
        <f t="shared" si="248"/>
        <v>2.7929340439706851</v>
      </c>
      <c r="AG1554" s="10">
        <f t="shared" si="254"/>
        <v>19.52260896735509</v>
      </c>
      <c r="AH1554" s="10" t="str">
        <f>IF(AND(Q1554&gt;0,Q1554&lt;30,K1554=216),'Udvaskning nøgletal'!$C$42,IF(AND(Q1554&gt;0,Q1554&lt;30,K1554&gt;7,K1554&lt;17),'Udvaskning nøgletal'!$C$61,IF(AND(Q1554&gt;0,Q1554&lt;30,K1554&lt;7),'Udvaskning nøgletal'!$C$62,"")))</f>
        <v/>
      </c>
      <c r="AI1554" s="10">
        <f t="shared" si="250"/>
        <v>1</v>
      </c>
      <c r="AJ1554" s="10">
        <f>IF($X1554=1,LOOKUP(AI1554,'Udvaskning nøgletal'!$C$12:$C$62,'Udvaskning nøgletal'!$E$12:$E$62)+Markniveau!$Y1554*Markniveau!$S1554/100,IF($X1554=2,LOOKUP(AI1554,'Udvaskning nøgletal'!$C$12:$C$62,'Udvaskning nøgletal'!$F$12:$F$62)+Markniveau!$Y1554*Markniveau!$S1554/100,IF($X1554=3,LOOKUP(AI1554,'Udvaskning nøgletal'!$C$12:$C$62,'Udvaskning nøgletal'!Q1564:Q1614)+Markniveau!$Y1554*Markniveau!$S1554/100,"")))</f>
        <v>55.858680879413704</v>
      </c>
      <c r="AK1554" s="10">
        <f t="shared" si="249"/>
        <v>390.45217934710178</v>
      </c>
      <c r="AL1554" s="10">
        <f t="shared" si="251"/>
        <v>2.7929340439706851</v>
      </c>
      <c r="AM1554" s="10">
        <f t="shared" si="252"/>
        <v>19.52260896735509</v>
      </c>
    </row>
    <row r="1555" spans="1:39" x14ac:dyDescent="0.25">
      <c r="A1555" s="15">
        <v>84696714</v>
      </c>
      <c r="B1555" s="15">
        <v>28.76</v>
      </c>
      <c r="C1555" s="15">
        <v>621552</v>
      </c>
      <c r="D1555" s="15">
        <v>33522</v>
      </c>
      <c r="E1555" s="15" t="s">
        <v>130</v>
      </c>
      <c r="F1555" s="15">
        <v>2011</v>
      </c>
      <c r="G1555" s="15">
        <v>20110401</v>
      </c>
      <c r="H1555" s="15">
        <v>24354</v>
      </c>
      <c r="I1555" s="15">
        <v>2.44</v>
      </c>
      <c r="J1555" s="6" t="s">
        <v>1466</v>
      </c>
      <c r="K1555" s="15">
        <v>1</v>
      </c>
      <c r="L1555" s="15" t="s">
        <v>32</v>
      </c>
      <c r="M1555" s="15" t="s">
        <v>5</v>
      </c>
      <c r="N1555" s="11" t="s">
        <v>1391</v>
      </c>
      <c r="O1555" s="11" t="s">
        <v>46</v>
      </c>
      <c r="P1555" s="11" t="s">
        <v>29</v>
      </c>
      <c r="Q1555" s="15">
        <v>95</v>
      </c>
      <c r="R1555" s="11" t="s">
        <v>3</v>
      </c>
      <c r="S1555" s="10">
        <v>99.573617588274004</v>
      </c>
      <c r="T1555" s="15">
        <v>80</v>
      </c>
      <c r="U1555" s="15">
        <v>0</v>
      </c>
      <c r="V1555" s="15">
        <v>0</v>
      </c>
      <c r="W1555" s="15">
        <v>0</v>
      </c>
      <c r="X1555" s="15">
        <f>IF(O1555='Udvaskning nøgletal'!$D$65,1,IF(O1555='Udvaskning nøgletal'!$D$66,2,IF(O1555='Udvaskning nøgletal'!$D$67,3,IF(O1555='Udvaskning nøgletal'!$D$68,2,""))))</f>
        <v>2</v>
      </c>
      <c r="Y1555" s="15">
        <f>LOOKUP(K1555,'Udvaskning nøgletal'!$C$12:$C$60,'Udvaskning nøgletal'!$H$12:$H$60)</f>
        <v>5</v>
      </c>
      <c r="Z1555" s="10">
        <f>IF(X1555=1,LOOKUP(K1555,'Udvaskning nøgletal'!$C$12:$C$60,'Udvaskning nøgletal'!$E$12:$E$60)+Markniveau!Y1555*Markniveau!S1555/100,IF(X1555=2,LOOKUP(K1555,'Udvaskning nøgletal'!$C$12:$C$60,'Udvaskning nøgletal'!$F$12:$F$60)+Markniveau!Y1555*Markniveau!S1555/100,IF(X1555=3,LOOKUP(K1555,'Udvaskning nøgletal'!$C$12:$C$60,'Udvaskning nøgletal'!G1565:G1613)+Markniveau!Y1555*Markniveau!S1555/100,"")))</f>
        <v>55.858680879413704</v>
      </c>
      <c r="AA1555" s="10">
        <f t="shared" si="246"/>
        <v>136.29518134576944</v>
      </c>
      <c r="AB1555" s="10">
        <f t="shared" si="245"/>
        <v>2.7929340439706851</v>
      </c>
      <c r="AC1555" s="10">
        <f t="shared" si="247"/>
        <v>6.8147590672884713</v>
      </c>
      <c r="AD1555" s="10">
        <f>IF(AND(Q1555&gt;0,Q1555&lt;30,K1555&lt;8),Markniveau!Z1555*'Udvaskning nøgletal'!$I$12/100,IF(AND(Q1555&gt;0,Q1555&lt;30,K1555=216),Markniveau!Z1555*'Udvaskning nøgletal'!$I$34/100,Markniveau!Z1555))</f>
        <v>55.858680879413704</v>
      </c>
      <c r="AE1555" s="10">
        <f t="shared" si="253"/>
        <v>136.29518134576944</v>
      </c>
      <c r="AF1555" s="10">
        <f t="shared" si="248"/>
        <v>2.7929340439706851</v>
      </c>
      <c r="AG1555" s="10">
        <f t="shared" si="254"/>
        <v>6.8147590672884713</v>
      </c>
      <c r="AH1555" s="10" t="str">
        <f>IF(AND(Q1555&gt;0,Q1555&lt;30,K1555=216),'Udvaskning nøgletal'!$C$42,IF(AND(Q1555&gt;0,Q1555&lt;30,K1555&gt;7,K1555&lt;17),'Udvaskning nøgletal'!$C$61,IF(AND(Q1555&gt;0,Q1555&lt;30,K1555&lt;7),'Udvaskning nøgletal'!$C$62,"")))</f>
        <v/>
      </c>
      <c r="AI1555" s="10">
        <f t="shared" si="250"/>
        <v>1</v>
      </c>
      <c r="AJ1555" s="10">
        <f>IF($X1555=1,LOOKUP(AI1555,'Udvaskning nøgletal'!$C$12:$C$62,'Udvaskning nøgletal'!$E$12:$E$62)+Markniveau!$Y1555*Markniveau!$S1555/100,IF($X1555=2,LOOKUP(AI1555,'Udvaskning nøgletal'!$C$12:$C$62,'Udvaskning nøgletal'!$F$12:$F$62)+Markniveau!$Y1555*Markniveau!$S1555/100,IF($X1555=3,LOOKUP(AI1555,'Udvaskning nøgletal'!$C$12:$C$62,'Udvaskning nøgletal'!Q1565:Q1615)+Markniveau!$Y1555*Markniveau!$S1555/100,"")))</f>
        <v>55.858680879413704</v>
      </c>
      <c r="AK1555" s="10">
        <f t="shared" si="249"/>
        <v>136.29518134576944</v>
      </c>
      <c r="AL1555" s="10">
        <f t="shared" si="251"/>
        <v>2.7929340439706851</v>
      </c>
      <c r="AM1555" s="10">
        <f t="shared" si="252"/>
        <v>6.8147590672884713</v>
      </c>
    </row>
    <row r="1556" spans="1:39" x14ac:dyDescent="0.25">
      <c r="A1556" s="15">
        <v>84696714</v>
      </c>
      <c r="B1556" s="15">
        <v>28.76</v>
      </c>
      <c r="C1556" s="15">
        <v>622275</v>
      </c>
      <c r="D1556" s="15">
        <v>33522</v>
      </c>
      <c r="E1556" s="15" t="s">
        <v>1260</v>
      </c>
      <c r="F1556" s="15">
        <v>2011</v>
      </c>
      <c r="G1556" s="15">
        <v>20110401</v>
      </c>
      <c r="H1556" s="15">
        <v>3112</v>
      </c>
      <c r="I1556" s="15">
        <v>0.31</v>
      </c>
      <c r="J1556" s="6" t="s">
        <v>1469</v>
      </c>
      <c r="K1556" s="15">
        <v>583</v>
      </c>
      <c r="L1556" s="15" t="s">
        <v>154</v>
      </c>
      <c r="M1556" s="15" t="s">
        <v>155</v>
      </c>
      <c r="N1556" s="11" t="s">
        <v>1391</v>
      </c>
      <c r="O1556" s="11" t="s">
        <v>46</v>
      </c>
      <c r="P1556" s="11" t="s">
        <v>29</v>
      </c>
      <c r="Q1556" s="15">
        <v>95</v>
      </c>
      <c r="R1556" s="11" t="s">
        <v>3</v>
      </c>
      <c r="S1556" s="10">
        <v>99.573617588274004</v>
      </c>
      <c r="T1556" s="15">
        <v>80</v>
      </c>
      <c r="U1556" s="15">
        <v>0</v>
      </c>
      <c r="V1556" s="15">
        <v>0</v>
      </c>
      <c r="W1556" s="15">
        <v>0</v>
      </c>
      <c r="X1556" s="15">
        <f>IF(O1556='Udvaskning nøgletal'!$D$65,1,IF(O1556='Udvaskning nøgletal'!$D$66,2,IF(O1556='Udvaskning nøgletal'!$D$67,3,IF(O1556='Udvaskning nøgletal'!$D$68,2,""))))</f>
        <v>2</v>
      </c>
      <c r="Y1556" s="15">
        <f>LOOKUP(K1556,'Udvaskning nøgletal'!$C$12:$C$60,'Udvaskning nøgletal'!$H$12:$H$60)</f>
        <v>0</v>
      </c>
      <c r="Z1556" s="10">
        <f>IF(X1556=1,LOOKUP(K1556,'Udvaskning nøgletal'!$C$12:$C$60,'Udvaskning nøgletal'!$E$12:$E$60)+Markniveau!Y1556*Markniveau!S1556/100,IF(X1556=2,LOOKUP(K1556,'Udvaskning nøgletal'!$C$12:$C$60,'Udvaskning nøgletal'!$F$12:$F$60)+Markniveau!Y1556*Markniveau!S1556/100,IF(X1556=3,LOOKUP(K1556,'Udvaskning nøgletal'!$C$12:$C$60,'Udvaskning nøgletal'!G1566:G1614)+Markniveau!Y1556*Markniveau!S1556/100,"")))</f>
        <v>10</v>
      </c>
      <c r="AA1556" s="10">
        <f t="shared" si="246"/>
        <v>3.1</v>
      </c>
      <c r="AB1556" s="10">
        <f t="shared" si="245"/>
        <v>0.5</v>
      </c>
      <c r="AC1556" s="10">
        <f t="shared" si="247"/>
        <v>0.155</v>
      </c>
      <c r="AD1556" s="10">
        <f>IF(AND(Q1556&gt;0,Q1556&lt;30,K1556&lt;8),Markniveau!Z1556*'Udvaskning nøgletal'!$I$12/100,IF(AND(Q1556&gt;0,Q1556&lt;30,K1556=216),Markniveau!Z1556*'Udvaskning nøgletal'!$I$34/100,Markniveau!Z1556))</f>
        <v>10</v>
      </c>
      <c r="AE1556" s="10">
        <f t="shared" si="253"/>
        <v>3.1</v>
      </c>
      <c r="AF1556" s="10">
        <f t="shared" si="248"/>
        <v>0.5</v>
      </c>
      <c r="AG1556" s="10">
        <f t="shared" si="254"/>
        <v>0.155</v>
      </c>
      <c r="AH1556" s="10" t="str">
        <f>IF(AND(Q1556&gt;0,Q1556&lt;30,K1556=216),'Udvaskning nøgletal'!$C$42,IF(AND(Q1556&gt;0,Q1556&lt;30,K1556&gt;7,K1556&lt;17),'Udvaskning nøgletal'!$C$61,IF(AND(Q1556&gt;0,Q1556&lt;30,K1556&lt;7),'Udvaskning nøgletal'!$C$62,"")))</f>
        <v/>
      </c>
      <c r="AI1556" s="10">
        <f t="shared" si="250"/>
        <v>583</v>
      </c>
      <c r="AJ1556" s="10">
        <f>IF($X1556=1,LOOKUP(AI1556,'Udvaskning nøgletal'!$C$12:$C$62,'Udvaskning nøgletal'!$E$12:$E$62)+Markniveau!$Y1556*Markniveau!$S1556/100,IF($X1556=2,LOOKUP(AI1556,'Udvaskning nøgletal'!$C$12:$C$62,'Udvaskning nøgletal'!$F$12:$F$62)+Markniveau!$Y1556*Markniveau!$S1556/100,IF($X1556=3,LOOKUP(AI1556,'Udvaskning nøgletal'!$C$12:$C$62,'Udvaskning nøgletal'!Q1566:Q1616)+Markniveau!$Y1556*Markniveau!$S1556/100,"")))</f>
        <v>10</v>
      </c>
      <c r="AK1556" s="10">
        <f t="shared" si="249"/>
        <v>3.1</v>
      </c>
      <c r="AL1556" s="10">
        <f t="shared" si="251"/>
        <v>0.5</v>
      </c>
      <c r="AM1556" s="10">
        <f t="shared" si="252"/>
        <v>0.155</v>
      </c>
    </row>
    <row r="1557" spans="1:39" x14ac:dyDescent="0.25">
      <c r="A1557" s="15">
        <v>84696714</v>
      </c>
      <c r="B1557" s="15">
        <v>28.76</v>
      </c>
      <c r="C1557" s="15">
        <v>622277</v>
      </c>
      <c r="D1557" s="15">
        <v>33522</v>
      </c>
      <c r="E1557" s="15" t="s">
        <v>1261</v>
      </c>
      <c r="F1557" s="15">
        <v>2011</v>
      </c>
      <c r="G1557" s="15">
        <v>20110401</v>
      </c>
      <c r="H1557" s="15">
        <v>28725</v>
      </c>
      <c r="I1557" s="15">
        <v>2.87</v>
      </c>
      <c r="J1557" s="6" t="s">
        <v>1465</v>
      </c>
      <c r="K1557" s="15">
        <v>583</v>
      </c>
      <c r="L1557" s="15" t="s">
        <v>154</v>
      </c>
      <c r="M1557" s="15" t="s">
        <v>155</v>
      </c>
      <c r="N1557" s="11" t="s">
        <v>1391</v>
      </c>
      <c r="O1557" s="11" t="s">
        <v>46</v>
      </c>
      <c r="P1557" s="11" t="s">
        <v>29</v>
      </c>
      <c r="Q1557" s="15">
        <v>95</v>
      </c>
      <c r="R1557" s="11" t="s">
        <v>3</v>
      </c>
      <c r="S1557" s="10">
        <v>99.573617588274004</v>
      </c>
      <c r="T1557" s="15">
        <v>80</v>
      </c>
      <c r="U1557" s="15">
        <v>0</v>
      </c>
      <c r="V1557" s="15">
        <v>0</v>
      </c>
      <c r="W1557" s="15">
        <v>0</v>
      </c>
      <c r="X1557" s="15">
        <f>IF(O1557='Udvaskning nøgletal'!$D$65,1,IF(O1557='Udvaskning nøgletal'!$D$66,2,IF(O1557='Udvaskning nøgletal'!$D$67,3,IF(O1557='Udvaskning nøgletal'!$D$68,2,""))))</f>
        <v>2</v>
      </c>
      <c r="Y1557" s="15">
        <f>LOOKUP(K1557,'Udvaskning nøgletal'!$C$12:$C$60,'Udvaskning nøgletal'!$H$12:$H$60)</f>
        <v>0</v>
      </c>
      <c r="Z1557" s="10">
        <f>IF(X1557=1,LOOKUP(K1557,'Udvaskning nøgletal'!$C$12:$C$60,'Udvaskning nøgletal'!$E$12:$E$60)+Markniveau!Y1557*Markniveau!S1557/100,IF(X1557=2,LOOKUP(K1557,'Udvaskning nøgletal'!$C$12:$C$60,'Udvaskning nøgletal'!$F$12:$F$60)+Markniveau!Y1557*Markniveau!S1557/100,IF(X1557=3,LOOKUP(K1557,'Udvaskning nøgletal'!$C$12:$C$60,'Udvaskning nøgletal'!G1567:G1615)+Markniveau!Y1557*Markniveau!S1557/100,"")))</f>
        <v>10</v>
      </c>
      <c r="AA1557" s="10">
        <f t="shared" si="246"/>
        <v>28.700000000000003</v>
      </c>
      <c r="AB1557" s="10">
        <f t="shared" si="245"/>
        <v>0.5</v>
      </c>
      <c r="AC1557" s="10">
        <f t="shared" si="247"/>
        <v>1.4350000000000001</v>
      </c>
      <c r="AD1557" s="10">
        <f>IF(AND(Q1557&gt;0,Q1557&lt;30,K1557&lt;8),Markniveau!Z1557*'Udvaskning nøgletal'!$I$12/100,IF(AND(Q1557&gt;0,Q1557&lt;30,K1557=216),Markniveau!Z1557*'Udvaskning nøgletal'!$I$34/100,Markniveau!Z1557))</f>
        <v>10</v>
      </c>
      <c r="AE1557" s="10">
        <f t="shared" si="253"/>
        <v>28.700000000000003</v>
      </c>
      <c r="AF1557" s="10">
        <f t="shared" si="248"/>
        <v>0.5</v>
      </c>
      <c r="AG1557" s="10">
        <f t="shared" si="254"/>
        <v>1.4350000000000001</v>
      </c>
      <c r="AH1557" s="10" t="str">
        <f>IF(AND(Q1557&gt;0,Q1557&lt;30,K1557=216),'Udvaskning nøgletal'!$C$42,IF(AND(Q1557&gt;0,Q1557&lt;30,K1557&gt;7,K1557&lt;17),'Udvaskning nøgletal'!$C$61,IF(AND(Q1557&gt;0,Q1557&lt;30,K1557&lt;7),'Udvaskning nøgletal'!$C$62,"")))</f>
        <v/>
      </c>
      <c r="AI1557" s="10">
        <f t="shared" si="250"/>
        <v>583</v>
      </c>
      <c r="AJ1557" s="10">
        <f>IF($X1557=1,LOOKUP(AI1557,'Udvaskning nøgletal'!$C$12:$C$62,'Udvaskning nøgletal'!$E$12:$E$62)+Markniveau!$Y1557*Markniveau!$S1557/100,IF($X1557=2,LOOKUP(AI1557,'Udvaskning nøgletal'!$C$12:$C$62,'Udvaskning nøgletal'!$F$12:$F$62)+Markniveau!$Y1557*Markniveau!$S1557/100,IF($X1557=3,LOOKUP(AI1557,'Udvaskning nøgletal'!$C$12:$C$62,'Udvaskning nøgletal'!Q1567:Q1617)+Markniveau!$Y1557*Markniveau!$S1557/100,"")))</f>
        <v>10</v>
      </c>
      <c r="AK1557" s="10">
        <f t="shared" si="249"/>
        <v>28.700000000000003</v>
      </c>
      <c r="AL1557" s="10">
        <f t="shared" si="251"/>
        <v>0.5</v>
      </c>
      <c r="AM1557" s="10">
        <f t="shared" si="252"/>
        <v>1.4350000000000001</v>
      </c>
    </row>
    <row r="1558" spans="1:39" x14ac:dyDescent="0.25">
      <c r="A1558" s="15">
        <v>84696714</v>
      </c>
      <c r="B1558" s="15">
        <v>28.76</v>
      </c>
      <c r="C1558" s="15">
        <v>623287</v>
      </c>
      <c r="D1558" s="15">
        <v>33522</v>
      </c>
      <c r="E1558" s="15" t="s">
        <v>130</v>
      </c>
      <c r="F1558" s="15">
        <v>2011</v>
      </c>
      <c r="G1558" s="15">
        <v>20110401</v>
      </c>
      <c r="H1558" s="15">
        <v>44447</v>
      </c>
      <c r="I1558" s="15">
        <v>4.4400000000000004</v>
      </c>
      <c r="J1558" s="6" t="s">
        <v>1467</v>
      </c>
      <c r="K1558" s="15">
        <v>11</v>
      </c>
      <c r="L1558" s="15" t="s">
        <v>102</v>
      </c>
      <c r="M1558" s="15" t="s">
        <v>5</v>
      </c>
      <c r="N1558" s="11" t="s">
        <v>1384</v>
      </c>
      <c r="O1558" s="11" t="s">
        <v>28</v>
      </c>
      <c r="P1558" s="11" t="s">
        <v>33</v>
      </c>
      <c r="Q1558" s="15">
        <v>0</v>
      </c>
      <c r="R1558" s="11" t="s">
        <v>1386</v>
      </c>
      <c r="S1558" s="10">
        <v>99.573617588274004</v>
      </c>
      <c r="T1558" s="15">
        <v>80</v>
      </c>
      <c r="U1558" s="15">
        <v>0</v>
      </c>
      <c r="V1558" s="15">
        <v>0</v>
      </c>
      <c r="W1558" s="15">
        <v>0</v>
      </c>
      <c r="X1558" s="15">
        <f>IF(O1558='Udvaskning nøgletal'!$D$65,1,IF(O1558='Udvaskning nøgletal'!$D$66,2,IF(O1558='Udvaskning nøgletal'!$D$67,3,IF(O1558='Udvaskning nøgletal'!$D$68,2,""))))</f>
        <v>1</v>
      </c>
      <c r="Y1558" s="15">
        <f>LOOKUP(K1558,'Udvaskning nøgletal'!$C$12:$C$60,'Udvaskning nøgletal'!$H$12:$H$60)</f>
        <v>5</v>
      </c>
      <c r="Z1558" s="10">
        <f>IF(X1558=1,LOOKUP(K1558,'Udvaskning nøgletal'!$C$12:$C$60,'Udvaskning nøgletal'!$E$12:$E$60)+Markniveau!Y1558*Markniveau!S1558/100,IF(X1558=2,LOOKUP(K1558,'Udvaskning nøgletal'!$C$12:$C$60,'Udvaskning nøgletal'!$F$12:$F$60)+Markniveau!Y1558*Markniveau!S1558/100,IF(X1558=3,LOOKUP(K1558,'Udvaskning nøgletal'!$C$12:$C$60,'Udvaskning nøgletal'!G1568:G1616)+Markniveau!Y1558*Markniveau!S1558/100,"")))</f>
        <v>69.638680879413698</v>
      </c>
      <c r="AA1558" s="10">
        <f t="shared" si="246"/>
        <v>309.19574310459683</v>
      </c>
      <c r="AB1558" s="10" t="str">
        <f t="shared" si="245"/>
        <v/>
      </c>
      <c r="AC1558" s="10" t="str">
        <f t="shared" si="247"/>
        <v/>
      </c>
      <c r="AD1558" s="10">
        <f>IF(AND(Q1558&gt;0,Q1558&lt;30,K1558&lt;8),Markniveau!Z1558*'Udvaskning nøgletal'!$I$12/100,IF(AND(Q1558&gt;0,Q1558&lt;30,K1558=216),Markniveau!Z1558*'Udvaskning nøgletal'!$I$34/100,Markniveau!Z1558))</f>
        <v>69.638680879413698</v>
      </c>
      <c r="AE1558" s="10">
        <f t="shared" si="253"/>
        <v>309.19574310459683</v>
      </c>
      <c r="AF1558" s="10" t="str">
        <f t="shared" si="248"/>
        <v/>
      </c>
      <c r="AG1558" s="10" t="str">
        <f t="shared" si="254"/>
        <v/>
      </c>
      <c r="AH1558" s="10" t="str">
        <f>IF(AND(Q1558&gt;0,Q1558&lt;30,K1558=216),'Udvaskning nøgletal'!$C$42,IF(AND(Q1558&gt;0,Q1558&lt;30,K1558&gt;7,K1558&lt;17),'Udvaskning nøgletal'!$C$61,IF(AND(Q1558&gt;0,Q1558&lt;30,K1558&lt;7),'Udvaskning nøgletal'!$C$62,"")))</f>
        <v/>
      </c>
      <c r="AI1558" s="10">
        <f t="shared" si="250"/>
        <v>11</v>
      </c>
      <c r="AJ1558" s="10">
        <f>IF($X1558=1,LOOKUP(AI1558,'Udvaskning nøgletal'!$C$12:$C$62,'Udvaskning nøgletal'!$E$12:$E$62)+Markniveau!$Y1558*Markniveau!$S1558/100,IF($X1558=2,LOOKUP(AI1558,'Udvaskning nøgletal'!$C$12:$C$62,'Udvaskning nøgletal'!$F$12:$F$62)+Markniveau!$Y1558*Markniveau!$S1558/100,IF($X1558=3,LOOKUP(AI1558,'Udvaskning nøgletal'!$C$12:$C$62,'Udvaskning nøgletal'!Q1568:Q1618)+Markniveau!$Y1558*Markniveau!$S1558/100,"")))</f>
        <v>69.638680879413698</v>
      </c>
      <c r="AK1558" s="10">
        <f t="shared" si="249"/>
        <v>309.19574310459683</v>
      </c>
      <c r="AL1558" s="10" t="str">
        <f t="shared" si="251"/>
        <v/>
      </c>
      <c r="AM1558" s="10" t="str">
        <f t="shared" si="252"/>
        <v/>
      </c>
    </row>
    <row r="1559" spans="1:39" x14ac:dyDescent="0.25">
      <c r="A1559" s="15">
        <v>84696714</v>
      </c>
      <c r="B1559" s="15">
        <v>28.76</v>
      </c>
      <c r="C1559" s="15">
        <v>25826</v>
      </c>
      <c r="D1559" s="15">
        <v>33522</v>
      </c>
      <c r="E1559" s="15" t="s">
        <v>1259</v>
      </c>
      <c r="F1559" s="15">
        <v>2011</v>
      </c>
      <c r="G1559" s="15">
        <v>20110401</v>
      </c>
      <c r="H1559" s="15">
        <v>64618</v>
      </c>
      <c r="I1559" s="15">
        <v>6.46</v>
      </c>
      <c r="J1559" s="6" t="s">
        <v>1406</v>
      </c>
      <c r="K1559" s="15">
        <v>22</v>
      </c>
      <c r="L1559" s="15" t="s">
        <v>213</v>
      </c>
      <c r="M1559" s="15" t="s">
        <v>5</v>
      </c>
      <c r="N1559" s="11" t="s">
        <v>1391</v>
      </c>
      <c r="O1559" s="11" t="s">
        <v>46</v>
      </c>
      <c r="P1559" s="11" t="s">
        <v>29</v>
      </c>
      <c r="Q1559" s="15">
        <v>0</v>
      </c>
      <c r="R1559" s="11" t="s">
        <v>1386</v>
      </c>
      <c r="S1559" s="10">
        <v>99.573617588274004</v>
      </c>
      <c r="T1559" s="15">
        <v>80</v>
      </c>
      <c r="U1559" s="15">
        <v>0</v>
      </c>
      <c r="V1559" s="15">
        <v>0</v>
      </c>
      <c r="W1559" s="15">
        <v>0</v>
      </c>
      <c r="X1559" s="15">
        <f>IF(O1559='Udvaskning nøgletal'!$D$65,1,IF(O1559='Udvaskning nøgletal'!$D$66,2,IF(O1559='Udvaskning nøgletal'!$D$67,3,IF(O1559='Udvaskning nøgletal'!$D$68,2,""))))</f>
        <v>2</v>
      </c>
      <c r="Y1559" s="15">
        <f>LOOKUP(K1559,'Udvaskning nøgletal'!$C$12:$C$60,'Udvaskning nøgletal'!$H$12:$H$60)</f>
        <v>5</v>
      </c>
      <c r="Z1559" s="10">
        <f>IF(X1559=1,LOOKUP(K1559,'Udvaskning nøgletal'!$C$12:$C$60,'Udvaskning nøgletal'!$E$12:$E$60)+Markniveau!Y1559*Markniveau!S1559/100,IF(X1559=2,LOOKUP(K1559,'Udvaskning nøgletal'!$C$12:$C$60,'Udvaskning nøgletal'!$F$12:$F$60)+Markniveau!Y1559*Markniveau!S1559/100,IF(X1559=3,LOOKUP(K1559,'Udvaskning nøgletal'!$C$12:$C$60,'Udvaskning nøgletal'!G1569:G1617)+Markniveau!Y1559*Markniveau!S1559/100,"")))</f>
        <v>55.858680879413704</v>
      </c>
      <c r="AA1559" s="10">
        <f t="shared" si="246"/>
        <v>360.84707848101255</v>
      </c>
      <c r="AB1559" s="10" t="str">
        <f t="shared" si="245"/>
        <v/>
      </c>
      <c r="AC1559" s="10" t="str">
        <f t="shared" si="247"/>
        <v/>
      </c>
      <c r="AD1559" s="10">
        <f>IF(AND(Q1559&gt;0,Q1559&lt;30,K1559&lt;8),Markniveau!Z1559*'Udvaskning nøgletal'!$I$12/100,IF(AND(Q1559&gt;0,Q1559&lt;30,K1559=216),Markniveau!Z1559*'Udvaskning nøgletal'!$I$34/100,Markniveau!Z1559))</f>
        <v>55.858680879413704</v>
      </c>
      <c r="AE1559" s="10">
        <f t="shared" si="253"/>
        <v>360.84707848101255</v>
      </c>
      <c r="AF1559" s="10" t="str">
        <f t="shared" si="248"/>
        <v/>
      </c>
      <c r="AG1559" s="10" t="str">
        <f t="shared" si="254"/>
        <v/>
      </c>
      <c r="AH1559" s="10" t="str">
        <f>IF(AND(Q1559&gt;0,Q1559&lt;30,K1559=216),'Udvaskning nøgletal'!$C$42,IF(AND(Q1559&gt;0,Q1559&lt;30,K1559&gt;7,K1559&lt;17),'Udvaskning nøgletal'!$C$61,IF(AND(Q1559&gt;0,Q1559&lt;30,K1559&lt;7),'Udvaskning nøgletal'!$C$62,"")))</f>
        <v/>
      </c>
      <c r="AI1559" s="10">
        <f t="shared" si="250"/>
        <v>22</v>
      </c>
      <c r="AJ1559" s="10">
        <f>IF($X1559=1,LOOKUP(AI1559,'Udvaskning nøgletal'!$C$12:$C$62,'Udvaskning nøgletal'!$E$12:$E$62)+Markniveau!$Y1559*Markniveau!$S1559/100,IF($X1559=2,LOOKUP(AI1559,'Udvaskning nøgletal'!$C$12:$C$62,'Udvaskning nøgletal'!$F$12:$F$62)+Markniveau!$Y1559*Markniveau!$S1559/100,IF($X1559=3,LOOKUP(AI1559,'Udvaskning nøgletal'!$C$12:$C$62,'Udvaskning nøgletal'!Q1569:Q1619)+Markniveau!$Y1559*Markniveau!$S1559/100,"")))</f>
        <v>55.858680879413704</v>
      </c>
      <c r="AK1559" s="10">
        <f t="shared" si="249"/>
        <v>360.84707848101255</v>
      </c>
      <c r="AL1559" s="10" t="str">
        <f t="shared" si="251"/>
        <v/>
      </c>
      <c r="AM1559" s="10" t="str">
        <f t="shared" si="252"/>
        <v/>
      </c>
    </row>
    <row r="1560" spans="1:39" x14ac:dyDescent="0.25">
      <c r="A1560" s="15">
        <v>84696714</v>
      </c>
      <c r="B1560" s="15">
        <v>28.76</v>
      </c>
      <c r="C1560" s="15">
        <v>33290</v>
      </c>
      <c r="D1560" s="15">
        <v>33522</v>
      </c>
      <c r="E1560" s="15" t="s">
        <v>543</v>
      </c>
      <c r="F1560" s="15">
        <v>2011</v>
      </c>
      <c r="G1560" s="15">
        <v>20110401</v>
      </c>
      <c r="H1560" s="15">
        <v>33967</v>
      </c>
      <c r="I1560" s="15">
        <v>3.4</v>
      </c>
      <c r="J1560" s="6" t="s">
        <v>1470</v>
      </c>
      <c r="K1560" s="15">
        <v>11</v>
      </c>
      <c r="L1560" s="15" t="s">
        <v>102</v>
      </c>
      <c r="M1560" s="15" t="s">
        <v>5</v>
      </c>
      <c r="N1560" s="11" t="s">
        <v>1391</v>
      </c>
      <c r="O1560" s="11" t="s">
        <v>46</v>
      </c>
      <c r="P1560" s="11" t="s">
        <v>29</v>
      </c>
      <c r="Q1560" s="15">
        <v>95</v>
      </c>
      <c r="R1560" s="11" t="s">
        <v>3</v>
      </c>
      <c r="S1560" s="10">
        <v>99.573617588274004</v>
      </c>
      <c r="T1560" s="15">
        <v>80</v>
      </c>
      <c r="U1560" s="15">
        <v>0</v>
      </c>
      <c r="V1560" s="15">
        <v>0</v>
      </c>
      <c r="W1560" s="15">
        <v>0</v>
      </c>
      <c r="X1560" s="15">
        <f>IF(O1560='Udvaskning nøgletal'!$D$65,1,IF(O1560='Udvaskning nøgletal'!$D$66,2,IF(O1560='Udvaskning nøgletal'!$D$67,3,IF(O1560='Udvaskning nøgletal'!$D$68,2,""))))</f>
        <v>2</v>
      </c>
      <c r="Y1560" s="15">
        <f>LOOKUP(K1560,'Udvaskning nøgletal'!$C$12:$C$60,'Udvaskning nøgletal'!$H$12:$H$60)</f>
        <v>5</v>
      </c>
      <c r="Z1560" s="10">
        <f>IF(X1560=1,LOOKUP(K1560,'Udvaskning nøgletal'!$C$12:$C$60,'Udvaskning nøgletal'!$E$12:$E$60)+Markniveau!Y1560*Markniveau!S1560/100,IF(X1560=2,LOOKUP(K1560,'Udvaskning nøgletal'!$C$12:$C$60,'Udvaskning nøgletal'!$F$12:$F$60)+Markniveau!Y1560*Markniveau!S1560/100,IF(X1560=3,LOOKUP(K1560,'Udvaskning nøgletal'!$C$12:$C$60,'Udvaskning nøgletal'!G1570:G1618)+Markniveau!Y1560*Markniveau!S1560/100,"")))</f>
        <v>55.858680879413704</v>
      </c>
      <c r="AA1560" s="10">
        <f t="shared" si="246"/>
        <v>189.91951499000658</v>
      </c>
      <c r="AB1560" s="10">
        <f t="shared" si="245"/>
        <v>2.7929340439706851</v>
      </c>
      <c r="AC1560" s="10">
        <f t="shared" si="247"/>
        <v>9.4959757495003299</v>
      </c>
      <c r="AD1560" s="10">
        <f>IF(AND(Q1560&gt;0,Q1560&lt;30,K1560&lt;8),Markniveau!Z1560*'Udvaskning nøgletal'!$I$12/100,IF(AND(Q1560&gt;0,Q1560&lt;30,K1560=216),Markniveau!Z1560*'Udvaskning nøgletal'!$I$34/100,Markniveau!Z1560))</f>
        <v>55.858680879413704</v>
      </c>
      <c r="AE1560" s="10">
        <f t="shared" si="253"/>
        <v>189.91951499000658</v>
      </c>
      <c r="AF1560" s="10">
        <f t="shared" si="248"/>
        <v>2.7929340439706851</v>
      </c>
      <c r="AG1560" s="10">
        <f t="shared" si="254"/>
        <v>9.4959757495003299</v>
      </c>
      <c r="AH1560" s="10" t="str">
        <f>IF(AND(Q1560&gt;0,Q1560&lt;30,K1560=216),'Udvaskning nøgletal'!$C$42,IF(AND(Q1560&gt;0,Q1560&lt;30,K1560&gt;7,K1560&lt;17),'Udvaskning nøgletal'!$C$61,IF(AND(Q1560&gt;0,Q1560&lt;30,K1560&lt;7),'Udvaskning nøgletal'!$C$62,"")))</f>
        <v/>
      </c>
      <c r="AI1560" s="10">
        <f t="shared" si="250"/>
        <v>11</v>
      </c>
      <c r="AJ1560" s="10">
        <f>IF($X1560=1,LOOKUP(AI1560,'Udvaskning nøgletal'!$C$12:$C$62,'Udvaskning nøgletal'!$E$12:$E$62)+Markniveau!$Y1560*Markniveau!$S1560/100,IF($X1560=2,LOOKUP(AI1560,'Udvaskning nøgletal'!$C$12:$C$62,'Udvaskning nøgletal'!$F$12:$F$62)+Markniveau!$Y1560*Markniveau!$S1560/100,IF($X1560=3,LOOKUP(AI1560,'Udvaskning nøgletal'!$C$12:$C$62,'Udvaskning nøgletal'!Q1570:Q1620)+Markniveau!$Y1560*Markniveau!$S1560/100,"")))</f>
        <v>55.858680879413704</v>
      </c>
      <c r="AK1560" s="10">
        <f t="shared" si="249"/>
        <v>189.91951499000658</v>
      </c>
      <c r="AL1560" s="10">
        <f t="shared" si="251"/>
        <v>2.7929340439706851</v>
      </c>
      <c r="AM1560" s="10">
        <f t="shared" si="252"/>
        <v>9.4959757495003299</v>
      </c>
    </row>
    <row r="1561" spans="1:39" x14ac:dyDescent="0.25">
      <c r="A1561" s="15">
        <v>85173014</v>
      </c>
      <c r="B1561" s="15">
        <v>3.03</v>
      </c>
      <c r="C1561" s="15">
        <v>330316</v>
      </c>
      <c r="D1561" s="15">
        <v>1858</v>
      </c>
      <c r="E1561" s="15" t="s">
        <v>360</v>
      </c>
      <c r="F1561" s="15">
        <v>2011</v>
      </c>
      <c r="G1561" s="15">
        <v>20110207</v>
      </c>
      <c r="H1561" s="15">
        <v>30278</v>
      </c>
      <c r="I1561" s="15">
        <v>3.03</v>
      </c>
      <c r="J1561" s="6" t="s">
        <v>1406</v>
      </c>
      <c r="K1561" s="15">
        <v>11</v>
      </c>
      <c r="L1561" s="15" t="s">
        <v>102</v>
      </c>
      <c r="M1561" s="15" t="s">
        <v>5</v>
      </c>
      <c r="N1561" s="11" t="s">
        <v>1384</v>
      </c>
      <c r="O1561" s="11" t="s">
        <v>28</v>
      </c>
      <c r="P1561" s="11" t="s">
        <v>29</v>
      </c>
      <c r="Q1561" s="15">
        <v>95</v>
      </c>
      <c r="R1561" s="11" t="s">
        <v>3</v>
      </c>
      <c r="S1561" s="10">
        <v>90.765598650927004</v>
      </c>
      <c r="T1561" s="15">
        <v>80</v>
      </c>
      <c r="U1561" s="15">
        <v>0</v>
      </c>
      <c r="V1561" s="15">
        <v>0</v>
      </c>
      <c r="W1561" s="15">
        <v>0</v>
      </c>
      <c r="X1561" s="15">
        <f>IF(O1561='Udvaskning nøgletal'!$D$65,1,IF(O1561='Udvaskning nøgletal'!$D$66,2,IF(O1561='Udvaskning nøgletal'!$D$67,3,IF(O1561='Udvaskning nøgletal'!$D$68,2,""))))</f>
        <v>1</v>
      </c>
      <c r="Y1561" s="15">
        <f>LOOKUP(K1561,'Udvaskning nøgletal'!$C$12:$C$60,'Udvaskning nøgletal'!$H$12:$H$60)</f>
        <v>5</v>
      </c>
      <c r="Z1561" s="10">
        <f>IF(X1561=1,LOOKUP(K1561,'Udvaskning nøgletal'!$C$12:$C$60,'Udvaskning nøgletal'!$E$12:$E$60)+Markniveau!Y1561*Markniveau!S1561/100,IF(X1561=2,LOOKUP(K1561,'Udvaskning nøgletal'!$C$12:$C$60,'Udvaskning nøgletal'!$F$12:$F$60)+Markniveau!Y1561*Markniveau!S1561/100,IF(X1561=3,LOOKUP(K1561,'Udvaskning nøgletal'!$C$12:$C$60,'Udvaskning nøgletal'!G1571:G1619)+Markniveau!Y1561*Markniveau!S1561/100,"")))</f>
        <v>69.198279932546342</v>
      </c>
      <c r="AA1561" s="10">
        <f t="shared" si="246"/>
        <v>209.67078819561542</v>
      </c>
      <c r="AB1561" s="10">
        <f t="shared" si="245"/>
        <v>3.4599139966273174</v>
      </c>
      <c r="AC1561" s="10">
        <f t="shared" si="247"/>
        <v>10.483539409780771</v>
      </c>
      <c r="AD1561" s="10">
        <f>IF(AND(Q1561&gt;0,Q1561&lt;30,K1561&lt;8),Markniveau!Z1561*'Udvaskning nøgletal'!$I$12/100,IF(AND(Q1561&gt;0,Q1561&lt;30,K1561=216),Markniveau!Z1561*'Udvaskning nøgletal'!$I$34/100,Markniveau!Z1561))</f>
        <v>69.198279932546342</v>
      </c>
      <c r="AE1561" s="10">
        <f t="shared" si="253"/>
        <v>209.67078819561542</v>
      </c>
      <c r="AF1561" s="10">
        <f t="shared" si="248"/>
        <v>3.4599139966273174</v>
      </c>
      <c r="AG1561" s="10">
        <f t="shared" si="254"/>
        <v>10.483539409780771</v>
      </c>
      <c r="AH1561" s="10" t="str">
        <f>IF(AND(Q1561&gt;0,Q1561&lt;30,K1561=216),'Udvaskning nøgletal'!$C$42,IF(AND(Q1561&gt;0,Q1561&lt;30,K1561&gt;7,K1561&lt;17),'Udvaskning nøgletal'!$C$61,IF(AND(Q1561&gt;0,Q1561&lt;30,K1561&lt;7),'Udvaskning nøgletal'!$C$62,"")))</f>
        <v/>
      </c>
      <c r="AI1561" s="10">
        <f t="shared" si="250"/>
        <v>11</v>
      </c>
      <c r="AJ1561" s="10">
        <f>IF($X1561=1,LOOKUP(AI1561,'Udvaskning nøgletal'!$C$12:$C$62,'Udvaskning nøgletal'!$E$12:$E$62)+Markniveau!$Y1561*Markniveau!$S1561/100,IF($X1561=2,LOOKUP(AI1561,'Udvaskning nøgletal'!$C$12:$C$62,'Udvaskning nøgletal'!$F$12:$F$62)+Markniveau!$Y1561*Markniveau!$S1561/100,IF($X1561=3,LOOKUP(AI1561,'Udvaskning nøgletal'!$C$12:$C$62,'Udvaskning nøgletal'!Q1571:Q1621)+Markniveau!$Y1561*Markniveau!$S1561/100,"")))</f>
        <v>69.198279932546342</v>
      </c>
      <c r="AK1561" s="10">
        <f t="shared" si="249"/>
        <v>209.67078819561542</v>
      </c>
      <c r="AL1561" s="10">
        <f t="shared" si="251"/>
        <v>3.4599139966273174</v>
      </c>
      <c r="AM1561" s="10">
        <f t="shared" si="252"/>
        <v>10.483539409780771</v>
      </c>
    </row>
    <row r="1562" spans="1:39" x14ac:dyDescent="0.25">
      <c r="A1562" s="15">
        <v>85173014</v>
      </c>
      <c r="B1562" s="15">
        <v>3.03</v>
      </c>
      <c r="C1562" s="15">
        <v>330511</v>
      </c>
      <c r="D1562" s="15">
        <v>1858</v>
      </c>
      <c r="E1562" s="15" t="s">
        <v>360</v>
      </c>
      <c r="F1562" s="15">
        <v>2011</v>
      </c>
      <c r="G1562" s="15">
        <v>20110207</v>
      </c>
      <c r="H1562" s="15">
        <v>28972</v>
      </c>
      <c r="I1562" s="15">
        <v>2.9</v>
      </c>
      <c r="J1562" s="6" t="s">
        <v>1384</v>
      </c>
      <c r="K1562" s="15">
        <v>1</v>
      </c>
      <c r="L1562" s="15" t="s">
        <v>32</v>
      </c>
      <c r="M1562" s="15" t="s">
        <v>5</v>
      </c>
      <c r="N1562" s="11" t="s">
        <v>1384</v>
      </c>
      <c r="O1562" s="11" t="s">
        <v>28</v>
      </c>
      <c r="P1562" s="11" t="s">
        <v>33</v>
      </c>
      <c r="Q1562" s="15">
        <v>25</v>
      </c>
      <c r="R1562" s="11" t="s">
        <v>7</v>
      </c>
      <c r="S1562" s="10">
        <v>90.765598650927004</v>
      </c>
      <c r="T1562" s="15">
        <v>80</v>
      </c>
      <c r="U1562" s="15">
        <v>0</v>
      </c>
      <c r="V1562" s="15">
        <v>0</v>
      </c>
      <c r="W1562" s="15">
        <v>0</v>
      </c>
      <c r="X1562" s="15">
        <f>IF(O1562='Udvaskning nøgletal'!$D$65,1,IF(O1562='Udvaskning nøgletal'!$D$66,2,IF(O1562='Udvaskning nøgletal'!$D$67,3,IF(O1562='Udvaskning nøgletal'!$D$68,2,""))))</f>
        <v>1</v>
      </c>
      <c r="Y1562" s="15">
        <f>LOOKUP(K1562,'Udvaskning nøgletal'!$C$12:$C$60,'Udvaskning nøgletal'!$H$12:$H$60)</f>
        <v>5</v>
      </c>
      <c r="Z1562" s="10">
        <f>IF(X1562=1,LOOKUP(K1562,'Udvaskning nøgletal'!$C$12:$C$60,'Udvaskning nøgletal'!$E$12:$E$60)+Markniveau!Y1562*Markniveau!S1562/100,IF(X1562=2,LOOKUP(K1562,'Udvaskning nøgletal'!$C$12:$C$60,'Udvaskning nøgletal'!$F$12:$F$60)+Markniveau!Y1562*Markniveau!S1562/100,IF(X1562=3,LOOKUP(K1562,'Udvaskning nøgletal'!$C$12:$C$60,'Udvaskning nøgletal'!G1572:G1620)+Markniveau!Y1562*Markniveau!S1562/100,"")))</f>
        <v>69.198279932546342</v>
      </c>
      <c r="AA1562" s="10">
        <f t="shared" si="246"/>
        <v>200.67501180438438</v>
      </c>
      <c r="AB1562" s="10">
        <f t="shared" si="245"/>
        <v>51.898709949409756</v>
      </c>
      <c r="AC1562" s="10">
        <f t="shared" si="247"/>
        <v>150.5062588532883</v>
      </c>
      <c r="AD1562" s="10">
        <f>IF(AND(Q1562&gt;0,Q1562&lt;30,K1562&lt;8),Markniveau!Z1562*'Udvaskning nøgletal'!$I$12/100,IF(AND(Q1562&gt;0,Q1562&lt;30,K1562=216),Markniveau!Z1562*'Udvaskning nøgletal'!$I$34/100,Markniveau!Z1562))</f>
        <v>34.599139966273171</v>
      </c>
      <c r="AE1562" s="10">
        <f t="shared" si="253"/>
        <v>100.33750590219219</v>
      </c>
      <c r="AF1562" s="10">
        <f t="shared" si="248"/>
        <v>25.949354974704878</v>
      </c>
      <c r="AG1562" s="10">
        <f t="shared" si="254"/>
        <v>75.253129426644151</v>
      </c>
      <c r="AH1562" s="10">
        <f>IF(AND(Q1562&gt;0,Q1562&lt;30,K1562=216),'Udvaskning nøgletal'!$C$42,IF(AND(Q1562&gt;0,Q1562&lt;30,K1562&gt;7,K1562&lt;17),'Udvaskning nøgletal'!$C$61,IF(AND(Q1562&gt;0,Q1562&lt;30,K1562&lt;7),'Udvaskning nøgletal'!$C$62,"")))</f>
        <v>1002</v>
      </c>
      <c r="AI1562" s="10">
        <f t="shared" si="250"/>
        <v>1002</v>
      </c>
      <c r="AJ1562" s="10">
        <f>IF($X1562=1,LOOKUP(AI1562,'Udvaskning nøgletal'!$C$12:$C$62,'Udvaskning nøgletal'!$E$12:$E$62)+Markniveau!$Y1562*Markniveau!$S1562/100,IF($X1562=2,LOOKUP(AI1562,'Udvaskning nøgletal'!$C$12:$C$62,'Udvaskning nøgletal'!$F$12:$F$62)+Markniveau!$Y1562*Markniveau!$S1562/100,IF($X1562=3,LOOKUP(AI1562,'Udvaskning nøgletal'!$C$12:$C$62,'Udvaskning nøgletal'!Q1572:Q1622)+Markniveau!$Y1562*Markniveau!$S1562/100,"")))</f>
        <v>35.038279932546352</v>
      </c>
      <c r="AK1562" s="10">
        <f t="shared" si="249"/>
        <v>101.61101180438442</v>
      </c>
      <c r="AL1562" s="10">
        <f t="shared" si="251"/>
        <v>26.278709949409762</v>
      </c>
      <c r="AM1562" s="10">
        <f t="shared" si="252"/>
        <v>76.208258853288314</v>
      </c>
    </row>
    <row r="1563" spans="1:39" x14ac:dyDescent="0.25">
      <c r="A1563" s="15">
        <v>87840859</v>
      </c>
      <c r="B1563" s="15">
        <v>37.72</v>
      </c>
      <c r="C1563" s="15">
        <v>113985</v>
      </c>
      <c r="D1563" s="15">
        <v>17318</v>
      </c>
      <c r="E1563" s="15" t="s">
        <v>1262</v>
      </c>
      <c r="F1563" s="15">
        <v>2011</v>
      </c>
      <c r="G1563" s="15">
        <v>20110404</v>
      </c>
      <c r="H1563" s="15">
        <v>23963</v>
      </c>
      <c r="I1563" s="15">
        <v>2.4</v>
      </c>
      <c r="J1563" s="6" t="s">
        <v>69</v>
      </c>
      <c r="K1563" s="15">
        <v>210</v>
      </c>
      <c r="L1563" s="15" t="s">
        <v>262</v>
      </c>
      <c r="M1563" s="15" t="s">
        <v>5</v>
      </c>
      <c r="N1563" s="11" t="s">
        <v>1384</v>
      </c>
      <c r="O1563" s="11" t="s">
        <v>28</v>
      </c>
      <c r="P1563" s="11" t="s">
        <v>29</v>
      </c>
      <c r="Q1563" s="15">
        <v>95</v>
      </c>
      <c r="R1563" s="11" t="s">
        <v>3</v>
      </c>
      <c r="S1563" s="10">
        <v>165.16276562981</v>
      </c>
      <c r="T1563" s="15">
        <v>80</v>
      </c>
      <c r="U1563" s="15">
        <v>0</v>
      </c>
      <c r="V1563" s="15">
        <v>1</v>
      </c>
      <c r="W1563" s="15">
        <v>0</v>
      </c>
      <c r="X1563" s="15">
        <f>IF(O1563='Udvaskning nøgletal'!$D$65,1,IF(O1563='Udvaskning nøgletal'!$D$66,2,IF(O1563='Udvaskning nøgletal'!$D$67,3,IF(O1563='Udvaskning nøgletal'!$D$68,2,""))))</f>
        <v>1</v>
      </c>
      <c r="Y1563" s="15">
        <f>LOOKUP(K1563,'Udvaskning nøgletal'!$C$12:$C$60,'Udvaskning nøgletal'!$H$12:$H$60)</f>
        <v>0</v>
      </c>
      <c r="Z1563" s="10">
        <f>IF(X1563=1,LOOKUP(K1563,'Udvaskning nøgletal'!$C$12:$C$60,'Udvaskning nøgletal'!$E$12:$E$60)+Markniveau!Y1563*Markniveau!S1563/100,IF(X1563=2,LOOKUP(K1563,'Udvaskning nøgletal'!$C$12:$C$60,'Udvaskning nøgletal'!$F$12:$F$60)+Markniveau!Y1563*Markniveau!S1563/100,IF(X1563=3,LOOKUP(K1563,'Udvaskning nøgletal'!$C$12:$C$60,'Udvaskning nøgletal'!G1573:G1621)+Markniveau!Y1563*Markniveau!S1563/100,"")))</f>
        <v>38.620385460262987</v>
      </c>
      <c r="AA1563" s="10">
        <f t="shared" si="246"/>
        <v>92.688925104631167</v>
      </c>
      <c r="AB1563" s="10">
        <f t="shared" si="245"/>
        <v>1.9310192730131492</v>
      </c>
      <c r="AC1563" s="10">
        <f t="shared" si="247"/>
        <v>4.6344462552315582</v>
      </c>
      <c r="AD1563" s="10">
        <f>IF(AND(Q1563&gt;0,Q1563&lt;30,K1563&lt;8),Markniveau!Z1563*'Udvaskning nøgletal'!$I$12/100,IF(AND(Q1563&gt;0,Q1563&lt;30,K1563=216),Markniveau!Z1563*'Udvaskning nøgletal'!$I$34/100,Markniveau!Z1563))</f>
        <v>38.620385460262987</v>
      </c>
      <c r="AE1563" s="10">
        <f t="shared" si="253"/>
        <v>92.688925104631167</v>
      </c>
      <c r="AF1563" s="10">
        <f t="shared" si="248"/>
        <v>1.9310192730131492</v>
      </c>
      <c r="AG1563" s="10">
        <f t="shared" si="254"/>
        <v>4.6344462552315582</v>
      </c>
      <c r="AH1563" s="10" t="str">
        <f>IF(AND(Q1563&gt;0,Q1563&lt;30,K1563=216),'Udvaskning nøgletal'!$C$42,IF(AND(Q1563&gt;0,Q1563&lt;30,K1563&gt;7,K1563&lt;17),'Udvaskning nøgletal'!$C$61,IF(AND(Q1563&gt;0,Q1563&lt;30,K1563&lt;7),'Udvaskning nøgletal'!$C$62,"")))</f>
        <v/>
      </c>
      <c r="AI1563" s="10">
        <f t="shared" si="250"/>
        <v>210</v>
      </c>
      <c r="AJ1563" s="10">
        <f>IF($X1563=1,LOOKUP(AI1563,'Udvaskning nøgletal'!$C$12:$C$62,'Udvaskning nøgletal'!$E$12:$E$62)+Markniveau!$Y1563*Markniveau!$S1563/100,IF($X1563=2,LOOKUP(AI1563,'Udvaskning nøgletal'!$C$12:$C$62,'Udvaskning nøgletal'!$F$12:$F$62)+Markniveau!$Y1563*Markniveau!$S1563/100,IF($X1563=3,LOOKUP(AI1563,'Udvaskning nøgletal'!$C$12:$C$62,'Udvaskning nøgletal'!Q1573:Q1623)+Markniveau!$Y1563*Markniveau!$S1563/100,"")))</f>
        <v>38.620385460262987</v>
      </c>
      <c r="AK1563" s="10">
        <f t="shared" si="249"/>
        <v>92.688925104631167</v>
      </c>
      <c r="AL1563" s="10">
        <f t="shared" si="251"/>
        <v>1.9310192730131492</v>
      </c>
      <c r="AM1563" s="10">
        <f t="shared" si="252"/>
        <v>4.6344462552315582</v>
      </c>
    </row>
    <row r="1564" spans="1:39" x14ac:dyDescent="0.25">
      <c r="A1564" s="15">
        <v>87840859</v>
      </c>
      <c r="B1564" s="15">
        <v>37.72</v>
      </c>
      <c r="C1564" s="15">
        <v>113986</v>
      </c>
      <c r="D1564" s="15">
        <v>17318</v>
      </c>
      <c r="E1564" s="15" t="s">
        <v>1262</v>
      </c>
      <c r="F1564" s="15">
        <v>2011</v>
      </c>
      <c r="G1564" s="15">
        <v>20110404</v>
      </c>
      <c r="H1564" s="15">
        <v>50318</v>
      </c>
      <c r="I1564" s="15">
        <v>5.03</v>
      </c>
      <c r="J1564" s="6" t="s">
        <v>38</v>
      </c>
      <c r="K1564" s="15">
        <v>260</v>
      </c>
      <c r="L1564" s="15" t="s">
        <v>45</v>
      </c>
      <c r="M1564" s="15" t="s">
        <v>5</v>
      </c>
      <c r="N1564" s="11" t="s">
        <v>1384</v>
      </c>
      <c r="O1564" s="11" t="s">
        <v>28</v>
      </c>
      <c r="P1564" s="11" t="s">
        <v>29</v>
      </c>
      <c r="Q1564" s="15">
        <v>25</v>
      </c>
      <c r="R1564" s="11" t="s">
        <v>7</v>
      </c>
      <c r="S1564" s="10">
        <v>165.16276562981</v>
      </c>
      <c r="T1564" s="15">
        <v>80</v>
      </c>
      <c r="U1564" s="15">
        <v>0</v>
      </c>
      <c r="V1564" s="15">
        <v>1</v>
      </c>
      <c r="W1564" s="15">
        <v>0</v>
      </c>
      <c r="X1564" s="15">
        <f>IF(O1564='Udvaskning nøgletal'!$D$65,1,IF(O1564='Udvaskning nøgletal'!$D$66,2,IF(O1564='Udvaskning nøgletal'!$D$67,3,IF(O1564='Udvaskning nøgletal'!$D$68,2,""))))</f>
        <v>1</v>
      </c>
      <c r="Y1564" s="15">
        <f>LOOKUP(K1564,'Udvaskning nøgletal'!$C$12:$C$60,'Udvaskning nøgletal'!$H$12:$H$60)</f>
        <v>0</v>
      </c>
      <c r="Z1564" s="10">
        <f>IF(X1564=1,LOOKUP(K1564,'Udvaskning nøgletal'!$C$12:$C$60,'Udvaskning nøgletal'!$E$12:$E$60)+Markniveau!Y1564*Markniveau!S1564/100,IF(X1564=2,LOOKUP(K1564,'Udvaskning nøgletal'!$C$12:$C$60,'Udvaskning nøgletal'!$F$12:$F$60)+Markniveau!Y1564*Markniveau!S1564/100,IF(X1564=3,LOOKUP(K1564,'Udvaskning nøgletal'!$C$12:$C$60,'Udvaskning nøgletal'!G1574:G1622)+Markniveau!Y1564*Markniveau!S1564/100,"")))</f>
        <v>33.723295792149436</v>
      </c>
      <c r="AA1564" s="10">
        <f t="shared" si="246"/>
        <v>169.62817783451166</v>
      </c>
      <c r="AB1564" s="10">
        <f t="shared" si="245"/>
        <v>25.292471844112079</v>
      </c>
      <c r="AC1564" s="10">
        <f t="shared" si="247"/>
        <v>127.22113337588377</v>
      </c>
      <c r="AD1564" s="10">
        <f>IF(AND(Q1564&gt;0,Q1564&lt;30,K1564&lt;8),Markniveau!Z1564*'Udvaskning nøgletal'!$I$12/100,IF(AND(Q1564&gt;0,Q1564&lt;30,K1564=216),Markniveau!Z1564*'Udvaskning nøgletal'!$I$34/100,Markniveau!Z1564))</f>
        <v>33.723295792149436</v>
      </c>
      <c r="AE1564" s="10">
        <f t="shared" si="253"/>
        <v>169.62817783451166</v>
      </c>
      <c r="AF1564" s="10">
        <f t="shared" si="248"/>
        <v>25.292471844112079</v>
      </c>
      <c r="AG1564" s="10">
        <f t="shared" si="254"/>
        <v>127.22113337588377</v>
      </c>
      <c r="AH1564" s="10" t="str">
        <f>IF(AND(Q1564&gt;0,Q1564&lt;30,K1564=216),'Udvaskning nøgletal'!$C$42,IF(AND(Q1564&gt;0,Q1564&lt;30,K1564&gt;7,K1564&lt;17),'Udvaskning nøgletal'!$C$61,IF(AND(Q1564&gt;0,Q1564&lt;30,K1564&lt;7),'Udvaskning nøgletal'!$C$62,"")))</f>
        <v/>
      </c>
      <c r="AI1564" s="10">
        <f t="shared" si="250"/>
        <v>260</v>
      </c>
      <c r="AJ1564" s="10">
        <f>IF($X1564=1,LOOKUP(AI1564,'Udvaskning nøgletal'!$C$12:$C$62,'Udvaskning nøgletal'!$E$12:$E$62)+Markniveau!$Y1564*Markniveau!$S1564/100,IF($X1564=2,LOOKUP(AI1564,'Udvaskning nøgletal'!$C$12:$C$62,'Udvaskning nøgletal'!$F$12:$F$62)+Markniveau!$Y1564*Markniveau!$S1564/100,IF($X1564=3,LOOKUP(AI1564,'Udvaskning nøgletal'!$C$12:$C$62,'Udvaskning nøgletal'!Q1574:Q1624)+Markniveau!$Y1564*Markniveau!$S1564/100,"")))</f>
        <v>33.723295792149436</v>
      </c>
      <c r="AK1564" s="10">
        <f t="shared" si="249"/>
        <v>169.62817783451166</v>
      </c>
      <c r="AL1564" s="10">
        <f t="shared" si="251"/>
        <v>25.292471844112079</v>
      </c>
      <c r="AM1564" s="10">
        <f t="shared" si="252"/>
        <v>127.22113337588377</v>
      </c>
    </row>
    <row r="1565" spans="1:39" x14ac:dyDescent="0.25">
      <c r="A1565" s="15">
        <v>87840859</v>
      </c>
      <c r="B1565" s="15">
        <v>37.72</v>
      </c>
      <c r="C1565" s="15">
        <v>113987</v>
      </c>
      <c r="D1565" s="15">
        <v>17318</v>
      </c>
      <c r="E1565" s="15" t="s">
        <v>1262</v>
      </c>
      <c r="F1565" s="15">
        <v>2011</v>
      </c>
      <c r="G1565" s="15">
        <v>20110404</v>
      </c>
      <c r="H1565" s="15">
        <v>44922</v>
      </c>
      <c r="I1565" s="15">
        <v>4.49</v>
      </c>
      <c r="J1565" s="6" t="s">
        <v>53</v>
      </c>
      <c r="K1565" s="15">
        <v>260</v>
      </c>
      <c r="L1565" s="15" t="s">
        <v>45</v>
      </c>
      <c r="M1565" s="15" t="s">
        <v>5</v>
      </c>
      <c r="N1565" s="11" t="s">
        <v>1384</v>
      </c>
      <c r="O1565" s="11" t="s">
        <v>28</v>
      </c>
      <c r="P1565" s="11" t="s">
        <v>29</v>
      </c>
      <c r="Q1565" s="15">
        <v>25</v>
      </c>
      <c r="R1565" s="11" t="s">
        <v>7</v>
      </c>
      <c r="S1565" s="10">
        <v>165.16276562981</v>
      </c>
      <c r="T1565" s="15">
        <v>80</v>
      </c>
      <c r="U1565" s="15">
        <v>0</v>
      </c>
      <c r="V1565" s="15">
        <v>1</v>
      </c>
      <c r="W1565" s="15">
        <v>0</v>
      </c>
      <c r="X1565" s="15">
        <f>IF(O1565='Udvaskning nøgletal'!$D$65,1,IF(O1565='Udvaskning nøgletal'!$D$66,2,IF(O1565='Udvaskning nøgletal'!$D$67,3,IF(O1565='Udvaskning nøgletal'!$D$68,2,""))))</f>
        <v>1</v>
      </c>
      <c r="Y1565" s="15">
        <f>LOOKUP(K1565,'Udvaskning nøgletal'!$C$12:$C$60,'Udvaskning nøgletal'!$H$12:$H$60)</f>
        <v>0</v>
      </c>
      <c r="Z1565" s="10">
        <f>IF(X1565=1,LOOKUP(K1565,'Udvaskning nøgletal'!$C$12:$C$60,'Udvaskning nøgletal'!$E$12:$E$60)+Markniveau!Y1565*Markniveau!S1565/100,IF(X1565=2,LOOKUP(K1565,'Udvaskning nøgletal'!$C$12:$C$60,'Udvaskning nøgletal'!$F$12:$F$60)+Markniveau!Y1565*Markniveau!S1565/100,IF(X1565=3,LOOKUP(K1565,'Udvaskning nøgletal'!$C$12:$C$60,'Udvaskning nøgletal'!G1575:G1623)+Markniveau!Y1565*Markniveau!S1565/100,"")))</f>
        <v>33.723295792149436</v>
      </c>
      <c r="AA1565" s="10">
        <f t="shared" si="246"/>
        <v>151.41759810675097</v>
      </c>
      <c r="AB1565" s="10">
        <f t="shared" si="245"/>
        <v>25.292471844112079</v>
      </c>
      <c r="AC1565" s="10">
        <f t="shared" si="247"/>
        <v>113.56319858006324</v>
      </c>
      <c r="AD1565" s="10">
        <f>IF(AND(Q1565&gt;0,Q1565&lt;30,K1565&lt;8),Markniveau!Z1565*'Udvaskning nøgletal'!$I$12/100,IF(AND(Q1565&gt;0,Q1565&lt;30,K1565=216),Markniveau!Z1565*'Udvaskning nøgletal'!$I$34/100,Markniveau!Z1565))</f>
        <v>33.723295792149436</v>
      </c>
      <c r="AE1565" s="10">
        <f t="shared" si="253"/>
        <v>151.41759810675097</v>
      </c>
      <c r="AF1565" s="10">
        <f t="shared" si="248"/>
        <v>25.292471844112079</v>
      </c>
      <c r="AG1565" s="10">
        <f t="shared" si="254"/>
        <v>113.56319858006324</v>
      </c>
      <c r="AH1565" s="10" t="str">
        <f>IF(AND(Q1565&gt;0,Q1565&lt;30,K1565=216),'Udvaskning nøgletal'!$C$42,IF(AND(Q1565&gt;0,Q1565&lt;30,K1565&gt;7,K1565&lt;17),'Udvaskning nøgletal'!$C$61,IF(AND(Q1565&gt;0,Q1565&lt;30,K1565&lt;7),'Udvaskning nøgletal'!$C$62,"")))</f>
        <v/>
      </c>
      <c r="AI1565" s="10">
        <f t="shared" si="250"/>
        <v>260</v>
      </c>
      <c r="AJ1565" s="10">
        <f>IF($X1565=1,LOOKUP(AI1565,'Udvaskning nøgletal'!$C$12:$C$62,'Udvaskning nøgletal'!$E$12:$E$62)+Markniveau!$Y1565*Markniveau!$S1565/100,IF($X1565=2,LOOKUP(AI1565,'Udvaskning nøgletal'!$C$12:$C$62,'Udvaskning nøgletal'!$F$12:$F$62)+Markniveau!$Y1565*Markniveau!$S1565/100,IF($X1565=3,LOOKUP(AI1565,'Udvaskning nøgletal'!$C$12:$C$62,'Udvaskning nøgletal'!Q1575:Q1625)+Markniveau!$Y1565*Markniveau!$S1565/100,"")))</f>
        <v>33.723295792149436</v>
      </c>
      <c r="AK1565" s="10">
        <f t="shared" si="249"/>
        <v>151.41759810675097</v>
      </c>
      <c r="AL1565" s="10">
        <f t="shared" si="251"/>
        <v>25.292471844112079</v>
      </c>
      <c r="AM1565" s="10">
        <f t="shared" si="252"/>
        <v>113.56319858006324</v>
      </c>
    </row>
    <row r="1566" spans="1:39" x14ac:dyDescent="0.25">
      <c r="A1566" s="15">
        <v>87840859</v>
      </c>
      <c r="B1566" s="15">
        <v>37.72</v>
      </c>
      <c r="C1566" s="15">
        <v>113988</v>
      </c>
      <c r="D1566" s="15">
        <v>17318</v>
      </c>
      <c r="E1566" s="15" t="s">
        <v>1263</v>
      </c>
      <c r="F1566" s="15">
        <v>2011</v>
      </c>
      <c r="G1566" s="15">
        <v>20110404</v>
      </c>
      <c r="H1566" s="15">
        <v>29892</v>
      </c>
      <c r="I1566" s="15">
        <v>2.99</v>
      </c>
      <c r="J1566" s="6" t="s">
        <v>164</v>
      </c>
      <c r="K1566" s="15">
        <v>260</v>
      </c>
      <c r="L1566" s="15" t="s">
        <v>45</v>
      </c>
      <c r="M1566" s="15" t="s">
        <v>5</v>
      </c>
      <c r="N1566" s="11" t="s">
        <v>1384</v>
      </c>
      <c r="O1566" s="11" t="s">
        <v>28</v>
      </c>
      <c r="P1566" s="11" t="s">
        <v>29</v>
      </c>
      <c r="Q1566" s="15">
        <v>1</v>
      </c>
      <c r="R1566" s="11" t="s">
        <v>11</v>
      </c>
      <c r="S1566" s="10">
        <v>165.16276562981</v>
      </c>
      <c r="T1566" s="15">
        <v>80</v>
      </c>
      <c r="U1566" s="15">
        <v>0</v>
      </c>
      <c r="V1566" s="15">
        <v>1</v>
      </c>
      <c r="W1566" s="15">
        <v>0</v>
      </c>
      <c r="X1566" s="15">
        <f>IF(O1566='Udvaskning nøgletal'!$D$65,1,IF(O1566='Udvaskning nøgletal'!$D$66,2,IF(O1566='Udvaskning nøgletal'!$D$67,3,IF(O1566='Udvaskning nøgletal'!$D$68,2,""))))</f>
        <v>1</v>
      </c>
      <c r="Y1566" s="15">
        <f>LOOKUP(K1566,'Udvaskning nøgletal'!$C$12:$C$60,'Udvaskning nøgletal'!$H$12:$H$60)</f>
        <v>0</v>
      </c>
      <c r="Z1566" s="10">
        <f>IF(X1566=1,LOOKUP(K1566,'Udvaskning nøgletal'!$C$12:$C$60,'Udvaskning nøgletal'!$E$12:$E$60)+Markniveau!Y1566*Markniveau!S1566/100,IF(X1566=2,LOOKUP(K1566,'Udvaskning nøgletal'!$C$12:$C$60,'Udvaskning nøgletal'!$F$12:$F$60)+Markniveau!Y1566*Markniveau!S1566/100,IF(X1566=3,LOOKUP(K1566,'Udvaskning nøgletal'!$C$12:$C$60,'Udvaskning nøgletal'!G1576:G1624)+Markniveau!Y1566*Markniveau!S1566/100,"")))</f>
        <v>33.723295792149436</v>
      </c>
      <c r="AA1566" s="10">
        <f t="shared" si="246"/>
        <v>100.83265441852681</v>
      </c>
      <c r="AB1566" s="10">
        <f t="shared" si="245"/>
        <v>33.386062834227943</v>
      </c>
      <c r="AC1566" s="10">
        <f t="shared" si="247"/>
        <v>99.824327874341549</v>
      </c>
      <c r="AD1566" s="10">
        <f>IF(AND(Q1566&gt;0,Q1566&lt;30,K1566&lt;8),Markniveau!Z1566*'Udvaskning nøgletal'!$I$12/100,IF(AND(Q1566&gt;0,Q1566&lt;30,K1566=216),Markniveau!Z1566*'Udvaskning nøgletal'!$I$34/100,Markniveau!Z1566))</f>
        <v>33.723295792149436</v>
      </c>
      <c r="AE1566" s="10">
        <f t="shared" si="253"/>
        <v>100.83265441852681</v>
      </c>
      <c r="AF1566" s="10">
        <f t="shared" si="248"/>
        <v>33.386062834227943</v>
      </c>
      <c r="AG1566" s="10">
        <f t="shared" si="254"/>
        <v>99.824327874341549</v>
      </c>
      <c r="AH1566" s="10" t="str">
        <f>IF(AND(Q1566&gt;0,Q1566&lt;30,K1566=216),'Udvaskning nøgletal'!$C$42,IF(AND(Q1566&gt;0,Q1566&lt;30,K1566&gt;7,K1566&lt;17),'Udvaskning nøgletal'!$C$61,IF(AND(Q1566&gt;0,Q1566&lt;30,K1566&lt;7),'Udvaskning nøgletal'!$C$62,"")))</f>
        <v/>
      </c>
      <c r="AI1566" s="10">
        <f t="shared" si="250"/>
        <v>260</v>
      </c>
      <c r="AJ1566" s="10">
        <f>IF($X1566=1,LOOKUP(AI1566,'Udvaskning nøgletal'!$C$12:$C$62,'Udvaskning nøgletal'!$E$12:$E$62)+Markniveau!$Y1566*Markniveau!$S1566/100,IF($X1566=2,LOOKUP(AI1566,'Udvaskning nøgletal'!$C$12:$C$62,'Udvaskning nøgletal'!$F$12:$F$62)+Markniveau!$Y1566*Markniveau!$S1566/100,IF($X1566=3,LOOKUP(AI1566,'Udvaskning nøgletal'!$C$12:$C$62,'Udvaskning nøgletal'!Q1576:Q1626)+Markniveau!$Y1566*Markniveau!$S1566/100,"")))</f>
        <v>33.723295792149436</v>
      </c>
      <c r="AK1566" s="10">
        <f t="shared" si="249"/>
        <v>100.83265441852681</v>
      </c>
      <c r="AL1566" s="10">
        <f t="shared" si="251"/>
        <v>33.386062834227943</v>
      </c>
      <c r="AM1566" s="10">
        <f t="shared" si="252"/>
        <v>99.824327874341549</v>
      </c>
    </row>
    <row r="1567" spans="1:39" x14ac:dyDescent="0.25">
      <c r="A1567" s="15">
        <v>87840859</v>
      </c>
      <c r="B1567" s="15">
        <v>37.72</v>
      </c>
      <c r="C1567" s="15">
        <v>113989</v>
      </c>
      <c r="D1567" s="15">
        <v>17318</v>
      </c>
      <c r="E1567" s="15" t="s">
        <v>25</v>
      </c>
      <c r="F1567" s="15">
        <v>2011</v>
      </c>
      <c r="G1567" s="15">
        <v>20110404</v>
      </c>
      <c r="H1567" s="15">
        <v>15256</v>
      </c>
      <c r="I1567" s="15">
        <v>1.53</v>
      </c>
      <c r="J1567" s="6" t="s">
        <v>849</v>
      </c>
      <c r="K1567" s="15">
        <v>216</v>
      </c>
      <c r="L1567" s="15" t="s">
        <v>116</v>
      </c>
      <c r="M1567" s="15" t="s">
        <v>5</v>
      </c>
      <c r="N1567" s="11" t="s">
        <v>1384</v>
      </c>
      <c r="O1567" s="11" t="s">
        <v>28</v>
      </c>
      <c r="P1567" s="11" t="s">
        <v>29</v>
      </c>
      <c r="Q1567" s="15">
        <v>1</v>
      </c>
      <c r="R1567" s="11" t="s">
        <v>11</v>
      </c>
      <c r="S1567" s="10">
        <v>165.16276562981</v>
      </c>
      <c r="T1567" s="15">
        <v>80</v>
      </c>
      <c r="U1567" s="15">
        <v>0</v>
      </c>
      <c r="V1567" s="15">
        <v>1</v>
      </c>
      <c r="W1567" s="15">
        <v>0</v>
      </c>
      <c r="X1567" s="15">
        <f>IF(O1567='Udvaskning nøgletal'!$D$65,1,IF(O1567='Udvaskning nøgletal'!$D$66,2,IF(O1567='Udvaskning nøgletal'!$D$67,3,IF(O1567='Udvaskning nøgletal'!$D$68,2,""))))</f>
        <v>1</v>
      </c>
      <c r="Y1567" s="15">
        <f>LOOKUP(K1567,'Udvaskning nøgletal'!$C$12:$C$60,'Udvaskning nøgletal'!$H$12:$H$60)</f>
        <v>0</v>
      </c>
      <c r="Z1567" s="10">
        <f>IF(X1567=1,LOOKUP(K1567,'Udvaskning nøgletal'!$C$12:$C$60,'Udvaskning nøgletal'!$E$12:$E$60)+Markniveau!Y1567*Markniveau!S1567/100,IF(X1567=2,LOOKUP(K1567,'Udvaskning nøgletal'!$C$12:$C$60,'Udvaskning nøgletal'!$F$12:$F$60)+Markniveau!Y1567*Markniveau!S1567/100,IF(X1567=3,LOOKUP(K1567,'Udvaskning nøgletal'!$C$12:$C$60,'Udvaskning nøgletal'!G1577:G1625)+Markniveau!Y1567*Markniveau!S1567/100,"")))</f>
        <v>125.85383557148924</v>
      </c>
      <c r="AA1567" s="10">
        <f t="shared" si="246"/>
        <v>192.55636842437855</v>
      </c>
      <c r="AB1567" s="10">
        <f t="shared" si="245"/>
        <v>124.59529721577435</v>
      </c>
      <c r="AC1567" s="10">
        <f t="shared" si="247"/>
        <v>190.63080474013475</v>
      </c>
      <c r="AD1567" s="10">
        <f>IF(AND(Q1567&gt;0,Q1567&lt;30,K1567&lt;8),Markniveau!Z1567*'Udvaskning nøgletal'!$I$12/100,IF(AND(Q1567&gt;0,Q1567&lt;30,K1567=216),Markniveau!Z1567*'Udvaskning nøgletal'!$I$34/100,Markniveau!Z1567))</f>
        <v>88.097684900042481</v>
      </c>
      <c r="AE1567" s="10">
        <f t="shared" si="253"/>
        <v>134.78945789706501</v>
      </c>
      <c r="AF1567" s="10">
        <f t="shared" si="248"/>
        <v>87.216708051042062</v>
      </c>
      <c r="AG1567" s="10">
        <f t="shared" si="254"/>
        <v>133.44156331809435</v>
      </c>
      <c r="AH1567" s="10">
        <f>IF(AND(Q1567&gt;0,Q1567&lt;30,K1567=216),'Udvaskning nøgletal'!$C$42,IF(AND(Q1567&gt;0,Q1567&lt;30,K1567&gt;7,K1567&lt;17),'Udvaskning nøgletal'!$C$61,IF(AND(Q1567&gt;0,Q1567&lt;30,K1567&lt;7),'Udvaskning nøgletal'!$C$62,"")))</f>
        <v>260</v>
      </c>
      <c r="AI1567" s="10">
        <f t="shared" si="250"/>
        <v>260</v>
      </c>
      <c r="AJ1567" s="10">
        <f>IF($X1567=1,LOOKUP(AI1567,'Udvaskning nøgletal'!$C$12:$C$62,'Udvaskning nøgletal'!$E$12:$E$62)+Markniveau!$Y1567*Markniveau!$S1567/100,IF($X1567=2,LOOKUP(AI1567,'Udvaskning nøgletal'!$C$12:$C$62,'Udvaskning nøgletal'!$F$12:$F$62)+Markniveau!$Y1567*Markniveau!$S1567/100,IF($X1567=3,LOOKUP(AI1567,'Udvaskning nøgletal'!$C$12:$C$62,'Udvaskning nøgletal'!Q1577:Q1627)+Markniveau!$Y1567*Markniveau!$S1567/100,"")))</f>
        <v>33.723295792149436</v>
      </c>
      <c r="AK1567" s="10">
        <f t="shared" si="249"/>
        <v>51.596642561988638</v>
      </c>
      <c r="AL1567" s="10">
        <f t="shared" si="251"/>
        <v>33.386062834227943</v>
      </c>
      <c r="AM1567" s="10">
        <f t="shared" si="252"/>
        <v>51.080676136368751</v>
      </c>
    </row>
    <row r="1568" spans="1:39" x14ac:dyDescent="0.25">
      <c r="A1568" s="15">
        <v>87840859</v>
      </c>
      <c r="B1568" s="15">
        <v>37.72</v>
      </c>
      <c r="C1568" s="15">
        <v>113990</v>
      </c>
      <c r="D1568" s="15">
        <v>17318</v>
      </c>
      <c r="E1568" s="15" t="s">
        <v>1264</v>
      </c>
      <c r="F1568" s="15">
        <v>2011</v>
      </c>
      <c r="G1568" s="15">
        <v>20110404</v>
      </c>
      <c r="H1568" s="15">
        <v>55995</v>
      </c>
      <c r="I1568" s="15">
        <v>5.6</v>
      </c>
      <c r="J1568" s="6" t="s">
        <v>835</v>
      </c>
      <c r="K1568" s="15">
        <v>216</v>
      </c>
      <c r="L1568" s="15" t="s">
        <v>116</v>
      </c>
      <c r="M1568" s="15" t="s">
        <v>5</v>
      </c>
      <c r="N1568" s="11" t="s">
        <v>1384</v>
      </c>
      <c r="O1568" s="11" t="s">
        <v>28</v>
      </c>
      <c r="P1568" s="11" t="s">
        <v>29</v>
      </c>
      <c r="Q1568" s="15">
        <v>0</v>
      </c>
      <c r="R1568" s="11" t="s">
        <v>1386</v>
      </c>
      <c r="S1568" s="10">
        <v>165.16276562981</v>
      </c>
      <c r="T1568" s="15">
        <v>80</v>
      </c>
      <c r="U1568" s="15">
        <v>0</v>
      </c>
      <c r="V1568" s="15">
        <v>1</v>
      </c>
      <c r="W1568" s="15">
        <v>0</v>
      </c>
      <c r="X1568" s="15">
        <f>IF(O1568='Udvaskning nøgletal'!$D$65,1,IF(O1568='Udvaskning nøgletal'!$D$66,2,IF(O1568='Udvaskning nøgletal'!$D$67,3,IF(O1568='Udvaskning nøgletal'!$D$68,2,""))))</f>
        <v>1</v>
      </c>
      <c r="Y1568" s="15">
        <f>LOOKUP(K1568,'Udvaskning nøgletal'!$C$12:$C$60,'Udvaskning nøgletal'!$H$12:$H$60)</f>
        <v>0</v>
      </c>
      <c r="Z1568" s="10">
        <f>IF(X1568=1,LOOKUP(K1568,'Udvaskning nøgletal'!$C$12:$C$60,'Udvaskning nøgletal'!$E$12:$E$60)+Markniveau!Y1568*Markniveau!S1568/100,IF(X1568=2,LOOKUP(K1568,'Udvaskning nøgletal'!$C$12:$C$60,'Udvaskning nøgletal'!$F$12:$F$60)+Markniveau!Y1568*Markniveau!S1568/100,IF(X1568=3,LOOKUP(K1568,'Udvaskning nøgletal'!$C$12:$C$60,'Udvaskning nøgletal'!G1578:G1626)+Markniveau!Y1568*Markniveau!S1568/100,"")))</f>
        <v>125.85383557148924</v>
      </c>
      <c r="AA1568" s="10">
        <f t="shared" si="246"/>
        <v>704.78147920033973</v>
      </c>
      <c r="AB1568" s="10" t="str">
        <f t="shared" si="245"/>
        <v/>
      </c>
      <c r="AC1568" s="10" t="str">
        <f t="shared" si="247"/>
        <v/>
      </c>
      <c r="AD1568" s="10">
        <f>IF(AND(Q1568&gt;0,Q1568&lt;30,K1568&lt;8),Markniveau!Z1568*'Udvaskning nøgletal'!$I$12/100,IF(AND(Q1568&gt;0,Q1568&lt;30,K1568=216),Markniveau!Z1568*'Udvaskning nøgletal'!$I$34/100,Markniveau!Z1568))</f>
        <v>125.85383557148924</v>
      </c>
      <c r="AE1568" s="10">
        <f t="shared" si="253"/>
        <v>704.78147920033973</v>
      </c>
      <c r="AF1568" s="10" t="str">
        <f t="shared" si="248"/>
        <v/>
      </c>
      <c r="AG1568" s="10" t="str">
        <f t="shared" si="254"/>
        <v/>
      </c>
      <c r="AH1568" s="10" t="str">
        <f>IF(AND(Q1568&gt;0,Q1568&lt;30,K1568=216),'Udvaskning nøgletal'!$C$42,IF(AND(Q1568&gt;0,Q1568&lt;30,K1568&gt;7,K1568&lt;17),'Udvaskning nøgletal'!$C$61,IF(AND(Q1568&gt;0,Q1568&lt;30,K1568&lt;7),'Udvaskning nøgletal'!$C$62,"")))</f>
        <v/>
      </c>
      <c r="AI1568" s="10">
        <f t="shared" si="250"/>
        <v>216</v>
      </c>
      <c r="AJ1568" s="10">
        <f>IF($X1568=1,LOOKUP(AI1568,'Udvaskning nøgletal'!$C$12:$C$62,'Udvaskning nøgletal'!$E$12:$E$62)+Markniveau!$Y1568*Markniveau!$S1568/100,IF($X1568=2,LOOKUP(AI1568,'Udvaskning nøgletal'!$C$12:$C$62,'Udvaskning nøgletal'!$F$12:$F$62)+Markniveau!$Y1568*Markniveau!$S1568/100,IF($X1568=3,LOOKUP(AI1568,'Udvaskning nøgletal'!$C$12:$C$62,'Udvaskning nøgletal'!Q1578:Q1628)+Markniveau!$Y1568*Markniveau!$S1568/100,"")))</f>
        <v>125.85383557148924</v>
      </c>
      <c r="AK1568" s="10">
        <f t="shared" si="249"/>
        <v>704.78147920033973</v>
      </c>
      <c r="AL1568" s="10" t="str">
        <f t="shared" si="251"/>
        <v/>
      </c>
      <c r="AM1568" s="10" t="str">
        <f t="shared" si="252"/>
        <v/>
      </c>
    </row>
    <row r="1569" spans="1:39" x14ac:dyDescent="0.25">
      <c r="A1569" s="15">
        <v>87840859</v>
      </c>
      <c r="B1569" s="15">
        <v>37.72</v>
      </c>
      <c r="C1569" s="15">
        <v>113991</v>
      </c>
      <c r="D1569" s="15">
        <v>17318</v>
      </c>
      <c r="E1569" s="15" t="s">
        <v>1265</v>
      </c>
      <c r="F1569" s="15">
        <v>2011</v>
      </c>
      <c r="G1569" s="15">
        <v>20110404</v>
      </c>
      <c r="H1569" s="15">
        <v>19528</v>
      </c>
      <c r="I1569" s="15">
        <v>1.95</v>
      </c>
      <c r="J1569" s="6" t="s">
        <v>58</v>
      </c>
      <c r="K1569" s="15">
        <v>260</v>
      </c>
      <c r="L1569" s="15" t="s">
        <v>45</v>
      </c>
      <c r="M1569" s="15" t="s">
        <v>5</v>
      </c>
      <c r="N1569" s="11" t="s">
        <v>1384</v>
      </c>
      <c r="O1569" s="11" t="s">
        <v>28</v>
      </c>
      <c r="P1569" s="11" t="s">
        <v>29</v>
      </c>
      <c r="Q1569" s="15">
        <v>1</v>
      </c>
      <c r="R1569" s="11" t="s">
        <v>11</v>
      </c>
      <c r="S1569" s="10">
        <v>165.16276562981</v>
      </c>
      <c r="T1569" s="15">
        <v>80</v>
      </c>
      <c r="U1569" s="15">
        <v>0</v>
      </c>
      <c r="V1569" s="15">
        <v>1</v>
      </c>
      <c r="W1569" s="15">
        <v>0</v>
      </c>
      <c r="X1569" s="15">
        <f>IF(O1569='Udvaskning nøgletal'!$D$65,1,IF(O1569='Udvaskning nøgletal'!$D$66,2,IF(O1569='Udvaskning nøgletal'!$D$67,3,IF(O1569='Udvaskning nøgletal'!$D$68,2,""))))</f>
        <v>1</v>
      </c>
      <c r="Y1569" s="15">
        <f>LOOKUP(K1569,'Udvaskning nøgletal'!$C$12:$C$60,'Udvaskning nøgletal'!$H$12:$H$60)</f>
        <v>0</v>
      </c>
      <c r="Z1569" s="10">
        <f>IF(X1569=1,LOOKUP(K1569,'Udvaskning nøgletal'!$C$12:$C$60,'Udvaskning nøgletal'!$E$12:$E$60)+Markniveau!Y1569*Markniveau!S1569/100,IF(X1569=2,LOOKUP(K1569,'Udvaskning nøgletal'!$C$12:$C$60,'Udvaskning nøgletal'!$F$12:$F$60)+Markniveau!Y1569*Markniveau!S1569/100,IF(X1569=3,LOOKUP(K1569,'Udvaskning nøgletal'!$C$12:$C$60,'Udvaskning nøgletal'!G1579:G1627)+Markniveau!Y1569*Markniveau!S1569/100,"")))</f>
        <v>33.723295792149436</v>
      </c>
      <c r="AA1569" s="10">
        <f t="shared" si="246"/>
        <v>65.760426794691398</v>
      </c>
      <c r="AB1569" s="10">
        <f t="shared" si="245"/>
        <v>33.386062834227943</v>
      </c>
      <c r="AC1569" s="10">
        <f t="shared" si="247"/>
        <v>65.10282252674449</v>
      </c>
      <c r="AD1569" s="10">
        <f>IF(AND(Q1569&gt;0,Q1569&lt;30,K1569&lt;8),Markniveau!Z1569*'Udvaskning nøgletal'!$I$12/100,IF(AND(Q1569&gt;0,Q1569&lt;30,K1569=216),Markniveau!Z1569*'Udvaskning nøgletal'!$I$34/100,Markniveau!Z1569))</f>
        <v>33.723295792149436</v>
      </c>
      <c r="AE1569" s="10">
        <f t="shared" si="253"/>
        <v>65.760426794691398</v>
      </c>
      <c r="AF1569" s="10">
        <f t="shared" si="248"/>
        <v>33.386062834227943</v>
      </c>
      <c r="AG1569" s="10">
        <f t="shared" si="254"/>
        <v>65.10282252674449</v>
      </c>
      <c r="AH1569" s="10" t="str">
        <f>IF(AND(Q1569&gt;0,Q1569&lt;30,K1569=216),'Udvaskning nøgletal'!$C$42,IF(AND(Q1569&gt;0,Q1569&lt;30,K1569&gt;7,K1569&lt;17),'Udvaskning nøgletal'!$C$61,IF(AND(Q1569&gt;0,Q1569&lt;30,K1569&lt;7),'Udvaskning nøgletal'!$C$62,"")))</f>
        <v/>
      </c>
      <c r="AI1569" s="10">
        <f t="shared" si="250"/>
        <v>260</v>
      </c>
      <c r="AJ1569" s="10">
        <f>IF($X1569=1,LOOKUP(AI1569,'Udvaskning nøgletal'!$C$12:$C$62,'Udvaskning nøgletal'!$E$12:$E$62)+Markniveau!$Y1569*Markniveau!$S1569/100,IF($X1569=2,LOOKUP(AI1569,'Udvaskning nøgletal'!$C$12:$C$62,'Udvaskning nøgletal'!$F$12:$F$62)+Markniveau!$Y1569*Markniveau!$S1569/100,IF($X1569=3,LOOKUP(AI1569,'Udvaskning nøgletal'!$C$12:$C$62,'Udvaskning nøgletal'!Q1579:Q1629)+Markniveau!$Y1569*Markniveau!$S1569/100,"")))</f>
        <v>33.723295792149436</v>
      </c>
      <c r="AK1569" s="10">
        <f t="shared" si="249"/>
        <v>65.760426794691398</v>
      </c>
      <c r="AL1569" s="10">
        <f t="shared" si="251"/>
        <v>33.386062834227943</v>
      </c>
      <c r="AM1569" s="10">
        <f t="shared" si="252"/>
        <v>65.10282252674449</v>
      </c>
    </row>
    <row r="1570" spans="1:39" x14ac:dyDescent="0.25">
      <c r="A1570" s="15">
        <v>87840859</v>
      </c>
      <c r="B1570" s="15">
        <v>37.72</v>
      </c>
      <c r="C1570" s="15">
        <v>113992</v>
      </c>
      <c r="D1570" s="15">
        <v>17318</v>
      </c>
      <c r="E1570" s="15" t="s">
        <v>1265</v>
      </c>
      <c r="F1570" s="15">
        <v>2011</v>
      </c>
      <c r="G1570" s="15">
        <v>20110404</v>
      </c>
      <c r="H1570" s="15">
        <v>13305</v>
      </c>
      <c r="I1570" s="15">
        <v>1.33</v>
      </c>
      <c r="J1570" s="6" t="s">
        <v>1397</v>
      </c>
      <c r="K1570" s="15">
        <v>1</v>
      </c>
      <c r="L1570" s="15" t="s">
        <v>32</v>
      </c>
      <c r="M1570" s="15" t="s">
        <v>5</v>
      </c>
      <c r="N1570" s="11" t="s">
        <v>1384</v>
      </c>
      <c r="O1570" s="11" t="s">
        <v>28</v>
      </c>
      <c r="P1570" s="11" t="s">
        <v>29</v>
      </c>
      <c r="Q1570" s="15">
        <v>1</v>
      </c>
      <c r="R1570" s="11" t="s">
        <v>11</v>
      </c>
      <c r="S1570" s="10">
        <v>165.16276562981</v>
      </c>
      <c r="T1570" s="15">
        <v>80</v>
      </c>
      <c r="U1570" s="15">
        <v>0</v>
      </c>
      <c r="V1570" s="15">
        <v>1</v>
      </c>
      <c r="W1570" s="15">
        <v>0</v>
      </c>
      <c r="X1570" s="15">
        <f>IF(O1570='Udvaskning nøgletal'!$D$65,1,IF(O1570='Udvaskning nøgletal'!$D$66,2,IF(O1570='Udvaskning nøgletal'!$D$67,3,IF(O1570='Udvaskning nøgletal'!$D$68,2,""))))</f>
        <v>1</v>
      </c>
      <c r="Y1570" s="15">
        <f>LOOKUP(K1570,'Udvaskning nøgletal'!$C$12:$C$60,'Udvaskning nøgletal'!$H$12:$H$60)</f>
        <v>5</v>
      </c>
      <c r="Z1570" s="10">
        <f>IF(X1570=1,LOOKUP(K1570,'Udvaskning nøgletal'!$C$12:$C$60,'Udvaskning nøgletal'!$E$12:$E$60)+Markniveau!Y1570*Markniveau!S1570/100,IF(X1570=2,LOOKUP(K1570,'Udvaskning nøgletal'!$C$12:$C$60,'Udvaskning nøgletal'!$F$12:$F$60)+Markniveau!Y1570*Markniveau!S1570/100,IF(X1570=3,LOOKUP(K1570,'Udvaskning nøgletal'!$C$12:$C$60,'Udvaskning nøgletal'!G1580:G1628)+Markniveau!Y1570*Markniveau!S1570/100,"")))</f>
        <v>72.918138281490499</v>
      </c>
      <c r="AA1570" s="10">
        <f t="shared" si="246"/>
        <v>96.981123914382366</v>
      </c>
      <c r="AB1570" s="10">
        <f t="shared" si="245"/>
        <v>72.188956898675599</v>
      </c>
      <c r="AC1570" s="10">
        <f t="shared" si="247"/>
        <v>96.011312675238557</v>
      </c>
      <c r="AD1570" s="10">
        <f>IF(AND(Q1570&gt;0,Q1570&lt;30,K1570&lt;8),Markniveau!Z1570*'Udvaskning nøgletal'!$I$12/100,IF(AND(Q1570&gt;0,Q1570&lt;30,K1570=216),Markniveau!Z1570*'Udvaskning nøgletal'!$I$34/100,Markniveau!Z1570))</f>
        <v>36.45906914074525</v>
      </c>
      <c r="AE1570" s="10">
        <f t="shared" si="253"/>
        <v>48.490561957191183</v>
      </c>
      <c r="AF1570" s="10">
        <f t="shared" si="248"/>
        <v>36.094478449337799</v>
      </c>
      <c r="AG1570" s="10">
        <f t="shared" si="254"/>
        <v>48.005656337619278</v>
      </c>
      <c r="AH1570" s="10">
        <f>IF(AND(Q1570&gt;0,Q1570&lt;30,K1570=216),'Udvaskning nøgletal'!$C$42,IF(AND(Q1570&gt;0,Q1570&lt;30,K1570&gt;7,K1570&lt;17),'Udvaskning nøgletal'!$C$61,IF(AND(Q1570&gt;0,Q1570&lt;30,K1570&lt;7),'Udvaskning nøgletal'!$C$62,"")))</f>
        <v>1002</v>
      </c>
      <c r="AI1570" s="10">
        <f t="shared" si="250"/>
        <v>1002</v>
      </c>
      <c r="AJ1570" s="10">
        <f>IF($X1570=1,LOOKUP(AI1570,'Udvaskning nøgletal'!$C$12:$C$62,'Udvaskning nøgletal'!$E$12:$E$62)+Markniveau!$Y1570*Markniveau!$S1570/100,IF($X1570=2,LOOKUP(AI1570,'Udvaskning nøgletal'!$C$12:$C$62,'Udvaskning nøgletal'!$F$12:$F$62)+Markniveau!$Y1570*Markniveau!$S1570/100,IF($X1570=3,LOOKUP(AI1570,'Udvaskning nøgletal'!$C$12:$C$62,'Udvaskning nøgletal'!Q1580:Q1630)+Markniveau!$Y1570*Markniveau!$S1570/100,"")))</f>
        <v>38.758138281490503</v>
      </c>
      <c r="AK1570" s="10">
        <f t="shared" si="249"/>
        <v>51.548323914382372</v>
      </c>
      <c r="AL1570" s="10">
        <f t="shared" si="251"/>
        <v>38.370556898675602</v>
      </c>
      <c r="AM1570" s="10">
        <f t="shared" si="252"/>
        <v>51.032840675238553</v>
      </c>
    </row>
    <row r="1571" spans="1:39" x14ac:dyDescent="0.25">
      <c r="A1571" s="15">
        <v>87840859</v>
      </c>
      <c r="B1571" s="15">
        <v>37.72</v>
      </c>
      <c r="C1571" s="15">
        <v>113993</v>
      </c>
      <c r="D1571" s="15">
        <v>17318</v>
      </c>
      <c r="E1571" s="15" t="s">
        <v>1265</v>
      </c>
      <c r="F1571" s="15">
        <v>2011</v>
      </c>
      <c r="G1571" s="15">
        <v>20110404</v>
      </c>
      <c r="H1571" s="15">
        <v>1809</v>
      </c>
      <c r="I1571" s="15">
        <v>0.18</v>
      </c>
      <c r="J1571" s="6" t="s">
        <v>1531</v>
      </c>
      <c r="K1571" s="15">
        <v>252</v>
      </c>
      <c r="L1571" s="15" t="s">
        <v>41</v>
      </c>
      <c r="M1571" s="15" t="s">
        <v>4</v>
      </c>
      <c r="N1571" s="11" t="s">
        <v>1384</v>
      </c>
      <c r="O1571" s="11" t="s">
        <v>28</v>
      </c>
      <c r="P1571" s="11" t="s">
        <v>29</v>
      </c>
      <c r="Q1571" s="15">
        <v>95</v>
      </c>
      <c r="R1571" s="11" t="s">
        <v>3</v>
      </c>
      <c r="S1571" s="10">
        <v>165.16276562981</v>
      </c>
      <c r="T1571" s="15">
        <v>80</v>
      </c>
      <c r="U1571" s="15">
        <v>0</v>
      </c>
      <c r="V1571" s="15">
        <v>1</v>
      </c>
      <c r="W1571" s="15">
        <v>0</v>
      </c>
      <c r="X1571" s="15">
        <f>IF(O1571='Udvaskning nøgletal'!$D$65,1,IF(O1571='Udvaskning nøgletal'!$D$66,2,IF(O1571='Udvaskning nøgletal'!$D$67,3,IF(O1571='Udvaskning nøgletal'!$D$68,2,""))))</f>
        <v>1</v>
      </c>
      <c r="Y1571" s="15">
        <f>LOOKUP(K1571,'Udvaskning nøgletal'!$C$12:$C$60,'Udvaskning nøgletal'!$H$12:$H$60)</f>
        <v>0</v>
      </c>
      <c r="Z1571" s="10">
        <f>IF(X1571=1,LOOKUP(K1571,'Udvaskning nøgletal'!$C$12:$C$60,'Udvaskning nøgletal'!$E$12:$E$60)+Markniveau!Y1571*Markniveau!S1571/100,IF(X1571=2,LOOKUP(K1571,'Udvaskning nøgletal'!$C$12:$C$60,'Udvaskning nøgletal'!$F$12:$F$60)+Markniveau!Y1571*Markniveau!S1571/100,IF(X1571=3,LOOKUP(K1571,'Udvaskning nøgletal'!$C$12:$C$60,'Udvaskning nøgletal'!G1581:G1629)+Markniveau!Y1571*Markniveau!S1571/100,"")))</f>
        <v>21.2</v>
      </c>
      <c r="AA1571" s="10">
        <f t="shared" si="246"/>
        <v>3.8159999999999998</v>
      </c>
      <c r="AB1571" s="10">
        <f t="shared" si="245"/>
        <v>1.06</v>
      </c>
      <c r="AC1571" s="10">
        <f t="shared" si="247"/>
        <v>0.1908</v>
      </c>
      <c r="AD1571" s="10">
        <f>IF(AND(Q1571&gt;0,Q1571&lt;30,K1571&lt;8),Markniveau!Z1571*'Udvaskning nøgletal'!$I$12/100,IF(AND(Q1571&gt;0,Q1571&lt;30,K1571=216),Markniveau!Z1571*'Udvaskning nøgletal'!$I$34/100,Markniveau!Z1571))</f>
        <v>21.2</v>
      </c>
      <c r="AE1571" s="10">
        <f t="shared" si="253"/>
        <v>3.8159999999999998</v>
      </c>
      <c r="AF1571" s="10">
        <f t="shared" si="248"/>
        <v>1.06</v>
      </c>
      <c r="AG1571" s="10">
        <f t="shared" si="254"/>
        <v>0.1908</v>
      </c>
      <c r="AH1571" s="10" t="str">
        <f>IF(AND(Q1571&gt;0,Q1571&lt;30,K1571=216),'Udvaskning nøgletal'!$C$42,IF(AND(Q1571&gt;0,Q1571&lt;30,K1571&gt;7,K1571&lt;17),'Udvaskning nøgletal'!$C$61,IF(AND(Q1571&gt;0,Q1571&lt;30,K1571&lt;7),'Udvaskning nøgletal'!$C$62,"")))</f>
        <v/>
      </c>
      <c r="AI1571" s="10">
        <f t="shared" si="250"/>
        <v>252</v>
      </c>
      <c r="AJ1571" s="10">
        <f>IF($X1571=1,LOOKUP(AI1571,'Udvaskning nøgletal'!$C$12:$C$62,'Udvaskning nøgletal'!$E$12:$E$62)+Markniveau!$Y1571*Markniveau!$S1571/100,IF($X1571=2,LOOKUP(AI1571,'Udvaskning nøgletal'!$C$12:$C$62,'Udvaskning nøgletal'!$F$12:$F$62)+Markniveau!$Y1571*Markniveau!$S1571/100,IF($X1571=3,LOOKUP(AI1571,'Udvaskning nøgletal'!$C$12:$C$62,'Udvaskning nøgletal'!Q1581:Q1631)+Markniveau!$Y1571*Markniveau!$S1571/100,"")))</f>
        <v>21.2</v>
      </c>
      <c r="AK1571" s="10">
        <f t="shared" si="249"/>
        <v>3.8159999999999998</v>
      </c>
      <c r="AL1571" s="10">
        <f t="shared" si="251"/>
        <v>1.06</v>
      </c>
      <c r="AM1571" s="10">
        <f t="shared" si="252"/>
        <v>0.1908</v>
      </c>
    </row>
    <row r="1572" spans="1:39" x14ac:dyDescent="0.25">
      <c r="A1572" s="15">
        <v>87840859</v>
      </c>
      <c r="B1572" s="15">
        <v>37.72</v>
      </c>
      <c r="C1572" s="15">
        <v>113994</v>
      </c>
      <c r="D1572" s="15">
        <v>17318</v>
      </c>
      <c r="E1572" s="15" t="s">
        <v>1266</v>
      </c>
      <c r="F1572" s="15">
        <v>2011</v>
      </c>
      <c r="G1572" s="15">
        <v>20110404</v>
      </c>
      <c r="H1572" s="15">
        <v>35899</v>
      </c>
      <c r="I1572" s="15">
        <v>3.59</v>
      </c>
      <c r="J1572" s="6" t="s">
        <v>37</v>
      </c>
      <c r="K1572" s="15">
        <v>1</v>
      </c>
      <c r="L1572" s="15" t="s">
        <v>32</v>
      </c>
      <c r="M1572" s="15" t="s">
        <v>5</v>
      </c>
      <c r="N1572" s="11" t="s">
        <v>1406</v>
      </c>
      <c r="O1572" s="11" t="s">
        <v>46</v>
      </c>
      <c r="P1572" s="11" t="s">
        <v>33</v>
      </c>
      <c r="Q1572" s="15">
        <v>0</v>
      </c>
      <c r="R1572" s="11" t="s">
        <v>1386</v>
      </c>
      <c r="S1572" s="10">
        <v>165.16276562981</v>
      </c>
      <c r="T1572" s="15">
        <v>80</v>
      </c>
      <c r="U1572" s="15">
        <v>0</v>
      </c>
      <c r="V1572" s="15">
        <v>1</v>
      </c>
      <c r="W1572" s="15">
        <v>0</v>
      </c>
      <c r="X1572" s="15">
        <f>IF(O1572='Udvaskning nøgletal'!$D$65,1,IF(O1572='Udvaskning nøgletal'!$D$66,2,IF(O1572='Udvaskning nøgletal'!$D$67,3,IF(O1572='Udvaskning nøgletal'!$D$68,2,""))))</f>
        <v>2</v>
      </c>
      <c r="Y1572" s="15">
        <f>LOOKUP(K1572,'Udvaskning nøgletal'!$C$12:$C$60,'Udvaskning nøgletal'!$H$12:$H$60)</f>
        <v>5</v>
      </c>
      <c r="Z1572" s="10">
        <f>IF(X1572=1,LOOKUP(K1572,'Udvaskning nøgletal'!$C$12:$C$60,'Udvaskning nøgletal'!$E$12:$E$60)+Markniveau!Y1572*Markniveau!S1572/100,IF(X1572=2,LOOKUP(K1572,'Udvaskning nøgletal'!$C$12:$C$60,'Udvaskning nøgletal'!$F$12:$F$60)+Markniveau!Y1572*Markniveau!S1572/100,IF(X1572=3,LOOKUP(K1572,'Udvaskning nøgletal'!$C$12:$C$60,'Udvaskning nøgletal'!G1582:G1630)+Markniveau!Y1572*Markniveau!S1572/100,"")))</f>
        <v>59.138138281490498</v>
      </c>
      <c r="AA1572" s="10">
        <f t="shared" si="246"/>
        <v>212.30591643055087</v>
      </c>
      <c r="AB1572" s="10" t="str">
        <f t="shared" si="245"/>
        <v/>
      </c>
      <c r="AC1572" s="10" t="str">
        <f t="shared" si="247"/>
        <v/>
      </c>
      <c r="AD1572" s="10">
        <f>IF(AND(Q1572&gt;0,Q1572&lt;30,K1572&lt;8),Markniveau!Z1572*'Udvaskning nøgletal'!$I$12/100,IF(AND(Q1572&gt;0,Q1572&lt;30,K1572=216),Markniveau!Z1572*'Udvaskning nøgletal'!$I$34/100,Markniveau!Z1572))</f>
        <v>59.138138281490498</v>
      </c>
      <c r="AE1572" s="10">
        <f t="shared" si="253"/>
        <v>212.30591643055087</v>
      </c>
      <c r="AF1572" s="10" t="str">
        <f t="shared" si="248"/>
        <v/>
      </c>
      <c r="AG1572" s="10" t="str">
        <f t="shared" si="254"/>
        <v/>
      </c>
      <c r="AH1572" s="10" t="str">
        <f>IF(AND(Q1572&gt;0,Q1572&lt;30,K1572=216),'Udvaskning nøgletal'!$C$42,IF(AND(Q1572&gt;0,Q1572&lt;30,K1572&gt;7,K1572&lt;17),'Udvaskning nøgletal'!$C$61,IF(AND(Q1572&gt;0,Q1572&lt;30,K1572&lt;7),'Udvaskning nøgletal'!$C$62,"")))</f>
        <v/>
      </c>
      <c r="AI1572" s="10">
        <f t="shared" si="250"/>
        <v>1</v>
      </c>
      <c r="AJ1572" s="10">
        <f>IF($X1572=1,LOOKUP(AI1572,'Udvaskning nøgletal'!$C$12:$C$62,'Udvaskning nøgletal'!$E$12:$E$62)+Markniveau!$Y1572*Markniveau!$S1572/100,IF($X1572=2,LOOKUP(AI1572,'Udvaskning nøgletal'!$C$12:$C$62,'Udvaskning nøgletal'!$F$12:$F$62)+Markniveau!$Y1572*Markniveau!$S1572/100,IF($X1572=3,LOOKUP(AI1572,'Udvaskning nøgletal'!$C$12:$C$62,'Udvaskning nøgletal'!Q1582:Q1632)+Markniveau!$Y1572*Markniveau!$S1572/100,"")))</f>
        <v>59.138138281490498</v>
      </c>
      <c r="AK1572" s="10">
        <f t="shared" si="249"/>
        <v>212.30591643055087</v>
      </c>
      <c r="AL1572" s="10" t="str">
        <f t="shared" si="251"/>
        <v/>
      </c>
      <c r="AM1572" s="10" t="str">
        <f t="shared" si="252"/>
        <v/>
      </c>
    </row>
    <row r="1573" spans="1:39" x14ac:dyDescent="0.25">
      <c r="A1573" s="15">
        <v>87840859</v>
      </c>
      <c r="B1573" s="15">
        <v>37.72</v>
      </c>
      <c r="C1573" s="15">
        <v>113995</v>
      </c>
      <c r="D1573" s="15">
        <v>17318</v>
      </c>
      <c r="E1573" s="15" t="s">
        <v>1266</v>
      </c>
      <c r="F1573" s="15">
        <v>2011</v>
      </c>
      <c r="G1573" s="15">
        <v>20110404</v>
      </c>
      <c r="H1573" s="15">
        <v>33844</v>
      </c>
      <c r="I1573" s="15">
        <v>3.38</v>
      </c>
      <c r="J1573" s="6" t="s">
        <v>61</v>
      </c>
      <c r="K1573" s="15">
        <v>210</v>
      </c>
      <c r="L1573" s="15" t="s">
        <v>262</v>
      </c>
      <c r="M1573" s="15" t="s">
        <v>5</v>
      </c>
      <c r="N1573" s="11" t="s">
        <v>1406</v>
      </c>
      <c r="O1573" s="11" t="s">
        <v>46</v>
      </c>
      <c r="P1573" s="11" t="s">
        <v>33</v>
      </c>
      <c r="Q1573" s="15">
        <v>0</v>
      </c>
      <c r="R1573" s="11" t="s">
        <v>1386</v>
      </c>
      <c r="S1573" s="10">
        <v>165.16276562981</v>
      </c>
      <c r="T1573" s="15">
        <v>80</v>
      </c>
      <c r="U1573" s="15">
        <v>0</v>
      </c>
      <c r="V1573" s="15">
        <v>1</v>
      </c>
      <c r="W1573" s="15">
        <v>0</v>
      </c>
      <c r="X1573" s="15">
        <f>IF(O1573='Udvaskning nøgletal'!$D$65,1,IF(O1573='Udvaskning nøgletal'!$D$66,2,IF(O1573='Udvaskning nøgletal'!$D$67,3,IF(O1573='Udvaskning nøgletal'!$D$68,2,""))))</f>
        <v>2</v>
      </c>
      <c r="Y1573" s="15">
        <f>LOOKUP(K1573,'Udvaskning nøgletal'!$C$12:$C$60,'Udvaskning nøgletal'!$H$12:$H$60)</f>
        <v>0</v>
      </c>
      <c r="Z1573" s="10">
        <f>IF(X1573=1,LOOKUP(K1573,'Udvaskning nøgletal'!$C$12:$C$60,'Udvaskning nøgletal'!$E$12:$E$60)+Markniveau!Y1573*Markniveau!S1573/100,IF(X1573=2,LOOKUP(K1573,'Udvaskning nøgletal'!$C$12:$C$60,'Udvaskning nøgletal'!$F$12:$F$60)+Markniveau!Y1573*Markniveau!S1573/100,IF(X1573=3,LOOKUP(K1573,'Udvaskning nøgletal'!$C$12:$C$60,'Udvaskning nøgletal'!G1583:G1631)+Markniveau!Y1573*Markniveau!S1573/100,"")))</f>
        <v>31.161328188970323</v>
      </c>
      <c r="AA1573" s="10">
        <f t="shared" si="246"/>
        <v>105.32528927871969</v>
      </c>
      <c r="AB1573" s="10" t="str">
        <f t="shared" si="245"/>
        <v/>
      </c>
      <c r="AC1573" s="10" t="str">
        <f t="shared" si="247"/>
        <v/>
      </c>
      <c r="AD1573" s="10">
        <f>IF(AND(Q1573&gt;0,Q1573&lt;30,K1573&lt;8),Markniveau!Z1573*'Udvaskning nøgletal'!$I$12/100,IF(AND(Q1573&gt;0,Q1573&lt;30,K1573=216),Markniveau!Z1573*'Udvaskning nøgletal'!$I$34/100,Markniveau!Z1573))</f>
        <v>31.161328188970323</v>
      </c>
      <c r="AE1573" s="10">
        <f t="shared" si="253"/>
        <v>105.32528927871969</v>
      </c>
      <c r="AF1573" s="10" t="str">
        <f t="shared" si="248"/>
        <v/>
      </c>
      <c r="AG1573" s="10" t="str">
        <f t="shared" si="254"/>
        <v/>
      </c>
      <c r="AH1573" s="10" t="str">
        <f>IF(AND(Q1573&gt;0,Q1573&lt;30,K1573=216),'Udvaskning nøgletal'!$C$42,IF(AND(Q1573&gt;0,Q1573&lt;30,K1573&gt;7,K1573&lt;17),'Udvaskning nøgletal'!$C$61,IF(AND(Q1573&gt;0,Q1573&lt;30,K1573&lt;7),'Udvaskning nøgletal'!$C$62,"")))</f>
        <v/>
      </c>
      <c r="AI1573" s="10">
        <f t="shared" si="250"/>
        <v>210</v>
      </c>
      <c r="AJ1573" s="10">
        <f>IF($X1573=1,LOOKUP(AI1573,'Udvaskning nøgletal'!$C$12:$C$62,'Udvaskning nøgletal'!$E$12:$E$62)+Markniveau!$Y1573*Markniveau!$S1573/100,IF($X1573=2,LOOKUP(AI1573,'Udvaskning nøgletal'!$C$12:$C$62,'Udvaskning nøgletal'!$F$12:$F$62)+Markniveau!$Y1573*Markniveau!$S1573/100,IF($X1573=3,LOOKUP(AI1573,'Udvaskning nøgletal'!$C$12:$C$62,'Udvaskning nøgletal'!Q1583:Q1633)+Markniveau!$Y1573*Markniveau!$S1573/100,"")))</f>
        <v>31.161328188970323</v>
      </c>
      <c r="AK1573" s="10">
        <f t="shared" si="249"/>
        <v>105.32528927871969</v>
      </c>
      <c r="AL1573" s="10" t="str">
        <f t="shared" si="251"/>
        <v/>
      </c>
      <c r="AM1573" s="10" t="str">
        <f t="shared" si="252"/>
        <v/>
      </c>
    </row>
    <row r="1574" spans="1:39" x14ac:dyDescent="0.25">
      <c r="A1574" s="15">
        <v>87840859</v>
      </c>
      <c r="B1574" s="15">
        <v>37.72</v>
      </c>
      <c r="C1574" s="15">
        <v>114339</v>
      </c>
      <c r="D1574" s="15">
        <v>17318</v>
      </c>
      <c r="E1574" s="15" t="s">
        <v>1267</v>
      </c>
      <c r="F1574" s="15">
        <v>2011</v>
      </c>
      <c r="G1574" s="15">
        <v>20110412</v>
      </c>
      <c r="H1574" s="15">
        <v>8522</v>
      </c>
      <c r="I1574" s="15">
        <v>0.85</v>
      </c>
      <c r="J1574" s="6" t="s">
        <v>55</v>
      </c>
      <c r="K1574" s="15">
        <v>902</v>
      </c>
      <c r="L1574" s="15" t="s">
        <v>160</v>
      </c>
      <c r="M1574" s="15" t="s">
        <v>81</v>
      </c>
      <c r="N1574" s="11" t="s">
        <v>1406</v>
      </c>
      <c r="O1574" s="11" t="s">
        <v>46</v>
      </c>
      <c r="P1574" s="11" t="s">
        <v>33</v>
      </c>
      <c r="Q1574" s="15">
        <v>0</v>
      </c>
      <c r="R1574" s="11" t="s">
        <v>1386</v>
      </c>
      <c r="S1574" s="10">
        <v>165.16276562981</v>
      </c>
      <c r="T1574" s="15">
        <v>80</v>
      </c>
      <c r="U1574" s="15">
        <v>0</v>
      </c>
      <c r="V1574" s="15">
        <v>1</v>
      </c>
      <c r="W1574" s="15">
        <v>0</v>
      </c>
      <c r="X1574" s="15">
        <f>IF(O1574='Udvaskning nøgletal'!$D$65,1,IF(O1574='Udvaskning nøgletal'!$D$66,2,IF(O1574='Udvaskning nøgletal'!$D$67,3,IF(O1574='Udvaskning nøgletal'!$D$68,2,""))))</f>
        <v>2</v>
      </c>
      <c r="Y1574" s="15">
        <f>LOOKUP(K1574,'Udvaskning nøgletal'!$C$12:$C$60,'Udvaskning nøgletal'!$H$12:$H$60)</f>
        <v>0</v>
      </c>
      <c r="Z1574" s="10">
        <f>IF(X1574=1,LOOKUP(K1574,'Udvaskning nøgletal'!$C$12:$C$60,'Udvaskning nøgletal'!$E$12:$E$60)+Markniveau!Y1574*Markniveau!S1574/100,IF(X1574=2,LOOKUP(K1574,'Udvaskning nøgletal'!$C$12:$C$60,'Udvaskning nøgletal'!$F$12:$F$60)+Markniveau!Y1574*Markniveau!S1574/100,IF(X1574=3,LOOKUP(K1574,'Udvaskning nøgletal'!$C$12:$C$60,'Udvaskning nøgletal'!G1584:G1632)+Markniveau!Y1574*Markniveau!S1574/100,"")))</f>
        <v>10</v>
      </c>
      <c r="AA1574" s="10">
        <f t="shared" si="246"/>
        <v>8.5</v>
      </c>
      <c r="AB1574" s="10" t="str">
        <f t="shared" si="245"/>
        <v/>
      </c>
      <c r="AC1574" s="10" t="str">
        <f t="shared" si="247"/>
        <v/>
      </c>
      <c r="AD1574" s="10">
        <f>IF(AND(Q1574&gt;0,Q1574&lt;30,K1574&lt;8),Markniveau!Z1574*'Udvaskning nøgletal'!$I$12/100,IF(AND(Q1574&gt;0,Q1574&lt;30,K1574=216),Markniveau!Z1574*'Udvaskning nøgletal'!$I$34/100,Markniveau!Z1574))</f>
        <v>10</v>
      </c>
      <c r="AE1574" s="10">
        <f t="shared" si="253"/>
        <v>8.5</v>
      </c>
      <c r="AF1574" s="10" t="str">
        <f t="shared" si="248"/>
        <v/>
      </c>
      <c r="AG1574" s="10" t="str">
        <f t="shared" si="254"/>
        <v/>
      </c>
      <c r="AH1574" s="10" t="str">
        <f>IF(AND(Q1574&gt;0,Q1574&lt;30,K1574=216),'Udvaskning nøgletal'!$C$42,IF(AND(Q1574&gt;0,Q1574&lt;30,K1574&gt;7,K1574&lt;17),'Udvaskning nøgletal'!$C$61,IF(AND(Q1574&gt;0,Q1574&lt;30,K1574&lt;7),'Udvaskning nøgletal'!$C$62,"")))</f>
        <v/>
      </c>
      <c r="AI1574" s="10">
        <f t="shared" si="250"/>
        <v>902</v>
      </c>
      <c r="AJ1574" s="10">
        <f>IF($X1574=1,LOOKUP(AI1574,'Udvaskning nøgletal'!$C$12:$C$62,'Udvaskning nøgletal'!$E$12:$E$62)+Markniveau!$Y1574*Markniveau!$S1574/100,IF($X1574=2,LOOKUP(AI1574,'Udvaskning nøgletal'!$C$12:$C$62,'Udvaskning nøgletal'!$F$12:$F$62)+Markniveau!$Y1574*Markniveau!$S1574/100,IF($X1574=3,LOOKUP(AI1574,'Udvaskning nøgletal'!$C$12:$C$62,'Udvaskning nøgletal'!Q1584:Q1634)+Markniveau!$Y1574*Markniveau!$S1574/100,"")))</f>
        <v>10</v>
      </c>
      <c r="AK1574" s="10">
        <f t="shared" si="249"/>
        <v>8.5</v>
      </c>
      <c r="AL1574" s="10" t="str">
        <f t="shared" si="251"/>
        <v/>
      </c>
      <c r="AM1574" s="10" t="str">
        <f t="shared" si="252"/>
        <v/>
      </c>
    </row>
    <row r="1575" spans="1:39" x14ac:dyDescent="0.25">
      <c r="A1575" s="15">
        <v>87840859</v>
      </c>
      <c r="B1575" s="15">
        <v>37.72</v>
      </c>
      <c r="C1575" s="15">
        <v>114509</v>
      </c>
      <c r="D1575" s="15">
        <v>17318</v>
      </c>
      <c r="E1575" s="15" t="s">
        <v>1268</v>
      </c>
      <c r="F1575" s="15">
        <v>2011</v>
      </c>
      <c r="G1575" s="15">
        <v>20110404</v>
      </c>
      <c r="H1575" s="15">
        <v>36973</v>
      </c>
      <c r="I1575" s="15">
        <v>3.7</v>
      </c>
      <c r="J1575" s="6" t="s">
        <v>97</v>
      </c>
      <c r="K1575" s="15">
        <v>1</v>
      </c>
      <c r="L1575" s="15" t="s">
        <v>32</v>
      </c>
      <c r="M1575" s="15" t="s">
        <v>5</v>
      </c>
      <c r="N1575" s="11" t="s">
        <v>1390</v>
      </c>
      <c r="O1575" s="11" t="s">
        <v>42</v>
      </c>
      <c r="P1575" s="11" t="s">
        <v>33</v>
      </c>
      <c r="Q1575" s="15">
        <v>0</v>
      </c>
      <c r="R1575" s="11" t="s">
        <v>1386</v>
      </c>
      <c r="S1575" s="10">
        <v>165.16276562981</v>
      </c>
      <c r="T1575" s="15">
        <v>80</v>
      </c>
      <c r="U1575" s="15">
        <v>0</v>
      </c>
      <c r="V1575" s="15">
        <v>1</v>
      </c>
      <c r="W1575" s="15">
        <v>0</v>
      </c>
      <c r="X1575" s="15">
        <f>IF(O1575='Udvaskning nøgletal'!$D$65,1,IF(O1575='Udvaskning nøgletal'!$D$66,2,IF(O1575='Udvaskning nøgletal'!$D$67,3,IF(O1575='Udvaskning nøgletal'!$D$68,2,""))))</f>
        <v>2</v>
      </c>
      <c r="Y1575" s="15">
        <f>LOOKUP(K1575,'Udvaskning nøgletal'!$C$12:$C$60,'Udvaskning nøgletal'!$H$12:$H$60)</f>
        <v>5</v>
      </c>
      <c r="Z1575" s="10">
        <f>IF(X1575=1,LOOKUP(K1575,'Udvaskning nøgletal'!$C$12:$C$60,'Udvaskning nøgletal'!$E$12:$E$60)+Markniveau!Y1575*Markniveau!S1575/100,IF(X1575=2,LOOKUP(K1575,'Udvaskning nøgletal'!$C$12:$C$60,'Udvaskning nøgletal'!$F$12:$F$60)+Markniveau!Y1575*Markniveau!S1575/100,IF(X1575=3,LOOKUP(K1575,'Udvaskning nøgletal'!$C$12:$C$60,'Udvaskning nøgletal'!G1585:G1633)+Markniveau!Y1575*Markniveau!S1575/100,"")))</f>
        <v>59.138138281490498</v>
      </c>
      <c r="AA1575" s="10">
        <f t="shared" si="246"/>
        <v>218.81111164151486</v>
      </c>
      <c r="AB1575" s="10" t="str">
        <f t="shared" si="245"/>
        <v/>
      </c>
      <c r="AC1575" s="10" t="str">
        <f t="shared" si="247"/>
        <v/>
      </c>
      <c r="AD1575" s="10">
        <f>IF(AND(Q1575&gt;0,Q1575&lt;30,K1575&lt;8),Markniveau!Z1575*'Udvaskning nøgletal'!$I$12/100,IF(AND(Q1575&gt;0,Q1575&lt;30,K1575=216),Markniveau!Z1575*'Udvaskning nøgletal'!$I$34/100,Markniveau!Z1575))</f>
        <v>59.138138281490498</v>
      </c>
      <c r="AE1575" s="10">
        <f t="shared" si="253"/>
        <v>218.81111164151486</v>
      </c>
      <c r="AF1575" s="10" t="str">
        <f t="shared" si="248"/>
        <v/>
      </c>
      <c r="AG1575" s="10" t="str">
        <f t="shared" si="254"/>
        <v/>
      </c>
      <c r="AH1575" s="10" t="str">
        <f>IF(AND(Q1575&gt;0,Q1575&lt;30,K1575=216),'Udvaskning nøgletal'!$C$42,IF(AND(Q1575&gt;0,Q1575&lt;30,K1575&gt;7,K1575&lt;17),'Udvaskning nøgletal'!$C$61,IF(AND(Q1575&gt;0,Q1575&lt;30,K1575&lt;7),'Udvaskning nøgletal'!$C$62,"")))</f>
        <v/>
      </c>
      <c r="AI1575" s="10">
        <f t="shared" si="250"/>
        <v>1</v>
      </c>
      <c r="AJ1575" s="10">
        <f>IF($X1575=1,LOOKUP(AI1575,'Udvaskning nøgletal'!$C$12:$C$62,'Udvaskning nøgletal'!$E$12:$E$62)+Markniveau!$Y1575*Markniveau!$S1575/100,IF($X1575=2,LOOKUP(AI1575,'Udvaskning nøgletal'!$C$12:$C$62,'Udvaskning nøgletal'!$F$12:$F$62)+Markniveau!$Y1575*Markniveau!$S1575/100,IF($X1575=3,LOOKUP(AI1575,'Udvaskning nøgletal'!$C$12:$C$62,'Udvaskning nøgletal'!Q1585:Q1635)+Markniveau!$Y1575*Markniveau!$S1575/100,"")))</f>
        <v>59.138138281490498</v>
      </c>
      <c r="AK1575" s="10">
        <f t="shared" si="249"/>
        <v>218.81111164151486</v>
      </c>
      <c r="AL1575" s="10" t="str">
        <f t="shared" si="251"/>
        <v/>
      </c>
      <c r="AM1575" s="10" t="str">
        <f t="shared" si="252"/>
        <v/>
      </c>
    </row>
    <row r="1576" spans="1:39" x14ac:dyDescent="0.25">
      <c r="A1576" s="15">
        <v>87840859</v>
      </c>
      <c r="B1576" s="15">
        <v>37.72</v>
      </c>
      <c r="C1576" s="15">
        <v>114510</v>
      </c>
      <c r="D1576" s="15">
        <v>17318</v>
      </c>
      <c r="E1576" s="15" t="s">
        <v>1268</v>
      </c>
      <c r="F1576" s="15">
        <v>2011</v>
      </c>
      <c r="G1576" s="15">
        <v>20110404</v>
      </c>
      <c r="H1576" s="15">
        <v>41091</v>
      </c>
      <c r="I1576" s="15">
        <v>4.1100000000000003</v>
      </c>
      <c r="J1576" s="6" t="s">
        <v>31</v>
      </c>
      <c r="K1576" s="15">
        <v>252</v>
      </c>
      <c r="L1576" s="15" t="s">
        <v>41</v>
      </c>
      <c r="M1576" s="15" t="s">
        <v>4</v>
      </c>
      <c r="N1576" s="11" t="s">
        <v>1390</v>
      </c>
      <c r="O1576" s="11" t="s">
        <v>42</v>
      </c>
      <c r="P1576" s="11" t="s">
        <v>33</v>
      </c>
      <c r="Q1576" s="15">
        <v>0</v>
      </c>
      <c r="R1576" s="11" t="s">
        <v>1386</v>
      </c>
      <c r="S1576" s="10">
        <v>165.16276562981</v>
      </c>
      <c r="T1576" s="15">
        <v>80</v>
      </c>
      <c r="U1576" s="15">
        <v>0</v>
      </c>
      <c r="V1576" s="15">
        <v>1</v>
      </c>
      <c r="W1576" s="15">
        <v>0</v>
      </c>
      <c r="X1576" s="15">
        <f>IF(O1576='Udvaskning nøgletal'!$D$65,1,IF(O1576='Udvaskning nøgletal'!$D$66,2,IF(O1576='Udvaskning nøgletal'!$D$67,3,IF(O1576='Udvaskning nøgletal'!$D$68,2,""))))</f>
        <v>2</v>
      </c>
      <c r="Y1576" s="15">
        <f>LOOKUP(K1576,'Udvaskning nøgletal'!$C$12:$C$60,'Udvaskning nøgletal'!$H$12:$H$60)</f>
        <v>0</v>
      </c>
      <c r="Z1576" s="10">
        <f>IF(X1576=1,LOOKUP(K1576,'Udvaskning nøgletal'!$C$12:$C$60,'Udvaskning nøgletal'!$E$12:$E$60)+Markniveau!Y1576*Markniveau!S1576/100,IF(X1576=2,LOOKUP(K1576,'Udvaskning nøgletal'!$C$12:$C$60,'Udvaskning nøgletal'!$F$12:$F$60)+Markniveau!Y1576*Markniveau!S1576/100,IF(X1576=3,LOOKUP(K1576,'Udvaskning nøgletal'!$C$12:$C$60,'Udvaskning nøgletal'!G1586:G1634)+Markniveau!Y1576*Markniveau!S1576/100,"")))</f>
        <v>21.2</v>
      </c>
      <c r="AA1576" s="10">
        <f t="shared" si="246"/>
        <v>87.132000000000005</v>
      </c>
      <c r="AB1576" s="10" t="str">
        <f t="shared" si="245"/>
        <v/>
      </c>
      <c r="AC1576" s="10" t="str">
        <f t="shared" si="247"/>
        <v/>
      </c>
      <c r="AD1576" s="10">
        <f>IF(AND(Q1576&gt;0,Q1576&lt;30,K1576&lt;8),Markniveau!Z1576*'Udvaskning nøgletal'!$I$12/100,IF(AND(Q1576&gt;0,Q1576&lt;30,K1576=216),Markniveau!Z1576*'Udvaskning nøgletal'!$I$34/100,Markniveau!Z1576))</f>
        <v>21.2</v>
      </c>
      <c r="AE1576" s="10">
        <f t="shared" si="253"/>
        <v>87.132000000000005</v>
      </c>
      <c r="AF1576" s="10" t="str">
        <f t="shared" si="248"/>
        <v/>
      </c>
      <c r="AG1576" s="10" t="str">
        <f t="shared" si="254"/>
        <v/>
      </c>
      <c r="AH1576" s="10" t="str">
        <f>IF(AND(Q1576&gt;0,Q1576&lt;30,K1576=216),'Udvaskning nøgletal'!$C$42,IF(AND(Q1576&gt;0,Q1576&lt;30,K1576&gt;7,K1576&lt;17),'Udvaskning nøgletal'!$C$61,IF(AND(Q1576&gt;0,Q1576&lt;30,K1576&lt;7),'Udvaskning nøgletal'!$C$62,"")))</f>
        <v/>
      </c>
      <c r="AI1576" s="10">
        <f t="shared" si="250"/>
        <v>252</v>
      </c>
      <c r="AJ1576" s="10">
        <f>IF($X1576=1,LOOKUP(AI1576,'Udvaskning nøgletal'!$C$12:$C$62,'Udvaskning nøgletal'!$E$12:$E$62)+Markniveau!$Y1576*Markniveau!$S1576/100,IF($X1576=2,LOOKUP(AI1576,'Udvaskning nøgletal'!$C$12:$C$62,'Udvaskning nøgletal'!$F$12:$F$62)+Markniveau!$Y1576*Markniveau!$S1576/100,IF($X1576=3,LOOKUP(AI1576,'Udvaskning nøgletal'!$C$12:$C$62,'Udvaskning nøgletal'!Q1586:Q1636)+Markniveau!$Y1576*Markniveau!$S1576/100,"")))</f>
        <v>21.2</v>
      </c>
      <c r="AK1576" s="10">
        <f t="shared" si="249"/>
        <v>87.132000000000005</v>
      </c>
      <c r="AL1576" s="10" t="str">
        <f t="shared" si="251"/>
        <v/>
      </c>
      <c r="AM1576" s="10" t="str">
        <f t="shared" si="252"/>
        <v/>
      </c>
    </row>
    <row r="1577" spans="1:39" x14ac:dyDescent="0.25">
      <c r="A1577" s="15">
        <v>87840859</v>
      </c>
      <c r="B1577" s="15">
        <v>37.72</v>
      </c>
      <c r="C1577" s="15">
        <v>114511</v>
      </c>
      <c r="D1577" s="15">
        <v>17318</v>
      </c>
      <c r="E1577" s="15" t="s">
        <v>1268</v>
      </c>
      <c r="F1577" s="15">
        <v>2011</v>
      </c>
      <c r="G1577" s="15">
        <v>20110404</v>
      </c>
      <c r="H1577" s="15">
        <v>11865</v>
      </c>
      <c r="I1577" s="15">
        <v>1.19</v>
      </c>
      <c r="J1577" s="6" t="s">
        <v>1410</v>
      </c>
      <c r="K1577" s="15">
        <v>252</v>
      </c>
      <c r="L1577" s="15" t="s">
        <v>41</v>
      </c>
      <c r="M1577" s="15" t="s">
        <v>4</v>
      </c>
      <c r="N1577" s="11" t="s">
        <v>1406</v>
      </c>
      <c r="O1577" s="11" t="s">
        <v>46</v>
      </c>
      <c r="P1577" s="11" t="s">
        <v>33</v>
      </c>
      <c r="Q1577" s="15">
        <v>25</v>
      </c>
      <c r="R1577" s="11" t="s">
        <v>7</v>
      </c>
      <c r="S1577" s="10">
        <v>165.16276562981</v>
      </c>
      <c r="T1577" s="15">
        <v>80</v>
      </c>
      <c r="U1577" s="15">
        <v>0</v>
      </c>
      <c r="V1577" s="15">
        <v>1</v>
      </c>
      <c r="W1577" s="15">
        <v>0</v>
      </c>
      <c r="X1577" s="15">
        <f>IF(O1577='Udvaskning nøgletal'!$D$65,1,IF(O1577='Udvaskning nøgletal'!$D$66,2,IF(O1577='Udvaskning nøgletal'!$D$67,3,IF(O1577='Udvaskning nøgletal'!$D$68,2,""))))</f>
        <v>2</v>
      </c>
      <c r="Y1577" s="15">
        <f>LOOKUP(K1577,'Udvaskning nøgletal'!$C$12:$C$60,'Udvaskning nøgletal'!$H$12:$H$60)</f>
        <v>0</v>
      </c>
      <c r="Z1577" s="10">
        <f>IF(X1577=1,LOOKUP(K1577,'Udvaskning nøgletal'!$C$12:$C$60,'Udvaskning nøgletal'!$E$12:$E$60)+Markniveau!Y1577*Markniveau!S1577/100,IF(X1577=2,LOOKUP(K1577,'Udvaskning nøgletal'!$C$12:$C$60,'Udvaskning nøgletal'!$F$12:$F$60)+Markniveau!Y1577*Markniveau!S1577/100,IF(X1577=3,LOOKUP(K1577,'Udvaskning nøgletal'!$C$12:$C$60,'Udvaskning nøgletal'!G1587:G1635)+Markniveau!Y1577*Markniveau!S1577/100,"")))</f>
        <v>21.2</v>
      </c>
      <c r="AA1577" s="10">
        <f t="shared" si="246"/>
        <v>25.227999999999998</v>
      </c>
      <c r="AB1577" s="10">
        <f t="shared" si="245"/>
        <v>15.9</v>
      </c>
      <c r="AC1577" s="10">
        <f t="shared" si="247"/>
        <v>18.920999999999999</v>
      </c>
      <c r="AD1577" s="10">
        <f>IF(AND(Q1577&gt;0,Q1577&lt;30,K1577&lt;8),Markniveau!Z1577*'Udvaskning nøgletal'!$I$12/100,IF(AND(Q1577&gt;0,Q1577&lt;30,K1577=216),Markniveau!Z1577*'Udvaskning nøgletal'!$I$34/100,Markniveau!Z1577))</f>
        <v>21.2</v>
      </c>
      <c r="AE1577" s="10">
        <f t="shared" si="253"/>
        <v>25.227999999999998</v>
      </c>
      <c r="AF1577" s="10">
        <f t="shared" si="248"/>
        <v>15.9</v>
      </c>
      <c r="AG1577" s="10">
        <f t="shared" si="254"/>
        <v>18.920999999999999</v>
      </c>
      <c r="AH1577" s="10" t="str">
        <f>IF(AND(Q1577&gt;0,Q1577&lt;30,K1577=216),'Udvaskning nøgletal'!$C$42,IF(AND(Q1577&gt;0,Q1577&lt;30,K1577&gt;7,K1577&lt;17),'Udvaskning nøgletal'!$C$61,IF(AND(Q1577&gt;0,Q1577&lt;30,K1577&lt;7),'Udvaskning nøgletal'!$C$62,"")))</f>
        <v/>
      </c>
      <c r="AI1577" s="10">
        <f t="shared" si="250"/>
        <v>252</v>
      </c>
      <c r="AJ1577" s="10">
        <f>IF($X1577=1,LOOKUP(AI1577,'Udvaskning nøgletal'!$C$12:$C$62,'Udvaskning nøgletal'!$E$12:$E$62)+Markniveau!$Y1577*Markniveau!$S1577/100,IF($X1577=2,LOOKUP(AI1577,'Udvaskning nøgletal'!$C$12:$C$62,'Udvaskning nøgletal'!$F$12:$F$62)+Markniveau!$Y1577*Markniveau!$S1577/100,IF($X1577=3,LOOKUP(AI1577,'Udvaskning nøgletal'!$C$12:$C$62,'Udvaskning nøgletal'!Q1587:Q1637)+Markniveau!$Y1577*Markniveau!$S1577/100,"")))</f>
        <v>21.2</v>
      </c>
      <c r="AK1577" s="10">
        <f t="shared" si="249"/>
        <v>25.227999999999998</v>
      </c>
      <c r="AL1577" s="10">
        <f t="shared" si="251"/>
        <v>15.9</v>
      </c>
      <c r="AM1577" s="10">
        <f t="shared" si="252"/>
        <v>18.920999999999999</v>
      </c>
    </row>
    <row r="1578" spans="1:39" x14ac:dyDescent="0.25">
      <c r="A1578" s="15">
        <v>87840859</v>
      </c>
      <c r="B1578" s="15">
        <v>37.72</v>
      </c>
      <c r="C1578" s="15">
        <v>114512</v>
      </c>
      <c r="D1578" s="15">
        <v>17318</v>
      </c>
      <c r="E1578" s="15" t="s">
        <v>1268</v>
      </c>
      <c r="F1578" s="15">
        <v>2011</v>
      </c>
      <c r="G1578" s="15">
        <v>20110404</v>
      </c>
      <c r="H1578" s="15">
        <v>4583</v>
      </c>
      <c r="I1578" s="15">
        <v>0.46</v>
      </c>
      <c r="J1578" s="6" t="s">
        <v>1436</v>
      </c>
      <c r="K1578" s="15">
        <v>902</v>
      </c>
      <c r="L1578" s="15" t="s">
        <v>160</v>
      </c>
      <c r="M1578" s="15" t="s">
        <v>81</v>
      </c>
      <c r="N1578" s="11" t="s">
        <v>1390</v>
      </c>
      <c r="O1578" s="11" t="s">
        <v>42</v>
      </c>
      <c r="P1578" s="11" t="s">
        <v>33</v>
      </c>
      <c r="Q1578" s="15">
        <v>25</v>
      </c>
      <c r="R1578" s="11" t="s">
        <v>7</v>
      </c>
      <c r="S1578" s="10">
        <v>165.16276562981</v>
      </c>
      <c r="T1578" s="15">
        <v>80</v>
      </c>
      <c r="U1578" s="15">
        <v>0</v>
      </c>
      <c r="V1578" s="15">
        <v>1</v>
      </c>
      <c r="W1578" s="15">
        <v>0</v>
      </c>
      <c r="X1578" s="15">
        <f>IF(O1578='Udvaskning nøgletal'!$D$65,1,IF(O1578='Udvaskning nøgletal'!$D$66,2,IF(O1578='Udvaskning nøgletal'!$D$67,3,IF(O1578='Udvaskning nøgletal'!$D$68,2,""))))</f>
        <v>2</v>
      </c>
      <c r="Y1578" s="15">
        <f>LOOKUP(K1578,'Udvaskning nøgletal'!$C$12:$C$60,'Udvaskning nøgletal'!$H$12:$H$60)</f>
        <v>0</v>
      </c>
      <c r="Z1578" s="10">
        <f>IF(X1578=1,LOOKUP(K1578,'Udvaskning nøgletal'!$C$12:$C$60,'Udvaskning nøgletal'!$E$12:$E$60)+Markniveau!Y1578*Markniveau!S1578/100,IF(X1578=2,LOOKUP(K1578,'Udvaskning nøgletal'!$C$12:$C$60,'Udvaskning nøgletal'!$F$12:$F$60)+Markniveau!Y1578*Markniveau!S1578/100,IF(X1578=3,LOOKUP(K1578,'Udvaskning nøgletal'!$C$12:$C$60,'Udvaskning nøgletal'!G1588:G1636)+Markniveau!Y1578*Markniveau!S1578/100,"")))</f>
        <v>10</v>
      </c>
      <c r="AA1578" s="10">
        <f t="shared" si="246"/>
        <v>4.6000000000000005</v>
      </c>
      <c r="AB1578" s="10">
        <f t="shared" si="245"/>
        <v>7.5</v>
      </c>
      <c r="AC1578" s="10">
        <f t="shared" si="247"/>
        <v>3.45</v>
      </c>
      <c r="AD1578" s="10">
        <f>IF(AND(Q1578&gt;0,Q1578&lt;30,K1578&lt;8),Markniveau!Z1578*'Udvaskning nøgletal'!$I$12/100,IF(AND(Q1578&gt;0,Q1578&lt;30,K1578=216),Markniveau!Z1578*'Udvaskning nøgletal'!$I$34/100,Markniveau!Z1578))</f>
        <v>10</v>
      </c>
      <c r="AE1578" s="10">
        <f t="shared" si="253"/>
        <v>4.6000000000000005</v>
      </c>
      <c r="AF1578" s="10">
        <f t="shared" si="248"/>
        <v>7.5</v>
      </c>
      <c r="AG1578" s="10">
        <f t="shared" si="254"/>
        <v>3.45</v>
      </c>
      <c r="AH1578" s="10" t="str">
        <f>IF(AND(Q1578&gt;0,Q1578&lt;30,K1578=216),'Udvaskning nøgletal'!$C$42,IF(AND(Q1578&gt;0,Q1578&lt;30,K1578&gt;7,K1578&lt;17),'Udvaskning nøgletal'!$C$61,IF(AND(Q1578&gt;0,Q1578&lt;30,K1578&lt;7),'Udvaskning nøgletal'!$C$62,"")))</f>
        <v/>
      </c>
      <c r="AI1578" s="10">
        <f t="shared" si="250"/>
        <v>902</v>
      </c>
      <c r="AJ1578" s="10">
        <f>IF($X1578=1,LOOKUP(AI1578,'Udvaskning nøgletal'!$C$12:$C$62,'Udvaskning nøgletal'!$E$12:$E$62)+Markniveau!$Y1578*Markniveau!$S1578/100,IF($X1578=2,LOOKUP(AI1578,'Udvaskning nøgletal'!$C$12:$C$62,'Udvaskning nøgletal'!$F$12:$F$62)+Markniveau!$Y1578*Markniveau!$S1578/100,IF($X1578=3,LOOKUP(AI1578,'Udvaskning nøgletal'!$C$12:$C$62,'Udvaskning nøgletal'!Q1588:Q1638)+Markniveau!$Y1578*Markniveau!$S1578/100,"")))</f>
        <v>10</v>
      </c>
      <c r="AK1578" s="10">
        <f t="shared" si="249"/>
        <v>4.6000000000000005</v>
      </c>
      <c r="AL1578" s="10">
        <f t="shared" si="251"/>
        <v>7.5</v>
      </c>
      <c r="AM1578" s="10">
        <f t="shared" si="252"/>
        <v>3.45</v>
      </c>
    </row>
    <row r="1579" spans="1:39" x14ac:dyDescent="0.25">
      <c r="A1579" s="15">
        <v>87840859</v>
      </c>
      <c r="B1579" s="15">
        <v>37.72</v>
      </c>
      <c r="C1579" s="15">
        <v>114513</v>
      </c>
      <c r="D1579" s="15">
        <v>17318</v>
      </c>
      <c r="E1579" s="15" t="s">
        <v>1269</v>
      </c>
      <c r="F1579" s="15">
        <v>2011</v>
      </c>
      <c r="G1579" s="15">
        <v>20110404</v>
      </c>
      <c r="H1579" s="15">
        <v>53899</v>
      </c>
      <c r="I1579" s="15">
        <v>5.39</v>
      </c>
      <c r="J1579" s="6" t="s">
        <v>558</v>
      </c>
      <c r="K1579" s="15">
        <v>252</v>
      </c>
      <c r="L1579" s="15" t="s">
        <v>41</v>
      </c>
      <c r="M1579" s="15" t="s">
        <v>4</v>
      </c>
      <c r="N1579" s="11" t="s">
        <v>1406</v>
      </c>
      <c r="O1579" s="11" t="s">
        <v>46</v>
      </c>
      <c r="P1579" s="11" t="s">
        <v>33</v>
      </c>
      <c r="Q1579" s="15">
        <v>1</v>
      </c>
      <c r="R1579" s="11" t="s">
        <v>11</v>
      </c>
      <c r="S1579" s="10">
        <v>165.16276562981</v>
      </c>
      <c r="T1579" s="15">
        <v>80</v>
      </c>
      <c r="U1579" s="15">
        <v>0</v>
      </c>
      <c r="V1579" s="15">
        <v>1</v>
      </c>
      <c r="W1579" s="15">
        <v>0</v>
      </c>
      <c r="X1579" s="15">
        <f>IF(O1579='Udvaskning nøgletal'!$D$65,1,IF(O1579='Udvaskning nøgletal'!$D$66,2,IF(O1579='Udvaskning nøgletal'!$D$67,3,IF(O1579='Udvaskning nøgletal'!$D$68,2,""))))</f>
        <v>2</v>
      </c>
      <c r="Y1579" s="15">
        <f>LOOKUP(K1579,'Udvaskning nøgletal'!$C$12:$C$60,'Udvaskning nøgletal'!$H$12:$H$60)</f>
        <v>0</v>
      </c>
      <c r="Z1579" s="10">
        <f>IF(X1579=1,LOOKUP(K1579,'Udvaskning nøgletal'!$C$12:$C$60,'Udvaskning nøgletal'!$E$12:$E$60)+Markniveau!Y1579*Markniveau!S1579/100,IF(X1579=2,LOOKUP(K1579,'Udvaskning nøgletal'!$C$12:$C$60,'Udvaskning nøgletal'!$F$12:$F$60)+Markniveau!Y1579*Markniveau!S1579/100,IF(X1579=3,LOOKUP(K1579,'Udvaskning nøgletal'!$C$12:$C$60,'Udvaskning nøgletal'!G1589:G1637)+Markniveau!Y1579*Markniveau!S1579/100,"")))</f>
        <v>21.2</v>
      </c>
      <c r="AA1579" s="10">
        <f t="shared" si="246"/>
        <v>114.26799999999999</v>
      </c>
      <c r="AB1579" s="10">
        <f t="shared" si="245"/>
        <v>20.987999999999996</v>
      </c>
      <c r="AC1579" s="10">
        <f t="shared" si="247"/>
        <v>113.12531999999997</v>
      </c>
      <c r="AD1579" s="10">
        <f>IF(AND(Q1579&gt;0,Q1579&lt;30,K1579&lt;8),Markniveau!Z1579*'Udvaskning nøgletal'!$I$12/100,IF(AND(Q1579&gt;0,Q1579&lt;30,K1579=216),Markniveau!Z1579*'Udvaskning nøgletal'!$I$34/100,Markniveau!Z1579))</f>
        <v>21.2</v>
      </c>
      <c r="AE1579" s="10">
        <f t="shared" si="253"/>
        <v>114.26799999999999</v>
      </c>
      <c r="AF1579" s="10">
        <f t="shared" si="248"/>
        <v>20.987999999999996</v>
      </c>
      <c r="AG1579" s="10">
        <f t="shared" si="254"/>
        <v>113.12531999999997</v>
      </c>
      <c r="AH1579" s="10" t="str">
        <f>IF(AND(Q1579&gt;0,Q1579&lt;30,K1579=216),'Udvaskning nøgletal'!$C$42,IF(AND(Q1579&gt;0,Q1579&lt;30,K1579&gt;7,K1579&lt;17),'Udvaskning nøgletal'!$C$61,IF(AND(Q1579&gt;0,Q1579&lt;30,K1579&lt;7),'Udvaskning nøgletal'!$C$62,"")))</f>
        <v/>
      </c>
      <c r="AI1579" s="10">
        <f t="shared" si="250"/>
        <v>252</v>
      </c>
      <c r="AJ1579" s="10">
        <f>IF($X1579=1,LOOKUP(AI1579,'Udvaskning nøgletal'!$C$12:$C$62,'Udvaskning nøgletal'!$E$12:$E$62)+Markniveau!$Y1579*Markniveau!$S1579/100,IF($X1579=2,LOOKUP(AI1579,'Udvaskning nøgletal'!$C$12:$C$62,'Udvaskning nøgletal'!$F$12:$F$62)+Markniveau!$Y1579*Markniveau!$S1579/100,IF($X1579=3,LOOKUP(AI1579,'Udvaskning nøgletal'!$C$12:$C$62,'Udvaskning nøgletal'!Q1589:Q1639)+Markniveau!$Y1579*Markniveau!$S1579/100,"")))</f>
        <v>21.2</v>
      </c>
      <c r="AK1579" s="10">
        <f t="shared" si="249"/>
        <v>114.26799999999999</v>
      </c>
      <c r="AL1579" s="10">
        <f t="shared" si="251"/>
        <v>20.987999999999996</v>
      </c>
      <c r="AM1579" s="10">
        <f t="shared" si="252"/>
        <v>113.12531999999997</v>
      </c>
    </row>
    <row r="1580" spans="1:39" x14ac:dyDescent="0.25">
      <c r="A1580" s="15">
        <v>87840859</v>
      </c>
      <c r="B1580" s="15">
        <v>37.72</v>
      </c>
      <c r="C1580" s="15">
        <v>115603</v>
      </c>
      <c r="D1580" s="15">
        <v>17318</v>
      </c>
      <c r="E1580" s="15" t="s">
        <v>1270</v>
      </c>
      <c r="F1580" s="15">
        <v>2011</v>
      </c>
      <c r="G1580" s="15">
        <v>20110404</v>
      </c>
      <c r="H1580" s="15">
        <v>10264</v>
      </c>
      <c r="I1580" s="15">
        <v>1.03</v>
      </c>
      <c r="J1580" s="6" t="s">
        <v>458</v>
      </c>
      <c r="K1580" s="15">
        <v>252</v>
      </c>
      <c r="L1580" s="15" t="s">
        <v>41</v>
      </c>
      <c r="M1580" s="15" t="s">
        <v>4</v>
      </c>
      <c r="N1580" s="11" t="s">
        <v>1384</v>
      </c>
      <c r="O1580" s="11" t="s">
        <v>28</v>
      </c>
      <c r="P1580" s="11" t="s">
        <v>33</v>
      </c>
      <c r="Q1580" s="15">
        <v>1</v>
      </c>
      <c r="R1580" s="11" t="s">
        <v>11</v>
      </c>
      <c r="S1580" s="10">
        <v>165.16276562981</v>
      </c>
      <c r="T1580" s="15">
        <v>80</v>
      </c>
      <c r="U1580" s="15">
        <v>0</v>
      </c>
      <c r="V1580" s="15">
        <v>1</v>
      </c>
      <c r="W1580" s="15">
        <v>0</v>
      </c>
      <c r="X1580" s="15">
        <f>IF(O1580='Udvaskning nøgletal'!$D$65,1,IF(O1580='Udvaskning nøgletal'!$D$66,2,IF(O1580='Udvaskning nøgletal'!$D$67,3,IF(O1580='Udvaskning nøgletal'!$D$68,2,""))))</f>
        <v>1</v>
      </c>
      <c r="Y1580" s="15">
        <f>LOOKUP(K1580,'Udvaskning nøgletal'!$C$12:$C$60,'Udvaskning nøgletal'!$H$12:$H$60)</f>
        <v>0</v>
      </c>
      <c r="Z1580" s="10">
        <f>IF(X1580=1,LOOKUP(K1580,'Udvaskning nøgletal'!$C$12:$C$60,'Udvaskning nøgletal'!$E$12:$E$60)+Markniveau!Y1580*Markniveau!S1580/100,IF(X1580=2,LOOKUP(K1580,'Udvaskning nøgletal'!$C$12:$C$60,'Udvaskning nøgletal'!$F$12:$F$60)+Markniveau!Y1580*Markniveau!S1580/100,IF(X1580=3,LOOKUP(K1580,'Udvaskning nøgletal'!$C$12:$C$60,'Udvaskning nøgletal'!G1590:G1638)+Markniveau!Y1580*Markniveau!S1580/100,"")))</f>
        <v>21.2</v>
      </c>
      <c r="AA1580" s="10">
        <f t="shared" si="246"/>
        <v>21.835999999999999</v>
      </c>
      <c r="AB1580" s="10">
        <f t="shared" si="245"/>
        <v>20.987999999999996</v>
      </c>
      <c r="AC1580" s="10">
        <f t="shared" si="247"/>
        <v>21.617639999999998</v>
      </c>
      <c r="AD1580" s="10">
        <f>IF(AND(Q1580&gt;0,Q1580&lt;30,K1580&lt;8),Markniveau!Z1580*'Udvaskning nøgletal'!$I$12/100,IF(AND(Q1580&gt;0,Q1580&lt;30,K1580=216),Markniveau!Z1580*'Udvaskning nøgletal'!$I$34/100,Markniveau!Z1580))</f>
        <v>21.2</v>
      </c>
      <c r="AE1580" s="10">
        <f t="shared" si="253"/>
        <v>21.835999999999999</v>
      </c>
      <c r="AF1580" s="10">
        <f t="shared" si="248"/>
        <v>20.987999999999996</v>
      </c>
      <c r="AG1580" s="10">
        <f t="shared" si="254"/>
        <v>21.617639999999998</v>
      </c>
      <c r="AH1580" s="10" t="str">
        <f>IF(AND(Q1580&gt;0,Q1580&lt;30,K1580=216),'Udvaskning nøgletal'!$C$42,IF(AND(Q1580&gt;0,Q1580&lt;30,K1580&gt;7,K1580&lt;17),'Udvaskning nøgletal'!$C$61,IF(AND(Q1580&gt;0,Q1580&lt;30,K1580&lt;7),'Udvaskning nøgletal'!$C$62,"")))</f>
        <v/>
      </c>
      <c r="AI1580" s="10">
        <f t="shared" si="250"/>
        <v>252</v>
      </c>
      <c r="AJ1580" s="10">
        <f>IF($X1580=1,LOOKUP(AI1580,'Udvaskning nøgletal'!$C$12:$C$62,'Udvaskning nøgletal'!$E$12:$E$62)+Markniveau!$Y1580*Markniveau!$S1580/100,IF($X1580=2,LOOKUP(AI1580,'Udvaskning nøgletal'!$C$12:$C$62,'Udvaskning nøgletal'!$F$12:$F$62)+Markniveau!$Y1580*Markniveau!$S1580/100,IF($X1580=3,LOOKUP(AI1580,'Udvaskning nøgletal'!$C$12:$C$62,'Udvaskning nøgletal'!Q1590:Q1640)+Markniveau!$Y1580*Markniveau!$S1580/100,"")))</f>
        <v>21.2</v>
      </c>
      <c r="AK1580" s="10">
        <f t="shared" si="249"/>
        <v>21.835999999999999</v>
      </c>
      <c r="AL1580" s="10">
        <f t="shared" si="251"/>
        <v>20.987999999999996</v>
      </c>
      <c r="AM1580" s="10">
        <f t="shared" si="252"/>
        <v>21.617639999999998</v>
      </c>
    </row>
    <row r="1581" spans="1:39" x14ac:dyDescent="0.25">
      <c r="A1581" s="15">
        <v>87840859</v>
      </c>
      <c r="B1581" s="15">
        <v>37.72</v>
      </c>
      <c r="C1581" s="15">
        <v>115604</v>
      </c>
      <c r="D1581" s="15">
        <v>17318</v>
      </c>
      <c r="E1581" s="15" t="s">
        <v>1269</v>
      </c>
      <c r="F1581" s="15">
        <v>2011</v>
      </c>
      <c r="G1581" s="15">
        <v>20110404</v>
      </c>
      <c r="H1581" s="15">
        <v>8463</v>
      </c>
      <c r="I1581" s="15">
        <v>0.85</v>
      </c>
      <c r="J1581" s="6" t="s">
        <v>1271</v>
      </c>
      <c r="K1581" s="15">
        <v>252</v>
      </c>
      <c r="L1581" s="15" t="s">
        <v>41</v>
      </c>
      <c r="M1581" s="15" t="s">
        <v>4</v>
      </c>
      <c r="N1581" s="11" t="s">
        <v>1384</v>
      </c>
      <c r="O1581" s="11" t="s">
        <v>28</v>
      </c>
      <c r="P1581" s="11" t="s">
        <v>33</v>
      </c>
      <c r="Q1581" s="15">
        <v>1</v>
      </c>
      <c r="R1581" s="11" t="s">
        <v>11</v>
      </c>
      <c r="S1581" s="10">
        <v>165.16276562981</v>
      </c>
      <c r="T1581" s="15">
        <v>80</v>
      </c>
      <c r="U1581" s="15">
        <v>0</v>
      </c>
      <c r="V1581" s="15">
        <v>1</v>
      </c>
      <c r="W1581" s="15">
        <v>0</v>
      </c>
      <c r="X1581" s="15">
        <f>IF(O1581='Udvaskning nøgletal'!$D$65,1,IF(O1581='Udvaskning nøgletal'!$D$66,2,IF(O1581='Udvaskning nøgletal'!$D$67,3,IF(O1581='Udvaskning nøgletal'!$D$68,2,""))))</f>
        <v>1</v>
      </c>
      <c r="Y1581" s="15">
        <f>LOOKUP(K1581,'Udvaskning nøgletal'!$C$12:$C$60,'Udvaskning nøgletal'!$H$12:$H$60)</f>
        <v>0</v>
      </c>
      <c r="Z1581" s="10">
        <f>IF(X1581=1,LOOKUP(K1581,'Udvaskning nøgletal'!$C$12:$C$60,'Udvaskning nøgletal'!$E$12:$E$60)+Markniveau!Y1581*Markniveau!S1581/100,IF(X1581=2,LOOKUP(K1581,'Udvaskning nøgletal'!$C$12:$C$60,'Udvaskning nøgletal'!$F$12:$F$60)+Markniveau!Y1581*Markniveau!S1581/100,IF(X1581=3,LOOKUP(K1581,'Udvaskning nøgletal'!$C$12:$C$60,'Udvaskning nøgletal'!G1591:G1639)+Markniveau!Y1581*Markniveau!S1581/100,"")))</f>
        <v>21.2</v>
      </c>
      <c r="AA1581" s="10">
        <f t="shared" si="246"/>
        <v>18.02</v>
      </c>
      <c r="AB1581" s="10">
        <f t="shared" si="245"/>
        <v>20.987999999999996</v>
      </c>
      <c r="AC1581" s="10">
        <f t="shared" si="247"/>
        <v>17.839799999999997</v>
      </c>
      <c r="AD1581" s="10">
        <f>IF(AND(Q1581&gt;0,Q1581&lt;30,K1581&lt;8),Markniveau!Z1581*'Udvaskning nøgletal'!$I$12/100,IF(AND(Q1581&gt;0,Q1581&lt;30,K1581=216),Markniveau!Z1581*'Udvaskning nøgletal'!$I$34/100,Markniveau!Z1581))</f>
        <v>21.2</v>
      </c>
      <c r="AE1581" s="10">
        <f t="shared" si="253"/>
        <v>18.02</v>
      </c>
      <c r="AF1581" s="10">
        <f t="shared" si="248"/>
        <v>20.987999999999996</v>
      </c>
      <c r="AG1581" s="10">
        <f t="shared" si="254"/>
        <v>17.839799999999997</v>
      </c>
      <c r="AH1581" s="10" t="str">
        <f>IF(AND(Q1581&gt;0,Q1581&lt;30,K1581=216),'Udvaskning nøgletal'!$C$42,IF(AND(Q1581&gt;0,Q1581&lt;30,K1581&gt;7,K1581&lt;17),'Udvaskning nøgletal'!$C$61,IF(AND(Q1581&gt;0,Q1581&lt;30,K1581&lt;7),'Udvaskning nøgletal'!$C$62,"")))</f>
        <v/>
      </c>
      <c r="AI1581" s="10">
        <f t="shared" si="250"/>
        <v>252</v>
      </c>
      <c r="AJ1581" s="10">
        <f>IF($X1581=1,LOOKUP(AI1581,'Udvaskning nøgletal'!$C$12:$C$62,'Udvaskning nøgletal'!$E$12:$E$62)+Markniveau!$Y1581*Markniveau!$S1581/100,IF($X1581=2,LOOKUP(AI1581,'Udvaskning nøgletal'!$C$12:$C$62,'Udvaskning nøgletal'!$F$12:$F$62)+Markniveau!$Y1581*Markniveau!$S1581/100,IF($X1581=3,LOOKUP(AI1581,'Udvaskning nøgletal'!$C$12:$C$62,'Udvaskning nøgletal'!Q1591:Q1641)+Markniveau!$Y1581*Markniveau!$S1581/100,"")))</f>
        <v>21.2</v>
      </c>
      <c r="AK1581" s="10">
        <f t="shared" si="249"/>
        <v>18.02</v>
      </c>
      <c r="AL1581" s="10">
        <f t="shared" si="251"/>
        <v>20.987999999999996</v>
      </c>
      <c r="AM1581" s="10">
        <f t="shared" si="252"/>
        <v>17.839799999999997</v>
      </c>
    </row>
    <row r="1582" spans="1:39" x14ac:dyDescent="0.25">
      <c r="A1582" s="15">
        <v>87840859</v>
      </c>
      <c r="B1582" s="15">
        <v>37.72</v>
      </c>
      <c r="C1582" s="15">
        <v>115605</v>
      </c>
      <c r="D1582" s="15">
        <v>17318</v>
      </c>
      <c r="E1582" s="15" t="s">
        <v>1272</v>
      </c>
      <c r="F1582" s="15">
        <v>2011</v>
      </c>
      <c r="G1582" s="15">
        <v>20110404</v>
      </c>
      <c r="H1582" s="15">
        <v>44525</v>
      </c>
      <c r="I1582" s="15">
        <v>4.45</v>
      </c>
      <c r="J1582" s="6" t="s">
        <v>479</v>
      </c>
      <c r="K1582" s="15">
        <v>260</v>
      </c>
      <c r="L1582" s="15" t="s">
        <v>45</v>
      </c>
      <c r="M1582" s="15" t="s">
        <v>5</v>
      </c>
      <c r="N1582" s="11" t="s">
        <v>1406</v>
      </c>
      <c r="O1582" s="11" t="s">
        <v>46</v>
      </c>
      <c r="P1582" s="11" t="s">
        <v>29</v>
      </c>
      <c r="Q1582" s="15">
        <v>2</v>
      </c>
      <c r="R1582" s="11" t="s">
        <v>11</v>
      </c>
      <c r="S1582" s="10">
        <v>165.16276562981</v>
      </c>
      <c r="T1582" s="15">
        <v>80</v>
      </c>
      <c r="U1582" s="15">
        <v>0</v>
      </c>
      <c r="V1582" s="15">
        <v>1</v>
      </c>
      <c r="W1582" s="15">
        <v>0</v>
      </c>
      <c r="X1582" s="15">
        <f>IF(O1582='Udvaskning nøgletal'!$D$65,1,IF(O1582='Udvaskning nøgletal'!$D$66,2,IF(O1582='Udvaskning nøgletal'!$D$67,3,IF(O1582='Udvaskning nøgletal'!$D$68,2,""))))</f>
        <v>2</v>
      </c>
      <c r="Y1582" s="15">
        <f>LOOKUP(K1582,'Udvaskning nøgletal'!$C$12:$C$60,'Udvaskning nøgletal'!$H$12:$H$60)</f>
        <v>0</v>
      </c>
      <c r="Z1582" s="10">
        <f>IF(X1582=1,LOOKUP(K1582,'Udvaskning nøgletal'!$C$12:$C$60,'Udvaskning nøgletal'!$E$12:$E$60)+Markniveau!Y1582*Markniveau!S1582/100,IF(X1582=2,LOOKUP(K1582,'Udvaskning nøgletal'!$C$12:$C$60,'Udvaskning nøgletal'!$F$12:$F$60)+Markniveau!Y1582*Markniveau!S1582/100,IF(X1582=3,LOOKUP(K1582,'Udvaskning nøgletal'!$C$12:$C$60,'Udvaskning nøgletal'!G1592:G1640)+Markniveau!Y1582*Markniveau!S1582/100,"")))</f>
        <v>27.331185321443094</v>
      </c>
      <c r="AA1582" s="10">
        <f t="shared" si="246"/>
        <v>121.62377468042177</v>
      </c>
      <c r="AB1582" s="10">
        <f t="shared" si="245"/>
        <v>26.78456161501423</v>
      </c>
      <c r="AC1582" s="10">
        <f t="shared" si="247"/>
        <v>119.19129918681332</v>
      </c>
      <c r="AD1582" s="10">
        <f>IF(AND(Q1582&gt;0,Q1582&lt;30,K1582&lt;8),Markniveau!Z1582*'Udvaskning nøgletal'!$I$12/100,IF(AND(Q1582&gt;0,Q1582&lt;30,K1582=216),Markniveau!Z1582*'Udvaskning nøgletal'!$I$34/100,Markniveau!Z1582))</f>
        <v>27.331185321443094</v>
      </c>
      <c r="AE1582" s="10">
        <f t="shared" si="253"/>
        <v>121.62377468042177</v>
      </c>
      <c r="AF1582" s="10">
        <f t="shared" si="248"/>
        <v>26.78456161501423</v>
      </c>
      <c r="AG1582" s="10">
        <f t="shared" si="254"/>
        <v>119.19129918681332</v>
      </c>
      <c r="AH1582" s="10" t="str">
        <f>IF(AND(Q1582&gt;0,Q1582&lt;30,K1582=216),'Udvaskning nøgletal'!$C$42,IF(AND(Q1582&gt;0,Q1582&lt;30,K1582&gt;7,K1582&lt;17),'Udvaskning nøgletal'!$C$61,IF(AND(Q1582&gt;0,Q1582&lt;30,K1582&lt;7),'Udvaskning nøgletal'!$C$62,"")))</f>
        <v/>
      </c>
      <c r="AI1582" s="10">
        <f t="shared" si="250"/>
        <v>260</v>
      </c>
      <c r="AJ1582" s="10">
        <f>IF($X1582=1,LOOKUP(AI1582,'Udvaskning nøgletal'!$C$12:$C$62,'Udvaskning nøgletal'!$E$12:$E$62)+Markniveau!$Y1582*Markniveau!$S1582/100,IF($X1582=2,LOOKUP(AI1582,'Udvaskning nøgletal'!$C$12:$C$62,'Udvaskning nøgletal'!$F$12:$F$62)+Markniveau!$Y1582*Markniveau!$S1582/100,IF($X1582=3,LOOKUP(AI1582,'Udvaskning nøgletal'!$C$12:$C$62,'Udvaskning nøgletal'!Q1592:Q1642)+Markniveau!$Y1582*Markniveau!$S1582/100,"")))</f>
        <v>27.331185321443094</v>
      </c>
      <c r="AK1582" s="10">
        <f t="shared" si="249"/>
        <v>121.62377468042177</v>
      </c>
      <c r="AL1582" s="10">
        <f t="shared" si="251"/>
        <v>26.78456161501423</v>
      </c>
      <c r="AM1582" s="10">
        <f t="shared" si="252"/>
        <v>119.19129918681332</v>
      </c>
    </row>
    <row r="1583" spans="1:39" x14ac:dyDescent="0.25">
      <c r="A1583" s="15">
        <v>87840859</v>
      </c>
      <c r="B1583" s="15">
        <v>37.72</v>
      </c>
      <c r="C1583" s="15">
        <v>116111</v>
      </c>
      <c r="D1583" s="15">
        <v>17318</v>
      </c>
      <c r="E1583" s="15" t="s">
        <v>1273</v>
      </c>
      <c r="F1583" s="15">
        <v>2011</v>
      </c>
      <c r="G1583" s="15">
        <v>20110404</v>
      </c>
      <c r="H1583" s="15">
        <v>48606</v>
      </c>
      <c r="I1583" s="15">
        <v>4.8600000000000003</v>
      </c>
      <c r="J1583" s="6" t="s">
        <v>144</v>
      </c>
      <c r="K1583" s="15">
        <v>216</v>
      </c>
      <c r="L1583" s="15" t="s">
        <v>116</v>
      </c>
      <c r="M1583" s="15" t="s">
        <v>5</v>
      </c>
      <c r="N1583" s="11" t="s">
        <v>1384</v>
      </c>
      <c r="O1583" s="11" t="s">
        <v>28</v>
      </c>
      <c r="P1583" s="11" t="s">
        <v>33</v>
      </c>
      <c r="Q1583" s="15">
        <v>0</v>
      </c>
      <c r="R1583" s="11" t="s">
        <v>1386</v>
      </c>
      <c r="S1583" s="10">
        <v>165.16276562981</v>
      </c>
      <c r="T1583" s="15">
        <v>80</v>
      </c>
      <c r="U1583" s="15">
        <v>0</v>
      </c>
      <c r="V1583" s="15">
        <v>1</v>
      </c>
      <c r="W1583" s="15">
        <v>0</v>
      </c>
      <c r="X1583" s="15">
        <f>IF(O1583='Udvaskning nøgletal'!$D$65,1,IF(O1583='Udvaskning nøgletal'!$D$66,2,IF(O1583='Udvaskning nøgletal'!$D$67,3,IF(O1583='Udvaskning nøgletal'!$D$68,2,""))))</f>
        <v>1</v>
      </c>
      <c r="Y1583" s="15">
        <f>LOOKUP(K1583,'Udvaskning nøgletal'!$C$12:$C$60,'Udvaskning nøgletal'!$H$12:$H$60)</f>
        <v>0</v>
      </c>
      <c r="Z1583" s="10">
        <f>IF(X1583=1,LOOKUP(K1583,'Udvaskning nøgletal'!$C$12:$C$60,'Udvaskning nøgletal'!$E$12:$E$60)+Markniveau!Y1583*Markniveau!S1583/100,IF(X1583=2,LOOKUP(K1583,'Udvaskning nøgletal'!$C$12:$C$60,'Udvaskning nøgletal'!$F$12:$F$60)+Markniveau!Y1583*Markniveau!S1583/100,IF(X1583=3,LOOKUP(K1583,'Udvaskning nøgletal'!$C$12:$C$60,'Udvaskning nøgletal'!G1593:G1641)+Markniveau!Y1583*Markniveau!S1583/100,"")))</f>
        <v>125.85383557148924</v>
      </c>
      <c r="AA1583" s="10">
        <f t="shared" si="246"/>
        <v>611.64964087743772</v>
      </c>
      <c r="AB1583" s="10" t="str">
        <f t="shared" si="245"/>
        <v/>
      </c>
      <c r="AC1583" s="10" t="str">
        <f t="shared" si="247"/>
        <v/>
      </c>
      <c r="AD1583" s="10">
        <f>IF(AND(Q1583&gt;0,Q1583&lt;30,K1583&lt;8),Markniveau!Z1583*'Udvaskning nøgletal'!$I$12/100,IF(AND(Q1583&gt;0,Q1583&lt;30,K1583=216),Markniveau!Z1583*'Udvaskning nøgletal'!$I$34/100,Markniveau!Z1583))</f>
        <v>125.85383557148924</v>
      </c>
      <c r="AE1583" s="10">
        <f t="shared" si="253"/>
        <v>611.64964087743772</v>
      </c>
      <c r="AF1583" s="10" t="str">
        <f t="shared" si="248"/>
        <v/>
      </c>
      <c r="AG1583" s="10" t="str">
        <f t="shared" si="254"/>
        <v/>
      </c>
      <c r="AH1583" s="10" t="str">
        <f>IF(AND(Q1583&gt;0,Q1583&lt;30,K1583=216),'Udvaskning nøgletal'!$C$42,IF(AND(Q1583&gt;0,Q1583&lt;30,K1583&gt;7,K1583&lt;17),'Udvaskning nøgletal'!$C$61,IF(AND(Q1583&gt;0,Q1583&lt;30,K1583&lt;7),'Udvaskning nøgletal'!$C$62,"")))</f>
        <v/>
      </c>
      <c r="AI1583" s="10">
        <f t="shared" si="250"/>
        <v>216</v>
      </c>
      <c r="AJ1583" s="10">
        <f>IF($X1583=1,LOOKUP(AI1583,'Udvaskning nøgletal'!$C$12:$C$62,'Udvaskning nøgletal'!$E$12:$E$62)+Markniveau!$Y1583*Markniveau!$S1583/100,IF($X1583=2,LOOKUP(AI1583,'Udvaskning nøgletal'!$C$12:$C$62,'Udvaskning nøgletal'!$F$12:$F$62)+Markniveau!$Y1583*Markniveau!$S1583/100,IF($X1583=3,LOOKUP(AI1583,'Udvaskning nøgletal'!$C$12:$C$62,'Udvaskning nøgletal'!Q1593:Q1643)+Markniveau!$Y1583*Markniveau!$S1583/100,"")))</f>
        <v>125.85383557148924</v>
      </c>
      <c r="AK1583" s="10">
        <f t="shared" si="249"/>
        <v>611.64964087743772</v>
      </c>
      <c r="AL1583" s="10" t="str">
        <f t="shared" si="251"/>
        <v/>
      </c>
      <c r="AM1583" s="10" t="str">
        <f t="shared" si="252"/>
        <v/>
      </c>
    </row>
    <row r="1584" spans="1:39" x14ac:dyDescent="0.25">
      <c r="A1584" s="15">
        <v>87840859</v>
      </c>
      <c r="B1584" s="15">
        <v>37.72</v>
      </c>
      <c r="C1584" s="15">
        <v>116112</v>
      </c>
      <c r="D1584" s="15">
        <v>17318</v>
      </c>
      <c r="E1584" s="15" t="s">
        <v>1274</v>
      </c>
      <c r="F1584" s="15">
        <v>2011</v>
      </c>
      <c r="G1584" s="15">
        <v>20110404</v>
      </c>
      <c r="H1584" s="15">
        <v>34146</v>
      </c>
      <c r="I1584" s="15">
        <v>3.41</v>
      </c>
      <c r="J1584" s="6" t="s">
        <v>1527</v>
      </c>
      <c r="K1584" s="15">
        <v>1</v>
      </c>
      <c r="L1584" s="15" t="s">
        <v>32</v>
      </c>
      <c r="M1584" s="15" t="s">
        <v>5</v>
      </c>
      <c r="N1584" s="11" t="s">
        <v>1384</v>
      </c>
      <c r="O1584" s="11" t="s">
        <v>28</v>
      </c>
      <c r="P1584" s="11" t="s">
        <v>33</v>
      </c>
      <c r="Q1584" s="15">
        <v>0</v>
      </c>
      <c r="R1584" s="11" t="s">
        <v>1386</v>
      </c>
      <c r="S1584" s="10">
        <v>165.16276562981</v>
      </c>
      <c r="T1584" s="15">
        <v>80</v>
      </c>
      <c r="U1584" s="15">
        <v>0</v>
      </c>
      <c r="V1584" s="15">
        <v>1</v>
      </c>
      <c r="W1584" s="15">
        <v>0</v>
      </c>
      <c r="X1584" s="15">
        <f>IF(O1584='Udvaskning nøgletal'!$D$65,1,IF(O1584='Udvaskning nøgletal'!$D$66,2,IF(O1584='Udvaskning nøgletal'!$D$67,3,IF(O1584='Udvaskning nøgletal'!$D$68,2,""))))</f>
        <v>1</v>
      </c>
      <c r="Y1584" s="15">
        <f>LOOKUP(K1584,'Udvaskning nøgletal'!$C$12:$C$60,'Udvaskning nøgletal'!$H$12:$H$60)</f>
        <v>5</v>
      </c>
      <c r="Z1584" s="10">
        <f>IF(X1584=1,LOOKUP(K1584,'Udvaskning nøgletal'!$C$12:$C$60,'Udvaskning nøgletal'!$E$12:$E$60)+Markniveau!Y1584*Markniveau!S1584/100,IF(X1584=2,LOOKUP(K1584,'Udvaskning nøgletal'!$C$12:$C$60,'Udvaskning nøgletal'!$F$12:$F$60)+Markniveau!Y1584*Markniveau!S1584/100,IF(X1584=3,LOOKUP(K1584,'Udvaskning nøgletal'!$C$12:$C$60,'Udvaskning nøgletal'!G1594:G1642)+Markniveau!Y1584*Markniveau!S1584/100,"")))</f>
        <v>72.918138281490499</v>
      </c>
      <c r="AA1584" s="10">
        <f t="shared" si="246"/>
        <v>248.65085153988261</v>
      </c>
      <c r="AB1584" s="10" t="str">
        <f t="shared" si="245"/>
        <v/>
      </c>
      <c r="AC1584" s="10" t="str">
        <f t="shared" si="247"/>
        <v/>
      </c>
      <c r="AD1584" s="10">
        <f>IF(AND(Q1584&gt;0,Q1584&lt;30,K1584&lt;8),Markniveau!Z1584*'Udvaskning nøgletal'!$I$12/100,IF(AND(Q1584&gt;0,Q1584&lt;30,K1584=216),Markniveau!Z1584*'Udvaskning nøgletal'!$I$34/100,Markniveau!Z1584))</f>
        <v>72.918138281490499</v>
      </c>
      <c r="AE1584" s="10">
        <f t="shared" si="253"/>
        <v>248.65085153988261</v>
      </c>
      <c r="AF1584" s="10" t="str">
        <f t="shared" si="248"/>
        <v/>
      </c>
      <c r="AG1584" s="10" t="str">
        <f t="shared" si="254"/>
        <v/>
      </c>
      <c r="AH1584" s="10" t="str">
        <f>IF(AND(Q1584&gt;0,Q1584&lt;30,K1584=216),'Udvaskning nøgletal'!$C$42,IF(AND(Q1584&gt;0,Q1584&lt;30,K1584&gt;7,K1584&lt;17),'Udvaskning nøgletal'!$C$61,IF(AND(Q1584&gt;0,Q1584&lt;30,K1584&lt;7),'Udvaskning nøgletal'!$C$62,"")))</f>
        <v/>
      </c>
      <c r="AI1584" s="10">
        <f t="shared" si="250"/>
        <v>1</v>
      </c>
      <c r="AJ1584" s="10">
        <f>IF($X1584=1,LOOKUP(AI1584,'Udvaskning nøgletal'!$C$12:$C$62,'Udvaskning nøgletal'!$E$12:$E$62)+Markniveau!$Y1584*Markniveau!$S1584/100,IF($X1584=2,LOOKUP(AI1584,'Udvaskning nøgletal'!$C$12:$C$62,'Udvaskning nøgletal'!$F$12:$F$62)+Markniveau!$Y1584*Markniveau!$S1584/100,IF($X1584=3,LOOKUP(AI1584,'Udvaskning nøgletal'!$C$12:$C$62,'Udvaskning nøgletal'!Q1594:Q1644)+Markniveau!$Y1584*Markniveau!$S1584/100,"")))</f>
        <v>72.918138281490499</v>
      </c>
      <c r="AK1584" s="10">
        <f t="shared" si="249"/>
        <v>248.65085153988261</v>
      </c>
      <c r="AL1584" s="10" t="str">
        <f t="shared" si="251"/>
        <v/>
      </c>
      <c r="AM1584" s="10" t="str">
        <f t="shared" si="252"/>
        <v/>
      </c>
    </row>
    <row r="1585" spans="1:39" x14ac:dyDescent="0.25">
      <c r="A1585" s="15">
        <v>87840859</v>
      </c>
      <c r="B1585" s="15">
        <v>37.72</v>
      </c>
      <c r="C1585" s="15">
        <v>116114</v>
      </c>
      <c r="D1585" s="15">
        <v>17318</v>
      </c>
      <c r="E1585" s="15" t="s">
        <v>1275</v>
      </c>
      <c r="F1585" s="15">
        <v>2011</v>
      </c>
      <c r="G1585" s="15">
        <v>20110404</v>
      </c>
      <c r="H1585" s="15">
        <v>4740</v>
      </c>
      <c r="I1585" s="15">
        <v>0.47</v>
      </c>
      <c r="J1585" s="6" t="s">
        <v>470</v>
      </c>
      <c r="K1585" s="15">
        <v>252</v>
      </c>
      <c r="L1585" s="15" t="s">
        <v>41</v>
      </c>
      <c r="M1585" s="15" t="s">
        <v>4</v>
      </c>
      <c r="N1585" s="11" t="s">
        <v>1406</v>
      </c>
      <c r="O1585" s="11" t="s">
        <v>46</v>
      </c>
      <c r="P1585" s="11" t="s">
        <v>29</v>
      </c>
      <c r="Q1585" s="15">
        <v>2</v>
      </c>
      <c r="R1585" s="11" t="s">
        <v>11</v>
      </c>
      <c r="S1585" s="10">
        <v>165.16276562981</v>
      </c>
      <c r="T1585" s="15">
        <v>80</v>
      </c>
      <c r="U1585" s="15">
        <v>0</v>
      </c>
      <c r="V1585" s="15">
        <v>1</v>
      </c>
      <c r="W1585" s="15">
        <v>0</v>
      </c>
      <c r="X1585" s="15">
        <f>IF(O1585='Udvaskning nøgletal'!$D$65,1,IF(O1585='Udvaskning nøgletal'!$D$66,2,IF(O1585='Udvaskning nøgletal'!$D$67,3,IF(O1585='Udvaskning nøgletal'!$D$68,2,""))))</f>
        <v>2</v>
      </c>
      <c r="Y1585" s="15">
        <f>LOOKUP(K1585,'Udvaskning nøgletal'!$C$12:$C$60,'Udvaskning nøgletal'!$H$12:$H$60)</f>
        <v>0</v>
      </c>
      <c r="Z1585" s="10">
        <f>IF(X1585=1,LOOKUP(K1585,'Udvaskning nøgletal'!$C$12:$C$60,'Udvaskning nøgletal'!$E$12:$E$60)+Markniveau!Y1585*Markniveau!S1585/100,IF(X1585=2,LOOKUP(K1585,'Udvaskning nøgletal'!$C$12:$C$60,'Udvaskning nøgletal'!$F$12:$F$60)+Markniveau!Y1585*Markniveau!S1585/100,IF(X1585=3,LOOKUP(K1585,'Udvaskning nøgletal'!$C$12:$C$60,'Udvaskning nøgletal'!G1595:G1643)+Markniveau!Y1585*Markniveau!S1585/100,"")))</f>
        <v>21.2</v>
      </c>
      <c r="AA1585" s="10">
        <f t="shared" si="246"/>
        <v>9.9639999999999986</v>
      </c>
      <c r="AB1585" s="10">
        <f t="shared" si="245"/>
        <v>20.776</v>
      </c>
      <c r="AC1585" s="10">
        <f t="shared" si="247"/>
        <v>9.7647199999999987</v>
      </c>
      <c r="AD1585" s="10">
        <f>IF(AND(Q1585&gt;0,Q1585&lt;30,K1585&lt;8),Markniveau!Z1585*'Udvaskning nøgletal'!$I$12/100,IF(AND(Q1585&gt;0,Q1585&lt;30,K1585=216),Markniveau!Z1585*'Udvaskning nøgletal'!$I$34/100,Markniveau!Z1585))</f>
        <v>21.2</v>
      </c>
      <c r="AE1585" s="10">
        <f t="shared" si="253"/>
        <v>9.9639999999999986</v>
      </c>
      <c r="AF1585" s="10">
        <f t="shared" si="248"/>
        <v>20.776</v>
      </c>
      <c r="AG1585" s="10">
        <f t="shared" si="254"/>
        <v>9.7647199999999987</v>
      </c>
      <c r="AH1585" s="10" t="str">
        <f>IF(AND(Q1585&gt;0,Q1585&lt;30,K1585=216),'Udvaskning nøgletal'!$C$42,IF(AND(Q1585&gt;0,Q1585&lt;30,K1585&gt;7,K1585&lt;17),'Udvaskning nøgletal'!$C$61,IF(AND(Q1585&gt;0,Q1585&lt;30,K1585&lt;7),'Udvaskning nøgletal'!$C$62,"")))</f>
        <v/>
      </c>
      <c r="AI1585" s="10">
        <f t="shared" si="250"/>
        <v>252</v>
      </c>
      <c r="AJ1585" s="10">
        <f>IF($X1585=1,LOOKUP(AI1585,'Udvaskning nøgletal'!$C$12:$C$62,'Udvaskning nøgletal'!$E$12:$E$62)+Markniveau!$Y1585*Markniveau!$S1585/100,IF($X1585=2,LOOKUP(AI1585,'Udvaskning nøgletal'!$C$12:$C$62,'Udvaskning nøgletal'!$F$12:$F$62)+Markniveau!$Y1585*Markniveau!$S1585/100,IF($X1585=3,LOOKUP(AI1585,'Udvaskning nøgletal'!$C$12:$C$62,'Udvaskning nøgletal'!Q1595:Q1645)+Markniveau!$Y1585*Markniveau!$S1585/100,"")))</f>
        <v>21.2</v>
      </c>
      <c r="AK1585" s="10">
        <f t="shared" si="249"/>
        <v>9.9639999999999986</v>
      </c>
      <c r="AL1585" s="10">
        <f t="shared" si="251"/>
        <v>20.776</v>
      </c>
      <c r="AM1585" s="10">
        <f t="shared" si="252"/>
        <v>9.7647199999999987</v>
      </c>
    </row>
    <row r="1586" spans="1:39" x14ac:dyDescent="0.25">
      <c r="A1586" s="15">
        <v>87840859</v>
      </c>
      <c r="B1586" s="15">
        <v>37.72</v>
      </c>
      <c r="C1586" s="15">
        <v>116115</v>
      </c>
      <c r="D1586" s="15">
        <v>17318</v>
      </c>
      <c r="E1586" s="15" t="s">
        <v>111</v>
      </c>
      <c r="F1586" s="15">
        <v>2011</v>
      </c>
      <c r="G1586" s="15">
        <v>20110404</v>
      </c>
      <c r="H1586" s="15">
        <v>6104</v>
      </c>
      <c r="I1586" s="15">
        <v>0.61</v>
      </c>
      <c r="J1586" s="6" t="s">
        <v>471</v>
      </c>
      <c r="K1586" s="15">
        <v>252</v>
      </c>
      <c r="L1586" s="15" t="s">
        <v>41</v>
      </c>
      <c r="M1586" s="15" t="s">
        <v>4</v>
      </c>
      <c r="N1586" s="11" t="s">
        <v>1384</v>
      </c>
      <c r="O1586" s="11" t="s">
        <v>28</v>
      </c>
      <c r="P1586" s="11" t="s">
        <v>29</v>
      </c>
      <c r="Q1586" s="15">
        <v>95</v>
      </c>
      <c r="R1586" s="11" t="s">
        <v>3</v>
      </c>
      <c r="S1586" s="10">
        <v>165.16276562981</v>
      </c>
      <c r="T1586" s="15">
        <v>80</v>
      </c>
      <c r="U1586" s="15">
        <v>0</v>
      </c>
      <c r="V1586" s="15">
        <v>1</v>
      </c>
      <c r="W1586" s="15">
        <v>0</v>
      </c>
      <c r="X1586" s="15">
        <f>IF(O1586='Udvaskning nøgletal'!$D$65,1,IF(O1586='Udvaskning nøgletal'!$D$66,2,IF(O1586='Udvaskning nøgletal'!$D$67,3,IF(O1586='Udvaskning nøgletal'!$D$68,2,""))))</f>
        <v>1</v>
      </c>
      <c r="Y1586" s="15">
        <f>LOOKUP(K1586,'Udvaskning nøgletal'!$C$12:$C$60,'Udvaskning nøgletal'!$H$12:$H$60)</f>
        <v>0</v>
      </c>
      <c r="Z1586" s="10">
        <f>IF(X1586=1,LOOKUP(K1586,'Udvaskning nøgletal'!$C$12:$C$60,'Udvaskning nøgletal'!$E$12:$E$60)+Markniveau!Y1586*Markniveau!S1586/100,IF(X1586=2,LOOKUP(K1586,'Udvaskning nøgletal'!$C$12:$C$60,'Udvaskning nøgletal'!$F$12:$F$60)+Markniveau!Y1586*Markniveau!S1586/100,IF(X1586=3,LOOKUP(K1586,'Udvaskning nøgletal'!$C$12:$C$60,'Udvaskning nøgletal'!G1596:G1644)+Markniveau!Y1586*Markniveau!S1586/100,"")))</f>
        <v>21.2</v>
      </c>
      <c r="AA1586" s="10">
        <f t="shared" si="246"/>
        <v>12.931999999999999</v>
      </c>
      <c r="AB1586" s="10">
        <f t="shared" si="245"/>
        <v>1.06</v>
      </c>
      <c r="AC1586" s="10">
        <f t="shared" si="247"/>
        <v>0.64660000000000006</v>
      </c>
      <c r="AD1586" s="10">
        <f>IF(AND(Q1586&gt;0,Q1586&lt;30,K1586&lt;8),Markniveau!Z1586*'Udvaskning nøgletal'!$I$12/100,IF(AND(Q1586&gt;0,Q1586&lt;30,K1586=216),Markniveau!Z1586*'Udvaskning nøgletal'!$I$34/100,Markniveau!Z1586))</f>
        <v>21.2</v>
      </c>
      <c r="AE1586" s="10">
        <f t="shared" si="253"/>
        <v>12.931999999999999</v>
      </c>
      <c r="AF1586" s="10">
        <f t="shared" si="248"/>
        <v>1.06</v>
      </c>
      <c r="AG1586" s="10">
        <f t="shared" si="254"/>
        <v>0.64660000000000006</v>
      </c>
      <c r="AH1586" s="10" t="str">
        <f>IF(AND(Q1586&gt;0,Q1586&lt;30,K1586=216),'Udvaskning nøgletal'!$C$42,IF(AND(Q1586&gt;0,Q1586&lt;30,K1586&gt;7,K1586&lt;17),'Udvaskning nøgletal'!$C$61,IF(AND(Q1586&gt;0,Q1586&lt;30,K1586&lt;7),'Udvaskning nøgletal'!$C$62,"")))</f>
        <v/>
      </c>
      <c r="AI1586" s="10">
        <f t="shared" si="250"/>
        <v>252</v>
      </c>
      <c r="AJ1586" s="10">
        <f>IF($X1586=1,LOOKUP(AI1586,'Udvaskning nøgletal'!$C$12:$C$62,'Udvaskning nøgletal'!$E$12:$E$62)+Markniveau!$Y1586*Markniveau!$S1586/100,IF($X1586=2,LOOKUP(AI1586,'Udvaskning nøgletal'!$C$12:$C$62,'Udvaskning nøgletal'!$F$12:$F$62)+Markniveau!$Y1586*Markniveau!$S1586/100,IF($X1586=3,LOOKUP(AI1586,'Udvaskning nøgletal'!$C$12:$C$62,'Udvaskning nøgletal'!Q1596:Q1646)+Markniveau!$Y1586*Markniveau!$S1586/100,"")))</f>
        <v>21.2</v>
      </c>
      <c r="AK1586" s="10">
        <f t="shared" si="249"/>
        <v>12.931999999999999</v>
      </c>
      <c r="AL1586" s="10">
        <f t="shared" si="251"/>
        <v>1.06</v>
      </c>
      <c r="AM1586" s="10">
        <f t="shared" si="252"/>
        <v>0.64660000000000006</v>
      </c>
    </row>
    <row r="1587" spans="1:39" x14ac:dyDescent="0.25">
      <c r="A1587" s="15">
        <v>87840859</v>
      </c>
      <c r="B1587" s="15">
        <v>37.72</v>
      </c>
      <c r="C1587" s="15">
        <v>346522</v>
      </c>
      <c r="D1587" s="15">
        <v>17318</v>
      </c>
      <c r="E1587" s="15" t="s">
        <v>1267</v>
      </c>
      <c r="F1587" s="15">
        <v>2011</v>
      </c>
      <c r="G1587" s="15">
        <v>20110412</v>
      </c>
      <c r="H1587" s="15">
        <v>95418</v>
      </c>
      <c r="I1587" s="15">
        <v>9.5399999999999991</v>
      </c>
      <c r="J1587" s="6" t="s">
        <v>93</v>
      </c>
      <c r="K1587" s="15">
        <v>216</v>
      </c>
      <c r="L1587" s="15" t="s">
        <v>116</v>
      </c>
      <c r="M1587" s="15" t="s">
        <v>5</v>
      </c>
      <c r="N1587" s="11" t="s">
        <v>1406</v>
      </c>
      <c r="O1587" s="11" t="s">
        <v>46</v>
      </c>
      <c r="P1587" s="11" t="s">
        <v>33</v>
      </c>
      <c r="Q1587" s="15">
        <v>0</v>
      </c>
      <c r="R1587" s="11" t="s">
        <v>1386</v>
      </c>
      <c r="S1587" s="10">
        <v>165.16276562981</v>
      </c>
      <c r="T1587" s="15">
        <v>80</v>
      </c>
      <c r="U1587" s="15">
        <v>0</v>
      </c>
      <c r="V1587" s="15">
        <v>1</v>
      </c>
      <c r="W1587" s="15">
        <v>0</v>
      </c>
      <c r="X1587" s="15">
        <f>IF(O1587='Udvaskning nøgletal'!$D$65,1,IF(O1587='Udvaskning nøgletal'!$D$66,2,IF(O1587='Udvaskning nøgletal'!$D$67,3,IF(O1587='Udvaskning nøgletal'!$D$68,2,""))))</f>
        <v>2</v>
      </c>
      <c r="Y1587" s="15">
        <f>LOOKUP(K1587,'Udvaskning nøgletal'!$C$12:$C$60,'Udvaskning nøgletal'!$H$12:$H$60)</f>
        <v>0</v>
      </c>
      <c r="Z1587" s="10">
        <f>IF(X1587=1,LOOKUP(K1587,'Udvaskning nøgletal'!$C$12:$C$60,'Udvaskning nøgletal'!$E$12:$E$60)+Markniveau!Y1587*Markniveau!S1587/100,IF(X1587=2,LOOKUP(K1587,'Udvaskning nøgletal'!$C$12:$C$60,'Udvaskning nøgletal'!$F$12:$F$60)+Markniveau!Y1587*Markniveau!S1587/100,IF(X1587=3,LOOKUP(K1587,'Udvaskning nøgletal'!$C$12:$C$60,'Udvaskning nøgletal'!G1597:G1645)+Markniveau!Y1587*Markniveau!S1587/100,"")))</f>
        <v>101.66744640811392</v>
      </c>
      <c r="AA1587" s="10">
        <f t="shared" si="246"/>
        <v>969.90743873340671</v>
      </c>
      <c r="AB1587" s="10" t="str">
        <f t="shared" si="245"/>
        <v/>
      </c>
      <c r="AC1587" s="10" t="str">
        <f t="shared" si="247"/>
        <v/>
      </c>
      <c r="AD1587" s="10">
        <f>IF(AND(Q1587&gt;0,Q1587&lt;30,K1587&lt;8),Markniveau!Z1587*'Udvaskning nøgletal'!$I$12/100,IF(AND(Q1587&gt;0,Q1587&lt;30,K1587=216),Markniveau!Z1587*'Udvaskning nøgletal'!$I$34/100,Markniveau!Z1587))</f>
        <v>101.66744640811392</v>
      </c>
      <c r="AE1587" s="10">
        <f t="shared" si="253"/>
        <v>969.90743873340671</v>
      </c>
      <c r="AF1587" s="10" t="str">
        <f t="shared" si="248"/>
        <v/>
      </c>
      <c r="AG1587" s="10" t="str">
        <f t="shared" si="254"/>
        <v/>
      </c>
      <c r="AH1587" s="10" t="str">
        <f>IF(AND(Q1587&gt;0,Q1587&lt;30,K1587=216),'Udvaskning nøgletal'!$C$42,IF(AND(Q1587&gt;0,Q1587&lt;30,K1587&gt;7,K1587&lt;17),'Udvaskning nøgletal'!$C$61,IF(AND(Q1587&gt;0,Q1587&lt;30,K1587&lt;7),'Udvaskning nøgletal'!$C$62,"")))</f>
        <v/>
      </c>
      <c r="AI1587" s="10">
        <f t="shared" si="250"/>
        <v>216</v>
      </c>
      <c r="AJ1587" s="10">
        <f>IF($X1587=1,LOOKUP(AI1587,'Udvaskning nøgletal'!$C$12:$C$62,'Udvaskning nøgletal'!$E$12:$E$62)+Markniveau!$Y1587*Markniveau!$S1587/100,IF($X1587=2,LOOKUP(AI1587,'Udvaskning nøgletal'!$C$12:$C$62,'Udvaskning nøgletal'!$F$12:$F$62)+Markniveau!$Y1587*Markniveau!$S1587/100,IF($X1587=3,LOOKUP(AI1587,'Udvaskning nøgletal'!$C$12:$C$62,'Udvaskning nøgletal'!Q1597:Q1647)+Markniveau!$Y1587*Markniveau!$S1587/100,"")))</f>
        <v>101.66744640811392</v>
      </c>
      <c r="AK1587" s="10">
        <f t="shared" si="249"/>
        <v>969.90743873340671</v>
      </c>
      <c r="AL1587" s="10" t="str">
        <f t="shared" si="251"/>
        <v/>
      </c>
      <c r="AM1587" s="10" t="str">
        <f t="shared" si="252"/>
        <v/>
      </c>
    </row>
    <row r="1588" spans="1:39" x14ac:dyDescent="0.25">
      <c r="A1588" s="15">
        <v>87840859</v>
      </c>
      <c r="B1588" s="15">
        <v>37.72</v>
      </c>
      <c r="C1588" s="15">
        <v>113983</v>
      </c>
      <c r="D1588" s="15">
        <v>17318</v>
      </c>
      <c r="E1588" s="15" t="s">
        <v>1276</v>
      </c>
      <c r="F1588" s="15">
        <v>2011</v>
      </c>
      <c r="G1588" s="15">
        <v>20110404</v>
      </c>
      <c r="H1588" s="15">
        <v>20490</v>
      </c>
      <c r="I1588" s="15">
        <v>2.0499999999999998</v>
      </c>
      <c r="J1588" s="6" t="s">
        <v>36</v>
      </c>
      <c r="K1588" s="15">
        <v>210</v>
      </c>
      <c r="L1588" s="15" t="s">
        <v>262</v>
      </c>
      <c r="M1588" s="15" t="s">
        <v>5</v>
      </c>
      <c r="N1588" s="11" t="s">
        <v>1384</v>
      </c>
      <c r="O1588" s="11" t="s">
        <v>28</v>
      </c>
      <c r="P1588" s="11" t="s">
        <v>29</v>
      </c>
      <c r="Q1588" s="15">
        <v>95</v>
      </c>
      <c r="R1588" s="11" t="s">
        <v>3</v>
      </c>
      <c r="S1588" s="10">
        <v>165.16276562981</v>
      </c>
      <c r="T1588" s="15">
        <v>80</v>
      </c>
      <c r="U1588" s="15">
        <v>0</v>
      </c>
      <c r="V1588" s="15">
        <v>1</v>
      </c>
      <c r="W1588" s="15">
        <v>0</v>
      </c>
      <c r="X1588" s="15">
        <f>IF(O1588='Udvaskning nøgletal'!$D$65,1,IF(O1588='Udvaskning nøgletal'!$D$66,2,IF(O1588='Udvaskning nøgletal'!$D$67,3,IF(O1588='Udvaskning nøgletal'!$D$68,2,""))))</f>
        <v>1</v>
      </c>
      <c r="Y1588" s="15">
        <f>LOOKUP(K1588,'Udvaskning nøgletal'!$C$12:$C$60,'Udvaskning nøgletal'!$H$12:$H$60)</f>
        <v>0</v>
      </c>
      <c r="Z1588" s="10">
        <f>IF(X1588=1,LOOKUP(K1588,'Udvaskning nøgletal'!$C$12:$C$60,'Udvaskning nøgletal'!$E$12:$E$60)+Markniveau!Y1588*Markniveau!S1588/100,IF(X1588=2,LOOKUP(K1588,'Udvaskning nøgletal'!$C$12:$C$60,'Udvaskning nøgletal'!$F$12:$F$60)+Markniveau!Y1588*Markniveau!S1588/100,IF(X1588=3,LOOKUP(K1588,'Udvaskning nøgletal'!$C$12:$C$60,'Udvaskning nøgletal'!G1598:G1646)+Markniveau!Y1588*Markniveau!S1588/100,"")))</f>
        <v>38.620385460262987</v>
      </c>
      <c r="AA1588" s="10">
        <f t="shared" si="246"/>
        <v>79.171790193539124</v>
      </c>
      <c r="AB1588" s="10">
        <f t="shared" si="245"/>
        <v>1.9310192730131492</v>
      </c>
      <c r="AC1588" s="10">
        <f t="shared" si="247"/>
        <v>3.9585895096769557</v>
      </c>
      <c r="AD1588" s="10">
        <f>IF(AND(Q1588&gt;0,Q1588&lt;30,K1588&lt;8),Markniveau!Z1588*'Udvaskning nøgletal'!$I$12/100,IF(AND(Q1588&gt;0,Q1588&lt;30,K1588=216),Markniveau!Z1588*'Udvaskning nøgletal'!$I$34/100,Markniveau!Z1588))</f>
        <v>38.620385460262987</v>
      </c>
      <c r="AE1588" s="10">
        <f t="shared" si="253"/>
        <v>79.171790193539124</v>
      </c>
      <c r="AF1588" s="10">
        <f t="shared" si="248"/>
        <v>1.9310192730131492</v>
      </c>
      <c r="AG1588" s="10">
        <f t="shared" si="254"/>
        <v>3.9585895096769557</v>
      </c>
      <c r="AH1588" s="10" t="str">
        <f>IF(AND(Q1588&gt;0,Q1588&lt;30,K1588=216),'Udvaskning nøgletal'!$C$42,IF(AND(Q1588&gt;0,Q1588&lt;30,K1588&gt;7,K1588&lt;17),'Udvaskning nøgletal'!$C$61,IF(AND(Q1588&gt;0,Q1588&lt;30,K1588&lt;7),'Udvaskning nøgletal'!$C$62,"")))</f>
        <v/>
      </c>
      <c r="AI1588" s="10">
        <f t="shared" si="250"/>
        <v>210</v>
      </c>
      <c r="AJ1588" s="10">
        <f>IF($X1588=1,LOOKUP(AI1588,'Udvaskning nøgletal'!$C$12:$C$62,'Udvaskning nøgletal'!$E$12:$E$62)+Markniveau!$Y1588*Markniveau!$S1588/100,IF($X1588=2,LOOKUP(AI1588,'Udvaskning nøgletal'!$C$12:$C$62,'Udvaskning nøgletal'!$F$12:$F$62)+Markniveau!$Y1588*Markniveau!$S1588/100,IF($X1588=3,LOOKUP(AI1588,'Udvaskning nøgletal'!$C$12:$C$62,'Udvaskning nøgletal'!Q1598:Q1648)+Markniveau!$Y1588*Markniveau!$S1588/100,"")))</f>
        <v>38.620385460262987</v>
      </c>
      <c r="AK1588" s="10">
        <f t="shared" si="249"/>
        <v>79.171790193539124</v>
      </c>
      <c r="AL1588" s="10">
        <f t="shared" si="251"/>
        <v>1.9310192730131492</v>
      </c>
      <c r="AM1588" s="10">
        <f t="shared" si="252"/>
        <v>3.9585895096769557</v>
      </c>
    </row>
    <row r="1589" spans="1:39" x14ac:dyDescent="0.25">
      <c r="A1589" s="15">
        <v>87840859</v>
      </c>
      <c r="B1589" s="15">
        <v>37.72</v>
      </c>
      <c r="C1589" s="15">
        <v>113984</v>
      </c>
      <c r="D1589" s="15">
        <v>17318</v>
      </c>
      <c r="E1589" s="15" t="s">
        <v>1252</v>
      </c>
      <c r="F1589" s="15">
        <v>2011</v>
      </c>
      <c r="G1589" s="15">
        <v>20110404</v>
      </c>
      <c r="H1589" s="15">
        <v>46419</v>
      </c>
      <c r="I1589" s="15">
        <v>4.6399999999999997</v>
      </c>
      <c r="J1589" s="6" t="s">
        <v>35</v>
      </c>
      <c r="K1589" s="15">
        <v>210</v>
      </c>
      <c r="L1589" s="15" t="s">
        <v>262</v>
      </c>
      <c r="M1589" s="15" t="s">
        <v>5</v>
      </c>
      <c r="N1589" s="11" t="s">
        <v>1384</v>
      </c>
      <c r="O1589" s="11" t="s">
        <v>28</v>
      </c>
      <c r="P1589" s="11" t="s">
        <v>29</v>
      </c>
      <c r="Q1589" s="15">
        <v>95</v>
      </c>
      <c r="R1589" s="11" t="s">
        <v>3</v>
      </c>
      <c r="S1589" s="10">
        <v>165.16276562981</v>
      </c>
      <c r="T1589" s="15">
        <v>80</v>
      </c>
      <c r="U1589" s="15">
        <v>0</v>
      </c>
      <c r="V1589" s="15">
        <v>1</v>
      </c>
      <c r="W1589" s="15">
        <v>0</v>
      </c>
      <c r="X1589" s="15">
        <f>IF(O1589='Udvaskning nøgletal'!$D$65,1,IF(O1589='Udvaskning nøgletal'!$D$66,2,IF(O1589='Udvaskning nøgletal'!$D$67,3,IF(O1589='Udvaskning nøgletal'!$D$68,2,""))))</f>
        <v>1</v>
      </c>
      <c r="Y1589" s="15">
        <f>LOOKUP(K1589,'Udvaskning nøgletal'!$C$12:$C$60,'Udvaskning nøgletal'!$H$12:$H$60)</f>
        <v>0</v>
      </c>
      <c r="Z1589" s="10">
        <f>IF(X1589=1,LOOKUP(K1589,'Udvaskning nøgletal'!$C$12:$C$60,'Udvaskning nøgletal'!$E$12:$E$60)+Markniveau!Y1589*Markniveau!S1589/100,IF(X1589=2,LOOKUP(K1589,'Udvaskning nøgletal'!$C$12:$C$60,'Udvaskning nøgletal'!$F$12:$F$60)+Markniveau!Y1589*Markniveau!S1589/100,IF(X1589=3,LOOKUP(K1589,'Udvaskning nøgletal'!$C$12:$C$60,'Udvaskning nøgletal'!G1599:G1647)+Markniveau!Y1589*Markniveau!S1589/100,"")))</f>
        <v>38.620385460262987</v>
      </c>
      <c r="AA1589" s="10">
        <f t="shared" si="246"/>
        <v>179.19858853562025</v>
      </c>
      <c r="AB1589" s="10">
        <f t="shared" si="245"/>
        <v>1.9310192730131492</v>
      </c>
      <c r="AC1589" s="10">
        <f t="shared" si="247"/>
        <v>8.9599294267810112</v>
      </c>
      <c r="AD1589" s="10">
        <f>IF(AND(Q1589&gt;0,Q1589&lt;30,K1589&lt;8),Markniveau!Z1589*'Udvaskning nøgletal'!$I$12/100,IF(AND(Q1589&gt;0,Q1589&lt;30,K1589=216),Markniveau!Z1589*'Udvaskning nøgletal'!$I$34/100,Markniveau!Z1589))</f>
        <v>38.620385460262987</v>
      </c>
      <c r="AE1589" s="10">
        <f t="shared" si="253"/>
        <v>179.19858853562025</v>
      </c>
      <c r="AF1589" s="10">
        <f t="shared" si="248"/>
        <v>1.9310192730131492</v>
      </c>
      <c r="AG1589" s="10">
        <f t="shared" si="254"/>
        <v>8.9599294267810112</v>
      </c>
      <c r="AH1589" s="10" t="str">
        <f>IF(AND(Q1589&gt;0,Q1589&lt;30,K1589=216),'Udvaskning nøgletal'!$C$42,IF(AND(Q1589&gt;0,Q1589&lt;30,K1589&gt;7,K1589&lt;17),'Udvaskning nøgletal'!$C$61,IF(AND(Q1589&gt;0,Q1589&lt;30,K1589&lt;7),'Udvaskning nøgletal'!$C$62,"")))</f>
        <v/>
      </c>
      <c r="AI1589" s="10">
        <f t="shared" si="250"/>
        <v>210</v>
      </c>
      <c r="AJ1589" s="10">
        <f>IF($X1589=1,LOOKUP(AI1589,'Udvaskning nøgletal'!$C$12:$C$62,'Udvaskning nøgletal'!$E$12:$E$62)+Markniveau!$Y1589*Markniveau!$S1589/100,IF($X1589=2,LOOKUP(AI1589,'Udvaskning nøgletal'!$C$12:$C$62,'Udvaskning nøgletal'!$F$12:$F$62)+Markniveau!$Y1589*Markniveau!$S1589/100,IF($X1589=3,LOOKUP(AI1589,'Udvaskning nøgletal'!$C$12:$C$62,'Udvaskning nøgletal'!Q1599:Q1649)+Markniveau!$Y1589*Markniveau!$S1589/100,"")))</f>
        <v>38.620385460262987</v>
      </c>
      <c r="AK1589" s="10">
        <f t="shared" si="249"/>
        <v>179.19858853562025</v>
      </c>
      <c r="AL1589" s="10">
        <f t="shared" si="251"/>
        <v>1.9310192730131492</v>
      </c>
      <c r="AM1589" s="10">
        <f t="shared" si="252"/>
        <v>8.9599294267810112</v>
      </c>
    </row>
    <row r="1590" spans="1:39" x14ac:dyDescent="0.25">
      <c r="A1590" s="15">
        <v>88207114</v>
      </c>
      <c r="B1590" s="15">
        <v>1.82</v>
      </c>
      <c r="C1590" s="15">
        <v>44016</v>
      </c>
      <c r="D1590" s="15">
        <v>6107</v>
      </c>
      <c r="E1590" s="15" t="s">
        <v>1277</v>
      </c>
      <c r="F1590" s="15">
        <v>2011</v>
      </c>
      <c r="G1590" s="15">
        <v>20110404</v>
      </c>
      <c r="H1590" s="15">
        <v>77204</v>
      </c>
      <c r="I1590" s="15">
        <v>7.72</v>
      </c>
      <c r="J1590" s="6" t="s">
        <v>1468</v>
      </c>
      <c r="K1590" s="15">
        <v>22</v>
      </c>
      <c r="L1590" s="15" t="s">
        <v>213</v>
      </c>
      <c r="M1590" s="15" t="s">
        <v>5</v>
      </c>
      <c r="N1590" s="11" t="s">
        <v>1384</v>
      </c>
      <c r="O1590" s="11" t="s">
        <v>28</v>
      </c>
      <c r="P1590" s="11" t="s">
        <v>33</v>
      </c>
      <c r="Q1590" s="15">
        <v>0</v>
      </c>
      <c r="R1590" s="11" t="s">
        <v>1386</v>
      </c>
      <c r="S1590" s="10">
        <v>77.490424173641998</v>
      </c>
      <c r="T1590" s="15">
        <v>80</v>
      </c>
      <c r="U1590" s="15">
        <v>0</v>
      </c>
      <c r="V1590" s="15">
        <v>0</v>
      </c>
      <c r="W1590" s="15">
        <v>0</v>
      </c>
      <c r="X1590" s="15">
        <f>IF(O1590='Udvaskning nøgletal'!$D$65,1,IF(O1590='Udvaskning nøgletal'!$D$66,2,IF(O1590='Udvaskning nøgletal'!$D$67,3,IF(O1590='Udvaskning nøgletal'!$D$68,2,""))))</f>
        <v>1</v>
      </c>
      <c r="Y1590" s="15">
        <f>LOOKUP(K1590,'Udvaskning nøgletal'!$C$12:$C$60,'Udvaskning nøgletal'!$H$12:$H$60)</f>
        <v>5</v>
      </c>
      <c r="Z1590" s="10">
        <f>IF(X1590=1,LOOKUP(K1590,'Udvaskning nøgletal'!$C$12:$C$60,'Udvaskning nøgletal'!$E$12:$E$60)+Markniveau!Y1590*Markniveau!S1590/100,IF(X1590=2,LOOKUP(K1590,'Udvaskning nøgletal'!$C$12:$C$60,'Udvaskning nøgletal'!$F$12:$F$60)+Markniveau!Y1590*Markniveau!S1590/100,IF(X1590=3,LOOKUP(K1590,'Udvaskning nøgletal'!$C$12:$C$60,'Udvaskning nøgletal'!G1600:G1648)+Markniveau!Y1590*Markniveau!S1590/100,"")))</f>
        <v>68.534521208682094</v>
      </c>
      <c r="AA1590" s="10">
        <f t="shared" si="246"/>
        <v>529.0865037310258</v>
      </c>
      <c r="AB1590" s="10" t="str">
        <f t="shared" si="245"/>
        <v/>
      </c>
      <c r="AC1590" s="10" t="str">
        <f t="shared" si="247"/>
        <v/>
      </c>
      <c r="AD1590" s="10">
        <f>IF(AND(Q1590&gt;0,Q1590&lt;30,K1590&lt;8),Markniveau!Z1590*'Udvaskning nøgletal'!$I$12/100,IF(AND(Q1590&gt;0,Q1590&lt;30,K1590=216),Markniveau!Z1590*'Udvaskning nøgletal'!$I$34/100,Markniveau!Z1590))</f>
        <v>68.534521208682094</v>
      </c>
      <c r="AE1590" s="10">
        <f t="shared" si="253"/>
        <v>529.0865037310258</v>
      </c>
      <c r="AF1590" s="10" t="str">
        <f t="shared" si="248"/>
        <v/>
      </c>
      <c r="AG1590" s="10" t="str">
        <f t="shared" si="254"/>
        <v/>
      </c>
      <c r="AH1590" s="10" t="str">
        <f>IF(AND(Q1590&gt;0,Q1590&lt;30,K1590=216),'Udvaskning nøgletal'!$C$42,IF(AND(Q1590&gt;0,Q1590&lt;30,K1590&gt;7,K1590&lt;17),'Udvaskning nøgletal'!$C$61,IF(AND(Q1590&gt;0,Q1590&lt;30,K1590&lt;7),'Udvaskning nøgletal'!$C$62,"")))</f>
        <v/>
      </c>
      <c r="AI1590" s="10">
        <f t="shared" si="250"/>
        <v>22</v>
      </c>
      <c r="AJ1590" s="10">
        <f>IF($X1590=1,LOOKUP(AI1590,'Udvaskning nøgletal'!$C$12:$C$62,'Udvaskning nøgletal'!$E$12:$E$62)+Markniveau!$Y1590*Markniveau!$S1590/100,IF($X1590=2,LOOKUP(AI1590,'Udvaskning nøgletal'!$C$12:$C$62,'Udvaskning nøgletal'!$F$12:$F$62)+Markniveau!$Y1590*Markniveau!$S1590/100,IF($X1590=3,LOOKUP(AI1590,'Udvaskning nøgletal'!$C$12:$C$62,'Udvaskning nøgletal'!Q1600:Q1650)+Markniveau!$Y1590*Markniveau!$S1590/100,"")))</f>
        <v>68.534521208682094</v>
      </c>
      <c r="AK1590" s="10">
        <f t="shared" si="249"/>
        <v>529.0865037310258</v>
      </c>
      <c r="AL1590" s="10" t="str">
        <f t="shared" si="251"/>
        <v/>
      </c>
      <c r="AM1590" s="10" t="str">
        <f t="shared" si="252"/>
        <v/>
      </c>
    </row>
    <row r="1591" spans="1:39" x14ac:dyDescent="0.25">
      <c r="A1591" s="15">
        <v>88207114</v>
      </c>
      <c r="B1591" s="15">
        <v>1.82</v>
      </c>
      <c r="C1591" s="15">
        <v>44017</v>
      </c>
      <c r="D1591" s="15">
        <v>6107</v>
      </c>
      <c r="E1591" s="15" t="s">
        <v>1278</v>
      </c>
      <c r="F1591" s="15">
        <v>2011</v>
      </c>
      <c r="G1591" s="15">
        <v>20110404</v>
      </c>
      <c r="H1591" s="15">
        <v>25509</v>
      </c>
      <c r="I1591" s="15">
        <v>2.5499999999999998</v>
      </c>
      <c r="J1591" s="6" t="s">
        <v>1470</v>
      </c>
      <c r="K1591" s="15">
        <v>11</v>
      </c>
      <c r="L1591" s="15" t="s">
        <v>102</v>
      </c>
      <c r="M1591" s="15" t="s">
        <v>5</v>
      </c>
      <c r="N1591" s="11" t="s">
        <v>1384</v>
      </c>
      <c r="O1591" s="11" t="s">
        <v>28</v>
      </c>
      <c r="P1591" s="11" t="s">
        <v>33</v>
      </c>
      <c r="Q1591" s="15">
        <v>0</v>
      </c>
      <c r="R1591" s="11" t="s">
        <v>1386</v>
      </c>
      <c r="S1591" s="10">
        <v>77.490424173641998</v>
      </c>
      <c r="T1591" s="15">
        <v>80</v>
      </c>
      <c r="U1591" s="15">
        <v>0</v>
      </c>
      <c r="V1591" s="15">
        <v>0</v>
      </c>
      <c r="W1591" s="15">
        <v>0</v>
      </c>
      <c r="X1591" s="15">
        <f>IF(O1591='Udvaskning nøgletal'!$D$65,1,IF(O1591='Udvaskning nøgletal'!$D$66,2,IF(O1591='Udvaskning nøgletal'!$D$67,3,IF(O1591='Udvaskning nøgletal'!$D$68,2,""))))</f>
        <v>1</v>
      </c>
      <c r="Y1591" s="15">
        <f>LOOKUP(K1591,'Udvaskning nøgletal'!$C$12:$C$60,'Udvaskning nøgletal'!$H$12:$H$60)</f>
        <v>5</v>
      </c>
      <c r="Z1591" s="10">
        <f>IF(X1591=1,LOOKUP(K1591,'Udvaskning nøgletal'!$C$12:$C$60,'Udvaskning nøgletal'!$E$12:$E$60)+Markniveau!Y1591*Markniveau!S1591/100,IF(X1591=2,LOOKUP(K1591,'Udvaskning nøgletal'!$C$12:$C$60,'Udvaskning nøgletal'!$F$12:$F$60)+Markniveau!Y1591*Markniveau!S1591/100,IF(X1591=3,LOOKUP(K1591,'Udvaskning nøgletal'!$C$12:$C$60,'Udvaskning nøgletal'!G1601:G1649)+Markniveau!Y1591*Markniveau!S1591/100,"")))</f>
        <v>68.534521208682094</v>
      </c>
      <c r="AA1591" s="10">
        <f t="shared" si="246"/>
        <v>174.76302908213933</v>
      </c>
      <c r="AB1591" s="10" t="str">
        <f t="shared" si="245"/>
        <v/>
      </c>
      <c r="AC1591" s="10" t="str">
        <f t="shared" si="247"/>
        <v/>
      </c>
      <c r="AD1591" s="10">
        <f>IF(AND(Q1591&gt;0,Q1591&lt;30,K1591&lt;8),Markniveau!Z1591*'Udvaskning nøgletal'!$I$12/100,IF(AND(Q1591&gt;0,Q1591&lt;30,K1591=216),Markniveau!Z1591*'Udvaskning nøgletal'!$I$34/100,Markniveau!Z1591))</f>
        <v>68.534521208682094</v>
      </c>
      <c r="AE1591" s="10">
        <f t="shared" si="253"/>
        <v>174.76302908213933</v>
      </c>
      <c r="AF1591" s="10" t="str">
        <f t="shared" si="248"/>
        <v/>
      </c>
      <c r="AG1591" s="10" t="str">
        <f t="shared" si="254"/>
        <v/>
      </c>
      <c r="AH1591" s="10" t="str">
        <f>IF(AND(Q1591&gt;0,Q1591&lt;30,K1591=216),'Udvaskning nøgletal'!$C$42,IF(AND(Q1591&gt;0,Q1591&lt;30,K1591&gt;7,K1591&lt;17),'Udvaskning nøgletal'!$C$61,IF(AND(Q1591&gt;0,Q1591&lt;30,K1591&lt;7),'Udvaskning nøgletal'!$C$62,"")))</f>
        <v/>
      </c>
      <c r="AI1591" s="10">
        <f t="shared" si="250"/>
        <v>11</v>
      </c>
      <c r="AJ1591" s="10">
        <f>IF($X1591=1,LOOKUP(AI1591,'Udvaskning nøgletal'!$C$12:$C$62,'Udvaskning nøgletal'!$E$12:$E$62)+Markniveau!$Y1591*Markniveau!$S1591/100,IF($X1591=2,LOOKUP(AI1591,'Udvaskning nøgletal'!$C$12:$C$62,'Udvaskning nøgletal'!$F$12:$F$62)+Markniveau!$Y1591*Markniveau!$S1591/100,IF($X1591=3,LOOKUP(AI1591,'Udvaskning nøgletal'!$C$12:$C$62,'Udvaskning nøgletal'!Q1601:Q1651)+Markniveau!$Y1591*Markniveau!$S1591/100,"")))</f>
        <v>68.534521208682094</v>
      </c>
      <c r="AK1591" s="10">
        <f t="shared" si="249"/>
        <v>174.76302908213933</v>
      </c>
      <c r="AL1591" s="10" t="str">
        <f t="shared" si="251"/>
        <v/>
      </c>
      <c r="AM1591" s="10" t="str">
        <f t="shared" si="252"/>
        <v/>
      </c>
    </row>
    <row r="1592" spans="1:39" x14ac:dyDescent="0.25">
      <c r="A1592" s="15">
        <v>88207114</v>
      </c>
      <c r="B1592" s="15">
        <v>1.82</v>
      </c>
      <c r="C1592" s="15">
        <v>44018</v>
      </c>
      <c r="D1592" s="15">
        <v>6107</v>
      </c>
      <c r="E1592" s="15" t="s">
        <v>1279</v>
      </c>
      <c r="F1592" s="15">
        <v>2011</v>
      </c>
      <c r="G1592" s="15">
        <v>20110404</v>
      </c>
      <c r="H1592" s="15">
        <v>47962</v>
      </c>
      <c r="I1592" s="15">
        <v>4.8</v>
      </c>
      <c r="J1592" s="6" t="s">
        <v>1384</v>
      </c>
      <c r="K1592" s="15">
        <v>1</v>
      </c>
      <c r="L1592" s="15" t="s">
        <v>32</v>
      </c>
      <c r="M1592" s="15" t="s">
        <v>5</v>
      </c>
      <c r="N1592" s="11" t="s">
        <v>1384</v>
      </c>
      <c r="O1592" s="11" t="s">
        <v>28</v>
      </c>
      <c r="P1592" s="11" t="s">
        <v>33</v>
      </c>
      <c r="Q1592" s="15">
        <v>0</v>
      </c>
      <c r="R1592" s="11" t="s">
        <v>1386</v>
      </c>
      <c r="S1592" s="10">
        <v>77.490424173641998</v>
      </c>
      <c r="T1592" s="15">
        <v>80</v>
      </c>
      <c r="U1592" s="15">
        <v>0</v>
      </c>
      <c r="V1592" s="15">
        <v>0</v>
      </c>
      <c r="W1592" s="15">
        <v>0</v>
      </c>
      <c r="X1592" s="15">
        <f>IF(O1592='Udvaskning nøgletal'!$D$65,1,IF(O1592='Udvaskning nøgletal'!$D$66,2,IF(O1592='Udvaskning nøgletal'!$D$67,3,IF(O1592='Udvaskning nøgletal'!$D$68,2,""))))</f>
        <v>1</v>
      </c>
      <c r="Y1592" s="15">
        <f>LOOKUP(K1592,'Udvaskning nøgletal'!$C$12:$C$60,'Udvaskning nøgletal'!$H$12:$H$60)</f>
        <v>5</v>
      </c>
      <c r="Z1592" s="10">
        <f>IF(X1592=1,LOOKUP(K1592,'Udvaskning nøgletal'!$C$12:$C$60,'Udvaskning nøgletal'!$E$12:$E$60)+Markniveau!Y1592*Markniveau!S1592/100,IF(X1592=2,LOOKUP(K1592,'Udvaskning nøgletal'!$C$12:$C$60,'Udvaskning nøgletal'!$F$12:$F$60)+Markniveau!Y1592*Markniveau!S1592/100,IF(X1592=3,LOOKUP(K1592,'Udvaskning nøgletal'!$C$12:$C$60,'Udvaskning nøgletal'!G1602:G1650)+Markniveau!Y1592*Markniveau!S1592/100,"")))</f>
        <v>68.534521208682094</v>
      </c>
      <c r="AA1592" s="10">
        <f t="shared" si="246"/>
        <v>328.96570180167402</v>
      </c>
      <c r="AB1592" s="10" t="str">
        <f t="shared" si="245"/>
        <v/>
      </c>
      <c r="AC1592" s="10" t="str">
        <f t="shared" si="247"/>
        <v/>
      </c>
      <c r="AD1592" s="10">
        <f>IF(AND(Q1592&gt;0,Q1592&lt;30,K1592&lt;8),Markniveau!Z1592*'Udvaskning nøgletal'!$I$12/100,IF(AND(Q1592&gt;0,Q1592&lt;30,K1592=216),Markniveau!Z1592*'Udvaskning nøgletal'!$I$34/100,Markniveau!Z1592))</f>
        <v>68.534521208682094</v>
      </c>
      <c r="AE1592" s="10">
        <f t="shared" si="253"/>
        <v>328.96570180167402</v>
      </c>
      <c r="AF1592" s="10" t="str">
        <f t="shared" si="248"/>
        <v/>
      </c>
      <c r="AG1592" s="10" t="str">
        <f t="shared" si="254"/>
        <v/>
      </c>
      <c r="AH1592" s="10" t="str">
        <f>IF(AND(Q1592&gt;0,Q1592&lt;30,K1592=216),'Udvaskning nøgletal'!$C$42,IF(AND(Q1592&gt;0,Q1592&lt;30,K1592&gt;7,K1592&lt;17),'Udvaskning nøgletal'!$C$61,IF(AND(Q1592&gt;0,Q1592&lt;30,K1592&lt;7),'Udvaskning nøgletal'!$C$62,"")))</f>
        <v/>
      </c>
      <c r="AI1592" s="10">
        <f t="shared" si="250"/>
        <v>1</v>
      </c>
      <c r="AJ1592" s="10">
        <f>IF($X1592=1,LOOKUP(AI1592,'Udvaskning nøgletal'!$C$12:$C$62,'Udvaskning nøgletal'!$E$12:$E$62)+Markniveau!$Y1592*Markniveau!$S1592/100,IF($X1592=2,LOOKUP(AI1592,'Udvaskning nøgletal'!$C$12:$C$62,'Udvaskning nøgletal'!$F$12:$F$62)+Markniveau!$Y1592*Markniveau!$S1592/100,IF($X1592=3,LOOKUP(AI1592,'Udvaskning nøgletal'!$C$12:$C$62,'Udvaskning nøgletal'!Q1602:Q1652)+Markniveau!$Y1592*Markniveau!$S1592/100,"")))</f>
        <v>68.534521208682094</v>
      </c>
      <c r="AK1592" s="10">
        <f t="shared" si="249"/>
        <v>328.96570180167402</v>
      </c>
      <c r="AL1592" s="10" t="str">
        <f t="shared" si="251"/>
        <v/>
      </c>
      <c r="AM1592" s="10" t="str">
        <f t="shared" si="252"/>
        <v/>
      </c>
    </row>
    <row r="1593" spans="1:39" x14ac:dyDescent="0.25">
      <c r="A1593" s="15">
        <v>88207114</v>
      </c>
      <c r="B1593" s="15">
        <v>1.82</v>
      </c>
      <c r="C1593" s="15">
        <v>44019</v>
      </c>
      <c r="D1593" s="15">
        <v>6107</v>
      </c>
      <c r="E1593" s="15" t="s">
        <v>1280</v>
      </c>
      <c r="F1593" s="15">
        <v>2011</v>
      </c>
      <c r="G1593" s="15">
        <v>20110404</v>
      </c>
      <c r="H1593" s="15">
        <v>100869</v>
      </c>
      <c r="I1593" s="15">
        <v>10.09</v>
      </c>
      <c r="J1593" s="6" t="s">
        <v>1469</v>
      </c>
      <c r="K1593" s="15">
        <v>1</v>
      </c>
      <c r="L1593" s="15" t="s">
        <v>32</v>
      </c>
      <c r="M1593" s="15" t="s">
        <v>5</v>
      </c>
      <c r="N1593" s="11" t="s">
        <v>1384</v>
      </c>
      <c r="O1593" s="11" t="s">
        <v>28</v>
      </c>
      <c r="P1593" s="11" t="s">
        <v>33</v>
      </c>
      <c r="Q1593" s="15">
        <v>0</v>
      </c>
      <c r="R1593" s="11" t="s">
        <v>1386</v>
      </c>
      <c r="S1593" s="10">
        <v>77.490424173641998</v>
      </c>
      <c r="T1593" s="15">
        <v>80</v>
      </c>
      <c r="U1593" s="15">
        <v>0</v>
      </c>
      <c r="V1593" s="15">
        <v>0</v>
      </c>
      <c r="W1593" s="15">
        <v>0</v>
      </c>
      <c r="X1593" s="15">
        <f>IF(O1593='Udvaskning nøgletal'!$D$65,1,IF(O1593='Udvaskning nøgletal'!$D$66,2,IF(O1593='Udvaskning nøgletal'!$D$67,3,IF(O1593='Udvaskning nøgletal'!$D$68,2,""))))</f>
        <v>1</v>
      </c>
      <c r="Y1593" s="15">
        <f>LOOKUP(K1593,'Udvaskning nøgletal'!$C$12:$C$60,'Udvaskning nøgletal'!$H$12:$H$60)</f>
        <v>5</v>
      </c>
      <c r="Z1593" s="10">
        <f>IF(X1593=1,LOOKUP(K1593,'Udvaskning nøgletal'!$C$12:$C$60,'Udvaskning nøgletal'!$E$12:$E$60)+Markniveau!Y1593*Markniveau!S1593/100,IF(X1593=2,LOOKUP(K1593,'Udvaskning nøgletal'!$C$12:$C$60,'Udvaskning nøgletal'!$F$12:$F$60)+Markniveau!Y1593*Markniveau!S1593/100,IF(X1593=3,LOOKUP(K1593,'Udvaskning nøgletal'!$C$12:$C$60,'Udvaskning nøgletal'!G1603:G1651)+Markniveau!Y1593*Markniveau!S1593/100,"")))</f>
        <v>68.534521208682094</v>
      </c>
      <c r="AA1593" s="10">
        <f t="shared" si="246"/>
        <v>691.51331899560228</v>
      </c>
      <c r="AB1593" s="10" t="str">
        <f t="shared" si="245"/>
        <v/>
      </c>
      <c r="AC1593" s="10" t="str">
        <f t="shared" si="247"/>
        <v/>
      </c>
      <c r="AD1593" s="10">
        <f>IF(AND(Q1593&gt;0,Q1593&lt;30,K1593&lt;8),Markniveau!Z1593*'Udvaskning nøgletal'!$I$12/100,IF(AND(Q1593&gt;0,Q1593&lt;30,K1593=216),Markniveau!Z1593*'Udvaskning nøgletal'!$I$34/100,Markniveau!Z1593))</f>
        <v>68.534521208682094</v>
      </c>
      <c r="AE1593" s="10">
        <f t="shared" si="253"/>
        <v>691.51331899560228</v>
      </c>
      <c r="AF1593" s="10" t="str">
        <f t="shared" si="248"/>
        <v/>
      </c>
      <c r="AG1593" s="10" t="str">
        <f t="shared" si="254"/>
        <v/>
      </c>
      <c r="AH1593" s="10" t="str">
        <f>IF(AND(Q1593&gt;0,Q1593&lt;30,K1593=216),'Udvaskning nøgletal'!$C$42,IF(AND(Q1593&gt;0,Q1593&lt;30,K1593&gt;7,K1593&lt;17),'Udvaskning nøgletal'!$C$61,IF(AND(Q1593&gt;0,Q1593&lt;30,K1593&lt;7),'Udvaskning nøgletal'!$C$62,"")))</f>
        <v/>
      </c>
      <c r="AI1593" s="10">
        <f t="shared" si="250"/>
        <v>1</v>
      </c>
      <c r="AJ1593" s="10">
        <f>IF($X1593=1,LOOKUP(AI1593,'Udvaskning nøgletal'!$C$12:$C$62,'Udvaskning nøgletal'!$E$12:$E$62)+Markniveau!$Y1593*Markniveau!$S1593/100,IF($X1593=2,LOOKUP(AI1593,'Udvaskning nøgletal'!$C$12:$C$62,'Udvaskning nøgletal'!$F$12:$F$62)+Markniveau!$Y1593*Markniveau!$S1593/100,IF($X1593=3,LOOKUP(AI1593,'Udvaskning nøgletal'!$C$12:$C$62,'Udvaskning nøgletal'!Q1603:Q1653)+Markniveau!$Y1593*Markniveau!$S1593/100,"")))</f>
        <v>68.534521208682094</v>
      </c>
      <c r="AK1593" s="10">
        <f t="shared" si="249"/>
        <v>691.51331899560228</v>
      </c>
      <c r="AL1593" s="10" t="str">
        <f t="shared" si="251"/>
        <v/>
      </c>
      <c r="AM1593" s="10" t="str">
        <f t="shared" si="252"/>
        <v/>
      </c>
    </row>
    <row r="1594" spans="1:39" x14ac:dyDescent="0.25">
      <c r="A1594" s="15">
        <v>88207114</v>
      </c>
      <c r="B1594" s="15">
        <v>1.82</v>
      </c>
      <c r="C1594" s="15">
        <v>44020</v>
      </c>
      <c r="D1594" s="15">
        <v>6107</v>
      </c>
      <c r="E1594" s="15" t="s">
        <v>1281</v>
      </c>
      <c r="F1594" s="15">
        <v>2011</v>
      </c>
      <c r="G1594" s="15">
        <v>20110404</v>
      </c>
      <c r="H1594" s="15">
        <v>22640</v>
      </c>
      <c r="I1594" s="15">
        <v>2.2599999999999998</v>
      </c>
      <c r="J1594" s="6" t="s">
        <v>1506</v>
      </c>
      <c r="K1594" s="15">
        <v>1</v>
      </c>
      <c r="L1594" s="15" t="s">
        <v>32</v>
      </c>
      <c r="M1594" s="15" t="s">
        <v>5</v>
      </c>
      <c r="N1594" s="11" t="s">
        <v>1406</v>
      </c>
      <c r="O1594" s="11" t="s">
        <v>46</v>
      </c>
      <c r="P1594" s="11" t="s">
        <v>33</v>
      </c>
      <c r="Q1594" s="15">
        <v>1</v>
      </c>
      <c r="R1594" s="11" t="s">
        <v>11</v>
      </c>
      <c r="S1594" s="10">
        <v>77.490424173641998</v>
      </c>
      <c r="T1594" s="15">
        <v>80</v>
      </c>
      <c r="U1594" s="15">
        <v>0</v>
      </c>
      <c r="V1594" s="15">
        <v>0</v>
      </c>
      <c r="W1594" s="15">
        <v>0</v>
      </c>
      <c r="X1594" s="15">
        <f>IF(O1594='Udvaskning nøgletal'!$D$65,1,IF(O1594='Udvaskning nøgletal'!$D$66,2,IF(O1594='Udvaskning nøgletal'!$D$67,3,IF(O1594='Udvaskning nøgletal'!$D$68,2,""))))</f>
        <v>2</v>
      </c>
      <c r="Y1594" s="15">
        <f>LOOKUP(K1594,'Udvaskning nøgletal'!$C$12:$C$60,'Udvaskning nøgletal'!$H$12:$H$60)</f>
        <v>5</v>
      </c>
      <c r="Z1594" s="10">
        <f>IF(X1594=1,LOOKUP(K1594,'Udvaskning nøgletal'!$C$12:$C$60,'Udvaskning nøgletal'!$E$12:$E$60)+Markniveau!Y1594*Markniveau!S1594/100,IF(X1594=2,LOOKUP(K1594,'Udvaskning nøgletal'!$C$12:$C$60,'Udvaskning nøgletal'!$F$12:$F$60)+Markniveau!Y1594*Markniveau!S1594/100,IF(X1594=3,LOOKUP(K1594,'Udvaskning nøgletal'!$C$12:$C$60,'Udvaskning nøgletal'!G1604:G1652)+Markniveau!Y1594*Markniveau!S1594/100,"")))</f>
        <v>54.7545212086821</v>
      </c>
      <c r="AA1594" s="10">
        <f t="shared" si="246"/>
        <v>123.74521793162154</v>
      </c>
      <c r="AB1594" s="10">
        <f t="shared" si="245"/>
        <v>54.206975996595276</v>
      </c>
      <c r="AC1594" s="10">
        <f t="shared" si="247"/>
        <v>122.50776575230532</v>
      </c>
      <c r="AD1594" s="10">
        <f>IF(AND(Q1594&gt;0,Q1594&lt;30,K1594&lt;8),Markniveau!Z1594*'Udvaskning nøgletal'!$I$12/100,IF(AND(Q1594&gt;0,Q1594&lt;30,K1594=216),Markniveau!Z1594*'Udvaskning nøgletal'!$I$34/100,Markniveau!Z1594))</f>
        <v>27.37726060434105</v>
      </c>
      <c r="AE1594" s="10">
        <f t="shared" si="253"/>
        <v>61.87260896581077</v>
      </c>
      <c r="AF1594" s="10">
        <f t="shared" si="248"/>
        <v>27.103487998297638</v>
      </c>
      <c r="AG1594" s="10">
        <f t="shared" si="254"/>
        <v>61.253882876152659</v>
      </c>
      <c r="AH1594" s="10">
        <f>IF(AND(Q1594&gt;0,Q1594&lt;30,K1594=216),'Udvaskning nøgletal'!$C$42,IF(AND(Q1594&gt;0,Q1594&lt;30,K1594&gt;7,K1594&lt;17),'Udvaskning nøgletal'!$C$61,IF(AND(Q1594&gt;0,Q1594&lt;30,K1594&lt;7),'Udvaskning nøgletal'!$C$62,"")))</f>
        <v>1002</v>
      </c>
      <c r="AI1594" s="10">
        <f t="shared" si="250"/>
        <v>1002</v>
      </c>
      <c r="AJ1594" s="10">
        <f>IF($X1594=1,LOOKUP(AI1594,'Udvaskning nøgletal'!$C$12:$C$62,'Udvaskning nøgletal'!$E$12:$E$62)+Markniveau!$Y1594*Markniveau!$S1594/100,IF($X1594=2,LOOKUP(AI1594,'Udvaskning nøgletal'!$C$12:$C$62,'Udvaskning nøgletal'!$F$12:$F$62)+Markniveau!$Y1594*Markniveau!$S1594/100,IF($X1594=3,LOOKUP(AI1594,'Udvaskning nøgletal'!$C$12:$C$62,'Udvaskning nøgletal'!Q1604:Q1654)+Markniveau!$Y1594*Markniveau!$S1594/100,"")))</f>
        <v>27.874521208682101</v>
      </c>
      <c r="AK1594" s="10">
        <f t="shared" si="249"/>
        <v>62.996417931621544</v>
      </c>
      <c r="AL1594" s="10">
        <f t="shared" si="251"/>
        <v>27.595775996595279</v>
      </c>
      <c r="AM1594" s="10">
        <f t="shared" si="252"/>
        <v>62.366453752305326</v>
      </c>
    </row>
    <row r="1595" spans="1:39" x14ac:dyDescent="0.25">
      <c r="A1595" s="15">
        <v>88207114</v>
      </c>
      <c r="B1595" s="15">
        <v>1.82</v>
      </c>
      <c r="C1595" s="15">
        <v>44021</v>
      </c>
      <c r="D1595" s="15">
        <v>6107</v>
      </c>
      <c r="E1595" s="15" t="s">
        <v>1280</v>
      </c>
      <c r="F1595" s="15">
        <v>2011</v>
      </c>
      <c r="G1595" s="15">
        <v>20110404</v>
      </c>
      <c r="H1595" s="15">
        <v>23555</v>
      </c>
      <c r="I1595" s="15">
        <v>2.36</v>
      </c>
      <c r="J1595" s="6" t="s">
        <v>1471</v>
      </c>
      <c r="K1595" s="15">
        <v>11</v>
      </c>
      <c r="L1595" s="15" t="s">
        <v>102</v>
      </c>
      <c r="M1595" s="15" t="s">
        <v>5</v>
      </c>
      <c r="N1595" s="11" t="s">
        <v>1391</v>
      </c>
      <c r="O1595" s="11" t="s">
        <v>46</v>
      </c>
      <c r="P1595" s="11" t="s">
        <v>33</v>
      </c>
      <c r="Q1595" s="15">
        <v>0</v>
      </c>
      <c r="R1595" s="11" t="s">
        <v>1386</v>
      </c>
      <c r="S1595" s="10">
        <v>77.490424173641998</v>
      </c>
      <c r="T1595" s="15">
        <v>80</v>
      </c>
      <c r="U1595" s="15">
        <v>0</v>
      </c>
      <c r="V1595" s="15">
        <v>0</v>
      </c>
      <c r="W1595" s="15">
        <v>0</v>
      </c>
      <c r="X1595" s="15">
        <f>IF(O1595='Udvaskning nøgletal'!$D$65,1,IF(O1595='Udvaskning nøgletal'!$D$66,2,IF(O1595='Udvaskning nøgletal'!$D$67,3,IF(O1595='Udvaskning nøgletal'!$D$68,2,""))))</f>
        <v>2</v>
      </c>
      <c r="Y1595" s="15">
        <f>LOOKUP(K1595,'Udvaskning nøgletal'!$C$12:$C$60,'Udvaskning nøgletal'!$H$12:$H$60)</f>
        <v>5</v>
      </c>
      <c r="Z1595" s="10">
        <f>IF(X1595=1,LOOKUP(K1595,'Udvaskning nøgletal'!$C$12:$C$60,'Udvaskning nøgletal'!$E$12:$E$60)+Markniveau!Y1595*Markniveau!S1595/100,IF(X1595=2,LOOKUP(K1595,'Udvaskning nøgletal'!$C$12:$C$60,'Udvaskning nøgletal'!$F$12:$F$60)+Markniveau!Y1595*Markniveau!S1595/100,IF(X1595=3,LOOKUP(K1595,'Udvaskning nøgletal'!$C$12:$C$60,'Udvaskning nøgletal'!G1605:G1653)+Markniveau!Y1595*Markniveau!S1595/100,"")))</f>
        <v>54.7545212086821</v>
      </c>
      <c r="AA1595" s="10">
        <f t="shared" si="246"/>
        <v>129.22067005248974</v>
      </c>
      <c r="AB1595" s="10" t="str">
        <f t="shared" si="245"/>
        <v/>
      </c>
      <c r="AC1595" s="10" t="str">
        <f t="shared" si="247"/>
        <v/>
      </c>
      <c r="AD1595" s="10">
        <f>IF(AND(Q1595&gt;0,Q1595&lt;30,K1595&lt;8),Markniveau!Z1595*'Udvaskning nøgletal'!$I$12/100,IF(AND(Q1595&gt;0,Q1595&lt;30,K1595=216),Markniveau!Z1595*'Udvaskning nøgletal'!$I$34/100,Markniveau!Z1595))</f>
        <v>54.7545212086821</v>
      </c>
      <c r="AE1595" s="10">
        <f t="shared" si="253"/>
        <v>129.22067005248974</v>
      </c>
      <c r="AF1595" s="10" t="str">
        <f t="shared" si="248"/>
        <v/>
      </c>
      <c r="AG1595" s="10" t="str">
        <f t="shared" si="254"/>
        <v/>
      </c>
      <c r="AH1595" s="10" t="str">
        <f>IF(AND(Q1595&gt;0,Q1595&lt;30,K1595=216),'Udvaskning nøgletal'!$C$42,IF(AND(Q1595&gt;0,Q1595&lt;30,K1595&gt;7,K1595&lt;17),'Udvaskning nøgletal'!$C$61,IF(AND(Q1595&gt;0,Q1595&lt;30,K1595&lt;7),'Udvaskning nøgletal'!$C$62,"")))</f>
        <v/>
      </c>
      <c r="AI1595" s="10">
        <f t="shared" si="250"/>
        <v>11</v>
      </c>
      <c r="AJ1595" s="10">
        <f>IF($X1595=1,LOOKUP(AI1595,'Udvaskning nøgletal'!$C$12:$C$62,'Udvaskning nøgletal'!$E$12:$E$62)+Markniveau!$Y1595*Markniveau!$S1595/100,IF($X1595=2,LOOKUP(AI1595,'Udvaskning nøgletal'!$C$12:$C$62,'Udvaskning nøgletal'!$F$12:$F$62)+Markniveau!$Y1595*Markniveau!$S1595/100,IF($X1595=3,LOOKUP(AI1595,'Udvaskning nøgletal'!$C$12:$C$62,'Udvaskning nøgletal'!Q1605:Q1655)+Markniveau!$Y1595*Markniveau!$S1595/100,"")))</f>
        <v>54.7545212086821</v>
      </c>
      <c r="AK1595" s="10">
        <f t="shared" si="249"/>
        <v>129.22067005248974</v>
      </c>
      <c r="AL1595" s="10" t="str">
        <f t="shared" si="251"/>
        <v/>
      </c>
      <c r="AM1595" s="10" t="str">
        <f t="shared" si="252"/>
        <v/>
      </c>
    </row>
    <row r="1596" spans="1:39" x14ac:dyDescent="0.25">
      <c r="A1596" s="15">
        <v>88207114</v>
      </c>
      <c r="B1596" s="15">
        <v>1.82</v>
      </c>
      <c r="C1596" s="15">
        <v>44022</v>
      </c>
      <c r="D1596" s="15">
        <v>6107</v>
      </c>
      <c r="E1596" s="15" t="s">
        <v>1282</v>
      </c>
      <c r="F1596" s="15">
        <v>2011</v>
      </c>
      <c r="G1596" s="15">
        <v>20110404</v>
      </c>
      <c r="H1596" s="15">
        <v>91104</v>
      </c>
      <c r="I1596" s="15">
        <v>9.11</v>
      </c>
      <c r="J1596" s="6" t="s">
        <v>1390</v>
      </c>
      <c r="K1596" s="15">
        <v>1</v>
      </c>
      <c r="L1596" s="15" t="s">
        <v>32</v>
      </c>
      <c r="M1596" s="15" t="s">
        <v>5</v>
      </c>
      <c r="N1596" s="11" t="s">
        <v>1384</v>
      </c>
      <c r="O1596" s="11" t="s">
        <v>28</v>
      </c>
      <c r="P1596" s="11" t="s">
        <v>33</v>
      </c>
      <c r="Q1596" s="15">
        <v>0</v>
      </c>
      <c r="R1596" s="11" t="s">
        <v>1386</v>
      </c>
      <c r="S1596" s="10">
        <v>77.490424173641998</v>
      </c>
      <c r="T1596" s="15">
        <v>80</v>
      </c>
      <c r="U1596" s="15">
        <v>0</v>
      </c>
      <c r="V1596" s="15">
        <v>0</v>
      </c>
      <c r="W1596" s="15">
        <v>0</v>
      </c>
      <c r="X1596" s="15">
        <f>IF(O1596='Udvaskning nøgletal'!$D$65,1,IF(O1596='Udvaskning nøgletal'!$D$66,2,IF(O1596='Udvaskning nøgletal'!$D$67,3,IF(O1596='Udvaskning nøgletal'!$D$68,2,""))))</f>
        <v>1</v>
      </c>
      <c r="Y1596" s="15">
        <f>LOOKUP(K1596,'Udvaskning nøgletal'!$C$12:$C$60,'Udvaskning nøgletal'!$H$12:$H$60)</f>
        <v>5</v>
      </c>
      <c r="Z1596" s="10">
        <f>IF(X1596=1,LOOKUP(K1596,'Udvaskning nøgletal'!$C$12:$C$60,'Udvaskning nøgletal'!$E$12:$E$60)+Markniveau!Y1596*Markniveau!S1596/100,IF(X1596=2,LOOKUP(K1596,'Udvaskning nøgletal'!$C$12:$C$60,'Udvaskning nøgletal'!$F$12:$F$60)+Markniveau!Y1596*Markniveau!S1596/100,IF(X1596=3,LOOKUP(K1596,'Udvaskning nøgletal'!$C$12:$C$60,'Udvaskning nøgletal'!G1606:G1654)+Markniveau!Y1596*Markniveau!S1596/100,"")))</f>
        <v>68.534521208682094</v>
      </c>
      <c r="AA1596" s="10">
        <f t="shared" si="246"/>
        <v>624.34948821109379</v>
      </c>
      <c r="AB1596" s="10" t="str">
        <f t="shared" si="245"/>
        <v/>
      </c>
      <c r="AC1596" s="10" t="str">
        <f t="shared" si="247"/>
        <v/>
      </c>
      <c r="AD1596" s="10">
        <f>IF(AND(Q1596&gt;0,Q1596&lt;30,K1596&lt;8),Markniveau!Z1596*'Udvaskning nøgletal'!$I$12/100,IF(AND(Q1596&gt;0,Q1596&lt;30,K1596=216),Markniveau!Z1596*'Udvaskning nøgletal'!$I$34/100,Markniveau!Z1596))</f>
        <v>68.534521208682094</v>
      </c>
      <c r="AE1596" s="10">
        <f t="shared" si="253"/>
        <v>624.34948821109379</v>
      </c>
      <c r="AF1596" s="10" t="str">
        <f t="shared" si="248"/>
        <v/>
      </c>
      <c r="AG1596" s="10" t="str">
        <f t="shared" si="254"/>
        <v/>
      </c>
      <c r="AH1596" s="10" t="str">
        <f>IF(AND(Q1596&gt;0,Q1596&lt;30,K1596=216),'Udvaskning nøgletal'!$C$42,IF(AND(Q1596&gt;0,Q1596&lt;30,K1596&gt;7,K1596&lt;17),'Udvaskning nøgletal'!$C$61,IF(AND(Q1596&gt;0,Q1596&lt;30,K1596&lt;7),'Udvaskning nøgletal'!$C$62,"")))</f>
        <v/>
      </c>
      <c r="AI1596" s="10">
        <f t="shared" si="250"/>
        <v>1</v>
      </c>
      <c r="AJ1596" s="10">
        <f>IF($X1596=1,LOOKUP(AI1596,'Udvaskning nøgletal'!$C$12:$C$62,'Udvaskning nøgletal'!$E$12:$E$62)+Markniveau!$Y1596*Markniveau!$S1596/100,IF($X1596=2,LOOKUP(AI1596,'Udvaskning nøgletal'!$C$12:$C$62,'Udvaskning nøgletal'!$F$12:$F$62)+Markniveau!$Y1596*Markniveau!$S1596/100,IF($X1596=3,LOOKUP(AI1596,'Udvaskning nøgletal'!$C$12:$C$62,'Udvaskning nøgletal'!Q1606:Q1656)+Markniveau!$Y1596*Markniveau!$S1596/100,"")))</f>
        <v>68.534521208682094</v>
      </c>
      <c r="AK1596" s="10">
        <f t="shared" si="249"/>
        <v>624.34948821109379</v>
      </c>
      <c r="AL1596" s="10" t="str">
        <f t="shared" si="251"/>
        <v/>
      </c>
      <c r="AM1596" s="10" t="str">
        <f t="shared" si="252"/>
        <v/>
      </c>
    </row>
    <row r="1597" spans="1:39" x14ac:dyDescent="0.25">
      <c r="A1597" s="15">
        <v>88207114</v>
      </c>
      <c r="B1597" s="15">
        <v>1.82</v>
      </c>
      <c r="C1597" s="15">
        <v>44527</v>
      </c>
      <c r="D1597" s="15">
        <v>6107</v>
      </c>
      <c r="E1597" s="15" t="s">
        <v>1280</v>
      </c>
      <c r="F1597" s="15">
        <v>2011</v>
      </c>
      <c r="G1597" s="15">
        <v>20110404</v>
      </c>
      <c r="H1597" s="15">
        <v>73555</v>
      </c>
      <c r="I1597" s="15">
        <v>7.36</v>
      </c>
      <c r="J1597" s="6" t="s">
        <v>1472</v>
      </c>
      <c r="K1597" s="15">
        <v>11</v>
      </c>
      <c r="L1597" s="15" t="s">
        <v>102</v>
      </c>
      <c r="M1597" s="15" t="s">
        <v>5</v>
      </c>
      <c r="N1597" s="11" t="s">
        <v>1384</v>
      </c>
      <c r="O1597" s="11" t="s">
        <v>28</v>
      </c>
      <c r="P1597" s="11" t="s">
        <v>33</v>
      </c>
      <c r="Q1597" s="15">
        <v>0</v>
      </c>
      <c r="R1597" s="11" t="s">
        <v>1386</v>
      </c>
      <c r="S1597" s="10">
        <v>77.490424173641998</v>
      </c>
      <c r="T1597" s="15">
        <v>80</v>
      </c>
      <c r="U1597" s="15">
        <v>0</v>
      </c>
      <c r="V1597" s="15">
        <v>0</v>
      </c>
      <c r="W1597" s="15">
        <v>0</v>
      </c>
      <c r="X1597" s="15">
        <f>IF(O1597='Udvaskning nøgletal'!$D$65,1,IF(O1597='Udvaskning nøgletal'!$D$66,2,IF(O1597='Udvaskning nøgletal'!$D$67,3,IF(O1597='Udvaskning nøgletal'!$D$68,2,""))))</f>
        <v>1</v>
      </c>
      <c r="Y1597" s="15">
        <f>LOOKUP(K1597,'Udvaskning nøgletal'!$C$12:$C$60,'Udvaskning nøgletal'!$H$12:$H$60)</f>
        <v>5</v>
      </c>
      <c r="Z1597" s="10">
        <f>IF(X1597=1,LOOKUP(K1597,'Udvaskning nøgletal'!$C$12:$C$60,'Udvaskning nøgletal'!$E$12:$E$60)+Markniveau!Y1597*Markniveau!S1597/100,IF(X1597=2,LOOKUP(K1597,'Udvaskning nøgletal'!$C$12:$C$60,'Udvaskning nøgletal'!$F$12:$F$60)+Markniveau!Y1597*Markniveau!S1597/100,IF(X1597=3,LOOKUP(K1597,'Udvaskning nøgletal'!$C$12:$C$60,'Udvaskning nøgletal'!G1607:G1655)+Markniveau!Y1597*Markniveau!S1597/100,"")))</f>
        <v>68.534521208682094</v>
      </c>
      <c r="AA1597" s="10">
        <f t="shared" si="246"/>
        <v>504.41407609590021</v>
      </c>
      <c r="AB1597" s="10" t="str">
        <f t="shared" si="245"/>
        <v/>
      </c>
      <c r="AC1597" s="10" t="str">
        <f t="shared" si="247"/>
        <v/>
      </c>
      <c r="AD1597" s="10">
        <f>IF(AND(Q1597&gt;0,Q1597&lt;30,K1597&lt;8),Markniveau!Z1597*'Udvaskning nøgletal'!$I$12/100,IF(AND(Q1597&gt;0,Q1597&lt;30,K1597=216),Markniveau!Z1597*'Udvaskning nøgletal'!$I$34/100,Markniveau!Z1597))</f>
        <v>68.534521208682094</v>
      </c>
      <c r="AE1597" s="10">
        <f t="shared" si="253"/>
        <v>504.41407609590021</v>
      </c>
      <c r="AF1597" s="10" t="str">
        <f t="shared" si="248"/>
        <v/>
      </c>
      <c r="AG1597" s="10" t="str">
        <f t="shared" si="254"/>
        <v/>
      </c>
      <c r="AH1597" s="10" t="str">
        <f>IF(AND(Q1597&gt;0,Q1597&lt;30,K1597=216),'Udvaskning nøgletal'!$C$42,IF(AND(Q1597&gt;0,Q1597&lt;30,K1597&gt;7,K1597&lt;17),'Udvaskning nøgletal'!$C$61,IF(AND(Q1597&gt;0,Q1597&lt;30,K1597&lt;7),'Udvaskning nøgletal'!$C$62,"")))</f>
        <v/>
      </c>
      <c r="AI1597" s="10">
        <f t="shared" si="250"/>
        <v>11</v>
      </c>
      <c r="AJ1597" s="10">
        <f>IF($X1597=1,LOOKUP(AI1597,'Udvaskning nøgletal'!$C$12:$C$62,'Udvaskning nøgletal'!$E$12:$E$62)+Markniveau!$Y1597*Markniveau!$S1597/100,IF($X1597=2,LOOKUP(AI1597,'Udvaskning nøgletal'!$C$12:$C$62,'Udvaskning nøgletal'!$F$12:$F$62)+Markniveau!$Y1597*Markniveau!$S1597/100,IF($X1597=3,LOOKUP(AI1597,'Udvaskning nøgletal'!$C$12:$C$62,'Udvaskning nøgletal'!Q1607:Q1657)+Markniveau!$Y1597*Markniveau!$S1597/100,"")))</f>
        <v>68.534521208682094</v>
      </c>
      <c r="AK1597" s="10">
        <f t="shared" si="249"/>
        <v>504.41407609590021</v>
      </c>
      <c r="AL1597" s="10" t="str">
        <f t="shared" si="251"/>
        <v/>
      </c>
      <c r="AM1597" s="10" t="str">
        <f t="shared" si="252"/>
        <v/>
      </c>
    </row>
    <row r="1598" spans="1:39" x14ac:dyDescent="0.25">
      <c r="A1598" s="15">
        <v>88207114</v>
      </c>
      <c r="B1598" s="15">
        <v>1.82</v>
      </c>
      <c r="C1598" s="15">
        <v>44528</v>
      </c>
      <c r="D1598" s="15">
        <v>6107</v>
      </c>
      <c r="E1598" s="15" t="s">
        <v>1282</v>
      </c>
      <c r="F1598" s="15">
        <v>2011</v>
      </c>
      <c r="G1598" s="15">
        <v>20110404</v>
      </c>
      <c r="H1598" s="15">
        <v>89139</v>
      </c>
      <c r="I1598" s="15">
        <v>8.91</v>
      </c>
      <c r="J1598" s="6" t="s">
        <v>1467</v>
      </c>
      <c r="K1598" s="15">
        <v>10</v>
      </c>
      <c r="L1598" s="15" t="s">
        <v>107</v>
      </c>
      <c r="M1598" s="15" t="s">
        <v>5</v>
      </c>
      <c r="N1598" s="11" t="s">
        <v>1384</v>
      </c>
      <c r="O1598" s="11" t="s">
        <v>28</v>
      </c>
      <c r="P1598" s="11" t="s">
        <v>33</v>
      </c>
      <c r="Q1598" s="15">
        <v>0</v>
      </c>
      <c r="R1598" s="11" t="s">
        <v>1386</v>
      </c>
      <c r="S1598" s="10">
        <v>77.490424173641998</v>
      </c>
      <c r="T1598" s="15">
        <v>80</v>
      </c>
      <c r="U1598" s="15">
        <v>0</v>
      </c>
      <c r="V1598" s="15">
        <v>0</v>
      </c>
      <c r="W1598" s="15">
        <v>0</v>
      </c>
      <c r="X1598" s="15">
        <f>IF(O1598='Udvaskning nøgletal'!$D$65,1,IF(O1598='Udvaskning nøgletal'!$D$66,2,IF(O1598='Udvaskning nøgletal'!$D$67,3,IF(O1598='Udvaskning nøgletal'!$D$68,2,""))))</f>
        <v>1</v>
      </c>
      <c r="Y1598" s="15">
        <f>LOOKUP(K1598,'Udvaskning nøgletal'!$C$12:$C$60,'Udvaskning nøgletal'!$H$12:$H$60)</f>
        <v>5</v>
      </c>
      <c r="Z1598" s="10">
        <f>IF(X1598=1,LOOKUP(K1598,'Udvaskning nøgletal'!$C$12:$C$60,'Udvaskning nøgletal'!$E$12:$E$60)+Markniveau!Y1598*Markniveau!S1598/100,IF(X1598=2,LOOKUP(K1598,'Udvaskning nøgletal'!$C$12:$C$60,'Udvaskning nøgletal'!$F$12:$F$60)+Markniveau!Y1598*Markniveau!S1598/100,IF(X1598=3,LOOKUP(K1598,'Udvaskning nøgletal'!$C$12:$C$60,'Udvaskning nøgletal'!G1608:G1656)+Markniveau!Y1598*Markniveau!S1598/100,"")))</f>
        <v>68.534521208682094</v>
      </c>
      <c r="AA1598" s="10">
        <f t="shared" si="246"/>
        <v>610.64258396935747</v>
      </c>
      <c r="AB1598" s="10" t="str">
        <f t="shared" si="245"/>
        <v/>
      </c>
      <c r="AC1598" s="10" t="str">
        <f t="shared" si="247"/>
        <v/>
      </c>
      <c r="AD1598" s="10">
        <f>IF(AND(Q1598&gt;0,Q1598&lt;30,K1598&lt;8),Markniveau!Z1598*'Udvaskning nøgletal'!$I$12/100,IF(AND(Q1598&gt;0,Q1598&lt;30,K1598=216),Markniveau!Z1598*'Udvaskning nøgletal'!$I$34/100,Markniveau!Z1598))</f>
        <v>68.534521208682094</v>
      </c>
      <c r="AE1598" s="10">
        <f t="shared" si="253"/>
        <v>610.64258396935747</v>
      </c>
      <c r="AF1598" s="10" t="str">
        <f t="shared" si="248"/>
        <v/>
      </c>
      <c r="AG1598" s="10" t="str">
        <f t="shared" si="254"/>
        <v/>
      </c>
      <c r="AH1598" s="10" t="str">
        <f>IF(AND(Q1598&gt;0,Q1598&lt;30,K1598=216),'Udvaskning nøgletal'!$C$42,IF(AND(Q1598&gt;0,Q1598&lt;30,K1598&gt;7,K1598&lt;17),'Udvaskning nøgletal'!$C$61,IF(AND(Q1598&gt;0,Q1598&lt;30,K1598&lt;7),'Udvaskning nøgletal'!$C$62,"")))</f>
        <v/>
      </c>
      <c r="AI1598" s="10">
        <f t="shared" si="250"/>
        <v>10</v>
      </c>
      <c r="AJ1598" s="10">
        <f>IF($X1598=1,LOOKUP(AI1598,'Udvaskning nøgletal'!$C$12:$C$62,'Udvaskning nøgletal'!$E$12:$E$62)+Markniveau!$Y1598*Markniveau!$S1598/100,IF($X1598=2,LOOKUP(AI1598,'Udvaskning nøgletal'!$C$12:$C$62,'Udvaskning nøgletal'!$F$12:$F$62)+Markniveau!$Y1598*Markniveau!$S1598/100,IF($X1598=3,LOOKUP(AI1598,'Udvaskning nøgletal'!$C$12:$C$62,'Udvaskning nøgletal'!Q1608:Q1658)+Markniveau!$Y1598*Markniveau!$S1598/100,"")))</f>
        <v>68.534521208682094</v>
      </c>
      <c r="AK1598" s="10">
        <f t="shared" si="249"/>
        <v>610.64258396935747</v>
      </c>
      <c r="AL1598" s="10" t="str">
        <f t="shared" si="251"/>
        <v/>
      </c>
      <c r="AM1598" s="10" t="str">
        <f t="shared" si="252"/>
        <v/>
      </c>
    </row>
    <row r="1599" spans="1:39" x14ac:dyDescent="0.25">
      <c r="A1599" s="15">
        <v>88207114</v>
      </c>
      <c r="B1599" s="15">
        <v>1.82</v>
      </c>
      <c r="C1599" s="15">
        <v>44529</v>
      </c>
      <c r="D1599" s="15">
        <v>6107</v>
      </c>
      <c r="E1599" s="15" t="s">
        <v>1283</v>
      </c>
      <c r="F1599" s="15">
        <v>2011</v>
      </c>
      <c r="G1599" s="15">
        <v>20110404</v>
      </c>
      <c r="H1599" s="15">
        <v>18227</v>
      </c>
      <c r="I1599" s="15">
        <v>1.82</v>
      </c>
      <c r="J1599" s="6" t="s">
        <v>1485</v>
      </c>
      <c r="K1599" s="15">
        <v>1</v>
      </c>
      <c r="L1599" s="15" t="s">
        <v>32</v>
      </c>
      <c r="M1599" s="15" t="s">
        <v>5</v>
      </c>
      <c r="N1599" s="11" t="s">
        <v>1406</v>
      </c>
      <c r="O1599" s="11" t="s">
        <v>46</v>
      </c>
      <c r="P1599" s="11" t="s">
        <v>29</v>
      </c>
      <c r="Q1599" s="15">
        <v>1</v>
      </c>
      <c r="R1599" s="11" t="s">
        <v>11</v>
      </c>
      <c r="S1599" s="10">
        <v>77.490424173641998</v>
      </c>
      <c r="T1599" s="15">
        <v>80</v>
      </c>
      <c r="U1599" s="15">
        <v>0</v>
      </c>
      <c r="V1599" s="15">
        <v>0</v>
      </c>
      <c r="W1599" s="15">
        <v>0</v>
      </c>
      <c r="X1599" s="15">
        <f>IF(O1599='Udvaskning nøgletal'!$D$65,1,IF(O1599='Udvaskning nøgletal'!$D$66,2,IF(O1599='Udvaskning nøgletal'!$D$67,3,IF(O1599='Udvaskning nøgletal'!$D$68,2,""))))</f>
        <v>2</v>
      </c>
      <c r="Y1599" s="15">
        <f>LOOKUP(K1599,'Udvaskning nøgletal'!$C$12:$C$60,'Udvaskning nøgletal'!$H$12:$H$60)</f>
        <v>5</v>
      </c>
      <c r="Z1599" s="10">
        <f>IF(X1599=1,LOOKUP(K1599,'Udvaskning nøgletal'!$C$12:$C$60,'Udvaskning nøgletal'!$E$12:$E$60)+Markniveau!Y1599*Markniveau!S1599/100,IF(X1599=2,LOOKUP(K1599,'Udvaskning nøgletal'!$C$12:$C$60,'Udvaskning nøgletal'!$F$12:$F$60)+Markniveau!Y1599*Markniveau!S1599/100,IF(X1599=3,LOOKUP(K1599,'Udvaskning nøgletal'!$C$12:$C$60,'Udvaskning nøgletal'!G1609:G1657)+Markniveau!Y1599*Markniveau!S1599/100,"")))</f>
        <v>54.7545212086821</v>
      </c>
      <c r="AA1599" s="10">
        <f t="shared" si="246"/>
        <v>99.653228599801423</v>
      </c>
      <c r="AB1599" s="10">
        <f t="shared" si="245"/>
        <v>54.206975996595276</v>
      </c>
      <c r="AC1599" s="10">
        <f t="shared" si="247"/>
        <v>98.656696313803408</v>
      </c>
      <c r="AD1599" s="10">
        <f>IF(AND(Q1599&gt;0,Q1599&lt;30,K1599&lt;8),Markniveau!Z1599*'Udvaskning nøgletal'!$I$12/100,IF(AND(Q1599&gt;0,Q1599&lt;30,K1599=216),Markniveau!Z1599*'Udvaskning nøgletal'!$I$34/100,Markniveau!Z1599))</f>
        <v>27.37726060434105</v>
      </c>
      <c r="AE1599" s="10">
        <f t="shared" si="253"/>
        <v>49.826614299900712</v>
      </c>
      <c r="AF1599" s="10">
        <f t="shared" si="248"/>
        <v>27.103487998297638</v>
      </c>
      <c r="AG1599" s="10">
        <f t="shared" si="254"/>
        <v>49.328348156901704</v>
      </c>
      <c r="AH1599" s="10">
        <f>IF(AND(Q1599&gt;0,Q1599&lt;30,K1599=216),'Udvaskning nøgletal'!$C$42,IF(AND(Q1599&gt;0,Q1599&lt;30,K1599&gt;7,K1599&lt;17),'Udvaskning nøgletal'!$C$61,IF(AND(Q1599&gt;0,Q1599&lt;30,K1599&lt;7),'Udvaskning nøgletal'!$C$62,"")))</f>
        <v>1002</v>
      </c>
      <c r="AI1599" s="10">
        <f t="shared" si="250"/>
        <v>1002</v>
      </c>
      <c r="AJ1599" s="10">
        <f>IF($X1599=1,LOOKUP(AI1599,'Udvaskning nøgletal'!$C$12:$C$62,'Udvaskning nøgletal'!$E$12:$E$62)+Markniveau!$Y1599*Markniveau!$S1599/100,IF($X1599=2,LOOKUP(AI1599,'Udvaskning nøgletal'!$C$12:$C$62,'Udvaskning nøgletal'!$F$12:$F$62)+Markniveau!$Y1599*Markniveau!$S1599/100,IF($X1599=3,LOOKUP(AI1599,'Udvaskning nøgletal'!$C$12:$C$62,'Udvaskning nøgletal'!Q1609:Q1659)+Markniveau!$Y1599*Markniveau!$S1599/100,"")))</f>
        <v>27.874521208682101</v>
      </c>
      <c r="AK1599" s="10">
        <f t="shared" si="249"/>
        <v>50.731628599801425</v>
      </c>
      <c r="AL1599" s="10">
        <f t="shared" si="251"/>
        <v>27.595775996595279</v>
      </c>
      <c r="AM1599" s="10">
        <f t="shared" si="252"/>
        <v>50.224312313803409</v>
      </c>
    </row>
    <row r="1600" spans="1:39" x14ac:dyDescent="0.25">
      <c r="A1600" s="15">
        <v>88207114</v>
      </c>
      <c r="B1600" s="15">
        <v>1.82</v>
      </c>
      <c r="C1600" s="15">
        <v>44530</v>
      </c>
      <c r="D1600" s="15">
        <v>6107</v>
      </c>
      <c r="E1600" s="15" t="s">
        <v>1277</v>
      </c>
      <c r="F1600" s="15">
        <v>2011</v>
      </c>
      <c r="G1600" s="15">
        <v>20110404</v>
      </c>
      <c r="H1600" s="15">
        <v>43138</v>
      </c>
      <c r="I1600" s="15">
        <v>4.3099999999999996</v>
      </c>
      <c r="J1600" s="6" t="s">
        <v>1466</v>
      </c>
      <c r="K1600" s="15">
        <v>11</v>
      </c>
      <c r="L1600" s="15" t="s">
        <v>102</v>
      </c>
      <c r="M1600" s="15" t="s">
        <v>5</v>
      </c>
      <c r="N1600" s="11" t="s">
        <v>1384</v>
      </c>
      <c r="O1600" s="11" t="s">
        <v>28</v>
      </c>
      <c r="P1600" s="11" t="s">
        <v>33</v>
      </c>
      <c r="Q1600" s="15">
        <v>0</v>
      </c>
      <c r="R1600" s="11" t="s">
        <v>1386</v>
      </c>
      <c r="S1600" s="10">
        <v>77.490424173641998</v>
      </c>
      <c r="T1600" s="15">
        <v>80</v>
      </c>
      <c r="U1600" s="15">
        <v>0</v>
      </c>
      <c r="V1600" s="15">
        <v>0</v>
      </c>
      <c r="W1600" s="15">
        <v>0</v>
      </c>
      <c r="X1600" s="15">
        <f>IF(O1600='Udvaskning nøgletal'!$D$65,1,IF(O1600='Udvaskning nøgletal'!$D$66,2,IF(O1600='Udvaskning nøgletal'!$D$67,3,IF(O1600='Udvaskning nøgletal'!$D$68,2,""))))</f>
        <v>1</v>
      </c>
      <c r="Y1600" s="15">
        <f>LOOKUP(K1600,'Udvaskning nøgletal'!$C$12:$C$60,'Udvaskning nøgletal'!$H$12:$H$60)</f>
        <v>5</v>
      </c>
      <c r="Z1600" s="10">
        <f>IF(X1600=1,LOOKUP(K1600,'Udvaskning nøgletal'!$C$12:$C$60,'Udvaskning nøgletal'!$E$12:$E$60)+Markniveau!Y1600*Markniveau!S1600/100,IF(X1600=2,LOOKUP(K1600,'Udvaskning nøgletal'!$C$12:$C$60,'Udvaskning nøgletal'!$F$12:$F$60)+Markniveau!Y1600*Markniveau!S1600/100,IF(X1600=3,LOOKUP(K1600,'Udvaskning nøgletal'!$C$12:$C$60,'Udvaskning nøgletal'!G1610:G1658)+Markniveau!Y1600*Markniveau!S1600/100,"")))</f>
        <v>68.534521208682094</v>
      </c>
      <c r="AA1600" s="10">
        <f t="shared" si="246"/>
        <v>295.38378640941977</v>
      </c>
      <c r="AB1600" s="10" t="str">
        <f t="shared" si="245"/>
        <v/>
      </c>
      <c r="AC1600" s="10" t="str">
        <f t="shared" si="247"/>
        <v/>
      </c>
      <c r="AD1600" s="10">
        <f>IF(AND(Q1600&gt;0,Q1600&lt;30,K1600&lt;8),Markniveau!Z1600*'Udvaskning nøgletal'!$I$12/100,IF(AND(Q1600&gt;0,Q1600&lt;30,K1600=216),Markniveau!Z1600*'Udvaskning nøgletal'!$I$34/100,Markniveau!Z1600))</f>
        <v>68.534521208682094</v>
      </c>
      <c r="AE1600" s="10">
        <f t="shared" si="253"/>
        <v>295.38378640941977</v>
      </c>
      <c r="AF1600" s="10" t="str">
        <f t="shared" si="248"/>
        <v/>
      </c>
      <c r="AG1600" s="10" t="str">
        <f t="shared" si="254"/>
        <v/>
      </c>
      <c r="AH1600" s="10" t="str">
        <f>IF(AND(Q1600&gt;0,Q1600&lt;30,K1600=216),'Udvaskning nøgletal'!$C$42,IF(AND(Q1600&gt;0,Q1600&lt;30,K1600&gt;7,K1600&lt;17),'Udvaskning nøgletal'!$C$61,IF(AND(Q1600&gt;0,Q1600&lt;30,K1600&lt;7),'Udvaskning nøgletal'!$C$62,"")))</f>
        <v/>
      </c>
      <c r="AI1600" s="10">
        <f t="shared" si="250"/>
        <v>11</v>
      </c>
      <c r="AJ1600" s="10">
        <f>IF($X1600=1,LOOKUP(AI1600,'Udvaskning nøgletal'!$C$12:$C$62,'Udvaskning nøgletal'!$E$12:$E$62)+Markniveau!$Y1600*Markniveau!$S1600/100,IF($X1600=2,LOOKUP(AI1600,'Udvaskning nøgletal'!$C$12:$C$62,'Udvaskning nøgletal'!$F$12:$F$62)+Markniveau!$Y1600*Markniveau!$S1600/100,IF($X1600=3,LOOKUP(AI1600,'Udvaskning nøgletal'!$C$12:$C$62,'Udvaskning nøgletal'!Q1610:Q1660)+Markniveau!$Y1600*Markniveau!$S1600/100,"")))</f>
        <v>68.534521208682094</v>
      </c>
      <c r="AK1600" s="10">
        <f t="shared" si="249"/>
        <v>295.38378640941977</v>
      </c>
      <c r="AL1600" s="10" t="str">
        <f t="shared" si="251"/>
        <v/>
      </c>
      <c r="AM1600" s="10" t="str">
        <f t="shared" si="252"/>
        <v/>
      </c>
    </row>
    <row r="1601" spans="1:39" x14ac:dyDescent="0.25">
      <c r="A1601" s="15">
        <v>88207114</v>
      </c>
      <c r="B1601" s="15">
        <v>1.82</v>
      </c>
      <c r="C1601" s="15">
        <v>43502</v>
      </c>
      <c r="D1601" s="15">
        <v>6107</v>
      </c>
      <c r="E1601" s="15" t="s">
        <v>1282</v>
      </c>
      <c r="F1601" s="15">
        <v>2011</v>
      </c>
      <c r="G1601" s="15">
        <v>20110404</v>
      </c>
      <c r="H1601" s="15">
        <v>26307</v>
      </c>
      <c r="I1601" s="15">
        <v>2.63</v>
      </c>
      <c r="J1601" s="6" t="s">
        <v>1406</v>
      </c>
      <c r="K1601" s="15">
        <v>1</v>
      </c>
      <c r="L1601" s="15" t="s">
        <v>32</v>
      </c>
      <c r="M1601" s="15" t="s">
        <v>5</v>
      </c>
      <c r="N1601" s="11" t="s">
        <v>1384</v>
      </c>
      <c r="O1601" s="11" t="s">
        <v>28</v>
      </c>
      <c r="P1601" s="11" t="s">
        <v>33</v>
      </c>
      <c r="Q1601" s="15">
        <v>0</v>
      </c>
      <c r="R1601" s="11" t="s">
        <v>1386</v>
      </c>
      <c r="S1601" s="10">
        <v>77.490424173641998</v>
      </c>
      <c r="T1601" s="15">
        <v>80</v>
      </c>
      <c r="U1601" s="15">
        <v>0</v>
      </c>
      <c r="V1601" s="15">
        <v>0</v>
      </c>
      <c r="W1601" s="15">
        <v>0</v>
      </c>
      <c r="X1601" s="15">
        <f>IF(O1601='Udvaskning nøgletal'!$D$65,1,IF(O1601='Udvaskning nøgletal'!$D$66,2,IF(O1601='Udvaskning nøgletal'!$D$67,3,IF(O1601='Udvaskning nøgletal'!$D$68,2,""))))</f>
        <v>1</v>
      </c>
      <c r="Y1601" s="15">
        <f>LOOKUP(K1601,'Udvaskning nøgletal'!$C$12:$C$60,'Udvaskning nøgletal'!$H$12:$H$60)</f>
        <v>5</v>
      </c>
      <c r="Z1601" s="10">
        <f>IF(X1601=1,LOOKUP(K1601,'Udvaskning nøgletal'!$C$12:$C$60,'Udvaskning nøgletal'!$E$12:$E$60)+Markniveau!Y1601*Markniveau!S1601/100,IF(X1601=2,LOOKUP(K1601,'Udvaskning nøgletal'!$C$12:$C$60,'Udvaskning nøgletal'!$F$12:$F$60)+Markniveau!Y1601*Markniveau!S1601/100,IF(X1601=3,LOOKUP(K1601,'Udvaskning nøgletal'!$C$12:$C$60,'Udvaskning nøgletal'!G1611:G1659)+Markniveau!Y1601*Markniveau!S1601/100,"")))</f>
        <v>68.534521208682094</v>
      </c>
      <c r="AA1601" s="10">
        <f t="shared" si="246"/>
        <v>180.24579077883391</v>
      </c>
      <c r="AB1601" s="10" t="str">
        <f t="shared" si="245"/>
        <v/>
      </c>
      <c r="AC1601" s="10" t="str">
        <f t="shared" si="247"/>
        <v/>
      </c>
      <c r="AD1601" s="10">
        <f>IF(AND(Q1601&gt;0,Q1601&lt;30,K1601&lt;8),Markniveau!Z1601*'Udvaskning nøgletal'!$I$12/100,IF(AND(Q1601&gt;0,Q1601&lt;30,K1601=216),Markniveau!Z1601*'Udvaskning nøgletal'!$I$34/100,Markniveau!Z1601))</f>
        <v>68.534521208682094</v>
      </c>
      <c r="AE1601" s="10">
        <f t="shared" si="253"/>
        <v>180.24579077883391</v>
      </c>
      <c r="AF1601" s="10" t="str">
        <f t="shared" si="248"/>
        <v/>
      </c>
      <c r="AG1601" s="10" t="str">
        <f t="shared" si="254"/>
        <v/>
      </c>
      <c r="AH1601" s="10" t="str">
        <f>IF(AND(Q1601&gt;0,Q1601&lt;30,K1601=216),'Udvaskning nøgletal'!$C$42,IF(AND(Q1601&gt;0,Q1601&lt;30,K1601&gt;7,K1601&lt;17),'Udvaskning nøgletal'!$C$61,IF(AND(Q1601&gt;0,Q1601&lt;30,K1601&lt;7),'Udvaskning nøgletal'!$C$62,"")))</f>
        <v/>
      </c>
      <c r="AI1601" s="10">
        <f t="shared" si="250"/>
        <v>1</v>
      </c>
      <c r="AJ1601" s="10">
        <f>IF($X1601=1,LOOKUP(AI1601,'Udvaskning nøgletal'!$C$12:$C$62,'Udvaskning nøgletal'!$E$12:$E$62)+Markniveau!$Y1601*Markniveau!$S1601/100,IF($X1601=2,LOOKUP(AI1601,'Udvaskning nøgletal'!$C$12:$C$62,'Udvaskning nøgletal'!$F$12:$F$62)+Markniveau!$Y1601*Markniveau!$S1601/100,IF($X1601=3,LOOKUP(AI1601,'Udvaskning nøgletal'!$C$12:$C$62,'Udvaskning nøgletal'!Q1611:Q1661)+Markniveau!$Y1601*Markniveau!$S1601/100,"")))</f>
        <v>68.534521208682094</v>
      </c>
      <c r="AK1601" s="10">
        <f t="shared" si="249"/>
        <v>180.24579077883391</v>
      </c>
      <c r="AL1601" s="10" t="str">
        <f t="shared" si="251"/>
        <v/>
      </c>
      <c r="AM1601" s="10" t="str">
        <f t="shared" si="252"/>
        <v/>
      </c>
    </row>
    <row r="1602" spans="1:39" x14ac:dyDescent="0.25">
      <c r="A1602" s="15">
        <v>88207114</v>
      </c>
      <c r="B1602" s="15">
        <v>1.82</v>
      </c>
      <c r="C1602" s="15">
        <v>43507</v>
      </c>
      <c r="D1602" s="15">
        <v>6107</v>
      </c>
      <c r="E1602" s="15" t="s">
        <v>1282</v>
      </c>
      <c r="F1602" s="15">
        <v>2011</v>
      </c>
      <c r="G1602" s="15">
        <v>20110404</v>
      </c>
      <c r="H1602" s="15">
        <v>65667</v>
      </c>
      <c r="I1602" s="15">
        <v>6.57</v>
      </c>
      <c r="J1602" s="6" t="s">
        <v>1391</v>
      </c>
      <c r="K1602" s="15">
        <v>10</v>
      </c>
      <c r="L1602" s="15" t="s">
        <v>107</v>
      </c>
      <c r="M1602" s="15" t="s">
        <v>5</v>
      </c>
      <c r="N1602" s="11" t="s">
        <v>1384</v>
      </c>
      <c r="O1602" s="11" t="s">
        <v>28</v>
      </c>
      <c r="P1602" s="11" t="s">
        <v>33</v>
      </c>
      <c r="Q1602" s="15">
        <v>0</v>
      </c>
      <c r="R1602" s="11" t="s">
        <v>1386</v>
      </c>
      <c r="S1602" s="10">
        <v>77.490424173641998</v>
      </c>
      <c r="T1602" s="15">
        <v>80</v>
      </c>
      <c r="U1602" s="15">
        <v>0</v>
      </c>
      <c r="V1602" s="15">
        <v>0</v>
      </c>
      <c r="W1602" s="15">
        <v>0</v>
      </c>
      <c r="X1602" s="15">
        <f>IF(O1602='Udvaskning nøgletal'!$D$65,1,IF(O1602='Udvaskning nøgletal'!$D$66,2,IF(O1602='Udvaskning nøgletal'!$D$67,3,IF(O1602='Udvaskning nøgletal'!$D$68,2,""))))</f>
        <v>1</v>
      </c>
      <c r="Y1602" s="15">
        <f>LOOKUP(K1602,'Udvaskning nøgletal'!$C$12:$C$60,'Udvaskning nøgletal'!$H$12:$H$60)</f>
        <v>5</v>
      </c>
      <c r="Z1602" s="10">
        <f>IF(X1602=1,LOOKUP(K1602,'Udvaskning nøgletal'!$C$12:$C$60,'Udvaskning nøgletal'!$E$12:$E$60)+Markniveau!Y1602*Markniveau!S1602/100,IF(X1602=2,LOOKUP(K1602,'Udvaskning nøgletal'!$C$12:$C$60,'Udvaskning nøgletal'!$F$12:$F$60)+Markniveau!Y1602*Markniveau!S1602/100,IF(X1602=3,LOOKUP(K1602,'Udvaskning nøgletal'!$C$12:$C$60,'Udvaskning nøgletal'!G1612:G1660)+Markniveau!Y1602*Markniveau!S1602/100,"")))</f>
        <v>68.534521208682094</v>
      </c>
      <c r="AA1602" s="10">
        <f t="shared" si="246"/>
        <v>450.27180434104139</v>
      </c>
      <c r="AB1602" s="10" t="str">
        <f t="shared" ref="AB1602:AB1665" si="255">IF(Q1602&gt;0,(100-Q1602)*Z1602/100,"")</f>
        <v/>
      </c>
      <c r="AC1602" s="10" t="str">
        <f t="shared" si="247"/>
        <v/>
      </c>
      <c r="AD1602" s="10">
        <f>IF(AND(Q1602&gt;0,Q1602&lt;30,K1602&lt;8),Markniveau!Z1602*'Udvaskning nøgletal'!$I$12/100,IF(AND(Q1602&gt;0,Q1602&lt;30,K1602=216),Markniveau!Z1602*'Udvaskning nøgletal'!$I$34/100,Markniveau!Z1602))</f>
        <v>68.534521208682094</v>
      </c>
      <c r="AE1602" s="10">
        <f t="shared" si="253"/>
        <v>450.27180434104139</v>
      </c>
      <c r="AF1602" s="10" t="str">
        <f t="shared" si="248"/>
        <v/>
      </c>
      <c r="AG1602" s="10" t="str">
        <f t="shared" si="254"/>
        <v/>
      </c>
      <c r="AH1602" s="10" t="str">
        <f>IF(AND(Q1602&gt;0,Q1602&lt;30,K1602=216),'Udvaskning nøgletal'!$C$42,IF(AND(Q1602&gt;0,Q1602&lt;30,K1602&gt;7,K1602&lt;17),'Udvaskning nøgletal'!$C$61,IF(AND(Q1602&gt;0,Q1602&lt;30,K1602&lt;7),'Udvaskning nøgletal'!$C$62,"")))</f>
        <v/>
      </c>
      <c r="AI1602" s="10">
        <f t="shared" si="250"/>
        <v>10</v>
      </c>
      <c r="AJ1602" s="10">
        <f>IF($X1602=1,LOOKUP(AI1602,'Udvaskning nøgletal'!$C$12:$C$62,'Udvaskning nøgletal'!$E$12:$E$62)+Markniveau!$Y1602*Markniveau!$S1602/100,IF($X1602=2,LOOKUP(AI1602,'Udvaskning nøgletal'!$C$12:$C$62,'Udvaskning nøgletal'!$F$12:$F$62)+Markniveau!$Y1602*Markniveau!$S1602/100,IF($X1602=3,LOOKUP(AI1602,'Udvaskning nøgletal'!$C$12:$C$62,'Udvaskning nøgletal'!Q1612:Q1662)+Markniveau!$Y1602*Markniveau!$S1602/100,"")))</f>
        <v>68.534521208682094</v>
      </c>
      <c r="AK1602" s="10">
        <f t="shared" si="249"/>
        <v>450.27180434104139</v>
      </c>
      <c r="AL1602" s="10" t="str">
        <f t="shared" si="251"/>
        <v/>
      </c>
      <c r="AM1602" s="10" t="str">
        <f t="shared" si="252"/>
        <v/>
      </c>
    </row>
    <row r="1603" spans="1:39" x14ac:dyDescent="0.25">
      <c r="A1603" s="15">
        <v>88256352</v>
      </c>
      <c r="B1603" s="15">
        <v>38.130000000000003</v>
      </c>
      <c r="C1603" s="15">
        <v>426054</v>
      </c>
      <c r="D1603" s="15">
        <v>39671</v>
      </c>
      <c r="E1603" s="15" t="s">
        <v>448</v>
      </c>
      <c r="F1603" s="15">
        <v>2011</v>
      </c>
      <c r="G1603" s="15">
        <v>20110228</v>
      </c>
      <c r="H1603" s="15">
        <v>58158</v>
      </c>
      <c r="I1603" s="15">
        <v>5.82</v>
      </c>
      <c r="J1603" s="6" t="s">
        <v>36</v>
      </c>
      <c r="K1603" s="15">
        <v>1</v>
      </c>
      <c r="L1603" s="15" t="s">
        <v>32</v>
      </c>
      <c r="M1603" s="15" t="s">
        <v>5</v>
      </c>
      <c r="N1603" s="11" t="s">
        <v>1391</v>
      </c>
      <c r="O1603" s="11" t="s">
        <v>46</v>
      </c>
      <c r="P1603" s="11" t="s">
        <v>29</v>
      </c>
      <c r="Q1603" s="15">
        <v>95</v>
      </c>
      <c r="R1603" s="11" t="s">
        <v>3</v>
      </c>
      <c r="S1603" s="10">
        <v>155.20932179738</v>
      </c>
      <c r="T1603" s="15">
        <v>80</v>
      </c>
      <c r="U1603" s="15">
        <v>0</v>
      </c>
      <c r="V1603" s="15">
        <v>0</v>
      </c>
      <c r="W1603" s="15">
        <v>0</v>
      </c>
      <c r="X1603" s="15">
        <f>IF(O1603='Udvaskning nøgletal'!$D$65,1,IF(O1603='Udvaskning nøgletal'!$D$66,2,IF(O1603='Udvaskning nøgletal'!$D$67,3,IF(O1603='Udvaskning nøgletal'!$D$68,2,""))))</f>
        <v>2</v>
      </c>
      <c r="Y1603" s="15">
        <f>LOOKUP(K1603,'Udvaskning nøgletal'!$C$12:$C$60,'Udvaskning nøgletal'!$H$12:$H$60)</f>
        <v>5</v>
      </c>
      <c r="Z1603" s="10">
        <f>IF(X1603=1,LOOKUP(K1603,'Udvaskning nøgletal'!$C$12:$C$60,'Udvaskning nøgletal'!$E$12:$E$60)+Markniveau!Y1603*Markniveau!S1603/100,IF(X1603=2,LOOKUP(K1603,'Udvaskning nøgletal'!$C$12:$C$60,'Udvaskning nøgletal'!$F$12:$F$60)+Markniveau!Y1603*Markniveau!S1603/100,IF(X1603=3,LOOKUP(K1603,'Udvaskning nøgletal'!$C$12:$C$60,'Udvaskning nøgletal'!G1613:G1661)+Markniveau!Y1603*Markniveau!S1603/100,"")))</f>
        <v>58.640466089869001</v>
      </c>
      <c r="AA1603" s="10">
        <f t="shared" ref="AA1603:AA1666" si="256">Z1603*I1603</f>
        <v>341.28751264303759</v>
      </c>
      <c r="AB1603" s="10">
        <f t="shared" si="255"/>
        <v>2.9320233044934501</v>
      </c>
      <c r="AC1603" s="10">
        <f t="shared" ref="AC1603:AC1666" si="257">IF(Q1603&gt;0,AB1603*I1603,"")</f>
        <v>17.064375632151879</v>
      </c>
      <c r="AD1603" s="10">
        <f>IF(AND(Q1603&gt;0,Q1603&lt;30,K1603&lt;8),Markniveau!Z1603*'Udvaskning nøgletal'!$I$12/100,IF(AND(Q1603&gt;0,Q1603&lt;30,K1603=216),Markniveau!Z1603*'Udvaskning nøgletal'!$I$34/100,Markniveau!Z1603))</f>
        <v>58.640466089869001</v>
      </c>
      <c r="AE1603" s="10">
        <f t="shared" si="253"/>
        <v>341.28751264303759</v>
      </c>
      <c r="AF1603" s="10">
        <f t="shared" ref="AF1603:AF1666" si="258">IF($Q1603&gt;0,(100-$Q1603)*$AD1603/100,"")</f>
        <v>2.9320233044934501</v>
      </c>
      <c r="AG1603" s="10">
        <f t="shared" si="254"/>
        <v>17.064375632151879</v>
      </c>
      <c r="AH1603" s="10" t="str">
        <f>IF(AND(Q1603&gt;0,Q1603&lt;30,K1603=216),'Udvaskning nøgletal'!$C$42,IF(AND(Q1603&gt;0,Q1603&lt;30,K1603&gt;7,K1603&lt;17),'Udvaskning nøgletal'!$C$61,IF(AND(Q1603&gt;0,Q1603&lt;30,K1603&lt;7),'Udvaskning nøgletal'!$C$62,"")))</f>
        <v/>
      </c>
      <c r="AI1603" s="10">
        <f t="shared" si="250"/>
        <v>1</v>
      </c>
      <c r="AJ1603" s="10">
        <f>IF($X1603=1,LOOKUP(AI1603,'Udvaskning nøgletal'!$C$12:$C$62,'Udvaskning nøgletal'!$E$12:$E$62)+Markniveau!$Y1603*Markniveau!$S1603/100,IF($X1603=2,LOOKUP(AI1603,'Udvaskning nøgletal'!$C$12:$C$62,'Udvaskning nøgletal'!$F$12:$F$62)+Markniveau!$Y1603*Markniveau!$S1603/100,IF($X1603=3,LOOKUP(AI1603,'Udvaskning nøgletal'!$C$12:$C$62,'Udvaskning nøgletal'!Q1613:Q1663)+Markniveau!$Y1603*Markniveau!$S1603/100,"")))</f>
        <v>58.640466089869001</v>
      </c>
      <c r="AK1603" s="10">
        <f t="shared" ref="AK1603:AK1666" si="259">AJ1603*$I1603</f>
        <v>341.28751264303759</v>
      </c>
      <c r="AL1603" s="10">
        <f t="shared" si="251"/>
        <v>2.9320233044934501</v>
      </c>
      <c r="AM1603" s="10">
        <f t="shared" si="252"/>
        <v>17.064375632151879</v>
      </c>
    </row>
    <row r="1604" spans="1:39" x14ac:dyDescent="0.25">
      <c r="A1604" s="15">
        <v>88256352</v>
      </c>
      <c r="B1604" s="15">
        <v>38.130000000000003</v>
      </c>
      <c r="C1604" s="15">
        <v>426055</v>
      </c>
      <c r="D1604" s="15">
        <v>39671</v>
      </c>
      <c r="E1604" s="15" t="s">
        <v>631</v>
      </c>
      <c r="F1604" s="15">
        <v>2011</v>
      </c>
      <c r="G1604" s="15">
        <v>20110228</v>
      </c>
      <c r="H1604" s="15">
        <v>11522</v>
      </c>
      <c r="I1604" s="15">
        <v>1.1499999999999999</v>
      </c>
      <c r="J1604" s="6" t="s">
        <v>53</v>
      </c>
      <c r="K1604" s="15">
        <v>3</v>
      </c>
      <c r="L1604" s="15" t="s">
        <v>114</v>
      </c>
      <c r="M1604" s="15" t="s">
        <v>5</v>
      </c>
      <c r="N1604" s="11" t="s">
        <v>1391</v>
      </c>
      <c r="O1604" s="11" t="s">
        <v>46</v>
      </c>
      <c r="P1604" s="11" t="s">
        <v>29</v>
      </c>
      <c r="Q1604" s="15">
        <v>95</v>
      </c>
      <c r="R1604" s="11" t="s">
        <v>3</v>
      </c>
      <c r="S1604" s="10">
        <v>155.20932179738</v>
      </c>
      <c r="T1604" s="15">
        <v>80</v>
      </c>
      <c r="U1604" s="15">
        <v>0</v>
      </c>
      <c r="V1604" s="15">
        <v>0</v>
      </c>
      <c r="W1604" s="15">
        <v>0</v>
      </c>
      <c r="X1604" s="15">
        <f>IF(O1604='Udvaskning nøgletal'!$D$65,1,IF(O1604='Udvaskning nøgletal'!$D$66,2,IF(O1604='Udvaskning nøgletal'!$D$67,3,IF(O1604='Udvaskning nøgletal'!$D$68,2,""))))</f>
        <v>2</v>
      </c>
      <c r="Y1604" s="15">
        <f>LOOKUP(K1604,'Udvaskning nøgletal'!$C$12:$C$60,'Udvaskning nøgletal'!$H$12:$H$60)</f>
        <v>5</v>
      </c>
      <c r="Z1604" s="10">
        <f>IF(X1604=1,LOOKUP(K1604,'Udvaskning nøgletal'!$C$12:$C$60,'Udvaskning nøgletal'!$E$12:$E$60)+Markniveau!Y1604*Markniveau!S1604/100,IF(X1604=2,LOOKUP(K1604,'Udvaskning nøgletal'!$C$12:$C$60,'Udvaskning nøgletal'!$F$12:$F$60)+Markniveau!Y1604*Markniveau!S1604/100,IF(X1604=3,LOOKUP(K1604,'Udvaskning nøgletal'!$C$12:$C$60,'Udvaskning nøgletal'!G1614:G1662)+Markniveau!Y1604*Markniveau!S1604/100,"")))</f>
        <v>58.640466089869001</v>
      </c>
      <c r="AA1604" s="10">
        <f t="shared" si="256"/>
        <v>67.436536003349346</v>
      </c>
      <c r="AB1604" s="10">
        <f t="shared" si="255"/>
        <v>2.9320233044934501</v>
      </c>
      <c r="AC1604" s="10">
        <f t="shared" si="257"/>
        <v>3.3718268001674674</v>
      </c>
      <c r="AD1604" s="10">
        <f>IF(AND(Q1604&gt;0,Q1604&lt;30,K1604&lt;8),Markniveau!Z1604*'Udvaskning nøgletal'!$I$12/100,IF(AND(Q1604&gt;0,Q1604&lt;30,K1604=216),Markniveau!Z1604*'Udvaskning nøgletal'!$I$34/100,Markniveau!Z1604))</f>
        <v>58.640466089869001</v>
      </c>
      <c r="AE1604" s="10">
        <f t="shared" si="253"/>
        <v>67.436536003349346</v>
      </c>
      <c r="AF1604" s="10">
        <f t="shared" si="258"/>
        <v>2.9320233044934501</v>
      </c>
      <c r="AG1604" s="10">
        <f t="shared" si="254"/>
        <v>3.3718268001674674</v>
      </c>
      <c r="AH1604" s="10" t="str">
        <f>IF(AND(Q1604&gt;0,Q1604&lt;30,K1604=216),'Udvaskning nøgletal'!$C$42,IF(AND(Q1604&gt;0,Q1604&lt;30,K1604&gt;7,K1604&lt;17),'Udvaskning nøgletal'!$C$61,IF(AND(Q1604&gt;0,Q1604&lt;30,K1604&lt;7),'Udvaskning nøgletal'!$C$62,"")))</f>
        <v/>
      </c>
      <c r="AI1604" s="10">
        <f t="shared" si="250"/>
        <v>3</v>
      </c>
      <c r="AJ1604" s="10">
        <f>IF($X1604=1,LOOKUP(AI1604,'Udvaskning nøgletal'!$C$12:$C$62,'Udvaskning nøgletal'!$E$12:$E$62)+Markniveau!$Y1604*Markniveau!$S1604/100,IF($X1604=2,LOOKUP(AI1604,'Udvaskning nøgletal'!$C$12:$C$62,'Udvaskning nøgletal'!$F$12:$F$62)+Markniveau!$Y1604*Markniveau!$S1604/100,IF($X1604=3,LOOKUP(AI1604,'Udvaskning nøgletal'!$C$12:$C$62,'Udvaskning nøgletal'!Q1614:Q1664)+Markniveau!$Y1604*Markniveau!$S1604/100,"")))</f>
        <v>58.640466089869001</v>
      </c>
      <c r="AK1604" s="10">
        <f t="shared" si="259"/>
        <v>67.436536003349346</v>
      </c>
      <c r="AL1604" s="10">
        <f t="shared" si="251"/>
        <v>2.9320233044934501</v>
      </c>
      <c r="AM1604" s="10">
        <f t="shared" si="252"/>
        <v>3.3718268001674674</v>
      </c>
    </row>
    <row r="1605" spans="1:39" x14ac:dyDescent="0.25">
      <c r="A1605" s="15">
        <v>88256352</v>
      </c>
      <c r="B1605" s="15">
        <v>38.130000000000003</v>
      </c>
      <c r="C1605" s="15">
        <v>426058</v>
      </c>
      <c r="D1605" s="15">
        <v>39671</v>
      </c>
      <c r="E1605" s="15" t="s">
        <v>1284</v>
      </c>
      <c r="F1605" s="15">
        <v>2011</v>
      </c>
      <c r="G1605" s="15">
        <v>20110228</v>
      </c>
      <c r="H1605" s="15">
        <v>8692</v>
      </c>
      <c r="I1605" s="15">
        <v>0.87</v>
      </c>
      <c r="J1605" s="6" t="s">
        <v>76</v>
      </c>
      <c r="K1605" s="15">
        <v>230</v>
      </c>
      <c r="L1605" s="15" t="s">
        <v>120</v>
      </c>
      <c r="M1605" s="15" t="s">
        <v>5</v>
      </c>
      <c r="N1605" s="11" t="s">
        <v>1406</v>
      </c>
      <c r="O1605" s="11" t="s">
        <v>46</v>
      </c>
      <c r="P1605" s="11" t="s">
        <v>33</v>
      </c>
      <c r="Q1605" s="15">
        <v>0</v>
      </c>
      <c r="R1605" s="11" t="s">
        <v>1386</v>
      </c>
      <c r="S1605" s="10">
        <v>155.20932179738</v>
      </c>
      <c r="T1605" s="15">
        <v>80</v>
      </c>
      <c r="U1605" s="15">
        <v>0</v>
      </c>
      <c r="V1605" s="15">
        <v>0</v>
      </c>
      <c r="W1605" s="15">
        <v>0</v>
      </c>
      <c r="X1605" s="15">
        <f>IF(O1605='Udvaskning nøgletal'!$D$65,1,IF(O1605='Udvaskning nøgletal'!$D$66,2,IF(O1605='Udvaskning nøgletal'!$D$67,3,IF(O1605='Udvaskning nøgletal'!$D$68,2,""))))</f>
        <v>2</v>
      </c>
      <c r="Y1605" s="15">
        <f>LOOKUP(K1605,'Udvaskning nøgletal'!$C$12:$C$60,'Udvaskning nøgletal'!$H$12:$H$60)</f>
        <v>0</v>
      </c>
      <c r="Z1605" s="10">
        <f>IF(X1605=1,LOOKUP(K1605,'Udvaskning nøgletal'!$C$12:$C$60,'Udvaskning nøgletal'!$E$12:$E$60)+Markniveau!Y1605*Markniveau!S1605/100,IF(X1605=2,LOOKUP(K1605,'Udvaskning nøgletal'!$C$12:$C$60,'Udvaskning nøgletal'!$F$12:$F$60)+Markniveau!Y1605*Markniveau!S1605/100,IF(X1605=3,LOOKUP(K1605,'Udvaskning nøgletal'!$C$12:$C$60,'Udvaskning nøgletal'!G1615:G1663)+Markniveau!Y1605*Markniveau!S1605/100,"")))</f>
        <v>31.161328188970323</v>
      </c>
      <c r="AA1605" s="10">
        <f t="shared" si="256"/>
        <v>27.110355524404181</v>
      </c>
      <c r="AB1605" s="10" t="str">
        <f t="shared" si="255"/>
        <v/>
      </c>
      <c r="AC1605" s="10" t="str">
        <f t="shared" si="257"/>
        <v/>
      </c>
      <c r="AD1605" s="10">
        <f>IF(AND(Q1605&gt;0,Q1605&lt;30,K1605&lt;8),Markniveau!Z1605*'Udvaskning nøgletal'!$I$12/100,IF(AND(Q1605&gt;0,Q1605&lt;30,K1605=216),Markniveau!Z1605*'Udvaskning nøgletal'!$I$34/100,Markniveau!Z1605))</f>
        <v>31.161328188970323</v>
      </c>
      <c r="AE1605" s="10">
        <f t="shared" si="253"/>
        <v>27.110355524404181</v>
      </c>
      <c r="AF1605" s="10" t="str">
        <f t="shared" si="258"/>
        <v/>
      </c>
      <c r="AG1605" s="10" t="str">
        <f t="shared" si="254"/>
        <v/>
      </c>
      <c r="AH1605" s="10" t="str">
        <f>IF(AND(Q1605&gt;0,Q1605&lt;30,K1605=216),'Udvaskning nøgletal'!$C$42,IF(AND(Q1605&gt;0,Q1605&lt;30,K1605&gt;7,K1605&lt;17),'Udvaskning nøgletal'!$C$61,IF(AND(Q1605&gt;0,Q1605&lt;30,K1605&lt;7),'Udvaskning nøgletal'!$C$62,"")))</f>
        <v/>
      </c>
      <c r="AI1605" s="10">
        <f t="shared" si="250"/>
        <v>230</v>
      </c>
      <c r="AJ1605" s="10">
        <f>IF($X1605=1,LOOKUP(AI1605,'Udvaskning nøgletal'!$C$12:$C$62,'Udvaskning nøgletal'!$E$12:$E$62)+Markniveau!$Y1605*Markniveau!$S1605/100,IF($X1605=2,LOOKUP(AI1605,'Udvaskning nøgletal'!$C$12:$C$62,'Udvaskning nøgletal'!$F$12:$F$62)+Markniveau!$Y1605*Markniveau!$S1605/100,IF($X1605=3,LOOKUP(AI1605,'Udvaskning nøgletal'!$C$12:$C$62,'Udvaskning nøgletal'!Q1615:Q1665)+Markniveau!$Y1605*Markniveau!$S1605/100,"")))</f>
        <v>31.161328188970323</v>
      </c>
      <c r="AK1605" s="10">
        <f t="shared" si="259"/>
        <v>27.110355524404181</v>
      </c>
      <c r="AL1605" s="10" t="str">
        <f t="shared" si="251"/>
        <v/>
      </c>
      <c r="AM1605" s="10" t="str">
        <f t="shared" si="252"/>
        <v/>
      </c>
    </row>
    <row r="1606" spans="1:39" x14ac:dyDescent="0.25">
      <c r="A1606" s="15">
        <v>88256352</v>
      </c>
      <c r="B1606" s="15">
        <v>38.130000000000003</v>
      </c>
      <c r="C1606" s="15">
        <v>426059</v>
      </c>
      <c r="D1606" s="15">
        <v>39671</v>
      </c>
      <c r="E1606" s="15" t="s">
        <v>1284</v>
      </c>
      <c r="F1606" s="15">
        <v>2011</v>
      </c>
      <c r="G1606" s="15">
        <v>20110228</v>
      </c>
      <c r="H1606" s="15">
        <v>10183</v>
      </c>
      <c r="I1606" s="15">
        <v>1.02</v>
      </c>
      <c r="J1606" s="6" t="s">
        <v>63</v>
      </c>
      <c r="K1606" s="15">
        <v>230</v>
      </c>
      <c r="L1606" s="15" t="s">
        <v>120</v>
      </c>
      <c r="M1606" s="15" t="s">
        <v>5</v>
      </c>
      <c r="N1606" s="11" t="s">
        <v>1406</v>
      </c>
      <c r="O1606" s="11" t="s">
        <v>46</v>
      </c>
      <c r="P1606" s="11" t="s">
        <v>33</v>
      </c>
      <c r="Q1606" s="15">
        <v>0</v>
      </c>
      <c r="R1606" s="11" t="s">
        <v>1386</v>
      </c>
      <c r="S1606" s="10">
        <v>155.20932179738</v>
      </c>
      <c r="T1606" s="15">
        <v>80</v>
      </c>
      <c r="U1606" s="15">
        <v>0</v>
      </c>
      <c r="V1606" s="15">
        <v>0</v>
      </c>
      <c r="W1606" s="15">
        <v>0</v>
      </c>
      <c r="X1606" s="15">
        <f>IF(O1606='Udvaskning nøgletal'!$D$65,1,IF(O1606='Udvaskning nøgletal'!$D$66,2,IF(O1606='Udvaskning nøgletal'!$D$67,3,IF(O1606='Udvaskning nøgletal'!$D$68,2,""))))</f>
        <v>2</v>
      </c>
      <c r="Y1606" s="15">
        <f>LOOKUP(K1606,'Udvaskning nøgletal'!$C$12:$C$60,'Udvaskning nøgletal'!$H$12:$H$60)</f>
        <v>0</v>
      </c>
      <c r="Z1606" s="10">
        <f>IF(X1606=1,LOOKUP(K1606,'Udvaskning nøgletal'!$C$12:$C$60,'Udvaskning nøgletal'!$E$12:$E$60)+Markniveau!Y1606*Markniveau!S1606/100,IF(X1606=2,LOOKUP(K1606,'Udvaskning nøgletal'!$C$12:$C$60,'Udvaskning nøgletal'!$F$12:$F$60)+Markniveau!Y1606*Markniveau!S1606/100,IF(X1606=3,LOOKUP(K1606,'Udvaskning nøgletal'!$C$12:$C$60,'Udvaskning nøgletal'!G1616:G1664)+Markniveau!Y1606*Markniveau!S1606/100,"")))</f>
        <v>31.161328188970323</v>
      </c>
      <c r="AA1606" s="10">
        <f t="shared" si="256"/>
        <v>31.784554752749731</v>
      </c>
      <c r="AB1606" s="10" t="str">
        <f t="shared" si="255"/>
        <v/>
      </c>
      <c r="AC1606" s="10" t="str">
        <f t="shared" si="257"/>
        <v/>
      </c>
      <c r="AD1606" s="10">
        <f>IF(AND(Q1606&gt;0,Q1606&lt;30,K1606&lt;8),Markniveau!Z1606*'Udvaskning nøgletal'!$I$12/100,IF(AND(Q1606&gt;0,Q1606&lt;30,K1606=216),Markniveau!Z1606*'Udvaskning nøgletal'!$I$34/100,Markniveau!Z1606))</f>
        <v>31.161328188970323</v>
      </c>
      <c r="AE1606" s="10">
        <f t="shared" si="253"/>
        <v>31.784554752749731</v>
      </c>
      <c r="AF1606" s="10" t="str">
        <f t="shared" si="258"/>
        <v/>
      </c>
      <c r="AG1606" s="10" t="str">
        <f t="shared" si="254"/>
        <v/>
      </c>
      <c r="AH1606" s="10" t="str">
        <f>IF(AND(Q1606&gt;0,Q1606&lt;30,K1606=216),'Udvaskning nøgletal'!$C$42,IF(AND(Q1606&gt;0,Q1606&lt;30,K1606&gt;7,K1606&lt;17),'Udvaskning nøgletal'!$C$61,IF(AND(Q1606&gt;0,Q1606&lt;30,K1606&lt;7),'Udvaskning nøgletal'!$C$62,"")))</f>
        <v/>
      </c>
      <c r="AI1606" s="10">
        <f t="shared" si="250"/>
        <v>230</v>
      </c>
      <c r="AJ1606" s="10">
        <f>IF($X1606=1,LOOKUP(AI1606,'Udvaskning nøgletal'!$C$12:$C$62,'Udvaskning nøgletal'!$E$12:$E$62)+Markniveau!$Y1606*Markniveau!$S1606/100,IF($X1606=2,LOOKUP(AI1606,'Udvaskning nøgletal'!$C$12:$C$62,'Udvaskning nøgletal'!$F$12:$F$62)+Markniveau!$Y1606*Markniveau!$S1606/100,IF($X1606=3,LOOKUP(AI1606,'Udvaskning nøgletal'!$C$12:$C$62,'Udvaskning nøgletal'!Q1616:Q1666)+Markniveau!$Y1606*Markniveau!$S1606/100,"")))</f>
        <v>31.161328188970323</v>
      </c>
      <c r="AK1606" s="10">
        <f t="shared" si="259"/>
        <v>31.784554752749731</v>
      </c>
      <c r="AL1606" s="10" t="str">
        <f t="shared" si="251"/>
        <v/>
      </c>
      <c r="AM1606" s="10" t="str">
        <f t="shared" si="252"/>
        <v/>
      </c>
    </row>
    <row r="1607" spans="1:39" x14ac:dyDescent="0.25">
      <c r="A1607" s="15">
        <v>88256352</v>
      </c>
      <c r="B1607" s="15">
        <v>38.130000000000003</v>
      </c>
      <c r="C1607" s="15">
        <v>433983</v>
      </c>
      <c r="D1607" s="15">
        <v>39671</v>
      </c>
      <c r="E1607" s="15" t="s">
        <v>630</v>
      </c>
      <c r="F1607" s="15">
        <v>2011</v>
      </c>
      <c r="G1607" s="15">
        <v>20110228</v>
      </c>
      <c r="H1607" s="15">
        <v>23218</v>
      </c>
      <c r="I1607" s="15">
        <v>2.3199999999999998</v>
      </c>
      <c r="J1607" s="6" t="s">
        <v>31</v>
      </c>
      <c r="K1607" s="15">
        <v>1</v>
      </c>
      <c r="L1607" s="15" t="s">
        <v>32</v>
      </c>
      <c r="M1607" s="15" t="s">
        <v>5</v>
      </c>
      <c r="N1607" s="11" t="s">
        <v>1391</v>
      </c>
      <c r="O1607" s="11" t="s">
        <v>46</v>
      </c>
      <c r="P1607" s="11" t="s">
        <v>29</v>
      </c>
      <c r="Q1607" s="15">
        <v>95</v>
      </c>
      <c r="R1607" s="11" t="s">
        <v>3</v>
      </c>
      <c r="S1607" s="10">
        <v>155.20932179738</v>
      </c>
      <c r="T1607" s="15">
        <v>80</v>
      </c>
      <c r="U1607" s="15">
        <v>0</v>
      </c>
      <c r="V1607" s="15">
        <v>0</v>
      </c>
      <c r="W1607" s="15">
        <v>0</v>
      </c>
      <c r="X1607" s="15">
        <f>IF(O1607='Udvaskning nøgletal'!$D$65,1,IF(O1607='Udvaskning nøgletal'!$D$66,2,IF(O1607='Udvaskning nøgletal'!$D$67,3,IF(O1607='Udvaskning nøgletal'!$D$68,2,""))))</f>
        <v>2</v>
      </c>
      <c r="Y1607" s="15">
        <f>LOOKUP(K1607,'Udvaskning nøgletal'!$C$12:$C$60,'Udvaskning nøgletal'!$H$12:$H$60)</f>
        <v>5</v>
      </c>
      <c r="Z1607" s="10">
        <f>IF(X1607=1,LOOKUP(K1607,'Udvaskning nøgletal'!$C$12:$C$60,'Udvaskning nøgletal'!$E$12:$E$60)+Markniveau!Y1607*Markniveau!S1607/100,IF(X1607=2,LOOKUP(K1607,'Udvaskning nøgletal'!$C$12:$C$60,'Udvaskning nøgletal'!$F$12:$F$60)+Markniveau!Y1607*Markniveau!S1607/100,IF(X1607=3,LOOKUP(K1607,'Udvaskning nøgletal'!$C$12:$C$60,'Udvaskning nøgletal'!G1617:G1665)+Markniveau!Y1607*Markniveau!S1607/100,"")))</f>
        <v>58.640466089869001</v>
      </c>
      <c r="AA1607" s="10">
        <f t="shared" si="256"/>
        <v>136.04588132849608</v>
      </c>
      <c r="AB1607" s="10">
        <f t="shared" si="255"/>
        <v>2.9320233044934501</v>
      </c>
      <c r="AC1607" s="10">
        <f t="shared" si="257"/>
        <v>6.8022940664248033</v>
      </c>
      <c r="AD1607" s="10">
        <f>IF(AND(Q1607&gt;0,Q1607&lt;30,K1607&lt;8),Markniveau!Z1607*'Udvaskning nøgletal'!$I$12/100,IF(AND(Q1607&gt;0,Q1607&lt;30,K1607=216),Markniveau!Z1607*'Udvaskning nøgletal'!$I$34/100,Markniveau!Z1607))</f>
        <v>58.640466089869001</v>
      </c>
      <c r="AE1607" s="10">
        <f t="shared" si="253"/>
        <v>136.04588132849608</v>
      </c>
      <c r="AF1607" s="10">
        <f t="shared" si="258"/>
        <v>2.9320233044934501</v>
      </c>
      <c r="AG1607" s="10">
        <f t="shared" si="254"/>
        <v>6.8022940664248033</v>
      </c>
      <c r="AH1607" s="10" t="str">
        <f>IF(AND(Q1607&gt;0,Q1607&lt;30,K1607=216),'Udvaskning nøgletal'!$C$42,IF(AND(Q1607&gt;0,Q1607&lt;30,K1607&gt;7,K1607&lt;17),'Udvaskning nøgletal'!$C$61,IF(AND(Q1607&gt;0,Q1607&lt;30,K1607&lt;7),'Udvaskning nøgletal'!$C$62,"")))</f>
        <v/>
      </c>
      <c r="AI1607" s="10">
        <f t="shared" si="250"/>
        <v>1</v>
      </c>
      <c r="AJ1607" s="10">
        <f>IF($X1607=1,LOOKUP(AI1607,'Udvaskning nøgletal'!$C$12:$C$62,'Udvaskning nøgletal'!$E$12:$E$62)+Markniveau!$Y1607*Markniveau!$S1607/100,IF($X1607=2,LOOKUP(AI1607,'Udvaskning nøgletal'!$C$12:$C$62,'Udvaskning nøgletal'!$F$12:$F$62)+Markniveau!$Y1607*Markniveau!$S1607/100,IF($X1607=3,LOOKUP(AI1607,'Udvaskning nøgletal'!$C$12:$C$62,'Udvaskning nøgletal'!Q1617:Q1667)+Markniveau!$Y1607*Markniveau!$S1607/100,"")))</f>
        <v>58.640466089869001</v>
      </c>
      <c r="AK1607" s="10">
        <f t="shared" si="259"/>
        <v>136.04588132849608</v>
      </c>
      <c r="AL1607" s="10">
        <f t="shared" si="251"/>
        <v>2.9320233044934501</v>
      </c>
      <c r="AM1607" s="10">
        <f t="shared" si="252"/>
        <v>6.8022940664248033</v>
      </c>
    </row>
    <row r="1608" spans="1:39" x14ac:dyDescent="0.25">
      <c r="A1608" s="15">
        <v>88256352</v>
      </c>
      <c r="B1608" s="15">
        <v>38.130000000000003</v>
      </c>
      <c r="C1608" s="15">
        <v>433984</v>
      </c>
      <c r="D1608" s="15">
        <v>39671</v>
      </c>
      <c r="E1608" s="15" t="s">
        <v>630</v>
      </c>
      <c r="F1608" s="15">
        <v>2011</v>
      </c>
      <c r="G1608" s="15">
        <v>20110228</v>
      </c>
      <c r="H1608" s="15">
        <v>42797</v>
      </c>
      <c r="I1608" s="15">
        <v>4.28</v>
      </c>
      <c r="J1608" s="6" t="s">
        <v>61</v>
      </c>
      <c r="K1608" s="15">
        <v>11</v>
      </c>
      <c r="L1608" s="15" t="s">
        <v>102</v>
      </c>
      <c r="M1608" s="15" t="s">
        <v>5</v>
      </c>
      <c r="N1608" s="11" t="s">
        <v>1391</v>
      </c>
      <c r="O1608" s="11" t="s">
        <v>46</v>
      </c>
      <c r="P1608" s="11" t="s">
        <v>29</v>
      </c>
      <c r="Q1608" s="15">
        <v>95</v>
      </c>
      <c r="R1608" s="11" t="s">
        <v>3</v>
      </c>
      <c r="S1608" s="10">
        <v>155.20932179738</v>
      </c>
      <c r="T1608" s="15">
        <v>80</v>
      </c>
      <c r="U1608" s="15">
        <v>0</v>
      </c>
      <c r="V1608" s="15">
        <v>0</v>
      </c>
      <c r="W1608" s="15">
        <v>0</v>
      </c>
      <c r="X1608" s="15">
        <f>IF(O1608='Udvaskning nøgletal'!$D$65,1,IF(O1608='Udvaskning nøgletal'!$D$66,2,IF(O1608='Udvaskning nøgletal'!$D$67,3,IF(O1608='Udvaskning nøgletal'!$D$68,2,""))))</f>
        <v>2</v>
      </c>
      <c r="Y1608" s="15">
        <f>LOOKUP(K1608,'Udvaskning nøgletal'!$C$12:$C$60,'Udvaskning nøgletal'!$H$12:$H$60)</f>
        <v>5</v>
      </c>
      <c r="Z1608" s="10">
        <f>IF(X1608=1,LOOKUP(K1608,'Udvaskning nøgletal'!$C$12:$C$60,'Udvaskning nøgletal'!$E$12:$E$60)+Markniveau!Y1608*Markniveau!S1608/100,IF(X1608=2,LOOKUP(K1608,'Udvaskning nøgletal'!$C$12:$C$60,'Udvaskning nøgletal'!$F$12:$F$60)+Markniveau!Y1608*Markniveau!S1608/100,IF(X1608=3,LOOKUP(K1608,'Udvaskning nøgletal'!$C$12:$C$60,'Udvaskning nøgletal'!G1618:G1666)+Markniveau!Y1608*Markniveau!S1608/100,"")))</f>
        <v>58.640466089869001</v>
      </c>
      <c r="AA1608" s="10">
        <f t="shared" si="256"/>
        <v>250.98119486463935</v>
      </c>
      <c r="AB1608" s="10">
        <f t="shared" si="255"/>
        <v>2.9320233044934501</v>
      </c>
      <c r="AC1608" s="10">
        <f t="shared" si="257"/>
        <v>12.549059743231966</v>
      </c>
      <c r="AD1608" s="10">
        <f>IF(AND(Q1608&gt;0,Q1608&lt;30,K1608&lt;8),Markniveau!Z1608*'Udvaskning nøgletal'!$I$12/100,IF(AND(Q1608&gt;0,Q1608&lt;30,K1608=216),Markniveau!Z1608*'Udvaskning nøgletal'!$I$34/100,Markniveau!Z1608))</f>
        <v>58.640466089869001</v>
      </c>
      <c r="AE1608" s="10">
        <f t="shared" si="253"/>
        <v>250.98119486463935</v>
      </c>
      <c r="AF1608" s="10">
        <f t="shared" si="258"/>
        <v>2.9320233044934501</v>
      </c>
      <c r="AG1608" s="10">
        <f t="shared" si="254"/>
        <v>12.549059743231966</v>
      </c>
      <c r="AH1608" s="10" t="str">
        <f>IF(AND(Q1608&gt;0,Q1608&lt;30,K1608=216),'Udvaskning nøgletal'!$C$42,IF(AND(Q1608&gt;0,Q1608&lt;30,K1608&gt;7,K1608&lt;17),'Udvaskning nøgletal'!$C$61,IF(AND(Q1608&gt;0,Q1608&lt;30,K1608&lt;7),'Udvaskning nøgletal'!$C$62,"")))</f>
        <v/>
      </c>
      <c r="AI1608" s="10">
        <f t="shared" ref="AI1608:AI1671" si="260">IF(SUM(AH1608)&gt;0,AH1608,K1608)</f>
        <v>11</v>
      </c>
      <c r="AJ1608" s="10">
        <f>IF($X1608=1,LOOKUP(AI1608,'Udvaskning nøgletal'!$C$12:$C$62,'Udvaskning nøgletal'!$E$12:$E$62)+Markniveau!$Y1608*Markniveau!$S1608/100,IF($X1608=2,LOOKUP(AI1608,'Udvaskning nøgletal'!$C$12:$C$62,'Udvaskning nøgletal'!$F$12:$F$62)+Markniveau!$Y1608*Markniveau!$S1608/100,IF($X1608=3,LOOKUP(AI1608,'Udvaskning nøgletal'!$C$12:$C$62,'Udvaskning nøgletal'!Q1618:Q1668)+Markniveau!$Y1608*Markniveau!$S1608/100,"")))</f>
        <v>58.640466089869001</v>
      </c>
      <c r="AK1608" s="10">
        <f t="shared" si="259"/>
        <v>250.98119486463935</v>
      </c>
      <c r="AL1608" s="10">
        <f t="shared" si="251"/>
        <v>2.9320233044934501</v>
      </c>
      <c r="AM1608" s="10">
        <f t="shared" si="252"/>
        <v>12.549059743231966</v>
      </c>
    </row>
    <row r="1609" spans="1:39" x14ac:dyDescent="0.25">
      <c r="A1609" s="15">
        <v>88256352</v>
      </c>
      <c r="B1609" s="15">
        <v>38.130000000000003</v>
      </c>
      <c r="C1609" s="15">
        <v>433985</v>
      </c>
      <c r="D1609" s="15">
        <v>39671</v>
      </c>
      <c r="E1609" s="15" t="s">
        <v>630</v>
      </c>
      <c r="F1609" s="15">
        <v>2011</v>
      </c>
      <c r="G1609" s="15">
        <v>20110228</v>
      </c>
      <c r="H1609" s="15">
        <v>73471</v>
      </c>
      <c r="I1609" s="15">
        <v>7.35</v>
      </c>
      <c r="J1609" s="6" t="s">
        <v>37</v>
      </c>
      <c r="K1609" s="15">
        <v>11</v>
      </c>
      <c r="L1609" s="15" t="s">
        <v>102</v>
      </c>
      <c r="M1609" s="15" t="s">
        <v>5</v>
      </c>
      <c r="N1609" s="11" t="s">
        <v>1391</v>
      </c>
      <c r="O1609" s="11" t="s">
        <v>46</v>
      </c>
      <c r="P1609" s="11" t="s">
        <v>29</v>
      </c>
      <c r="Q1609" s="15">
        <v>95</v>
      </c>
      <c r="R1609" s="11" t="s">
        <v>3</v>
      </c>
      <c r="S1609" s="10">
        <v>155.20932179738</v>
      </c>
      <c r="T1609" s="15">
        <v>80</v>
      </c>
      <c r="U1609" s="15">
        <v>0</v>
      </c>
      <c r="V1609" s="15">
        <v>0</v>
      </c>
      <c r="W1609" s="15">
        <v>0</v>
      </c>
      <c r="X1609" s="15">
        <f>IF(O1609='Udvaskning nøgletal'!$D$65,1,IF(O1609='Udvaskning nøgletal'!$D$66,2,IF(O1609='Udvaskning nøgletal'!$D$67,3,IF(O1609='Udvaskning nøgletal'!$D$68,2,""))))</f>
        <v>2</v>
      </c>
      <c r="Y1609" s="15">
        <f>LOOKUP(K1609,'Udvaskning nøgletal'!$C$12:$C$60,'Udvaskning nøgletal'!$H$12:$H$60)</f>
        <v>5</v>
      </c>
      <c r="Z1609" s="10">
        <f>IF(X1609=1,LOOKUP(K1609,'Udvaskning nøgletal'!$C$12:$C$60,'Udvaskning nøgletal'!$E$12:$E$60)+Markniveau!Y1609*Markniveau!S1609/100,IF(X1609=2,LOOKUP(K1609,'Udvaskning nøgletal'!$C$12:$C$60,'Udvaskning nøgletal'!$F$12:$F$60)+Markniveau!Y1609*Markniveau!S1609/100,IF(X1609=3,LOOKUP(K1609,'Udvaskning nøgletal'!$C$12:$C$60,'Udvaskning nøgletal'!G1619:G1667)+Markniveau!Y1609*Markniveau!S1609/100,"")))</f>
        <v>58.640466089869001</v>
      </c>
      <c r="AA1609" s="10">
        <f t="shared" si="256"/>
        <v>431.00742576053716</v>
      </c>
      <c r="AB1609" s="10">
        <f t="shared" si="255"/>
        <v>2.9320233044934501</v>
      </c>
      <c r="AC1609" s="10">
        <f t="shared" si="257"/>
        <v>21.550371288026856</v>
      </c>
      <c r="AD1609" s="10">
        <f>IF(AND(Q1609&gt;0,Q1609&lt;30,K1609&lt;8),Markniveau!Z1609*'Udvaskning nøgletal'!$I$12/100,IF(AND(Q1609&gt;0,Q1609&lt;30,K1609=216),Markniveau!Z1609*'Udvaskning nøgletal'!$I$34/100,Markniveau!Z1609))</f>
        <v>58.640466089869001</v>
      </c>
      <c r="AE1609" s="10">
        <f t="shared" si="253"/>
        <v>431.00742576053716</v>
      </c>
      <c r="AF1609" s="10">
        <f t="shared" si="258"/>
        <v>2.9320233044934501</v>
      </c>
      <c r="AG1609" s="10">
        <f t="shared" si="254"/>
        <v>21.550371288026856</v>
      </c>
      <c r="AH1609" s="10" t="str">
        <f>IF(AND(Q1609&gt;0,Q1609&lt;30,K1609=216),'Udvaskning nøgletal'!$C$42,IF(AND(Q1609&gt;0,Q1609&lt;30,K1609&gt;7,K1609&lt;17),'Udvaskning nøgletal'!$C$61,IF(AND(Q1609&gt;0,Q1609&lt;30,K1609&lt;7),'Udvaskning nøgletal'!$C$62,"")))</f>
        <v/>
      </c>
      <c r="AI1609" s="10">
        <f t="shared" si="260"/>
        <v>11</v>
      </c>
      <c r="AJ1609" s="10">
        <f>IF($X1609=1,LOOKUP(AI1609,'Udvaskning nøgletal'!$C$12:$C$62,'Udvaskning nøgletal'!$E$12:$E$62)+Markniveau!$Y1609*Markniveau!$S1609/100,IF($X1609=2,LOOKUP(AI1609,'Udvaskning nøgletal'!$C$12:$C$62,'Udvaskning nøgletal'!$F$12:$F$62)+Markniveau!$Y1609*Markniveau!$S1609/100,IF($X1609=3,LOOKUP(AI1609,'Udvaskning nøgletal'!$C$12:$C$62,'Udvaskning nøgletal'!Q1619:Q1669)+Markniveau!$Y1609*Markniveau!$S1609/100,"")))</f>
        <v>58.640466089869001</v>
      </c>
      <c r="AK1609" s="10">
        <f t="shared" si="259"/>
        <v>431.00742576053716</v>
      </c>
      <c r="AL1609" s="10">
        <f t="shared" si="251"/>
        <v>2.9320233044934501</v>
      </c>
      <c r="AM1609" s="10">
        <f t="shared" si="252"/>
        <v>21.550371288026856</v>
      </c>
    </row>
    <row r="1610" spans="1:39" x14ac:dyDescent="0.25">
      <c r="A1610" s="15">
        <v>88256352</v>
      </c>
      <c r="B1610" s="15">
        <v>38.130000000000003</v>
      </c>
      <c r="C1610" s="15">
        <v>433986</v>
      </c>
      <c r="D1610" s="15">
        <v>39671</v>
      </c>
      <c r="E1610" s="15" t="s">
        <v>630</v>
      </c>
      <c r="F1610" s="15">
        <v>2011</v>
      </c>
      <c r="G1610" s="15">
        <v>20110228</v>
      </c>
      <c r="H1610" s="15">
        <v>16786</v>
      </c>
      <c r="I1610" s="15">
        <v>1.68</v>
      </c>
      <c r="J1610" s="6" t="s">
        <v>1410</v>
      </c>
      <c r="K1610" s="15">
        <v>260</v>
      </c>
      <c r="L1610" s="15" t="s">
        <v>45</v>
      </c>
      <c r="M1610" s="15" t="s">
        <v>5</v>
      </c>
      <c r="N1610" s="11" t="s">
        <v>1391</v>
      </c>
      <c r="O1610" s="11" t="s">
        <v>46</v>
      </c>
      <c r="P1610" s="11" t="s">
        <v>29</v>
      </c>
      <c r="Q1610" s="15">
        <v>95</v>
      </c>
      <c r="R1610" s="11" t="s">
        <v>3</v>
      </c>
      <c r="S1610" s="10">
        <v>155.20932179738</v>
      </c>
      <c r="T1610" s="15">
        <v>80</v>
      </c>
      <c r="U1610" s="15">
        <v>0</v>
      </c>
      <c r="V1610" s="15">
        <v>0</v>
      </c>
      <c r="W1610" s="15">
        <v>0</v>
      </c>
      <c r="X1610" s="15">
        <f>IF(O1610='Udvaskning nøgletal'!$D$65,1,IF(O1610='Udvaskning nøgletal'!$D$66,2,IF(O1610='Udvaskning nøgletal'!$D$67,3,IF(O1610='Udvaskning nøgletal'!$D$68,2,""))))</f>
        <v>2</v>
      </c>
      <c r="Y1610" s="15">
        <f>LOOKUP(K1610,'Udvaskning nøgletal'!$C$12:$C$60,'Udvaskning nøgletal'!$H$12:$H$60)</f>
        <v>0</v>
      </c>
      <c r="Z1610" s="10">
        <f>IF(X1610=1,LOOKUP(K1610,'Udvaskning nøgletal'!$C$12:$C$60,'Udvaskning nøgletal'!$E$12:$E$60)+Markniveau!Y1610*Markniveau!S1610/100,IF(X1610=2,LOOKUP(K1610,'Udvaskning nøgletal'!$C$12:$C$60,'Udvaskning nøgletal'!$F$12:$F$60)+Markniveau!Y1610*Markniveau!S1610/100,IF(X1610=3,LOOKUP(K1610,'Udvaskning nøgletal'!$C$12:$C$60,'Udvaskning nøgletal'!G1620:G1668)+Markniveau!Y1610*Markniveau!S1610/100,"")))</f>
        <v>27.331185321443094</v>
      </c>
      <c r="AA1610" s="10">
        <f t="shared" si="256"/>
        <v>45.916391340024397</v>
      </c>
      <c r="AB1610" s="10">
        <f t="shared" si="255"/>
        <v>1.3665592660721546</v>
      </c>
      <c r="AC1610" s="10">
        <f t="shared" si="257"/>
        <v>2.2958195670012196</v>
      </c>
      <c r="AD1610" s="10">
        <f>IF(AND(Q1610&gt;0,Q1610&lt;30,K1610&lt;8),Markniveau!Z1610*'Udvaskning nøgletal'!$I$12/100,IF(AND(Q1610&gt;0,Q1610&lt;30,K1610=216),Markniveau!Z1610*'Udvaskning nøgletal'!$I$34/100,Markniveau!Z1610))</f>
        <v>27.331185321443094</v>
      </c>
      <c r="AE1610" s="10">
        <f t="shared" si="253"/>
        <v>45.916391340024397</v>
      </c>
      <c r="AF1610" s="10">
        <f t="shared" si="258"/>
        <v>1.3665592660721546</v>
      </c>
      <c r="AG1610" s="10">
        <f t="shared" si="254"/>
        <v>2.2958195670012196</v>
      </c>
      <c r="AH1610" s="10" t="str">
        <f>IF(AND(Q1610&gt;0,Q1610&lt;30,K1610=216),'Udvaskning nøgletal'!$C$42,IF(AND(Q1610&gt;0,Q1610&lt;30,K1610&gt;7,K1610&lt;17),'Udvaskning nøgletal'!$C$61,IF(AND(Q1610&gt;0,Q1610&lt;30,K1610&lt;7),'Udvaskning nøgletal'!$C$62,"")))</f>
        <v/>
      </c>
      <c r="AI1610" s="10">
        <f t="shared" si="260"/>
        <v>260</v>
      </c>
      <c r="AJ1610" s="10">
        <f>IF($X1610=1,LOOKUP(AI1610,'Udvaskning nøgletal'!$C$12:$C$62,'Udvaskning nøgletal'!$E$12:$E$62)+Markniveau!$Y1610*Markniveau!$S1610/100,IF($X1610=2,LOOKUP(AI1610,'Udvaskning nøgletal'!$C$12:$C$62,'Udvaskning nøgletal'!$F$12:$F$62)+Markniveau!$Y1610*Markniveau!$S1610/100,IF($X1610=3,LOOKUP(AI1610,'Udvaskning nøgletal'!$C$12:$C$62,'Udvaskning nøgletal'!Q1620:Q1670)+Markniveau!$Y1610*Markniveau!$S1610/100,"")))</f>
        <v>27.331185321443094</v>
      </c>
      <c r="AK1610" s="10">
        <f t="shared" si="259"/>
        <v>45.916391340024397</v>
      </c>
      <c r="AL1610" s="10">
        <f t="shared" si="251"/>
        <v>1.3665592660721546</v>
      </c>
      <c r="AM1610" s="10">
        <f t="shared" si="252"/>
        <v>2.2958195670012196</v>
      </c>
    </row>
    <row r="1611" spans="1:39" x14ac:dyDescent="0.25">
      <c r="A1611" s="15">
        <v>88256352</v>
      </c>
      <c r="B1611" s="15">
        <v>38.130000000000003</v>
      </c>
      <c r="C1611" s="15">
        <v>433987</v>
      </c>
      <c r="D1611" s="15">
        <v>39671</v>
      </c>
      <c r="E1611" s="15" t="s">
        <v>630</v>
      </c>
      <c r="F1611" s="15">
        <v>2011</v>
      </c>
      <c r="G1611" s="15">
        <v>20110228</v>
      </c>
      <c r="H1611" s="15">
        <v>13872</v>
      </c>
      <c r="I1611" s="15">
        <v>1.39</v>
      </c>
      <c r="J1611" s="6" t="s">
        <v>69</v>
      </c>
      <c r="K1611" s="15">
        <v>252</v>
      </c>
      <c r="L1611" s="15" t="s">
        <v>41</v>
      </c>
      <c r="M1611" s="15" t="s">
        <v>4</v>
      </c>
      <c r="N1611" s="11" t="s">
        <v>1384</v>
      </c>
      <c r="O1611" s="11" t="s">
        <v>28</v>
      </c>
      <c r="P1611" s="11" t="s">
        <v>29</v>
      </c>
      <c r="Q1611" s="15">
        <v>95</v>
      </c>
      <c r="R1611" s="11" t="s">
        <v>3</v>
      </c>
      <c r="S1611" s="10">
        <v>155.20932179738</v>
      </c>
      <c r="T1611" s="15">
        <v>80</v>
      </c>
      <c r="U1611" s="15">
        <v>0</v>
      </c>
      <c r="V1611" s="15">
        <v>0</v>
      </c>
      <c r="W1611" s="15">
        <v>0</v>
      </c>
      <c r="X1611" s="15">
        <f>IF(O1611='Udvaskning nøgletal'!$D$65,1,IF(O1611='Udvaskning nøgletal'!$D$66,2,IF(O1611='Udvaskning nøgletal'!$D$67,3,IF(O1611='Udvaskning nøgletal'!$D$68,2,""))))</f>
        <v>1</v>
      </c>
      <c r="Y1611" s="15">
        <f>LOOKUP(K1611,'Udvaskning nøgletal'!$C$12:$C$60,'Udvaskning nøgletal'!$H$12:$H$60)</f>
        <v>0</v>
      </c>
      <c r="Z1611" s="10">
        <f>IF(X1611=1,LOOKUP(K1611,'Udvaskning nøgletal'!$C$12:$C$60,'Udvaskning nøgletal'!$E$12:$E$60)+Markniveau!Y1611*Markniveau!S1611/100,IF(X1611=2,LOOKUP(K1611,'Udvaskning nøgletal'!$C$12:$C$60,'Udvaskning nøgletal'!$F$12:$F$60)+Markniveau!Y1611*Markniveau!S1611/100,IF(X1611=3,LOOKUP(K1611,'Udvaskning nøgletal'!$C$12:$C$60,'Udvaskning nøgletal'!G1621:G1669)+Markniveau!Y1611*Markniveau!S1611/100,"")))</f>
        <v>21.2</v>
      </c>
      <c r="AA1611" s="10">
        <f t="shared" si="256"/>
        <v>29.467999999999996</v>
      </c>
      <c r="AB1611" s="10">
        <f t="shared" si="255"/>
        <v>1.06</v>
      </c>
      <c r="AC1611" s="10">
        <f t="shared" si="257"/>
        <v>1.4734</v>
      </c>
      <c r="AD1611" s="10">
        <f>IF(AND(Q1611&gt;0,Q1611&lt;30,K1611&lt;8),Markniveau!Z1611*'Udvaskning nøgletal'!$I$12/100,IF(AND(Q1611&gt;0,Q1611&lt;30,K1611=216),Markniveau!Z1611*'Udvaskning nøgletal'!$I$34/100,Markniveau!Z1611))</f>
        <v>21.2</v>
      </c>
      <c r="AE1611" s="10">
        <f t="shared" si="253"/>
        <v>29.467999999999996</v>
      </c>
      <c r="AF1611" s="10">
        <f t="shared" si="258"/>
        <v>1.06</v>
      </c>
      <c r="AG1611" s="10">
        <f t="shared" si="254"/>
        <v>1.4734</v>
      </c>
      <c r="AH1611" s="10" t="str">
        <f>IF(AND(Q1611&gt;0,Q1611&lt;30,K1611=216),'Udvaskning nøgletal'!$C$42,IF(AND(Q1611&gt;0,Q1611&lt;30,K1611&gt;7,K1611&lt;17),'Udvaskning nøgletal'!$C$61,IF(AND(Q1611&gt;0,Q1611&lt;30,K1611&lt;7),'Udvaskning nøgletal'!$C$62,"")))</f>
        <v/>
      </c>
      <c r="AI1611" s="10">
        <f t="shared" si="260"/>
        <v>252</v>
      </c>
      <c r="AJ1611" s="10">
        <f>IF($X1611=1,LOOKUP(AI1611,'Udvaskning nøgletal'!$C$12:$C$62,'Udvaskning nøgletal'!$E$12:$E$62)+Markniveau!$Y1611*Markniveau!$S1611/100,IF($X1611=2,LOOKUP(AI1611,'Udvaskning nøgletal'!$C$12:$C$62,'Udvaskning nøgletal'!$F$12:$F$62)+Markniveau!$Y1611*Markniveau!$S1611/100,IF($X1611=3,LOOKUP(AI1611,'Udvaskning nøgletal'!$C$12:$C$62,'Udvaskning nøgletal'!Q1621:Q1671)+Markniveau!$Y1611*Markniveau!$S1611/100,"")))</f>
        <v>21.2</v>
      </c>
      <c r="AK1611" s="10">
        <f t="shared" si="259"/>
        <v>29.467999999999996</v>
      </c>
      <c r="AL1611" s="10">
        <f t="shared" ref="AL1611:AL1674" si="261">IF($Q1611&gt;0,(100-$Q1611)*AJ1611/100,"")</f>
        <v>1.06</v>
      </c>
      <c r="AM1611" s="10">
        <f t="shared" ref="AM1611:AM1674" si="262">IF($Q1611&gt;0,(100-$Q1611)*AJ1611/100*I1611,"")</f>
        <v>1.4734</v>
      </c>
    </row>
    <row r="1612" spans="1:39" x14ac:dyDescent="0.25">
      <c r="A1612" s="15">
        <v>88256352</v>
      </c>
      <c r="B1612" s="15">
        <v>38.130000000000003</v>
      </c>
      <c r="C1612" s="15">
        <v>433988</v>
      </c>
      <c r="D1612" s="15">
        <v>39671</v>
      </c>
      <c r="E1612" s="15" t="s">
        <v>630</v>
      </c>
      <c r="F1612" s="15">
        <v>2011</v>
      </c>
      <c r="G1612" s="15">
        <v>20110228</v>
      </c>
      <c r="H1612" s="15">
        <v>10367</v>
      </c>
      <c r="I1612" s="15">
        <v>1.04</v>
      </c>
      <c r="J1612" s="6" t="s">
        <v>38</v>
      </c>
      <c r="K1612" s="15">
        <v>252</v>
      </c>
      <c r="L1612" s="15" t="s">
        <v>41</v>
      </c>
      <c r="M1612" s="15" t="s">
        <v>4</v>
      </c>
      <c r="N1612" s="11" t="s">
        <v>1391</v>
      </c>
      <c r="O1612" s="11" t="s">
        <v>46</v>
      </c>
      <c r="P1612" s="11" t="s">
        <v>29</v>
      </c>
      <c r="Q1612" s="15">
        <v>95</v>
      </c>
      <c r="R1612" s="11" t="s">
        <v>3</v>
      </c>
      <c r="S1612" s="10">
        <v>155.20932179738</v>
      </c>
      <c r="T1612" s="15">
        <v>80</v>
      </c>
      <c r="U1612" s="15">
        <v>0</v>
      </c>
      <c r="V1612" s="15">
        <v>0</v>
      </c>
      <c r="W1612" s="15">
        <v>0</v>
      </c>
      <c r="X1612" s="15">
        <f>IF(O1612='Udvaskning nøgletal'!$D$65,1,IF(O1612='Udvaskning nøgletal'!$D$66,2,IF(O1612='Udvaskning nøgletal'!$D$67,3,IF(O1612='Udvaskning nøgletal'!$D$68,2,""))))</f>
        <v>2</v>
      </c>
      <c r="Y1612" s="15">
        <f>LOOKUP(K1612,'Udvaskning nøgletal'!$C$12:$C$60,'Udvaskning nøgletal'!$H$12:$H$60)</f>
        <v>0</v>
      </c>
      <c r="Z1612" s="10">
        <f>IF(X1612=1,LOOKUP(K1612,'Udvaskning nøgletal'!$C$12:$C$60,'Udvaskning nøgletal'!$E$12:$E$60)+Markniveau!Y1612*Markniveau!S1612/100,IF(X1612=2,LOOKUP(K1612,'Udvaskning nøgletal'!$C$12:$C$60,'Udvaskning nøgletal'!$F$12:$F$60)+Markniveau!Y1612*Markniveau!S1612/100,IF(X1612=3,LOOKUP(K1612,'Udvaskning nøgletal'!$C$12:$C$60,'Udvaskning nøgletal'!G1622:G1670)+Markniveau!Y1612*Markniveau!S1612/100,"")))</f>
        <v>21.2</v>
      </c>
      <c r="AA1612" s="10">
        <f t="shared" si="256"/>
        <v>22.047999999999998</v>
      </c>
      <c r="AB1612" s="10">
        <f t="shared" si="255"/>
        <v>1.06</v>
      </c>
      <c r="AC1612" s="10">
        <f t="shared" si="257"/>
        <v>1.1024</v>
      </c>
      <c r="AD1612" s="10">
        <f>IF(AND(Q1612&gt;0,Q1612&lt;30,K1612&lt;8),Markniveau!Z1612*'Udvaskning nøgletal'!$I$12/100,IF(AND(Q1612&gt;0,Q1612&lt;30,K1612=216),Markniveau!Z1612*'Udvaskning nøgletal'!$I$34/100,Markniveau!Z1612))</f>
        <v>21.2</v>
      </c>
      <c r="AE1612" s="10">
        <f t="shared" si="253"/>
        <v>22.047999999999998</v>
      </c>
      <c r="AF1612" s="10">
        <f t="shared" si="258"/>
        <v>1.06</v>
      </c>
      <c r="AG1612" s="10">
        <f t="shared" si="254"/>
        <v>1.1024</v>
      </c>
      <c r="AH1612" s="10" t="str">
        <f>IF(AND(Q1612&gt;0,Q1612&lt;30,K1612=216),'Udvaskning nøgletal'!$C$42,IF(AND(Q1612&gt;0,Q1612&lt;30,K1612&gt;7,K1612&lt;17),'Udvaskning nøgletal'!$C$61,IF(AND(Q1612&gt;0,Q1612&lt;30,K1612&lt;7),'Udvaskning nøgletal'!$C$62,"")))</f>
        <v/>
      </c>
      <c r="AI1612" s="10">
        <f t="shared" si="260"/>
        <v>252</v>
      </c>
      <c r="AJ1612" s="10">
        <f>IF($X1612=1,LOOKUP(AI1612,'Udvaskning nøgletal'!$C$12:$C$62,'Udvaskning nøgletal'!$E$12:$E$62)+Markniveau!$Y1612*Markniveau!$S1612/100,IF($X1612=2,LOOKUP(AI1612,'Udvaskning nøgletal'!$C$12:$C$62,'Udvaskning nøgletal'!$F$12:$F$62)+Markniveau!$Y1612*Markniveau!$S1612/100,IF($X1612=3,LOOKUP(AI1612,'Udvaskning nøgletal'!$C$12:$C$62,'Udvaskning nøgletal'!Q1622:Q1672)+Markniveau!$Y1612*Markniveau!$S1612/100,"")))</f>
        <v>21.2</v>
      </c>
      <c r="AK1612" s="10">
        <f t="shared" si="259"/>
        <v>22.047999999999998</v>
      </c>
      <c r="AL1612" s="10">
        <f t="shared" si="261"/>
        <v>1.06</v>
      </c>
      <c r="AM1612" s="10">
        <f t="shared" si="262"/>
        <v>1.1024</v>
      </c>
    </row>
    <row r="1613" spans="1:39" x14ac:dyDescent="0.25">
      <c r="A1613" s="15">
        <v>88256352</v>
      </c>
      <c r="B1613" s="15">
        <v>38.130000000000003</v>
      </c>
      <c r="C1613" s="15">
        <v>433989</v>
      </c>
      <c r="D1613" s="15">
        <v>39671</v>
      </c>
      <c r="E1613" s="15" t="s">
        <v>630</v>
      </c>
      <c r="F1613" s="15">
        <v>2011</v>
      </c>
      <c r="G1613" s="15">
        <v>20110228</v>
      </c>
      <c r="H1613" s="15">
        <v>45664</v>
      </c>
      <c r="I1613" s="15">
        <v>4.57</v>
      </c>
      <c r="J1613" s="6" t="s">
        <v>86</v>
      </c>
      <c r="K1613" s="15">
        <v>263</v>
      </c>
      <c r="L1613" s="15" t="s">
        <v>39</v>
      </c>
      <c r="M1613" s="15" t="s">
        <v>5</v>
      </c>
      <c r="N1613" s="11" t="s">
        <v>1391</v>
      </c>
      <c r="O1613" s="11" t="s">
        <v>46</v>
      </c>
      <c r="P1613" s="11" t="s">
        <v>29</v>
      </c>
      <c r="Q1613" s="15">
        <v>95</v>
      </c>
      <c r="R1613" s="11" t="s">
        <v>3</v>
      </c>
      <c r="S1613" s="10">
        <v>155.20932179738</v>
      </c>
      <c r="T1613" s="15">
        <v>80</v>
      </c>
      <c r="U1613" s="15">
        <v>0</v>
      </c>
      <c r="V1613" s="15">
        <v>0</v>
      </c>
      <c r="W1613" s="15">
        <v>0</v>
      </c>
      <c r="X1613" s="15">
        <f>IF(O1613='Udvaskning nøgletal'!$D$65,1,IF(O1613='Udvaskning nøgletal'!$D$66,2,IF(O1613='Udvaskning nøgletal'!$D$67,3,IF(O1613='Udvaskning nøgletal'!$D$68,2,""))))</f>
        <v>2</v>
      </c>
      <c r="Y1613" s="15">
        <f>LOOKUP(K1613,'Udvaskning nøgletal'!$C$12:$C$60,'Udvaskning nøgletal'!$H$12:$H$60)</f>
        <v>0</v>
      </c>
      <c r="Z1613" s="10">
        <f>IF(X1613=1,LOOKUP(K1613,'Udvaskning nøgletal'!$C$12:$C$60,'Udvaskning nøgletal'!$E$12:$E$60)+Markniveau!Y1613*Markniveau!S1613/100,IF(X1613=2,LOOKUP(K1613,'Udvaskning nøgletal'!$C$12:$C$60,'Udvaskning nøgletal'!$F$12:$F$60)+Markniveau!Y1613*Markniveau!S1613/100,IF(X1613=3,LOOKUP(K1613,'Udvaskning nøgletal'!$C$12:$C$60,'Udvaskning nøgletal'!G1623:G1671)+Markniveau!Y1613*Markniveau!S1613/100,"")))</f>
        <v>27.331185321443094</v>
      </c>
      <c r="AA1613" s="10">
        <f t="shared" si="256"/>
        <v>124.90351691899495</v>
      </c>
      <c r="AB1613" s="10">
        <f t="shared" si="255"/>
        <v>1.3665592660721546</v>
      </c>
      <c r="AC1613" s="10">
        <f t="shared" si="257"/>
        <v>6.2451758459497473</v>
      </c>
      <c r="AD1613" s="10">
        <f>IF(AND(Q1613&gt;0,Q1613&lt;30,K1613&lt;8),Markniveau!Z1613*'Udvaskning nøgletal'!$I$12/100,IF(AND(Q1613&gt;0,Q1613&lt;30,K1613=216),Markniveau!Z1613*'Udvaskning nøgletal'!$I$34/100,Markniveau!Z1613))</f>
        <v>27.331185321443094</v>
      </c>
      <c r="AE1613" s="10">
        <f t="shared" si="253"/>
        <v>124.90351691899495</v>
      </c>
      <c r="AF1613" s="10">
        <f t="shared" si="258"/>
        <v>1.3665592660721546</v>
      </c>
      <c r="AG1613" s="10">
        <f t="shared" si="254"/>
        <v>6.2451758459497473</v>
      </c>
      <c r="AH1613" s="10" t="str">
        <f>IF(AND(Q1613&gt;0,Q1613&lt;30,K1613=216),'Udvaskning nøgletal'!$C$42,IF(AND(Q1613&gt;0,Q1613&lt;30,K1613&gt;7,K1613&lt;17),'Udvaskning nøgletal'!$C$61,IF(AND(Q1613&gt;0,Q1613&lt;30,K1613&lt;7),'Udvaskning nøgletal'!$C$62,"")))</f>
        <v/>
      </c>
      <c r="AI1613" s="10">
        <f t="shared" si="260"/>
        <v>263</v>
      </c>
      <c r="AJ1613" s="10">
        <f>IF($X1613=1,LOOKUP(AI1613,'Udvaskning nøgletal'!$C$12:$C$62,'Udvaskning nøgletal'!$E$12:$E$62)+Markniveau!$Y1613*Markniveau!$S1613/100,IF($X1613=2,LOOKUP(AI1613,'Udvaskning nøgletal'!$C$12:$C$62,'Udvaskning nøgletal'!$F$12:$F$62)+Markniveau!$Y1613*Markniveau!$S1613/100,IF($X1613=3,LOOKUP(AI1613,'Udvaskning nøgletal'!$C$12:$C$62,'Udvaskning nøgletal'!Q1623:Q1673)+Markniveau!$Y1613*Markniveau!$S1613/100,"")))</f>
        <v>27.331185321443094</v>
      </c>
      <c r="AK1613" s="10">
        <f t="shared" si="259"/>
        <v>124.90351691899495</v>
      </c>
      <c r="AL1613" s="10">
        <f t="shared" si="261"/>
        <v>1.3665592660721546</v>
      </c>
      <c r="AM1613" s="10">
        <f t="shared" si="262"/>
        <v>6.2451758459497473</v>
      </c>
    </row>
    <row r="1614" spans="1:39" x14ac:dyDescent="0.25">
      <c r="A1614" s="15">
        <v>88256352</v>
      </c>
      <c r="B1614" s="15">
        <v>38.130000000000003</v>
      </c>
      <c r="C1614" s="15">
        <v>444663</v>
      </c>
      <c r="D1614" s="15">
        <v>39671</v>
      </c>
      <c r="E1614" s="15" t="s">
        <v>1285</v>
      </c>
      <c r="F1614" s="15">
        <v>2011</v>
      </c>
      <c r="G1614" s="15">
        <v>20110228</v>
      </c>
      <c r="H1614" s="15">
        <v>17596</v>
      </c>
      <c r="I1614" s="15">
        <v>1.76</v>
      </c>
      <c r="J1614" s="6" t="s">
        <v>91</v>
      </c>
      <c r="K1614" s="15">
        <v>252</v>
      </c>
      <c r="L1614" s="15" t="s">
        <v>41</v>
      </c>
      <c r="M1614" s="15" t="s">
        <v>4</v>
      </c>
      <c r="N1614" s="11" t="s">
        <v>1391</v>
      </c>
      <c r="O1614" s="11" t="s">
        <v>46</v>
      </c>
      <c r="P1614" s="11" t="s">
        <v>29</v>
      </c>
      <c r="Q1614" s="15">
        <v>95</v>
      </c>
      <c r="R1614" s="11" t="s">
        <v>3</v>
      </c>
      <c r="S1614" s="10">
        <v>155.20932179738</v>
      </c>
      <c r="T1614" s="15">
        <v>80</v>
      </c>
      <c r="U1614" s="15">
        <v>0</v>
      </c>
      <c r="V1614" s="15">
        <v>0</v>
      </c>
      <c r="W1614" s="15">
        <v>0</v>
      </c>
      <c r="X1614" s="15">
        <f>IF(O1614='Udvaskning nøgletal'!$D$65,1,IF(O1614='Udvaskning nøgletal'!$D$66,2,IF(O1614='Udvaskning nøgletal'!$D$67,3,IF(O1614='Udvaskning nøgletal'!$D$68,2,""))))</f>
        <v>2</v>
      </c>
      <c r="Y1614" s="15">
        <f>LOOKUP(K1614,'Udvaskning nøgletal'!$C$12:$C$60,'Udvaskning nøgletal'!$H$12:$H$60)</f>
        <v>0</v>
      </c>
      <c r="Z1614" s="10">
        <f>IF(X1614=1,LOOKUP(K1614,'Udvaskning nøgletal'!$C$12:$C$60,'Udvaskning nøgletal'!$E$12:$E$60)+Markniveau!Y1614*Markniveau!S1614/100,IF(X1614=2,LOOKUP(K1614,'Udvaskning nøgletal'!$C$12:$C$60,'Udvaskning nøgletal'!$F$12:$F$60)+Markniveau!Y1614*Markniveau!S1614/100,IF(X1614=3,LOOKUP(K1614,'Udvaskning nøgletal'!$C$12:$C$60,'Udvaskning nøgletal'!G1624:G1672)+Markniveau!Y1614*Markniveau!S1614/100,"")))</f>
        <v>21.2</v>
      </c>
      <c r="AA1614" s="10">
        <f t="shared" si="256"/>
        <v>37.311999999999998</v>
      </c>
      <c r="AB1614" s="10">
        <f t="shared" si="255"/>
        <v>1.06</v>
      </c>
      <c r="AC1614" s="10">
        <f t="shared" si="257"/>
        <v>1.8656000000000001</v>
      </c>
      <c r="AD1614" s="10">
        <f>IF(AND(Q1614&gt;0,Q1614&lt;30,K1614&lt;8),Markniveau!Z1614*'Udvaskning nøgletal'!$I$12/100,IF(AND(Q1614&gt;0,Q1614&lt;30,K1614=216),Markniveau!Z1614*'Udvaskning nøgletal'!$I$34/100,Markniveau!Z1614))</f>
        <v>21.2</v>
      </c>
      <c r="AE1614" s="10">
        <f t="shared" si="253"/>
        <v>37.311999999999998</v>
      </c>
      <c r="AF1614" s="10">
        <f t="shared" si="258"/>
        <v>1.06</v>
      </c>
      <c r="AG1614" s="10">
        <f t="shared" si="254"/>
        <v>1.8656000000000001</v>
      </c>
      <c r="AH1614" s="10" t="str">
        <f>IF(AND(Q1614&gt;0,Q1614&lt;30,K1614=216),'Udvaskning nøgletal'!$C$42,IF(AND(Q1614&gt;0,Q1614&lt;30,K1614&gt;7,K1614&lt;17),'Udvaskning nøgletal'!$C$61,IF(AND(Q1614&gt;0,Q1614&lt;30,K1614&lt;7),'Udvaskning nøgletal'!$C$62,"")))</f>
        <v/>
      </c>
      <c r="AI1614" s="10">
        <f t="shared" si="260"/>
        <v>252</v>
      </c>
      <c r="AJ1614" s="10">
        <f>IF($X1614=1,LOOKUP(AI1614,'Udvaskning nøgletal'!$C$12:$C$62,'Udvaskning nøgletal'!$E$12:$E$62)+Markniveau!$Y1614*Markniveau!$S1614/100,IF($X1614=2,LOOKUP(AI1614,'Udvaskning nøgletal'!$C$12:$C$62,'Udvaskning nøgletal'!$F$12:$F$62)+Markniveau!$Y1614*Markniveau!$S1614/100,IF($X1614=3,LOOKUP(AI1614,'Udvaskning nøgletal'!$C$12:$C$62,'Udvaskning nøgletal'!Q1624:Q1674)+Markniveau!$Y1614*Markniveau!$S1614/100,"")))</f>
        <v>21.2</v>
      </c>
      <c r="AK1614" s="10">
        <f t="shared" si="259"/>
        <v>37.311999999999998</v>
      </c>
      <c r="AL1614" s="10">
        <f t="shared" si="261"/>
        <v>1.06</v>
      </c>
      <c r="AM1614" s="10">
        <f t="shared" si="262"/>
        <v>1.8656000000000001</v>
      </c>
    </row>
    <row r="1615" spans="1:39" x14ac:dyDescent="0.25">
      <c r="A1615" s="15">
        <v>88256352</v>
      </c>
      <c r="B1615" s="15">
        <v>38.130000000000003</v>
      </c>
      <c r="C1615" s="15">
        <v>426052</v>
      </c>
      <c r="D1615" s="15">
        <v>39671</v>
      </c>
      <c r="E1615" s="15" t="s">
        <v>1286</v>
      </c>
      <c r="F1615" s="15">
        <v>2011</v>
      </c>
      <c r="G1615" s="15">
        <v>20110228</v>
      </c>
      <c r="H1615" s="15">
        <v>60883</v>
      </c>
      <c r="I1615" s="15">
        <v>6.09</v>
      </c>
      <c r="J1615" s="6" t="s">
        <v>34</v>
      </c>
      <c r="K1615" s="15">
        <v>3</v>
      </c>
      <c r="L1615" s="15" t="s">
        <v>114</v>
      </c>
      <c r="M1615" s="15" t="s">
        <v>5</v>
      </c>
      <c r="N1615" s="11" t="s">
        <v>1391</v>
      </c>
      <c r="O1615" s="11" t="s">
        <v>46</v>
      </c>
      <c r="P1615" s="11" t="s">
        <v>29</v>
      </c>
      <c r="Q1615" s="15">
        <v>95</v>
      </c>
      <c r="R1615" s="11" t="s">
        <v>3</v>
      </c>
      <c r="S1615" s="10">
        <v>155.20932179738</v>
      </c>
      <c r="T1615" s="15">
        <v>80</v>
      </c>
      <c r="U1615" s="15">
        <v>0</v>
      </c>
      <c r="V1615" s="15">
        <v>0</v>
      </c>
      <c r="W1615" s="15">
        <v>0</v>
      </c>
      <c r="X1615" s="15">
        <f>IF(O1615='Udvaskning nøgletal'!$D$65,1,IF(O1615='Udvaskning nøgletal'!$D$66,2,IF(O1615='Udvaskning nøgletal'!$D$67,3,IF(O1615='Udvaskning nøgletal'!$D$68,2,""))))</f>
        <v>2</v>
      </c>
      <c r="Y1615" s="15">
        <f>LOOKUP(K1615,'Udvaskning nøgletal'!$C$12:$C$60,'Udvaskning nøgletal'!$H$12:$H$60)</f>
        <v>5</v>
      </c>
      <c r="Z1615" s="10">
        <f>IF(X1615=1,LOOKUP(K1615,'Udvaskning nøgletal'!$C$12:$C$60,'Udvaskning nøgletal'!$E$12:$E$60)+Markniveau!Y1615*Markniveau!S1615/100,IF(X1615=2,LOOKUP(K1615,'Udvaskning nøgletal'!$C$12:$C$60,'Udvaskning nøgletal'!$F$12:$F$60)+Markniveau!Y1615*Markniveau!S1615/100,IF(X1615=3,LOOKUP(K1615,'Udvaskning nøgletal'!$C$12:$C$60,'Udvaskning nøgletal'!G1625:G1673)+Markniveau!Y1615*Markniveau!S1615/100,"")))</f>
        <v>58.640466089869001</v>
      </c>
      <c r="AA1615" s="10">
        <f t="shared" si="256"/>
        <v>357.12043848730218</v>
      </c>
      <c r="AB1615" s="10">
        <f t="shared" si="255"/>
        <v>2.9320233044934501</v>
      </c>
      <c r="AC1615" s="10">
        <f t="shared" si="257"/>
        <v>17.856021924365109</v>
      </c>
      <c r="AD1615" s="10">
        <f>IF(AND(Q1615&gt;0,Q1615&lt;30,K1615&lt;8),Markniveau!Z1615*'Udvaskning nøgletal'!$I$12/100,IF(AND(Q1615&gt;0,Q1615&lt;30,K1615=216),Markniveau!Z1615*'Udvaskning nøgletal'!$I$34/100,Markniveau!Z1615))</f>
        <v>58.640466089869001</v>
      </c>
      <c r="AE1615" s="10">
        <f t="shared" si="253"/>
        <v>357.12043848730218</v>
      </c>
      <c r="AF1615" s="10">
        <f t="shared" si="258"/>
        <v>2.9320233044934501</v>
      </c>
      <c r="AG1615" s="10">
        <f t="shared" si="254"/>
        <v>17.856021924365109</v>
      </c>
      <c r="AH1615" s="10" t="str">
        <f>IF(AND(Q1615&gt;0,Q1615&lt;30,K1615=216),'Udvaskning nøgletal'!$C$42,IF(AND(Q1615&gt;0,Q1615&lt;30,K1615&gt;7,K1615&lt;17),'Udvaskning nøgletal'!$C$61,IF(AND(Q1615&gt;0,Q1615&lt;30,K1615&lt;7),'Udvaskning nøgletal'!$C$62,"")))</f>
        <v/>
      </c>
      <c r="AI1615" s="10">
        <f t="shared" si="260"/>
        <v>3</v>
      </c>
      <c r="AJ1615" s="10">
        <f>IF($X1615=1,LOOKUP(AI1615,'Udvaskning nøgletal'!$C$12:$C$62,'Udvaskning nøgletal'!$E$12:$E$62)+Markniveau!$Y1615*Markniveau!$S1615/100,IF($X1615=2,LOOKUP(AI1615,'Udvaskning nøgletal'!$C$12:$C$62,'Udvaskning nøgletal'!$F$12:$F$62)+Markniveau!$Y1615*Markniveau!$S1615/100,IF($X1615=3,LOOKUP(AI1615,'Udvaskning nøgletal'!$C$12:$C$62,'Udvaskning nøgletal'!Q1625:Q1675)+Markniveau!$Y1615*Markniveau!$S1615/100,"")))</f>
        <v>58.640466089869001</v>
      </c>
      <c r="AK1615" s="10">
        <f t="shared" si="259"/>
        <v>357.12043848730218</v>
      </c>
      <c r="AL1615" s="10">
        <f t="shared" si="261"/>
        <v>2.9320233044934501</v>
      </c>
      <c r="AM1615" s="10">
        <f t="shared" si="262"/>
        <v>17.856021924365109</v>
      </c>
    </row>
    <row r="1616" spans="1:39" x14ac:dyDescent="0.25">
      <c r="A1616" s="15">
        <v>88256352</v>
      </c>
      <c r="B1616" s="15">
        <v>38.130000000000003</v>
      </c>
      <c r="C1616" s="15">
        <v>426053</v>
      </c>
      <c r="D1616" s="15">
        <v>39671</v>
      </c>
      <c r="E1616" s="15" t="s">
        <v>1287</v>
      </c>
      <c r="F1616" s="15">
        <v>2011</v>
      </c>
      <c r="G1616" s="15">
        <v>20110228</v>
      </c>
      <c r="H1616" s="15">
        <v>6766</v>
      </c>
      <c r="I1616" s="15">
        <v>0.68</v>
      </c>
      <c r="J1616" s="6" t="s">
        <v>75</v>
      </c>
      <c r="K1616" s="15">
        <v>263</v>
      </c>
      <c r="L1616" s="15" t="s">
        <v>39</v>
      </c>
      <c r="M1616" s="15" t="s">
        <v>5</v>
      </c>
      <c r="N1616" s="11" t="s">
        <v>1391</v>
      </c>
      <c r="O1616" s="11" t="s">
        <v>46</v>
      </c>
      <c r="P1616" s="11" t="s">
        <v>29</v>
      </c>
      <c r="Q1616" s="15">
        <v>95</v>
      </c>
      <c r="R1616" s="11" t="s">
        <v>3</v>
      </c>
      <c r="S1616" s="10">
        <v>155.20932179738</v>
      </c>
      <c r="T1616" s="15">
        <v>80</v>
      </c>
      <c r="U1616" s="15">
        <v>0</v>
      </c>
      <c r="V1616" s="15">
        <v>0</v>
      </c>
      <c r="W1616" s="15">
        <v>0</v>
      </c>
      <c r="X1616" s="15">
        <f>IF(O1616='Udvaskning nøgletal'!$D$65,1,IF(O1616='Udvaskning nøgletal'!$D$66,2,IF(O1616='Udvaskning nøgletal'!$D$67,3,IF(O1616='Udvaskning nøgletal'!$D$68,2,""))))</f>
        <v>2</v>
      </c>
      <c r="Y1616" s="15">
        <f>LOOKUP(K1616,'Udvaskning nøgletal'!$C$12:$C$60,'Udvaskning nøgletal'!$H$12:$H$60)</f>
        <v>0</v>
      </c>
      <c r="Z1616" s="10">
        <f>IF(X1616=1,LOOKUP(K1616,'Udvaskning nøgletal'!$C$12:$C$60,'Udvaskning nøgletal'!$E$12:$E$60)+Markniveau!Y1616*Markniveau!S1616/100,IF(X1616=2,LOOKUP(K1616,'Udvaskning nøgletal'!$C$12:$C$60,'Udvaskning nøgletal'!$F$12:$F$60)+Markniveau!Y1616*Markniveau!S1616/100,IF(X1616=3,LOOKUP(K1616,'Udvaskning nøgletal'!$C$12:$C$60,'Udvaskning nøgletal'!G1626:G1674)+Markniveau!Y1616*Markniveau!S1616/100,"")))</f>
        <v>27.331185321443094</v>
      </c>
      <c r="AA1616" s="10">
        <f t="shared" si="256"/>
        <v>18.585206018581307</v>
      </c>
      <c r="AB1616" s="10">
        <f t="shared" si="255"/>
        <v>1.3665592660721546</v>
      </c>
      <c r="AC1616" s="10">
        <f t="shared" si="257"/>
        <v>0.9292603009290652</v>
      </c>
      <c r="AD1616" s="10">
        <f>IF(AND(Q1616&gt;0,Q1616&lt;30,K1616&lt;8),Markniveau!Z1616*'Udvaskning nøgletal'!$I$12/100,IF(AND(Q1616&gt;0,Q1616&lt;30,K1616=216),Markniveau!Z1616*'Udvaskning nøgletal'!$I$34/100,Markniveau!Z1616))</f>
        <v>27.331185321443094</v>
      </c>
      <c r="AE1616" s="10">
        <f t="shared" si="253"/>
        <v>18.585206018581307</v>
      </c>
      <c r="AF1616" s="10">
        <f t="shared" si="258"/>
        <v>1.3665592660721546</v>
      </c>
      <c r="AG1616" s="10">
        <f t="shared" si="254"/>
        <v>0.9292603009290652</v>
      </c>
      <c r="AH1616" s="10" t="str">
        <f>IF(AND(Q1616&gt;0,Q1616&lt;30,K1616=216),'Udvaskning nøgletal'!$C$42,IF(AND(Q1616&gt;0,Q1616&lt;30,K1616&gt;7,K1616&lt;17),'Udvaskning nøgletal'!$C$61,IF(AND(Q1616&gt;0,Q1616&lt;30,K1616&lt;7),'Udvaskning nøgletal'!$C$62,"")))</f>
        <v/>
      </c>
      <c r="AI1616" s="10">
        <f t="shared" si="260"/>
        <v>263</v>
      </c>
      <c r="AJ1616" s="10">
        <f>IF($X1616=1,LOOKUP(AI1616,'Udvaskning nøgletal'!$C$12:$C$62,'Udvaskning nøgletal'!$E$12:$E$62)+Markniveau!$Y1616*Markniveau!$S1616/100,IF($X1616=2,LOOKUP(AI1616,'Udvaskning nøgletal'!$C$12:$C$62,'Udvaskning nøgletal'!$F$12:$F$62)+Markniveau!$Y1616*Markniveau!$S1616/100,IF($X1616=3,LOOKUP(AI1616,'Udvaskning nøgletal'!$C$12:$C$62,'Udvaskning nøgletal'!Q1626:Q1676)+Markniveau!$Y1616*Markniveau!$S1616/100,"")))</f>
        <v>27.331185321443094</v>
      </c>
      <c r="AK1616" s="10">
        <f t="shared" si="259"/>
        <v>18.585206018581307</v>
      </c>
      <c r="AL1616" s="10">
        <f t="shared" si="261"/>
        <v>1.3665592660721546</v>
      </c>
      <c r="AM1616" s="10">
        <f t="shared" si="262"/>
        <v>0.9292603009290652</v>
      </c>
    </row>
    <row r="1617" spans="1:39" x14ac:dyDescent="0.25">
      <c r="A1617" s="15">
        <v>98331859</v>
      </c>
      <c r="B1617" s="15">
        <v>3.67</v>
      </c>
      <c r="C1617" s="15">
        <v>198665</v>
      </c>
      <c r="D1617" s="15">
        <v>3482</v>
      </c>
      <c r="E1617" s="15" t="s">
        <v>366</v>
      </c>
      <c r="F1617" s="15">
        <v>2011</v>
      </c>
      <c r="G1617" s="15">
        <v>20110415</v>
      </c>
      <c r="H1617" s="15">
        <v>25853</v>
      </c>
      <c r="I1617" s="15">
        <v>2.59</v>
      </c>
      <c r="J1617" s="6" t="s">
        <v>1406</v>
      </c>
      <c r="K1617" s="15">
        <v>16</v>
      </c>
      <c r="L1617" s="15" t="s">
        <v>523</v>
      </c>
      <c r="M1617" s="15" t="s">
        <v>5</v>
      </c>
      <c r="N1617" s="11" t="s">
        <v>1384</v>
      </c>
      <c r="O1617" s="11" t="s">
        <v>28</v>
      </c>
      <c r="P1617" s="11" t="s">
        <v>33</v>
      </c>
      <c r="Q1617" s="15">
        <v>25</v>
      </c>
      <c r="R1617" s="11" t="s">
        <v>7</v>
      </c>
      <c r="S1617" s="10">
        <v>0</v>
      </c>
      <c r="T1617" s="15">
        <v>80</v>
      </c>
      <c r="U1617" s="15">
        <v>0</v>
      </c>
      <c r="V1617" s="15">
        <v>0</v>
      </c>
      <c r="W1617" s="15">
        <v>0</v>
      </c>
      <c r="X1617" s="15">
        <f>IF(O1617='Udvaskning nøgletal'!$D$65,1,IF(O1617='Udvaskning nøgletal'!$D$66,2,IF(O1617='Udvaskning nøgletal'!$D$67,3,IF(O1617='Udvaskning nøgletal'!$D$68,2,""))))</f>
        <v>1</v>
      </c>
      <c r="Y1617" s="15">
        <f>LOOKUP(K1617,'Udvaskning nøgletal'!$C$12:$C$60,'Udvaskning nøgletal'!$H$12:$H$60)</f>
        <v>5</v>
      </c>
      <c r="Z1617" s="10">
        <f>IF(X1617=1,LOOKUP(K1617,'Udvaskning nøgletal'!$C$12:$C$60,'Udvaskning nøgletal'!$E$12:$E$60)+Markniveau!Y1617*Markniveau!S1617/100,IF(X1617=2,LOOKUP(K1617,'Udvaskning nøgletal'!$C$12:$C$60,'Udvaskning nøgletal'!$F$12:$F$60)+Markniveau!Y1617*Markniveau!S1617/100,IF(X1617=3,LOOKUP(K1617,'Udvaskning nøgletal'!$C$12:$C$60,'Udvaskning nøgletal'!G1627:G1675)+Markniveau!Y1617*Markniveau!S1617/100,"")))</f>
        <v>64.66</v>
      </c>
      <c r="AA1617" s="10">
        <f t="shared" si="256"/>
        <v>167.46939999999998</v>
      </c>
      <c r="AB1617" s="10">
        <f t="shared" si="255"/>
        <v>48.494999999999997</v>
      </c>
      <c r="AC1617" s="10">
        <f t="shared" si="257"/>
        <v>125.60204999999999</v>
      </c>
      <c r="AD1617" s="10">
        <f>IF(AND(Q1617&gt;0,Q1617&lt;30,K1617&lt;8),Markniveau!Z1617*'Udvaskning nøgletal'!$I$12/100,IF(AND(Q1617&gt;0,Q1617&lt;30,K1617=216),Markniveau!Z1617*'Udvaskning nøgletal'!$I$34/100,Markniveau!Z1617))</f>
        <v>64.66</v>
      </c>
      <c r="AE1617" s="10">
        <f t="shared" ref="AE1617:AE1680" si="263">AD1617*I1617</f>
        <v>167.46939999999998</v>
      </c>
      <c r="AF1617" s="10">
        <f t="shared" si="258"/>
        <v>48.494999999999997</v>
      </c>
      <c r="AG1617" s="10">
        <f t="shared" ref="AG1617:AG1680" si="264">IF($Q1617&gt;0,(100-$Q1617)*$AD1617/100*I1617,"")</f>
        <v>125.60204999999999</v>
      </c>
      <c r="AH1617" s="10">
        <f>IF(AND(Q1617&gt;0,Q1617&lt;30,K1617=216),'Udvaskning nøgletal'!$C$42,IF(AND(Q1617&gt;0,Q1617&lt;30,K1617&gt;7,K1617&lt;17),'Udvaskning nøgletal'!$C$61,IF(AND(Q1617&gt;0,Q1617&lt;30,K1617&lt;7),'Udvaskning nøgletal'!$C$62,"")))</f>
        <v>1001</v>
      </c>
      <c r="AI1617" s="10">
        <f t="shared" si="260"/>
        <v>1001</v>
      </c>
      <c r="AJ1617" s="10">
        <f>IF($X1617=1,LOOKUP(AI1617,'Udvaskning nøgletal'!$C$12:$C$62,'Udvaskning nøgletal'!$E$12:$E$62)+Markniveau!$Y1617*Markniveau!$S1617/100,IF($X1617=2,LOOKUP(AI1617,'Udvaskning nøgletal'!$C$12:$C$62,'Udvaskning nøgletal'!$F$12:$F$62)+Markniveau!$Y1617*Markniveau!$S1617/100,IF($X1617=3,LOOKUP(AI1617,'Udvaskning nøgletal'!$C$12:$C$62,'Udvaskning nøgletal'!Q1627:Q1677)+Markniveau!$Y1617*Markniveau!$S1617/100,"")))</f>
        <v>30.5</v>
      </c>
      <c r="AK1617" s="10">
        <f t="shared" si="259"/>
        <v>78.99499999999999</v>
      </c>
      <c r="AL1617" s="10">
        <f t="shared" si="261"/>
        <v>22.875</v>
      </c>
      <c r="AM1617" s="10">
        <f t="shared" si="262"/>
        <v>59.246249999999996</v>
      </c>
    </row>
    <row r="1618" spans="1:39" x14ac:dyDescent="0.25">
      <c r="A1618" s="15">
        <v>98331859</v>
      </c>
      <c r="B1618" s="15">
        <v>3.67</v>
      </c>
      <c r="C1618" s="15">
        <v>303887</v>
      </c>
      <c r="D1618" s="15">
        <v>3482</v>
      </c>
      <c r="E1618" s="15" t="s">
        <v>404</v>
      </c>
      <c r="F1618" s="15">
        <v>2011</v>
      </c>
      <c r="G1618" s="15">
        <v>20110415</v>
      </c>
      <c r="H1618" s="15">
        <v>19239</v>
      </c>
      <c r="I1618" s="15">
        <v>1.92</v>
      </c>
      <c r="J1618" s="6" t="s">
        <v>1384</v>
      </c>
      <c r="K1618" s="15">
        <v>1</v>
      </c>
      <c r="L1618" s="15" t="s">
        <v>32</v>
      </c>
      <c r="M1618" s="15" t="s">
        <v>5</v>
      </c>
      <c r="N1618" s="11" t="s">
        <v>1384</v>
      </c>
      <c r="O1618" s="11" t="s">
        <v>28</v>
      </c>
      <c r="P1618" s="11" t="s">
        <v>33</v>
      </c>
      <c r="Q1618" s="15">
        <v>0</v>
      </c>
      <c r="R1618" s="11" t="s">
        <v>1386</v>
      </c>
      <c r="S1618" s="10">
        <v>0</v>
      </c>
      <c r="T1618" s="15">
        <v>80</v>
      </c>
      <c r="U1618" s="15">
        <v>0</v>
      </c>
      <c r="V1618" s="15">
        <v>0</v>
      </c>
      <c r="W1618" s="15">
        <v>0</v>
      </c>
      <c r="X1618" s="15">
        <f>IF(O1618='Udvaskning nøgletal'!$D$65,1,IF(O1618='Udvaskning nøgletal'!$D$66,2,IF(O1618='Udvaskning nøgletal'!$D$67,3,IF(O1618='Udvaskning nøgletal'!$D$68,2,""))))</f>
        <v>1</v>
      </c>
      <c r="Y1618" s="15">
        <f>LOOKUP(K1618,'Udvaskning nøgletal'!$C$12:$C$60,'Udvaskning nøgletal'!$H$12:$H$60)</f>
        <v>5</v>
      </c>
      <c r="Z1618" s="10">
        <f>IF(X1618=1,LOOKUP(K1618,'Udvaskning nøgletal'!$C$12:$C$60,'Udvaskning nøgletal'!$E$12:$E$60)+Markniveau!Y1618*Markniveau!S1618/100,IF(X1618=2,LOOKUP(K1618,'Udvaskning nøgletal'!$C$12:$C$60,'Udvaskning nøgletal'!$F$12:$F$60)+Markniveau!Y1618*Markniveau!S1618/100,IF(X1618=3,LOOKUP(K1618,'Udvaskning nøgletal'!$C$12:$C$60,'Udvaskning nøgletal'!G1628:G1676)+Markniveau!Y1618*Markniveau!S1618/100,"")))</f>
        <v>64.66</v>
      </c>
      <c r="AA1618" s="10">
        <f t="shared" si="256"/>
        <v>124.14719999999998</v>
      </c>
      <c r="AB1618" s="10" t="str">
        <f t="shared" si="255"/>
        <v/>
      </c>
      <c r="AC1618" s="10" t="str">
        <f t="shared" si="257"/>
        <v/>
      </c>
      <c r="AD1618" s="10">
        <f>IF(AND(Q1618&gt;0,Q1618&lt;30,K1618&lt;8),Markniveau!Z1618*'Udvaskning nøgletal'!$I$12/100,IF(AND(Q1618&gt;0,Q1618&lt;30,K1618=216),Markniveau!Z1618*'Udvaskning nøgletal'!$I$34/100,Markniveau!Z1618))</f>
        <v>64.66</v>
      </c>
      <c r="AE1618" s="10">
        <f t="shared" si="263"/>
        <v>124.14719999999998</v>
      </c>
      <c r="AF1618" s="10" t="str">
        <f t="shared" si="258"/>
        <v/>
      </c>
      <c r="AG1618" s="10" t="str">
        <f t="shared" si="264"/>
        <v/>
      </c>
      <c r="AH1618" s="10" t="str">
        <f>IF(AND(Q1618&gt;0,Q1618&lt;30,K1618=216),'Udvaskning nøgletal'!$C$42,IF(AND(Q1618&gt;0,Q1618&lt;30,K1618&gt;7,K1618&lt;17),'Udvaskning nøgletal'!$C$61,IF(AND(Q1618&gt;0,Q1618&lt;30,K1618&lt;7),'Udvaskning nøgletal'!$C$62,"")))</f>
        <v/>
      </c>
      <c r="AI1618" s="10">
        <f t="shared" si="260"/>
        <v>1</v>
      </c>
      <c r="AJ1618" s="10">
        <f>IF($X1618=1,LOOKUP(AI1618,'Udvaskning nøgletal'!$C$12:$C$62,'Udvaskning nøgletal'!$E$12:$E$62)+Markniveau!$Y1618*Markniveau!$S1618/100,IF($X1618=2,LOOKUP(AI1618,'Udvaskning nøgletal'!$C$12:$C$62,'Udvaskning nøgletal'!$F$12:$F$62)+Markniveau!$Y1618*Markniveau!$S1618/100,IF($X1618=3,LOOKUP(AI1618,'Udvaskning nøgletal'!$C$12:$C$62,'Udvaskning nøgletal'!Q1628:Q1678)+Markniveau!$Y1618*Markniveau!$S1618/100,"")))</f>
        <v>64.66</v>
      </c>
      <c r="AK1618" s="10">
        <f t="shared" si="259"/>
        <v>124.14719999999998</v>
      </c>
      <c r="AL1618" s="10" t="str">
        <f t="shared" si="261"/>
        <v/>
      </c>
      <c r="AM1618" s="10" t="str">
        <f t="shared" si="262"/>
        <v/>
      </c>
    </row>
    <row r="1619" spans="1:39" x14ac:dyDescent="0.25">
      <c r="A1619" s="15">
        <v>98331859</v>
      </c>
      <c r="B1619" s="15">
        <v>3.67</v>
      </c>
      <c r="C1619" s="15">
        <v>138472</v>
      </c>
      <c r="D1619" s="15">
        <v>3482</v>
      </c>
      <c r="E1619" s="15" t="s">
        <v>366</v>
      </c>
      <c r="F1619" s="15">
        <v>2011</v>
      </c>
      <c r="G1619" s="15">
        <v>20110415</v>
      </c>
      <c r="H1619" s="15">
        <v>36718</v>
      </c>
      <c r="I1619" s="15">
        <v>3.67</v>
      </c>
      <c r="J1619" s="6" t="s">
        <v>1467</v>
      </c>
      <c r="K1619" s="15">
        <v>1</v>
      </c>
      <c r="L1619" s="15" t="s">
        <v>32</v>
      </c>
      <c r="M1619" s="15" t="s">
        <v>5</v>
      </c>
      <c r="N1619" s="11" t="s">
        <v>1384</v>
      </c>
      <c r="O1619" s="11" t="s">
        <v>28</v>
      </c>
      <c r="P1619" s="11" t="s">
        <v>29</v>
      </c>
      <c r="Q1619" s="15">
        <v>95</v>
      </c>
      <c r="R1619" s="11" t="s">
        <v>3</v>
      </c>
      <c r="S1619" s="10">
        <v>0</v>
      </c>
      <c r="T1619" s="15">
        <v>80</v>
      </c>
      <c r="U1619" s="15">
        <v>0</v>
      </c>
      <c r="V1619" s="15">
        <v>0</v>
      </c>
      <c r="W1619" s="15">
        <v>0</v>
      </c>
      <c r="X1619" s="15">
        <f>IF(O1619='Udvaskning nøgletal'!$D$65,1,IF(O1619='Udvaskning nøgletal'!$D$66,2,IF(O1619='Udvaskning nøgletal'!$D$67,3,IF(O1619='Udvaskning nøgletal'!$D$68,2,""))))</f>
        <v>1</v>
      </c>
      <c r="Y1619" s="15">
        <f>LOOKUP(K1619,'Udvaskning nøgletal'!$C$12:$C$60,'Udvaskning nøgletal'!$H$12:$H$60)</f>
        <v>5</v>
      </c>
      <c r="Z1619" s="10">
        <f>IF(X1619=1,LOOKUP(K1619,'Udvaskning nøgletal'!$C$12:$C$60,'Udvaskning nøgletal'!$E$12:$E$60)+Markniveau!Y1619*Markniveau!S1619/100,IF(X1619=2,LOOKUP(K1619,'Udvaskning nøgletal'!$C$12:$C$60,'Udvaskning nøgletal'!$F$12:$F$60)+Markniveau!Y1619*Markniveau!S1619/100,IF(X1619=3,LOOKUP(K1619,'Udvaskning nøgletal'!$C$12:$C$60,'Udvaskning nøgletal'!G1629:G1677)+Markniveau!Y1619*Markniveau!S1619/100,"")))</f>
        <v>64.66</v>
      </c>
      <c r="AA1619" s="10">
        <f t="shared" si="256"/>
        <v>237.30219999999997</v>
      </c>
      <c r="AB1619" s="10">
        <f t="shared" si="255"/>
        <v>3.2329999999999997</v>
      </c>
      <c r="AC1619" s="10">
        <f t="shared" si="257"/>
        <v>11.865109999999998</v>
      </c>
      <c r="AD1619" s="10">
        <f>IF(AND(Q1619&gt;0,Q1619&lt;30,K1619&lt;8),Markniveau!Z1619*'Udvaskning nøgletal'!$I$12/100,IF(AND(Q1619&gt;0,Q1619&lt;30,K1619=216),Markniveau!Z1619*'Udvaskning nøgletal'!$I$34/100,Markniveau!Z1619))</f>
        <v>64.66</v>
      </c>
      <c r="AE1619" s="10">
        <f t="shared" si="263"/>
        <v>237.30219999999997</v>
      </c>
      <c r="AF1619" s="10">
        <f t="shared" si="258"/>
        <v>3.2329999999999997</v>
      </c>
      <c r="AG1619" s="10">
        <f t="shared" si="264"/>
        <v>11.865109999999998</v>
      </c>
      <c r="AH1619" s="10" t="str">
        <f>IF(AND(Q1619&gt;0,Q1619&lt;30,K1619=216),'Udvaskning nøgletal'!$C$42,IF(AND(Q1619&gt;0,Q1619&lt;30,K1619&gt;7,K1619&lt;17),'Udvaskning nøgletal'!$C$61,IF(AND(Q1619&gt;0,Q1619&lt;30,K1619&lt;7),'Udvaskning nøgletal'!$C$62,"")))</f>
        <v/>
      </c>
      <c r="AI1619" s="10">
        <f t="shared" si="260"/>
        <v>1</v>
      </c>
      <c r="AJ1619" s="10">
        <f>IF($X1619=1,LOOKUP(AI1619,'Udvaskning nøgletal'!$C$12:$C$62,'Udvaskning nøgletal'!$E$12:$E$62)+Markniveau!$Y1619*Markniveau!$S1619/100,IF($X1619=2,LOOKUP(AI1619,'Udvaskning nøgletal'!$C$12:$C$62,'Udvaskning nøgletal'!$F$12:$F$62)+Markniveau!$Y1619*Markniveau!$S1619/100,IF($X1619=3,LOOKUP(AI1619,'Udvaskning nøgletal'!$C$12:$C$62,'Udvaskning nøgletal'!Q1629:Q1679)+Markniveau!$Y1619*Markniveau!$S1619/100,"")))</f>
        <v>64.66</v>
      </c>
      <c r="AK1619" s="10">
        <f t="shared" si="259"/>
        <v>237.30219999999997</v>
      </c>
      <c r="AL1619" s="10">
        <f t="shared" si="261"/>
        <v>3.2329999999999997</v>
      </c>
      <c r="AM1619" s="10">
        <f t="shared" si="262"/>
        <v>11.865109999999998</v>
      </c>
    </row>
    <row r="1620" spans="1:39" x14ac:dyDescent="0.25">
      <c r="A1620" s="15">
        <v>98331859</v>
      </c>
      <c r="B1620" s="15">
        <v>3.67</v>
      </c>
      <c r="C1620" s="15">
        <v>155473</v>
      </c>
      <c r="D1620" s="15">
        <v>3482</v>
      </c>
      <c r="E1620" s="15" t="s">
        <v>366</v>
      </c>
      <c r="F1620" s="15">
        <v>2011</v>
      </c>
      <c r="G1620" s="15">
        <v>20110415</v>
      </c>
      <c r="H1620" s="15">
        <v>8207</v>
      </c>
      <c r="I1620" s="15">
        <v>0.82</v>
      </c>
      <c r="J1620" s="6" t="s">
        <v>1391</v>
      </c>
      <c r="K1620" s="15">
        <v>1</v>
      </c>
      <c r="L1620" s="15" t="s">
        <v>32</v>
      </c>
      <c r="M1620" s="15" t="s">
        <v>5</v>
      </c>
      <c r="N1620" s="11" t="s">
        <v>1384</v>
      </c>
      <c r="O1620" s="11" t="s">
        <v>28</v>
      </c>
      <c r="P1620" s="11" t="s">
        <v>33</v>
      </c>
      <c r="Q1620" s="15">
        <v>25</v>
      </c>
      <c r="R1620" s="11" t="s">
        <v>7</v>
      </c>
      <c r="S1620" s="10">
        <v>0</v>
      </c>
      <c r="T1620" s="15">
        <v>80</v>
      </c>
      <c r="U1620" s="15">
        <v>0</v>
      </c>
      <c r="V1620" s="15">
        <v>0</v>
      </c>
      <c r="W1620" s="15">
        <v>0</v>
      </c>
      <c r="X1620" s="15">
        <f>IF(O1620='Udvaskning nøgletal'!$D$65,1,IF(O1620='Udvaskning nøgletal'!$D$66,2,IF(O1620='Udvaskning nøgletal'!$D$67,3,IF(O1620='Udvaskning nøgletal'!$D$68,2,""))))</f>
        <v>1</v>
      </c>
      <c r="Y1620" s="15">
        <f>LOOKUP(K1620,'Udvaskning nøgletal'!$C$12:$C$60,'Udvaskning nøgletal'!$H$12:$H$60)</f>
        <v>5</v>
      </c>
      <c r="Z1620" s="10">
        <f>IF(X1620=1,LOOKUP(K1620,'Udvaskning nøgletal'!$C$12:$C$60,'Udvaskning nøgletal'!$E$12:$E$60)+Markniveau!Y1620*Markniveau!S1620/100,IF(X1620=2,LOOKUP(K1620,'Udvaskning nøgletal'!$C$12:$C$60,'Udvaskning nøgletal'!$F$12:$F$60)+Markniveau!Y1620*Markniveau!S1620/100,IF(X1620=3,LOOKUP(K1620,'Udvaskning nøgletal'!$C$12:$C$60,'Udvaskning nøgletal'!G1630:G1678)+Markniveau!Y1620*Markniveau!S1620/100,"")))</f>
        <v>64.66</v>
      </c>
      <c r="AA1620" s="10">
        <f t="shared" si="256"/>
        <v>53.021199999999993</v>
      </c>
      <c r="AB1620" s="10">
        <f t="shared" si="255"/>
        <v>48.494999999999997</v>
      </c>
      <c r="AC1620" s="10">
        <f t="shared" si="257"/>
        <v>39.765899999999995</v>
      </c>
      <c r="AD1620" s="10">
        <f>IF(AND(Q1620&gt;0,Q1620&lt;30,K1620&lt;8),Markniveau!Z1620*'Udvaskning nøgletal'!$I$12/100,IF(AND(Q1620&gt;0,Q1620&lt;30,K1620=216),Markniveau!Z1620*'Udvaskning nøgletal'!$I$34/100,Markniveau!Z1620))</f>
        <v>32.33</v>
      </c>
      <c r="AE1620" s="10">
        <f t="shared" si="263"/>
        <v>26.510599999999997</v>
      </c>
      <c r="AF1620" s="10">
        <f t="shared" si="258"/>
        <v>24.247499999999999</v>
      </c>
      <c r="AG1620" s="10">
        <f t="shared" si="264"/>
        <v>19.882949999999997</v>
      </c>
      <c r="AH1620" s="10">
        <f>IF(AND(Q1620&gt;0,Q1620&lt;30,K1620=216),'Udvaskning nøgletal'!$C$42,IF(AND(Q1620&gt;0,Q1620&lt;30,K1620&gt;7,K1620&lt;17),'Udvaskning nøgletal'!$C$61,IF(AND(Q1620&gt;0,Q1620&lt;30,K1620&lt;7),'Udvaskning nøgletal'!$C$62,"")))</f>
        <v>1002</v>
      </c>
      <c r="AI1620" s="10">
        <f t="shared" si="260"/>
        <v>1002</v>
      </c>
      <c r="AJ1620" s="10">
        <f>IF($X1620=1,LOOKUP(AI1620,'Udvaskning nøgletal'!$C$12:$C$62,'Udvaskning nøgletal'!$E$12:$E$62)+Markniveau!$Y1620*Markniveau!$S1620/100,IF($X1620=2,LOOKUP(AI1620,'Udvaskning nøgletal'!$C$12:$C$62,'Udvaskning nøgletal'!$F$12:$F$62)+Markniveau!$Y1620*Markniveau!$S1620/100,IF($X1620=3,LOOKUP(AI1620,'Udvaskning nøgletal'!$C$12:$C$62,'Udvaskning nøgletal'!Q1630:Q1680)+Markniveau!$Y1620*Markniveau!$S1620/100,"")))</f>
        <v>30.5</v>
      </c>
      <c r="AK1620" s="10">
        <f t="shared" si="259"/>
        <v>25.009999999999998</v>
      </c>
      <c r="AL1620" s="10">
        <f t="shared" si="261"/>
        <v>22.875</v>
      </c>
      <c r="AM1620" s="10">
        <f t="shared" si="262"/>
        <v>18.7575</v>
      </c>
    </row>
    <row r="1621" spans="1:39" x14ac:dyDescent="0.25">
      <c r="A1621" s="15">
        <v>98333053</v>
      </c>
      <c r="B1621" s="15">
        <v>288.98</v>
      </c>
      <c r="C1621" s="15">
        <v>138388</v>
      </c>
      <c r="D1621" s="15">
        <v>33037</v>
      </c>
      <c r="E1621" s="15" t="s">
        <v>1166</v>
      </c>
      <c r="F1621" s="15">
        <v>2011</v>
      </c>
      <c r="G1621" s="15">
        <v>20110421</v>
      </c>
      <c r="H1621" s="15">
        <v>39049</v>
      </c>
      <c r="I1621" s="15">
        <v>3.9</v>
      </c>
      <c r="J1621" s="6" t="s">
        <v>869</v>
      </c>
      <c r="K1621" s="15">
        <v>11</v>
      </c>
      <c r="L1621" s="15" t="s">
        <v>102</v>
      </c>
      <c r="M1621" s="15" t="s">
        <v>5</v>
      </c>
      <c r="N1621" s="11" t="s">
        <v>1391</v>
      </c>
      <c r="O1621" s="11" t="s">
        <v>46</v>
      </c>
      <c r="P1621" s="11" t="s">
        <v>29</v>
      </c>
      <c r="Q1621" s="15">
        <v>95</v>
      </c>
      <c r="R1621" s="11" t="s">
        <v>3</v>
      </c>
      <c r="S1621" s="10">
        <v>122.98847603989</v>
      </c>
      <c r="T1621" s="15">
        <v>80</v>
      </c>
      <c r="U1621" s="15">
        <v>0</v>
      </c>
      <c r="V1621" s="15">
        <v>1</v>
      </c>
      <c r="W1621" s="15">
        <v>0</v>
      </c>
      <c r="X1621" s="15">
        <f>IF(O1621='Udvaskning nøgletal'!$D$65,1,IF(O1621='Udvaskning nøgletal'!$D$66,2,IF(O1621='Udvaskning nøgletal'!$D$67,3,IF(O1621='Udvaskning nøgletal'!$D$68,2,""))))</f>
        <v>2</v>
      </c>
      <c r="Y1621" s="15">
        <f>LOOKUP(K1621,'Udvaskning nøgletal'!$C$12:$C$60,'Udvaskning nøgletal'!$H$12:$H$60)</f>
        <v>5</v>
      </c>
      <c r="Z1621" s="10">
        <f>IF(X1621=1,LOOKUP(K1621,'Udvaskning nøgletal'!$C$12:$C$60,'Udvaskning nøgletal'!$E$12:$E$60)+Markniveau!Y1621*Markniveau!S1621/100,IF(X1621=2,LOOKUP(K1621,'Udvaskning nøgletal'!$C$12:$C$60,'Udvaskning nøgletal'!$F$12:$F$60)+Markniveau!Y1621*Markniveau!S1621/100,IF(X1621=3,LOOKUP(K1621,'Udvaskning nøgletal'!$C$12:$C$60,'Udvaskning nøgletal'!G1631:G1679)+Markniveau!Y1621*Markniveau!S1621/100,"")))</f>
        <v>57.029423801994504</v>
      </c>
      <c r="AA1621" s="10">
        <f t="shared" si="256"/>
        <v>222.41475282777856</v>
      </c>
      <c r="AB1621" s="10">
        <f t="shared" si="255"/>
        <v>2.8514711900997254</v>
      </c>
      <c r="AC1621" s="10">
        <f t="shared" si="257"/>
        <v>11.12073764138893</v>
      </c>
      <c r="AD1621" s="10">
        <f>IF(AND(Q1621&gt;0,Q1621&lt;30,K1621&lt;8),Markniveau!Z1621*'Udvaskning nøgletal'!$I$12/100,IF(AND(Q1621&gt;0,Q1621&lt;30,K1621=216),Markniveau!Z1621*'Udvaskning nøgletal'!$I$34/100,Markniveau!Z1621))</f>
        <v>57.029423801994504</v>
      </c>
      <c r="AE1621" s="10">
        <f t="shared" si="263"/>
        <v>222.41475282777856</v>
      </c>
      <c r="AF1621" s="10">
        <f t="shared" si="258"/>
        <v>2.8514711900997254</v>
      </c>
      <c r="AG1621" s="10">
        <f t="shared" si="264"/>
        <v>11.12073764138893</v>
      </c>
      <c r="AH1621" s="10" t="str">
        <f>IF(AND(Q1621&gt;0,Q1621&lt;30,K1621=216),'Udvaskning nøgletal'!$C$42,IF(AND(Q1621&gt;0,Q1621&lt;30,K1621&gt;7,K1621&lt;17),'Udvaskning nøgletal'!$C$61,IF(AND(Q1621&gt;0,Q1621&lt;30,K1621&lt;7),'Udvaskning nøgletal'!$C$62,"")))</f>
        <v/>
      </c>
      <c r="AI1621" s="10">
        <f t="shared" si="260"/>
        <v>11</v>
      </c>
      <c r="AJ1621" s="10">
        <f>IF($X1621=1,LOOKUP(AI1621,'Udvaskning nøgletal'!$C$12:$C$62,'Udvaskning nøgletal'!$E$12:$E$62)+Markniveau!$Y1621*Markniveau!$S1621/100,IF($X1621=2,LOOKUP(AI1621,'Udvaskning nøgletal'!$C$12:$C$62,'Udvaskning nøgletal'!$F$12:$F$62)+Markniveau!$Y1621*Markniveau!$S1621/100,IF($X1621=3,LOOKUP(AI1621,'Udvaskning nøgletal'!$C$12:$C$62,'Udvaskning nøgletal'!Q1631:Q1681)+Markniveau!$Y1621*Markniveau!$S1621/100,"")))</f>
        <v>57.029423801994504</v>
      </c>
      <c r="AK1621" s="10">
        <f t="shared" si="259"/>
        <v>222.41475282777856</v>
      </c>
      <c r="AL1621" s="10">
        <f t="shared" si="261"/>
        <v>2.8514711900997254</v>
      </c>
      <c r="AM1621" s="10">
        <f t="shared" si="262"/>
        <v>11.12073764138893</v>
      </c>
    </row>
    <row r="1622" spans="1:39" x14ac:dyDescent="0.25">
      <c r="A1622" s="15">
        <v>98333053</v>
      </c>
      <c r="B1622" s="15">
        <v>288.98</v>
      </c>
      <c r="C1622" s="15">
        <v>138911</v>
      </c>
      <c r="D1622" s="15">
        <v>33037</v>
      </c>
      <c r="E1622" s="15" t="s">
        <v>1288</v>
      </c>
      <c r="F1622" s="15">
        <v>2011</v>
      </c>
      <c r="G1622" s="15">
        <v>20110421</v>
      </c>
      <c r="H1622" s="15">
        <v>29570</v>
      </c>
      <c r="I1622" s="15">
        <v>2.96</v>
      </c>
      <c r="J1622" s="6" t="s">
        <v>1289</v>
      </c>
      <c r="K1622" s="15">
        <v>216</v>
      </c>
      <c r="L1622" s="15" t="s">
        <v>116</v>
      </c>
      <c r="M1622" s="15" t="s">
        <v>5</v>
      </c>
      <c r="N1622" s="11" t="s">
        <v>1390</v>
      </c>
      <c r="O1622" s="11" t="s">
        <v>42</v>
      </c>
      <c r="P1622" s="11" t="s">
        <v>33</v>
      </c>
      <c r="Q1622" s="15">
        <v>0</v>
      </c>
      <c r="R1622" s="11" t="s">
        <v>1386</v>
      </c>
      <c r="S1622" s="10">
        <v>122.98847603989</v>
      </c>
      <c r="T1622" s="15">
        <v>80</v>
      </c>
      <c r="U1622" s="15">
        <v>0</v>
      </c>
      <c r="V1622" s="15">
        <v>1</v>
      </c>
      <c r="W1622" s="15">
        <v>0</v>
      </c>
      <c r="X1622" s="15">
        <f>IF(O1622='Udvaskning nøgletal'!$D$65,1,IF(O1622='Udvaskning nøgletal'!$D$66,2,IF(O1622='Udvaskning nøgletal'!$D$67,3,IF(O1622='Udvaskning nøgletal'!$D$68,2,""))))</f>
        <v>2</v>
      </c>
      <c r="Y1622" s="15">
        <f>LOOKUP(K1622,'Udvaskning nøgletal'!$C$12:$C$60,'Udvaskning nøgletal'!$H$12:$H$60)</f>
        <v>0</v>
      </c>
      <c r="Z1622" s="10">
        <f>IF(X1622=1,LOOKUP(K1622,'Udvaskning nøgletal'!$C$12:$C$60,'Udvaskning nøgletal'!$E$12:$E$60)+Markniveau!Y1622*Markniveau!S1622/100,IF(X1622=2,LOOKUP(K1622,'Udvaskning nøgletal'!$C$12:$C$60,'Udvaskning nøgletal'!$F$12:$F$60)+Markniveau!Y1622*Markniveau!S1622/100,IF(X1622=3,LOOKUP(K1622,'Udvaskning nøgletal'!$C$12:$C$60,'Udvaskning nøgletal'!G1632:G1680)+Markniveau!Y1622*Markniveau!S1622/100,"")))</f>
        <v>101.66744640811392</v>
      </c>
      <c r="AA1622" s="10">
        <f t="shared" si="256"/>
        <v>300.93564136801717</v>
      </c>
      <c r="AB1622" s="10" t="str">
        <f t="shared" si="255"/>
        <v/>
      </c>
      <c r="AC1622" s="10" t="str">
        <f t="shared" si="257"/>
        <v/>
      </c>
      <c r="AD1622" s="10">
        <f>IF(AND(Q1622&gt;0,Q1622&lt;30,K1622&lt;8),Markniveau!Z1622*'Udvaskning nøgletal'!$I$12/100,IF(AND(Q1622&gt;0,Q1622&lt;30,K1622=216),Markniveau!Z1622*'Udvaskning nøgletal'!$I$34/100,Markniveau!Z1622))</f>
        <v>101.66744640811392</v>
      </c>
      <c r="AE1622" s="10">
        <f t="shared" si="263"/>
        <v>300.93564136801717</v>
      </c>
      <c r="AF1622" s="10" t="str">
        <f t="shared" si="258"/>
        <v/>
      </c>
      <c r="AG1622" s="10" t="str">
        <f t="shared" si="264"/>
        <v/>
      </c>
      <c r="AH1622" s="10" t="str">
        <f>IF(AND(Q1622&gt;0,Q1622&lt;30,K1622=216),'Udvaskning nøgletal'!$C$42,IF(AND(Q1622&gt;0,Q1622&lt;30,K1622&gt;7,K1622&lt;17),'Udvaskning nøgletal'!$C$61,IF(AND(Q1622&gt;0,Q1622&lt;30,K1622&lt;7),'Udvaskning nøgletal'!$C$62,"")))</f>
        <v/>
      </c>
      <c r="AI1622" s="10">
        <f t="shared" si="260"/>
        <v>216</v>
      </c>
      <c r="AJ1622" s="10">
        <f>IF($X1622=1,LOOKUP(AI1622,'Udvaskning nøgletal'!$C$12:$C$62,'Udvaskning nøgletal'!$E$12:$E$62)+Markniveau!$Y1622*Markniveau!$S1622/100,IF($X1622=2,LOOKUP(AI1622,'Udvaskning nøgletal'!$C$12:$C$62,'Udvaskning nøgletal'!$F$12:$F$62)+Markniveau!$Y1622*Markniveau!$S1622/100,IF($X1622=3,LOOKUP(AI1622,'Udvaskning nøgletal'!$C$12:$C$62,'Udvaskning nøgletal'!Q1632:Q1682)+Markniveau!$Y1622*Markniveau!$S1622/100,"")))</f>
        <v>101.66744640811392</v>
      </c>
      <c r="AK1622" s="10">
        <f t="shared" si="259"/>
        <v>300.93564136801717</v>
      </c>
      <c r="AL1622" s="10" t="str">
        <f t="shared" si="261"/>
        <v/>
      </c>
      <c r="AM1622" s="10" t="str">
        <f t="shared" si="262"/>
        <v/>
      </c>
    </row>
    <row r="1623" spans="1:39" x14ac:dyDescent="0.25">
      <c r="A1623" s="15">
        <v>98333053</v>
      </c>
      <c r="B1623" s="15">
        <v>288.98</v>
      </c>
      <c r="C1623" s="15">
        <v>139037</v>
      </c>
      <c r="D1623" s="15">
        <v>33037</v>
      </c>
      <c r="E1623" s="15" t="s">
        <v>1290</v>
      </c>
      <c r="F1623" s="15">
        <v>2011</v>
      </c>
      <c r="G1623" s="15">
        <v>20110421</v>
      </c>
      <c r="H1623" s="15">
        <v>39207</v>
      </c>
      <c r="I1623" s="15">
        <v>3.92</v>
      </c>
      <c r="J1623" s="6" t="s">
        <v>1291</v>
      </c>
      <c r="K1623" s="15">
        <v>210</v>
      </c>
      <c r="L1623" s="15" t="s">
        <v>262</v>
      </c>
      <c r="M1623" s="15" t="s">
        <v>5</v>
      </c>
      <c r="N1623" s="11" t="s">
        <v>1391</v>
      </c>
      <c r="O1623" s="11" t="s">
        <v>46</v>
      </c>
      <c r="P1623" s="11" t="s">
        <v>29</v>
      </c>
      <c r="Q1623" s="15">
        <v>95</v>
      </c>
      <c r="R1623" s="11" t="s">
        <v>3</v>
      </c>
      <c r="S1623" s="10">
        <v>122.98847603989</v>
      </c>
      <c r="T1623" s="15">
        <v>80</v>
      </c>
      <c r="U1623" s="15">
        <v>0</v>
      </c>
      <c r="V1623" s="15">
        <v>1</v>
      </c>
      <c r="W1623" s="15">
        <v>0</v>
      </c>
      <c r="X1623" s="15">
        <f>IF(O1623='Udvaskning nøgletal'!$D$65,1,IF(O1623='Udvaskning nøgletal'!$D$66,2,IF(O1623='Udvaskning nøgletal'!$D$67,3,IF(O1623='Udvaskning nøgletal'!$D$68,2,""))))</f>
        <v>2</v>
      </c>
      <c r="Y1623" s="15">
        <f>LOOKUP(K1623,'Udvaskning nøgletal'!$C$12:$C$60,'Udvaskning nøgletal'!$H$12:$H$60)</f>
        <v>0</v>
      </c>
      <c r="Z1623" s="10">
        <f>IF(X1623=1,LOOKUP(K1623,'Udvaskning nøgletal'!$C$12:$C$60,'Udvaskning nøgletal'!$E$12:$E$60)+Markniveau!Y1623*Markniveau!S1623/100,IF(X1623=2,LOOKUP(K1623,'Udvaskning nøgletal'!$C$12:$C$60,'Udvaskning nøgletal'!$F$12:$F$60)+Markniveau!Y1623*Markniveau!S1623/100,IF(X1623=3,LOOKUP(K1623,'Udvaskning nøgletal'!$C$12:$C$60,'Udvaskning nøgletal'!G1633:G1681)+Markniveau!Y1623*Markniveau!S1623/100,"")))</f>
        <v>31.161328188970323</v>
      </c>
      <c r="AA1623" s="10">
        <f t="shared" si="256"/>
        <v>122.15240650076366</v>
      </c>
      <c r="AB1623" s="10">
        <f t="shared" si="255"/>
        <v>1.5580664094485162</v>
      </c>
      <c r="AC1623" s="10">
        <f t="shared" si="257"/>
        <v>6.1076203250381829</v>
      </c>
      <c r="AD1623" s="10">
        <f>IF(AND(Q1623&gt;0,Q1623&lt;30,K1623&lt;8),Markniveau!Z1623*'Udvaskning nøgletal'!$I$12/100,IF(AND(Q1623&gt;0,Q1623&lt;30,K1623=216),Markniveau!Z1623*'Udvaskning nøgletal'!$I$34/100,Markniveau!Z1623))</f>
        <v>31.161328188970323</v>
      </c>
      <c r="AE1623" s="10">
        <f t="shared" si="263"/>
        <v>122.15240650076366</v>
      </c>
      <c r="AF1623" s="10">
        <f t="shared" si="258"/>
        <v>1.5580664094485162</v>
      </c>
      <c r="AG1623" s="10">
        <f t="shared" si="264"/>
        <v>6.1076203250381829</v>
      </c>
      <c r="AH1623" s="10" t="str">
        <f>IF(AND(Q1623&gt;0,Q1623&lt;30,K1623=216),'Udvaskning nøgletal'!$C$42,IF(AND(Q1623&gt;0,Q1623&lt;30,K1623&gt;7,K1623&lt;17),'Udvaskning nøgletal'!$C$61,IF(AND(Q1623&gt;0,Q1623&lt;30,K1623&lt;7),'Udvaskning nøgletal'!$C$62,"")))</f>
        <v/>
      </c>
      <c r="AI1623" s="10">
        <f t="shared" si="260"/>
        <v>210</v>
      </c>
      <c r="AJ1623" s="10">
        <f>IF($X1623=1,LOOKUP(AI1623,'Udvaskning nøgletal'!$C$12:$C$62,'Udvaskning nøgletal'!$E$12:$E$62)+Markniveau!$Y1623*Markniveau!$S1623/100,IF($X1623=2,LOOKUP(AI1623,'Udvaskning nøgletal'!$C$12:$C$62,'Udvaskning nøgletal'!$F$12:$F$62)+Markniveau!$Y1623*Markniveau!$S1623/100,IF($X1623=3,LOOKUP(AI1623,'Udvaskning nøgletal'!$C$12:$C$62,'Udvaskning nøgletal'!Q1633:Q1683)+Markniveau!$Y1623*Markniveau!$S1623/100,"")))</f>
        <v>31.161328188970323</v>
      </c>
      <c r="AK1623" s="10">
        <f t="shared" si="259"/>
        <v>122.15240650076366</v>
      </c>
      <c r="AL1623" s="10">
        <f t="shared" si="261"/>
        <v>1.5580664094485162</v>
      </c>
      <c r="AM1623" s="10">
        <f t="shared" si="262"/>
        <v>6.1076203250381829</v>
      </c>
    </row>
    <row r="1624" spans="1:39" x14ac:dyDescent="0.25">
      <c r="A1624" s="15">
        <v>98333053</v>
      </c>
      <c r="B1624" s="15">
        <v>288.98</v>
      </c>
      <c r="C1624" s="15">
        <v>140300</v>
      </c>
      <c r="D1624" s="15">
        <v>33037</v>
      </c>
      <c r="E1624" s="15" t="s">
        <v>1292</v>
      </c>
      <c r="F1624" s="15">
        <v>2011</v>
      </c>
      <c r="G1624" s="15">
        <v>20110421</v>
      </c>
      <c r="H1624" s="15">
        <v>96952</v>
      </c>
      <c r="I1624" s="15">
        <v>9.6999999999999993</v>
      </c>
      <c r="J1624" s="6" t="s">
        <v>472</v>
      </c>
      <c r="K1624" s="15">
        <v>216</v>
      </c>
      <c r="L1624" s="15" t="s">
        <v>116</v>
      </c>
      <c r="M1624" s="15" t="s">
        <v>5</v>
      </c>
      <c r="N1624" s="11" t="s">
        <v>1406</v>
      </c>
      <c r="O1624" s="11" t="s">
        <v>46</v>
      </c>
      <c r="P1624" s="11" t="s">
        <v>29</v>
      </c>
      <c r="Q1624" s="15">
        <v>95</v>
      </c>
      <c r="R1624" s="11" t="s">
        <v>3</v>
      </c>
      <c r="S1624" s="10">
        <v>122.98847603989</v>
      </c>
      <c r="T1624" s="15">
        <v>80</v>
      </c>
      <c r="U1624" s="15">
        <v>0</v>
      </c>
      <c r="V1624" s="15">
        <v>1</v>
      </c>
      <c r="W1624" s="15">
        <v>0</v>
      </c>
      <c r="X1624" s="15">
        <f>IF(O1624='Udvaskning nøgletal'!$D$65,1,IF(O1624='Udvaskning nøgletal'!$D$66,2,IF(O1624='Udvaskning nøgletal'!$D$67,3,IF(O1624='Udvaskning nøgletal'!$D$68,2,""))))</f>
        <v>2</v>
      </c>
      <c r="Y1624" s="15">
        <f>LOOKUP(K1624,'Udvaskning nøgletal'!$C$12:$C$60,'Udvaskning nøgletal'!$H$12:$H$60)</f>
        <v>0</v>
      </c>
      <c r="Z1624" s="10">
        <f>IF(X1624=1,LOOKUP(K1624,'Udvaskning nøgletal'!$C$12:$C$60,'Udvaskning nøgletal'!$E$12:$E$60)+Markniveau!Y1624*Markniveau!S1624/100,IF(X1624=2,LOOKUP(K1624,'Udvaskning nøgletal'!$C$12:$C$60,'Udvaskning nøgletal'!$F$12:$F$60)+Markniveau!Y1624*Markniveau!S1624/100,IF(X1624=3,LOOKUP(K1624,'Udvaskning nøgletal'!$C$12:$C$60,'Udvaskning nøgletal'!G1634:G1682)+Markniveau!Y1624*Markniveau!S1624/100,"")))</f>
        <v>101.66744640811392</v>
      </c>
      <c r="AA1624" s="10">
        <f t="shared" si="256"/>
        <v>986.17423015870497</v>
      </c>
      <c r="AB1624" s="10">
        <f t="shared" si="255"/>
        <v>5.0833723204056955</v>
      </c>
      <c r="AC1624" s="10">
        <f t="shared" si="257"/>
        <v>49.308711507935243</v>
      </c>
      <c r="AD1624" s="10">
        <f>IF(AND(Q1624&gt;0,Q1624&lt;30,K1624&lt;8),Markniveau!Z1624*'Udvaskning nøgletal'!$I$12/100,IF(AND(Q1624&gt;0,Q1624&lt;30,K1624=216),Markniveau!Z1624*'Udvaskning nøgletal'!$I$34/100,Markniveau!Z1624))</f>
        <v>101.66744640811392</v>
      </c>
      <c r="AE1624" s="10">
        <f t="shared" si="263"/>
        <v>986.17423015870497</v>
      </c>
      <c r="AF1624" s="10">
        <f t="shared" si="258"/>
        <v>5.0833723204056955</v>
      </c>
      <c r="AG1624" s="10">
        <f t="shared" si="264"/>
        <v>49.308711507935243</v>
      </c>
      <c r="AH1624" s="10" t="str">
        <f>IF(AND(Q1624&gt;0,Q1624&lt;30,K1624=216),'Udvaskning nøgletal'!$C$42,IF(AND(Q1624&gt;0,Q1624&lt;30,K1624&gt;7,K1624&lt;17),'Udvaskning nøgletal'!$C$61,IF(AND(Q1624&gt;0,Q1624&lt;30,K1624&lt;7),'Udvaskning nøgletal'!$C$62,"")))</f>
        <v/>
      </c>
      <c r="AI1624" s="10">
        <f t="shared" si="260"/>
        <v>216</v>
      </c>
      <c r="AJ1624" s="10">
        <f>IF($X1624=1,LOOKUP(AI1624,'Udvaskning nøgletal'!$C$12:$C$62,'Udvaskning nøgletal'!$E$12:$E$62)+Markniveau!$Y1624*Markniveau!$S1624/100,IF($X1624=2,LOOKUP(AI1624,'Udvaskning nøgletal'!$C$12:$C$62,'Udvaskning nøgletal'!$F$12:$F$62)+Markniveau!$Y1624*Markniveau!$S1624/100,IF($X1624=3,LOOKUP(AI1624,'Udvaskning nøgletal'!$C$12:$C$62,'Udvaskning nøgletal'!Q1634:Q1684)+Markniveau!$Y1624*Markniveau!$S1624/100,"")))</f>
        <v>101.66744640811392</v>
      </c>
      <c r="AK1624" s="10">
        <f t="shared" si="259"/>
        <v>986.17423015870497</v>
      </c>
      <c r="AL1624" s="10">
        <f t="shared" si="261"/>
        <v>5.0833723204056955</v>
      </c>
      <c r="AM1624" s="10">
        <f t="shared" si="262"/>
        <v>49.308711507935243</v>
      </c>
    </row>
    <row r="1625" spans="1:39" x14ac:dyDescent="0.25">
      <c r="A1625" s="15">
        <v>98333053</v>
      </c>
      <c r="B1625" s="15">
        <v>288.98</v>
      </c>
      <c r="C1625" s="15">
        <v>143527</v>
      </c>
      <c r="D1625" s="15">
        <v>33037</v>
      </c>
      <c r="E1625" s="15" t="s">
        <v>1293</v>
      </c>
      <c r="F1625" s="15">
        <v>2011</v>
      </c>
      <c r="G1625" s="15">
        <v>20110421</v>
      </c>
      <c r="H1625" s="15">
        <v>61863</v>
      </c>
      <c r="I1625" s="15">
        <v>6.19</v>
      </c>
      <c r="J1625" s="6" t="s">
        <v>582</v>
      </c>
      <c r="K1625" s="15">
        <v>216</v>
      </c>
      <c r="L1625" s="15" t="s">
        <v>116</v>
      </c>
      <c r="M1625" s="15" t="s">
        <v>5</v>
      </c>
      <c r="N1625" s="11" t="s">
        <v>1391</v>
      </c>
      <c r="O1625" s="11" t="s">
        <v>46</v>
      </c>
      <c r="P1625" s="11" t="s">
        <v>29</v>
      </c>
      <c r="Q1625" s="15">
        <v>95</v>
      </c>
      <c r="R1625" s="11" t="s">
        <v>3</v>
      </c>
      <c r="S1625" s="10">
        <v>122.98847603989</v>
      </c>
      <c r="T1625" s="15">
        <v>80</v>
      </c>
      <c r="U1625" s="15">
        <v>0</v>
      </c>
      <c r="V1625" s="15">
        <v>1</v>
      </c>
      <c r="W1625" s="15">
        <v>0</v>
      </c>
      <c r="X1625" s="15">
        <f>IF(O1625='Udvaskning nøgletal'!$D$65,1,IF(O1625='Udvaskning nøgletal'!$D$66,2,IF(O1625='Udvaskning nøgletal'!$D$67,3,IF(O1625='Udvaskning nøgletal'!$D$68,2,""))))</f>
        <v>2</v>
      </c>
      <c r="Y1625" s="15">
        <f>LOOKUP(K1625,'Udvaskning nøgletal'!$C$12:$C$60,'Udvaskning nøgletal'!$H$12:$H$60)</f>
        <v>0</v>
      </c>
      <c r="Z1625" s="10">
        <f>IF(X1625=1,LOOKUP(K1625,'Udvaskning nøgletal'!$C$12:$C$60,'Udvaskning nøgletal'!$E$12:$E$60)+Markniveau!Y1625*Markniveau!S1625/100,IF(X1625=2,LOOKUP(K1625,'Udvaskning nøgletal'!$C$12:$C$60,'Udvaskning nøgletal'!$F$12:$F$60)+Markniveau!Y1625*Markniveau!S1625/100,IF(X1625=3,LOOKUP(K1625,'Udvaskning nøgletal'!$C$12:$C$60,'Udvaskning nøgletal'!G1635:G1683)+Markniveau!Y1625*Markniveau!S1625/100,"")))</f>
        <v>101.66744640811392</v>
      </c>
      <c r="AA1625" s="10">
        <f t="shared" si="256"/>
        <v>629.32149326622516</v>
      </c>
      <c r="AB1625" s="10">
        <f t="shared" si="255"/>
        <v>5.0833723204056955</v>
      </c>
      <c r="AC1625" s="10">
        <f t="shared" si="257"/>
        <v>31.466074663311257</v>
      </c>
      <c r="AD1625" s="10">
        <f>IF(AND(Q1625&gt;0,Q1625&lt;30,K1625&lt;8),Markniveau!Z1625*'Udvaskning nøgletal'!$I$12/100,IF(AND(Q1625&gt;0,Q1625&lt;30,K1625=216),Markniveau!Z1625*'Udvaskning nøgletal'!$I$34/100,Markniveau!Z1625))</f>
        <v>101.66744640811392</v>
      </c>
      <c r="AE1625" s="10">
        <f t="shared" si="263"/>
        <v>629.32149326622516</v>
      </c>
      <c r="AF1625" s="10">
        <f t="shared" si="258"/>
        <v>5.0833723204056955</v>
      </c>
      <c r="AG1625" s="10">
        <f t="shared" si="264"/>
        <v>31.466074663311257</v>
      </c>
      <c r="AH1625" s="10" t="str">
        <f>IF(AND(Q1625&gt;0,Q1625&lt;30,K1625=216),'Udvaskning nøgletal'!$C$42,IF(AND(Q1625&gt;0,Q1625&lt;30,K1625&gt;7,K1625&lt;17),'Udvaskning nøgletal'!$C$61,IF(AND(Q1625&gt;0,Q1625&lt;30,K1625&lt;7),'Udvaskning nøgletal'!$C$62,"")))</f>
        <v/>
      </c>
      <c r="AI1625" s="10">
        <f t="shared" si="260"/>
        <v>216</v>
      </c>
      <c r="AJ1625" s="10">
        <f>IF($X1625=1,LOOKUP(AI1625,'Udvaskning nøgletal'!$C$12:$C$62,'Udvaskning nøgletal'!$E$12:$E$62)+Markniveau!$Y1625*Markniveau!$S1625/100,IF($X1625=2,LOOKUP(AI1625,'Udvaskning nøgletal'!$C$12:$C$62,'Udvaskning nøgletal'!$F$12:$F$62)+Markniveau!$Y1625*Markniveau!$S1625/100,IF($X1625=3,LOOKUP(AI1625,'Udvaskning nøgletal'!$C$12:$C$62,'Udvaskning nøgletal'!Q1635:Q1685)+Markniveau!$Y1625*Markniveau!$S1625/100,"")))</f>
        <v>101.66744640811392</v>
      </c>
      <c r="AK1625" s="10">
        <f t="shared" si="259"/>
        <v>629.32149326622516</v>
      </c>
      <c r="AL1625" s="10">
        <f t="shared" si="261"/>
        <v>5.0833723204056955</v>
      </c>
      <c r="AM1625" s="10">
        <f t="shared" si="262"/>
        <v>31.466074663311257</v>
      </c>
    </row>
    <row r="1626" spans="1:39" x14ac:dyDescent="0.25">
      <c r="A1626" s="15">
        <v>98333053</v>
      </c>
      <c r="B1626" s="15">
        <v>288.98</v>
      </c>
      <c r="C1626" s="15">
        <v>144815</v>
      </c>
      <c r="D1626" s="15">
        <v>33037</v>
      </c>
      <c r="E1626" s="15" t="s">
        <v>1294</v>
      </c>
      <c r="F1626" s="15">
        <v>2011</v>
      </c>
      <c r="G1626" s="15">
        <v>20110421</v>
      </c>
      <c r="H1626" s="15">
        <v>40371</v>
      </c>
      <c r="I1626" s="15">
        <v>4.04</v>
      </c>
      <c r="J1626" s="6" t="s">
        <v>980</v>
      </c>
      <c r="K1626" s="15">
        <v>216</v>
      </c>
      <c r="L1626" s="15" t="s">
        <v>116</v>
      </c>
      <c r="M1626" s="15" t="s">
        <v>5</v>
      </c>
      <c r="N1626" s="11" t="s">
        <v>1391</v>
      </c>
      <c r="O1626" s="11" t="s">
        <v>46</v>
      </c>
      <c r="P1626" s="11" t="s">
        <v>29</v>
      </c>
      <c r="Q1626" s="15">
        <v>95</v>
      </c>
      <c r="R1626" s="11" t="s">
        <v>3</v>
      </c>
      <c r="S1626" s="10">
        <v>122.98847603989</v>
      </c>
      <c r="T1626" s="15">
        <v>80</v>
      </c>
      <c r="U1626" s="15">
        <v>0</v>
      </c>
      <c r="V1626" s="15">
        <v>1</v>
      </c>
      <c r="W1626" s="15">
        <v>0</v>
      </c>
      <c r="X1626" s="15">
        <f>IF(O1626='Udvaskning nøgletal'!$D$65,1,IF(O1626='Udvaskning nøgletal'!$D$66,2,IF(O1626='Udvaskning nøgletal'!$D$67,3,IF(O1626='Udvaskning nøgletal'!$D$68,2,""))))</f>
        <v>2</v>
      </c>
      <c r="Y1626" s="15">
        <f>LOOKUP(K1626,'Udvaskning nøgletal'!$C$12:$C$60,'Udvaskning nøgletal'!$H$12:$H$60)</f>
        <v>0</v>
      </c>
      <c r="Z1626" s="10">
        <f>IF(X1626=1,LOOKUP(K1626,'Udvaskning nøgletal'!$C$12:$C$60,'Udvaskning nøgletal'!$E$12:$E$60)+Markniveau!Y1626*Markniveau!S1626/100,IF(X1626=2,LOOKUP(K1626,'Udvaskning nøgletal'!$C$12:$C$60,'Udvaskning nøgletal'!$F$12:$F$60)+Markniveau!Y1626*Markniveau!S1626/100,IF(X1626=3,LOOKUP(K1626,'Udvaskning nøgletal'!$C$12:$C$60,'Udvaskning nøgletal'!G1636:G1684)+Markniveau!Y1626*Markniveau!S1626/100,"")))</f>
        <v>101.66744640811392</v>
      </c>
      <c r="AA1626" s="10">
        <f t="shared" si="256"/>
        <v>410.73648348878021</v>
      </c>
      <c r="AB1626" s="10">
        <f t="shared" si="255"/>
        <v>5.0833723204056955</v>
      </c>
      <c r="AC1626" s="10">
        <f t="shared" si="257"/>
        <v>20.536824174439012</v>
      </c>
      <c r="AD1626" s="10">
        <f>IF(AND(Q1626&gt;0,Q1626&lt;30,K1626&lt;8),Markniveau!Z1626*'Udvaskning nøgletal'!$I$12/100,IF(AND(Q1626&gt;0,Q1626&lt;30,K1626=216),Markniveau!Z1626*'Udvaskning nøgletal'!$I$34/100,Markniveau!Z1626))</f>
        <v>101.66744640811392</v>
      </c>
      <c r="AE1626" s="10">
        <f t="shared" si="263"/>
        <v>410.73648348878021</v>
      </c>
      <c r="AF1626" s="10">
        <f t="shared" si="258"/>
        <v>5.0833723204056955</v>
      </c>
      <c r="AG1626" s="10">
        <f t="shared" si="264"/>
        <v>20.536824174439012</v>
      </c>
      <c r="AH1626" s="10" t="str">
        <f>IF(AND(Q1626&gt;0,Q1626&lt;30,K1626=216),'Udvaskning nøgletal'!$C$42,IF(AND(Q1626&gt;0,Q1626&lt;30,K1626&gt;7,K1626&lt;17),'Udvaskning nøgletal'!$C$61,IF(AND(Q1626&gt;0,Q1626&lt;30,K1626&lt;7),'Udvaskning nøgletal'!$C$62,"")))</f>
        <v/>
      </c>
      <c r="AI1626" s="10">
        <f t="shared" si="260"/>
        <v>216</v>
      </c>
      <c r="AJ1626" s="10">
        <f>IF($X1626=1,LOOKUP(AI1626,'Udvaskning nøgletal'!$C$12:$C$62,'Udvaskning nøgletal'!$E$12:$E$62)+Markniveau!$Y1626*Markniveau!$S1626/100,IF($X1626=2,LOOKUP(AI1626,'Udvaskning nøgletal'!$C$12:$C$62,'Udvaskning nøgletal'!$F$12:$F$62)+Markniveau!$Y1626*Markniveau!$S1626/100,IF($X1626=3,LOOKUP(AI1626,'Udvaskning nøgletal'!$C$12:$C$62,'Udvaskning nøgletal'!Q1636:Q1686)+Markniveau!$Y1626*Markniveau!$S1626/100,"")))</f>
        <v>101.66744640811392</v>
      </c>
      <c r="AK1626" s="10">
        <f t="shared" si="259"/>
        <v>410.73648348878021</v>
      </c>
      <c r="AL1626" s="10">
        <f t="shared" si="261"/>
        <v>5.0833723204056955</v>
      </c>
      <c r="AM1626" s="10">
        <f t="shared" si="262"/>
        <v>20.536824174439012</v>
      </c>
    </row>
    <row r="1627" spans="1:39" x14ac:dyDescent="0.25">
      <c r="A1627" s="15">
        <v>98333053</v>
      </c>
      <c r="B1627" s="15">
        <v>288.98</v>
      </c>
      <c r="C1627" s="15">
        <v>145618</v>
      </c>
      <c r="D1627" s="15">
        <v>33037</v>
      </c>
      <c r="E1627" s="15" t="s">
        <v>1257</v>
      </c>
      <c r="F1627" s="15">
        <v>2011</v>
      </c>
      <c r="G1627" s="15">
        <v>20110421</v>
      </c>
      <c r="H1627" s="15">
        <v>117991</v>
      </c>
      <c r="I1627" s="15">
        <v>11.8</v>
      </c>
      <c r="J1627" s="6" t="s">
        <v>69</v>
      </c>
      <c r="K1627" s="15">
        <v>260</v>
      </c>
      <c r="L1627" s="15" t="s">
        <v>45</v>
      </c>
      <c r="M1627" s="15" t="s">
        <v>5</v>
      </c>
      <c r="N1627" s="11" t="s">
        <v>1390</v>
      </c>
      <c r="O1627" s="11" t="s">
        <v>42</v>
      </c>
      <c r="P1627" s="11" t="s">
        <v>29</v>
      </c>
      <c r="Q1627" s="15">
        <v>95</v>
      </c>
      <c r="R1627" s="11" t="s">
        <v>3</v>
      </c>
      <c r="S1627" s="10">
        <v>122.98847603989</v>
      </c>
      <c r="T1627" s="15">
        <v>80</v>
      </c>
      <c r="U1627" s="15">
        <v>0</v>
      </c>
      <c r="V1627" s="15">
        <v>1</v>
      </c>
      <c r="W1627" s="15">
        <v>0</v>
      </c>
      <c r="X1627" s="15">
        <f>IF(O1627='Udvaskning nøgletal'!$D$65,1,IF(O1627='Udvaskning nøgletal'!$D$66,2,IF(O1627='Udvaskning nøgletal'!$D$67,3,IF(O1627='Udvaskning nøgletal'!$D$68,2,""))))</f>
        <v>2</v>
      </c>
      <c r="Y1627" s="15">
        <f>LOOKUP(K1627,'Udvaskning nøgletal'!$C$12:$C$60,'Udvaskning nøgletal'!$H$12:$H$60)</f>
        <v>0</v>
      </c>
      <c r="Z1627" s="10">
        <f>IF(X1627=1,LOOKUP(K1627,'Udvaskning nøgletal'!$C$12:$C$60,'Udvaskning nøgletal'!$E$12:$E$60)+Markniveau!Y1627*Markniveau!S1627/100,IF(X1627=2,LOOKUP(K1627,'Udvaskning nøgletal'!$C$12:$C$60,'Udvaskning nøgletal'!$F$12:$F$60)+Markniveau!Y1627*Markniveau!S1627/100,IF(X1627=3,LOOKUP(K1627,'Udvaskning nøgletal'!$C$12:$C$60,'Udvaskning nøgletal'!G1637:G1685)+Markniveau!Y1627*Markniveau!S1627/100,"")))</f>
        <v>27.331185321443094</v>
      </c>
      <c r="AA1627" s="10">
        <f t="shared" si="256"/>
        <v>322.50798679302852</v>
      </c>
      <c r="AB1627" s="10">
        <f t="shared" si="255"/>
        <v>1.3665592660721546</v>
      </c>
      <c r="AC1627" s="10">
        <f t="shared" si="257"/>
        <v>16.125399339651427</v>
      </c>
      <c r="AD1627" s="10">
        <f>IF(AND(Q1627&gt;0,Q1627&lt;30,K1627&lt;8),Markniveau!Z1627*'Udvaskning nøgletal'!$I$12/100,IF(AND(Q1627&gt;0,Q1627&lt;30,K1627=216),Markniveau!Z1627*'Udvaskning nøgletal'!$I$34/100,Markniveau!Z1627))</f>
        <v>27.331185321443094</v>
      </c>
      <c r="AE1627" s="10">
        <f t="shared" si="263"/>
        <v>322.50798679302852</v>
      </c>
      <c r="AF1627" s="10">
        <f t="shared" si="258"/>
        <v>1.3665592660721546</v>
      </c>
      <c r="AG1627" s="10">
        <f t="shared" si="264"/>
        <v>16.125399339651427</v>
      </c>
      <c r="AH1627" s="10" t="str">
        <f>IF(AND(Q1627&gt;0,Q1627&lt;30,K1627=216),'Udvaskning nøgletal'!$C$42,IF(AND(Q1627&gt;0,Q1627&lt;30,K1627&gt;7,K1627&lt;17),'Udvaskning nøgletal'!$C$61,IF(AND(Q1627&gt;0,Q1627&lt;30,K1627&lt;7),'Udvaskning nøgletal'!$C$62,"")))</f>
        <v/>
      </c>
      <c r="AI1627" s="10">
        <f t="shared" si="260"/>
        <v>260</v>
      </c>
      <c r="AJ1627" s="10">
        <f>IF($X1627=1,LOOKUP(AI1627,'Udvaskning nøgletal'!$C$12:$C$62,'Udvaskning nøgletal'!$E$12:$E$62)+Markniveau!$Y1627*Markniveau!$S1627/100,IF($X1627=2,LOOKUP(AI1627,'Udvaskning nøgletal'!$C$12:$C$62,'Udvaskning nøgletal'!$F$12:$F$62)+Markniveau!$Y1627*Markniveau!$S1627/100,IF($X1627=3,LOOKUP(AI1627,'Udvaskning nøgletal'!$C$12:$C$62,'Udvaskning nøgletal'!Q1637:Q1687)+Markniveau!$Y1627*Markniveau!$S1627/100,"")))</f>
        <v>27.331185321443094</v>
      </c>
      <c r="AK1627" s="10">
        <f t="shared" si="259"/>
        <v>322.50798679302852</v>
      </c>
      <c r="AL1627" s="10">
        <f t="shared" si="261"/>
        <v>1.3665592660721546</v>
      </c>
      <c r="AM1627" s="10">
        <f t="shared" si="262"/>
        <v>16.125399339651427</v>
      </c>
    </row>
    <row r="1628" spans="1:39" x14ac:dyDescent="0.25">
      <c r="A1628" s="15">
        <v>98333053</v>
      </c>
      <c r="B1628" s="15">
        <v>288.98</v>
      </c>
      <c r="C1628" s="15">
        <v>148891</v>
      </c>
      <c r="D1628" s="15">
        <v>33037</v>
      </c>
      <c r="E1628" s="15" t="s">
        <v>1295</v>
      </c>
      <c r="F1628" s="15">
        <v>2011</v>
      </c>
      <c r="G1628" s="15">
        <v>20110421</v>
      </c>
      <c r="H1628" s="15">
        <v>7741</v>
      </c>
      <c r="I1628" s="15">
        <v>0.77</v>
      </c>
      <c r="J1628" s="6" t="s">
        <v>482</v>
      </c>
      <c r="K1628" s="15">
        <v>252</v>
      </c>
      <c r="L1628" s="15" t="s">
        <v>41</v>
      </c>
      <c r="M1628" s="15" t="s">
        <v>4</v>
      </c>
      <c r="N1628" s="11" t="s">
        <v>1406</v>
      </c>
      <c r="O1628" s="11" t="s">
        <v>46</v>
      </c>
      <c r="P1628" s="11" t="s">
        <v>29</v>
      </c>
      <c r="Q1628" s="15">
        <v>95</v>
      </c>
      <c r="R1628" s="11" t="s">
        <v>3</v>
      </c>
      <c r="S1628" s="10">
        <v>122.98847603989</v>
      </c>
      <c r="T1628" s="15">
        <v>80</v>
      </c>
      <c r="U1628" s="15">
        <v>0</v>
      </c>
      <c r="V1628" s="15">
        <v>1</v>
      </c>
      <c r="W1628" s="15">
        <v>0</v>
      </c>
      <c r="X1628" s="15">
        <f>IF(O1628='Udvaskning nøgletal'!$D$65,1,IF(O1628='Udvaskning nøgletal'!$D$66,2,IF(O1628='Udvaskning nøgletal'!$D$67,3,IF(O1628='Udvaskning nøgletal'!$D$68,2,""))))</f>
        <v>2</v>
      </c>
      <c r="Y1628" s="15">
        <f>LOOKUP(K1628,'Udvaskning nøgletal'!$C$12:$C$60,'Udvaskning nøgletal'!$H$12:$H$60)</f>
        <v>0</v>
      </c>
      <c r="Z1628" s="10">
        <f>IF(X1628=1,LOOKUP(K1628,'Udvaskning nøgletal'!$C$12:$C$60,'Udvaskning nøgletal'!$E$12:$E$60)+Markniveau!Y1628*Markniveau!S1628/100,IF(X1628=2,LOOKUP(K1628,'Udvaskning nøgletal'!$C$12:$C$60,'Udvaskning nøgletal'!$F$12:$F$60)+Markniveau!Y1628*Markniveau!S1628/100,IF(X1628=3,LOOKUP(K1628,'Udvaskning nøgletal'!$C$12:$C$60,'Udvaskning nøgletal'!G1638:G1686)+Markniveau!Y1628*Markniveau!S1628/100,"")))</f>
        <v>21.2</v>
      </c>
      <c r="AA1628" s="10">
        <f t="shared" si="256"/>
        <v>16.323999999999998</v>
      </c>
      <c r="AB1628" s="10">
        <f t="shared" si="255"/>
        <v>1.06</v>
      </c>
      <c r="AC1628" s="10">
        <f t="shared" si="257"/>
        <v>0.81620000000000004</v>
      </c>
      <c r="AD1628" s="10">
        <f>IF(AND(Q1628&gt;0,Q1628&lt;30,K1628&lt;8),Markniveau!Z1628*'Udvaskning nøgletal'!$I$12/100,IF(AND(Q1628&gt;0,Q1628&lt;30,K1628=216),Markniveau!Z1628*'Udvaskning nøgletal'!$I$34/100,Markniveau!Z1628))</f>
        <v>21.2</v>
      </c>
      <c r="AE1628" s="10">
        <f t="shared" si="263"/>
        <v>16.323999999999998</v>
      </c>
      <c r="AF1628" s="10">
        <f t="shared" si="258"/>
        <v>1.06</v>
      </c>
      <c r="AG1628" s="10">
        <f t="shared" si="264"/>
        <v>0.81620000000000004</v>
      </c>
      <c r="AH1628" s="10" t="str">
        <f>IF(AND(Q1628&gt;0,Q1628&lt;30,K1628=216),'Udvaskning nøgletal'!$C$42,IF(AND(Q1628&gt;0,Q1628&lt;30,K1628&gt;7,K1628&lt;17),'Udvaskning nøgletal'!$C$61,IF(AND(Q1628&gt;0,Q1628&lt;30,K1628&lt;7),'Udvaskning nøgletal'!$C$62,"")))</f>
        <v/>
      </c>
      <c r="AI1628" s="10">
        <f t="shared" si="260"/>
        <v>252</v>
      </c>
      <c r="AJ1628" s="10">
        <f>IF($X1628=1,LOOKUP(AI1628,'Udvaskning nøgletal'!$C$12:$C$62,'Udvaskning nøgletal'!$E$12:$E$62)+Markniveau!$Y1628*Markniveau!$S1628/100,IF($X1628=2,LOOKUP(AI1628,'Udvaskning nøgletal'!$C$12:$C$62,'Udvaskning nøgletal'!$F$12:$F$62)+Markniveau!$Y1628*Markniveau!$S1628/100,IF($X1628=3,LOOKUP(AI1628,'Udvaskning nøgletal'!$C$12:$C$62,'Udvaskning nøgletal'!Q1638:Q1688)+Markniveau!$Y1628*Markniveau!$S1628/100,"")))</f>
        <v>21.2</v>
      </c>
      <c r="AK1628" s="10">
        <f t="shared" si="259"/>
        <v>16.323999999999998</v>
      </c>
      <c r="AL1628" s="10">
        <f t="shared" si="261"/>
        <v>1.06</v>
      </c>
      <c r="AM1628" s="10">
        <f t="shared" si="262"/>
        <v>0.81620000000000004</v>
      </c>
    </row>
    <row r="1629" spans="1:39" x14ac:dyDescent="0.25">
      <c r="A1629" s="15">
        <v>98333053</v>
      </c>
      <c r="B1629" s="15">
        <v>288.98</v>
      </c>
      <c r="C1629" s="15">
        <v>166766</v>
      </c>
      <c r="D1629" s="15">
        <v>33037</v>
      </c>
      <c r="E1629" s="15" t="s">
        <v>1257</v>
      </c>
      <c r="F1629" s="15">
        <v>2011</v>
      </c>
      <c r="G1629" s="15">
        <v>20110421</v>
      </c>
      <c r="H1629" s="15">
        <v>91726</v>
      </c>
      <c r="I1629" s="15">
        <v>9.17</v>
      </c>
      <c r="J1629" s="6" t="s">
        <v>1465</v>
      </c>
      <c r="K1629" s="15">
        <v>260</v>
      </c>
      <c r="L1629" s="15" t="s">
        <v>45</v>
      </c>
      <c r="M1629" s="15" t="s">
        <v>5</v>
      </c>
      <c r="N1629" s="11" t="s">
        <v>1391</v>
      </c>
      <c r="O1629" s="11" t="s">
        <v>46</v>
      </c>
      <c r="P1629" s="11" t="s">
        <v>29</v>
      </c>
      <c r="Q1629" s="15">
        <v>95</v>
      </c>
      <c r="R1629" s="11" t="s">
        <v>3</v>
      </c>
      <c r="S1629" s="10">
        <v>122.98847603989</v>
      </c>
      <c r="T1629" s="15">
        <v>80</v>
      </c>
      <c r="U1629" s="15">
        <v>0</v>
      </c>
      <c r="V1629" s="15">
        <v>1</v>
      </c>
      <c r="W1629" s="15">
        <v>0</v>
      </c>
      <c r="X1629" s="15">
        <f>IF(O1629='Udvaskning nøgletal'!$D$65,1,IF(O1629='Udvaskning nøgletal'!$D$66,2,IF(O1629='Udvaskning nøgletal'!$D$67,3,IF(O1629='Udvaskning nøgletal'!$D$68,2,""))))</f>
        <v>2</v>
      </c>
      <c r="Y1629" s="15">
        <f>LOOKUP(K1629,'Udvaskning nøgletal'!$C$12:$C$60,'Udvaskning nøgletal'!$H$12:$H$60)</f>
        <v>0</v>
      </c>
      <c r="Z1629" s="10">
        <f>IF(X1629=1,LOOKUP(K1629,'Udvaskning nøgletal'!$C$12:$C$60,'Udvaskning nøgletal'!$E$12:$E$60)+Markniveau!Y1629*Markniveau!S1629/100,IF(X1629=2,LOOKUP(K1629,'Udvaskning nøgletal'!$C$12:$C$60,'Udvaskning nøgletal'!$F$12:$F$60)+Markniveau!Y1629*Markniveau!S1629/100,IF(X1629=3,LOOKUP(K1629,'Udvaskning nøgletal'!$C$12:$C$60,'Udvaskning nøgletal'!G1639:G1687)+Markniveau!Y1629*Markniveau!S1629/100,"")))</f>
        <v>27.331185321443094</v>
      </c>
      <c r="AA1629" s="10">
        <f t="shared" si="256"/>
        <v>250.62696939763316</v>
      </c>
      <c r="AB1629" s="10">
        <f t="shared" si="255"/>
        <v>1.3665592660721546</v>
      </c>
      <c r="AC1629" s="10">
        <f t="shared" si="257"/>
        <v>12.531348469881658</v>
      </c>
      <c r="AD1629" s="10">
        <f>IF(AND(Q1629&gt;0,Q1629&lt;30,K1629&lt;8),Markniveau!Z1629*'Udvaskning nøgletal'!$I$12/100,IF(AND(Q1629&gt;0,Q1629&lt;30,K1629=216),Markniveau!Z1629*'Udvaskning nøgletal'!$I$34/100,Markniveau!Z1629))</f>
        <v>27.331185321443094</v>
      </c>
      <c r="AE1629" s="10">
        <f t="shared" si="263"/>
        <v>250.62696939763316</v>
      </c>
      <c r="AF1629" s="10">
        <f t="shared" si="258"/>
        <v>1.3665592660721546</v>
      </c>
      <c r="AG1629" s="10">
        <f t="shared" si="264"/>
        <v>12.531348469881658</v>
      </c>
      <c r="AH1629" s="10" t="str">
        <f>IF(AND(Q1629&gt;0,Q1629&lt;30,K1629=216),'Udvaskning nøgletal'!$C$42,IF(AND(Q1629&gt;0,Q1629&lt;30,K1629&gt;7,K1629&lt;17),'Udvaskning nøgletal'!$C$61,IF(AND(Q1629&gt;0,Q1629&lt;30,K1629&lt;7),'Udvaskning nøgletal'!$C$62,"")))</f>
        <v/>
      </c>
      <c r="AI1629" s="10">
        <f t="shared" si="260"/>
        <v>260</v>
      </c>
      <c r="AJ1629" s="10">
        <f>IF($X1629=1,LOOKUP(AI1629,'Udvaskning nøgletal'!$C$12:$C$62,'Udvaskning nøgletal'!$E$12:$E$62)+Markniveau!$Y1629*Markniveau!$S1629/100,IF($X1629=2,LOOKUP(AI1629,'Udvaskning nøgletal'!$C$12:$C$62,'Udvaskning nøgletal'!$F$12:$F$62)+Markniveau!$Y1629*Markniveau!$S1629/100,IF($X1629=3,LOOKUP(AI1629,'Udvaskning nøgletal'!$C$12:$C$62,'Udvaskning nøgletal'!Q1639:Q1689)+Markniveau!$Y1629*Markniveau!$S1629/100,"")))</f>
        <v>27.331185321443094</v>
      </c>
      <c r="AK1629" s="10">
        <f t="shared" si="259"/>
        <v>250.62696939763316</v>
      </c>
      <c r="AL1629" s="10">
        <f t="shared" si="261"/>
        <v>1.3665592660721546</v>
      </c>
      <c r="AM1629" s="10">
        <f t="shared" si="262"/>
        <v>12.531348469881658</v>
      </c>
    </row>
    <row r="1630" spans="1:39" x14ac:dyDescent="0.25">
      <c r="A1630" s="15">
        <v>98333053</v>
      </c>
      <c r="B1630" s="15">
        <v>288.98</v>
      </c>
      <c r="C1630" s="15">
        <v>169103</v>
      </c>
      <c r="D1630" s="15">
        <v>33037</v>
      </c>
      <c r="E1630" s="15" t="s">
        <v>331</v>
      </c>
      <c r="F1630" s="15">
        <v>2011</v>
      </c>
      <c r="G1630" s="15">
        <v>20110421</v>
      </c>
      <c r="H1630" s="15">
        <v>197653</v>
      </c>
      <c r="I1630" s="15">
        <v>19.77</v>
      </c>
      <c r="J1630" s="6" t="s">
        <v>67</v>
      </c>
      <c r="K1630" s="15">
        <v>216</v>
      </c>
      <c r="L1630" s="15" t="s">
        <v>116</v>
      </c>
      <c r="M1630" s="15" t="s">
        <v>5</v>
      </c>
      <c r="N1630" s="11" t="s">
        <v>1391</v>
      </c>
      <c r="O1630" s="11" t="s">
        <v>46</v>
      </c>
      <c r="P1630" s="11" t="s">
        <v>33</v>
      </c>
      <c r="Q1630" s="15">
        <v>95</v>
      </c>
      <c r="R1630" s="11" t="s">
        <v>3</v>
      </c>
      <c r="S1630" s="10">
        <v>122.98847603989</v>
      </c>
      <c r="T1630" s="15">
        <v>80</v>
      </c>
      <c r="U1630" s="15">
        <v>0</v>
      </c>
      <c r="V1630" s="15">
        <v>1</v>
      </c>
      <c r="W1630" s="15">
        <v>0</v>
      </c>
      <c r="X1630" s="15">
        <f>IF(O1630='Udvaskning nøgletal'!$D$65,1,IF(O1630='Udvaskning nøgletal'!$D$66,2,IF(O1630='Udvaskning nøgletal'!$D$67,3,IF(O1630='Udvaskning nøgletal'!$D$68,2,""))))</f>
        <v>2</v>
      </c>
      <c r="Y1630" s="15">
        <f>LOOKUP(K1630,'Udvaskning nøgletal'!$C$12:$C$60,'Udvaskning nøgletal'!$H$12:$H$60)</f>
        <v>0</v>
      </c>
      <c r="Z1630" s="10">
        <f>IF(X1630=1,LOOKUP(K1630,'Udvaskning nøgletal'!$C$12:$C$60,'Udvaskning nøgletal'!$E$12:$E$60)+Markniveau!Y1630*Markniveau!S1630/100,IF(X1630=2,LOOKUP(K1630,'Udvaskning nøgletal'!$C$12:$C$60,'Udvaskning nøgletal'!$F$12:$F$60)+Markniveau!Y1630*Markniveau!S1630/100,IF(X1630=3,LOOKUP(K1630,'Udvaskning nøgletal'!$C$12:$C$60,'Udvaskning nøgletal'!G1640:G1688)+Markniveau!Y1630*Markniveau!S1630/100,"")))</f>
        <v>101.66744640811392</v>
      </c>
      <c r="AA1630" s="10">
        <f t="shared" si="256"/>
        <v>2009.9654154884122</v>
      </c>
      <c r="AB1630" s="10">
        <f t="shared" si="255"/>
        <v>5.0833723204056955</v>
      </c>
      <c r="AC1630" s="10">
        <f t="shared" si="257"/>
        <v>100.4982707744206</v>
      </c>
      <c r="AD1630" s="10">
        <f>IF(AND(Q1630&gt;0,Q1630&lt;30,K1630&lt;8),Markniveau!Z1630*'Udvaskning nøgletal'!$I$12/100,IF(AND(Q1630&gt;0,Q1630&lt;30,K1630=216),Markniveau!Z1630*'Udvaskning nøgletal'!$I$34/100,Markniveau!Z1630))</f>
        <v>101.66744640811392</v>
      </c>
      <c r="AE1630" s="10">
        <f t="shared" si="263"/>
        <v>2009.9654154884122</v>
      </c>
      <c r="AF1630" s="10">
        <f t="shared" si="258"/>
        <v>5.0833723204056955</v>
      </c>
      <c r="AG1630" s="10">
        <f t="shared" si="264"/>
        <v>100.4982707744206</v>
      </c>
      <c r="AH1630" s="10" t="str">
        <f>IF(AND(Q1630&gt;0,Q1630&lt;30,K1630=216),'Udvaskning nøgletal'!$C$42,IF(AND(Q1630&gt;0,Q1630&lt;30,K1630&gt;7,K1630&lt;17),'Udvaskning nøgletal'!$C$61,IF(AND(Q1630&gt;0,Q1630&lt;30,K1630&lt;7),'Udvaskning nøgletal'!$C$62,"")))</f>
        <v/>
      </c>
      <c r="AI1630" s="10">
        <f t="shared" si="260"/>
        <v>216</v>
      </c>
      <c r="AJ1630" s="10">
        <f>IF($X1630=1,LOOKUP(AI1630,'Udvaskning nøgletal'!$C$12:$C$62,'Udvaskning nøgletal'!$E$12:$E$62)+Markniveau!$Y1630*Markniveau!$S1630/100,IF($X1630=2,LOOKUP(AI1630,'Udvaskning nøgletal'!$C$12:$C$62,'Udvaskning nøgletal'!$F$12:$F$62)+Markniveau!$Y1630*Markniveau!$S1630/100,IF($X1630=3,LOOKUP(AI1630,'Udvaskning nøgletal'!$C$12:$C$62,'Udvaskning nøgletal'!Q1640:Q1690)+Markniveau!$Y1630*Markniveau!$S1630/100,"")))</f>
        <v>101.66744640811392</v>
      </c>
      <c r="AK1630" s="10">
        <f t="shared" si="259"/>
        <v>2009.9654154884122</v>
      </c>
      <c r="AL1630" s="10">
        <f t="shared" si="261"/>
        <v>5.0833723204056955</v>
      </c>
      <c r="AM1630" s="10">
        <f t="shared" si="262"/>
        <v>100.4982707744206</v>
      </c>
    </row>
    <row r="1631" spans="1:39" x14ac:dyDescent="0.25">
      <c r="A1631" s="15">
        <v>98333053</v>
      </c>
      <c r="B1631" s="15">
        <v>288.98</v>
      </c>
      <c r="C1631" s="15">
        <v>176702</v>
      </c>
      <c r="D1631" s="15">
        <v>33037</v>
      </c>
      <c r="E1631" s="15" t="s">
        <v>1296</v>
      </c>
      <c r="F1631" s="15">
        <v>2011</v>
      </c>
      <c r="G1631" s="15">
        <v>20110421</v>
      </c>
      <c r="H1631" s="15">
        <v>102048</v>
      </c>
      <c r="I1631" s="15">
        <v>10.199999999999999</v>
      </c>
      <c r="J1631" s="6" t="s">
        <v>36</v>
      </c>
      <c r="K1631" s="15">
        <v>210</v>
      </c>
      <c r="L1631" s="15" t="s">
        <v>262</v>
      </c>
      <c r="M1631" s="15" t="s">
        <v>5</v>
      </c>
      <c r="N1631" s="11" t="s">
        <v>1391</v>
      </c>
      <c r="O1631" s="11" t="s">
        <v>46</v>
      </c>
      <c r="P1631" s="11" t="s">
        <v>29</v>
      </c>
      <c r="Q1631" s="15">
        <v>95</v>
      </c>
      <c r="R1631" s="11" t="s">
        <v>3</v>
      </c>
      <c r="S1631" s="10">
        <v>122.98847603989</v>
      </c>
      <c r="T1631" s="15">
        <v>80</v>
      </c>
      <c r="U1631" s="15">
        <v>0</v>
      </c>
      <c r="V1631" s="15">
        <v>1</v>
      </c>
      <c r="W1631" s="15">
        <v>0</v>
      </c>
      <c r="X1631" s="15">
        <f>IF(O1631='Udvaskning nøgletal'!$D$65,1,IF(O1631='Udvaskning nøgletal'!$D$66,2,IF(O1631='Udvaskning nøgletal'!$D$67,3,IF(O1631='Udvaskning nøgletal'!$D$68,2,""))))</f>
        <v>2</v>
      </c>
      <c r="Y1631" s="15">
        <f>LOOKUP(K1631,'Udvaskning nøgletal'!$C$12:$C$60,'Udvaskning nøgletal'!$H$12:$H$60)</f>
        <v>0</v>
      </c>
      <c r="Z1631" s="10">
        <f>IF(X1631=1,LOOKUP(K1631,'Udvaskning nøgletal'!$C$12:$C$60,'Udvaskning nøgletal'!$E$12:$E$60)+Markniveau!Y1631*Markniveau!S1631/100,IF(X1631=2,LOOKUP(K1631,'Udvaskning nøgletal'!$C$12:$C$60,'Udvaskning nøgletal'!$F$12:$F$60)+Markniveau!Y1631*Markniveau!S1631/100,IF(X1631=3,LOOKUP(K1631,'Udvaskning nøgletal'!$C$12:$C$60,'Udvaskning nøgletal'!G1641:G1689)+Markniveau!Y1631*Markniveau!S1631/100,"")))</f>
        <v>31.161328188970323</v>
      </c>
      <c r="AA1631" s="10">
        <f t="shared" si="256"/>
        <v>317.84554752749727</v>
      </c>
      <c r="AB1631" s="10">
        <f t="shared" si="255"/>
        <v>1.5580664094485162</v>
      </c>
      <c r="AC1631" s="10">
        <f t="shared" si="257"/>
        <v>15.892277376374864</v>
      </c>
      <c r="AD1631" s="10">
        <f>IF(AND(Q1631&gt;0,Q1631&lt;30,K1631&lt;8),Markniveau!Z1631*'Udvaskning nøgletal'!$I$12/100,IF(AND(Q1631&gt;0,Q1631&lt;30,K1631=216),Markniveau!Z1631*'Udvaskning nøgletal'!$I$34/100,Markniveau!Z1631))</f>
        <v>31.161328188970323</v>
      </c>
      <c r="AE1631" s="10">
        <f t="shared" si="263"/>
        <v>317.84554752749727</v>
      </c>
      <c r="AF1631" s="10">
        <f t="shared" si="258"/>
        <v>1.5580664094485162</v>
      </c>
      <c r="AG1631" s="10">
        <f t="shared" si="264"/>
        <v>15.892277376374864</v>
      </c>
      <c r="AH1631" s="10" t="str">
        <f>IF(AND(Q1631&gt;0,Q1631&lt;30,K1631=216),'Udvaskning nøgletal'!$C$42,IF(AND(Q1631&gt;0,Q1631&lt;30,K1631&gt;7,K1631&lt;17),'Udvaskning nøgletal'!$C$61,IF(AND(Q1631&gt;0,Q1631&lt;30,K1631&lt;7),'Udvaskning nøgletal'!$C$62,"")))</f>
        <v/>
      </c>
      <c r="AI1631" s="10">
        <f t="shared" si="260"/>
        <v>210</v>
      </c>
      <c r="AJ1631" s="10">
        <f>IF($X1631=1,LOOKUP(AI1631,'Udvaskning nøgletal'!$C$12:$C$62,'Udvaskning nøgletal'!$E$12:$E$62)+Markniveau!$Y1631*Markniveau!$S1631/100,IF($X1631=2,LOOKUP(AI1631,'Udvaskning nøgletal'!$C$12:$C$62,'Udvaskning nøgletal'!$F$12:$F$62)+Markniveau!$Y1631*Markniveau!$S1631/100,IF($X1631=3,LOOKUP(AI1631,'Udvaskning nøgletal'!$C$12:$C$62,'Udvaskning nøgletal'!Q1641:Q1691)+Markniveau!$Y1631*Markniveau!$S1631/100,"")))</f>
        <v>31.161328188970323</v>
      </c>
      <c r="AK1631" s="10">
        <f t="shared" si="259"/>
        <v>317.84554752749727</v>
      </c>
      <c r="AL1631" s="10">
        <f t="shared" si="261"/>
        <v>1.5580664094485162</v>
      </c>
      <c r="AM1631" s="10">
        <f t="shared" si="262"/>
        <v>15.892277376374864</v>
      </c>
    </row>
    <row r="1632" spans="1:39" x14ac:dyDescent="0.25">
      <c r="A1632" s="15">
        <v>98333053</v>
      </c>
      <c r="B1632" s="15">
        <v>288.98</v>
      </c>
      <c r="C1632" s="15">
        <v>176976</v>
      </c>
      <c r="D1632" s="15">
        <v>33037</v>
      </c>
      <c r="E1632" s="15" t="s">
        <v>1295</v>
      </c>
      <c r="F1632" s="15">
        <v>2011</v>
      </c>
      <c r="G1632" s="15">
        <v>20110421</v>
      </c>
      <c r="H1632" s="15">
        <v>54810</v>
      </c>
      <c r="I1632" s="15">
        <v>5.48</v>
      </c>
      <c r="J1632" s="6" t="s">
        <v>461</v>
      </c>
      <c r="K1632" s="15">
        <v>11</v>
      </c>
      <c r="L1632" s="15" t="s">
        <v>102</v>
      </c>
      <c r="M1632" s="15" t="s">
        <v>5</v>
      </c>
      <c r="N1632" s="11" t="s">
        <v>1406</v>
      </c>
      <c r="O1632" s="11" t="s">
        <v>46</v>
      </c>
      <c r="P1632" s="11" t="s">
        <v>29</v>
      </c>
      <c r="Q1632" s="15">
        <v>95</v>
      </c>
      <c r="R1632" s="11" t="s">
        <v>3</v>
      </c>
      <c r="S1632" s="10">
        <v>122.98847603989</v>
      </c>
      <c r="T1632" s="15">
        <v>80</v>
      </c>
      <c r="U1632" s="15">
        <v>0</v>
      </c>
      <c r="V1632" s="15">
        <v>1</v>
      </c>
      <c r="W1632" s="15">
        <v>0</v>
      </c>
      <c r="X1632" s="15">
        <f>IF(O1632='Udvaskning nøgletal'!$D$65,1,IF(O1632='Udvaskning nøgletal'!$D$66,2,IF(O1632='Udvaskning nøgletal'!$D$67,3,IF(O1632='Udvaskning nøgletal'!$D$68,2,""))))</f>
        <v>2</v>
      </c>
      <c r="Y1632" s="15">
        <f>LOOKUP(K1632,'Udvaskning nøgletal'!$C$12:$C$60,'Udvaskning nøgletal'!$H$12:$H$60)</f>
        <v>5</v>
      </c>
      <c r="Z1632" s="10">
        <f>IF(X1632=1,LOOKUP(K1632,'Udvaskning nøgletal'!$C$12:$C$60,'Udvaskning nøgletal'!$E$12:$E$60)+Markniveau!Y1632*Markniveau!S1632/100,IF(X1632=2,LOOKUP(K1632,'Udvaskning nøgletal'!$C$12:$C$60,'Udvaskning nøgletal'!$F$12:$F$60)+Markniveau!Y1632*Markniveau!S1632/100,IF(X1632=3,LOOKUP(K1632,'Udvaskning nøgletal'!$C$12:$C$60,'Udvaskning nøgletal'!G1642:G1690)+Markniveau!Y1632*Markniveau!S1632/100,"")))</f>
        <v>57.029423801994504</v>
      </c>
      <c r="AA1632" s="10">
        <f t="shared" si="256"/>
        <v>312.52124243492989</v>
      </c>
      <c r="AB1632" s="10">
        <f t="shared" si="255"/>
        <v>2.8514711900997254</v>
      </c>
      <c r="AC1632" s="10">
        <f t="shared" si="257"/>
        <v>15.626062121746497</v>
      </c>
      <c r="AD1632" s="10">
        <f>IF(AND(Q1632&gt;0,Q1632&lt;30,K1632&lt;8),Markniveau!Z1632*'Udvaskning nøgletal'!$I$12/100,IF(AND(Q1632&gt;0,Q1632&lt;30,K1632=216),Markniveau!Z1632*'Udvaskning nøgletal'!$I$34/100,Markniveau!Z1632))</f>
        <v>57.029423801994504</v>
      </c>
      <c r="AE1632" s="10">
        <f t="shared" si="263"/>
        <v>312.52124243492989</v>
      </c>
      <c r="AF1632" s="10">
        <f t="shared" si="258"/>
        <v>2.8514711900997254</v>
      </c>
      <c r="AG1632" s="10">
        <f t="shared" si="264"/>
        <v>15.626062121746497</v>
      </c>
      <c r="AH1632" s="10" t="str">
        <f>IF(AND(Q1632&gt;0,Q1632&lt;30,K1632=216),'Udvaskning nøgletal'!$C$42,IF(AND(Q1632&gt;0,Q1632&lt;30,K1632&gt;7,K1632&lt;17),'Udvaskning nøgletal'!$C$61,IF(AND(Q1632&gt;0,Q1632&lt;30,K1632&lt;7),'Udvaskning nøgletal'!$C$62,"")))</f>
        <v/>
      </c>
      <c r="AI1632" s="10">
        <f t="shared" si="260"/>
        <v>11</v>
      </c>
      <c r="AJ1632" s="10">
        <f>IF($X1632=1,LOOKUP(AI1632,'Udvaskning nøgletal'!$C$12:$C$62,'Udvaskning nøgletal'!$E$12:$E$62)+Markniveau!$Y1632*Markniveau!$S1632/100,IF($X1632=2,LOOKUP(AI1632,'Udvaskning nøgletal'!$C$12:$C$62,'Udvaskning nøgletal'!$F$12:$F$62)+Markniveau!$Y1632*Markniveau!$S1632/100,IF($X1632=3,LOOKUP(AI1632,'Udvaskning nøgletal'!$C$12:$C$62,'Udvaskning nøgletal'!Q1642:Q1692)+Markniveau!$Y1632*Markniveau!$S1632/100,"")))</f>
        <v>57.029423801994504</v>
      </c>
      <c r="AK1632" s="10">
        <f t="shared" si="259"/>
        <v>312.52124243492989</v>
      </c>
      <c r="AL1632" s="10">
        <f t="shared" si="261"/>
        <v>2.8514711900997254</v>
      </c>
      <c r="AM1632" s="10">
        <f t="shared" si="262"/>
        <v>15.626062121746497</v>
      </c>
    </row>
    <row r="1633" spans="1:39" x14ac:dyDescent="0.25">
      <c r="A1633" s="15">
        <v>98333053</v>
      </c>
      <c r="B1633" s="15">
        <v>288.98</v>
      </c>
      <c r="C1633" s="15">
        <v>179522</v>
      </c>
      <c r="D1633" s="15">
        <v>33037</v>
      </c>
      <c r="E1633" s="15" t="s">
        <v>1292</v>
      </c>
      <c r="F1633" s="15">
        <v>2011</v>
      </c>
      <c r="G1633" s="15">
        <v>20110421</v>
      </c>
      <c r="H1633" s="15">
        <v>10780</v>
      </c>
      <c r="I1633" s="15">
        <v>1.08</v>
      </c>
      <c r="J1633" s="6" t="s">
        <v>1297</v>
      </c>
      <c r="K1633" s="15">
        <v>260</v>
      </c>
      <c r="L1633" s="15" t="s">
        <v>45</v>
      </c>
      <c r="M1633" s="15" t="s">
        <v>5</v>
      </c>
      <c r="N1633" s="11" t="s">
        <v>1406</v>
      </c>
      <c r="O1633" s="11" t="s">
        <v>46</v>
      </c>
      <c r="P1633" s="11" t="s">
        <v>29</v>
      </c>
      <c r="Q1633" s="15">
        <v>95</v>
      </c>
      <c r="R1633" s="11" t="s">
        <v>3</v>
      </c>
      <c r="S1633" s="10">
        <v>122.98847603989</v>
      </c>
      <c r="T1633" s="15">
        <v>80</v>
      </c>
      <c r="U1633" s="15">
        <v>0</v>
      </c>
      <c r="V1633" s="15">
        <v>1</v>
      </c>
      <c r="W1633" s="15">
        <v>0</v>
      </c>
      <c r="X1633" s="15">
        <f>IF(O1633='Udvaskning nøgletal'!$D$65,1,IF(O1633='Udvaskning nøgletal'!$D$66,2,IF(O1633='Udvaskning nøgletal'!$D$67,3,IF(O1633='Udvaskning nøgletal'!$D$68,2,""))))</f>
        <v>2</v>
      </c>
      <c r="Y1633" s="15">
        <f>LOOKUP(K1633,'Udvaskning nøgletal'!$C$12:$C$60,'Udvaskning nøgletal'!$H$12:$H$60)</f>
        <v>0</v>
      </c>
      <c r="Z1633" s="10">
        <f>IF(X1633=1,LOOKUP(K1633,'Udvaskning nøgletal'!$C$12:$C$60,'Udvaskning nøgletal'!$E$12:$E$60)+Markniveau!Y1633*Markniveau!S1633/100,IF(X1633=2,LOOKUP(K1633,'Udvaskning nøgletal'!$C$12:$C$60,'Udvaskning nøgletal'!$F$12:$F$60)+Markniveau!Y1633*Markniveau!S1633/100,IF(X1633=3,LOOKUP(K1633,'Udvaskning nøgletal'!$C$12:$C$60,'Udvaskning nøgletal'!G1643:G1691)+Markniveau!Y1633*Markniveau!S1633/100,"")))</f>
        <v>27.331185321443094</v>
      </c>
      <c r="AA1633" s="10">
        <f t="shared" si="256"/>
        <v>29.517680147158543</v>
      </c>
      <c r="AB1633" s="10">
        <f t="shared" si="255"/>
        <v>1.3665592660721546</v>
      </c>
      <c r="AC1633" s="10">
        <f t="shared" si="257"/>
        <v>1.4758840073579271</v>
      </c>
      <c r="AD1633" s="10">
        <f>IF(AND(Q1633&gt;0,Q1633&lt;30,K1633&lt;8),Markniveau!Z1633*'Udvaskning nøgletal'!$I$12/100,IF(AND(Q1633&gt;0,Q1633&lt;30,K1633=216),Markniveau!Z1633*'Udvaskning nøgletal'!$I$34/100,Markniveau!Z1633))</f>
        <v>27.331185321443094</v>
      </c>
      <c r="AE1633" s="10">
        <f t="shared" si="263"/>
        <v>29.517680147158543</v>
      </c>
      <c r="AF1633" s="10">
        <f t="shared" si="258"/>
        <v>1.3665592660721546</v>
      </c>
      <c r="AG1633" s="10">
        <f t="shared" si="264"/>
        <v>1.4758840073579271</v>
      </c>
      <c r="AH1633" s="10" t="str">
        <f>IF(AND(Q1633&gt;0,Q1633&lt;30,K1633=216),'Udvaskning nøgletal'!$C$42,IF(AND(Q1633&gt;0,Q1633&lt;30,K1633&gt;7,K1633&lt;17),'Udvaskning nøgletal'!$C$61,IF(AND(Q1633&gt;0,Q1633&lt;30,K1633&lt;7),'Udvaskning nøgletal'!$C$62,"")))</f>
        <v/>
      </c>
      <c r="AI1633" s="10">
        <f t="shared" si="260"/>
        <v>260</v>
      </c>
      <c r="AJ1633" s="10">
        <f>IF($X1633=1,LOOKUP(AI1633,'Udvaskning nøgletal'!$C$12:$C$62,'Udvaskning nøgletal'!$E$12:$E$62)+Markniveau!$Y1633*Markniveau!$S1633/100,IF($X1633=2,LOOKUP(AI1633,'Udvaskning nøgletal'!$C$12:$C$62,'Udvaskning nøgletal'!$F$12:$F$62)+Markniveau!$Y1633*Markniveau!$S1633/100,IF($X1633=3,LOOKUP(AI1633,'Udvaskning nøgletal'!$C$12:$C$62,'Udvaskning nøgletal'!Q1643:Q1693)+Markniveau!$Y1633*Markniveau!$S1633/100,"")))</f>
        <v>27.331185321443094</v>
      </c>
      <c r="AK1633" s="10">
        <f t="shared" si="259"/>
        <v>29.517680147158543</v>
      </c>
      <c r="AL1633" s="10">
        <f t="shared" si="261"/>
        <v>1.3665592660721546</v>
      </c>
      <c r="AM1633" s="10">
        <f t="shared" si="262"/>
        <v>1.4758840073579271</v>
      </c>
    </row>
    <row r="1634" spans="1:39" x14ac:dyDescent="0.25">
      <c r="A1634" s="15">
        <v>98333053</v>
      </c>
      <c r="B1634" s="15">
        <v>288.98</v>
      </c>
      <c r="C1634" s="15">
        <v>179523</v>
      </c>
      <c r="D1634" s="15">
        <v>33037</v>
      </c>
      <c r="E1634" s="15" t="s">
        <v>1298</v>
      </c>
      <c r="F1634" s="15">
        <v>2011</v>
      </c>
      <c r="G1634" s="15">
        <v>20110421</v>
      </c>
      <c r="H1634" s="15">
        <v>96616</v>
      </c>
      <c r="I1634" s="15">
        <v>9.66</v>
      </c>
      <c r="J1634" s="6" t="s">
        <v>87</v>
      </c>
      <c r="K1634" s="15">
        <v>104</v>
      </c>
      <c r="L1634" s="15" t="s">
        <v>1299</v>
      </c>
      <c r="M1634" s="15" t="s">
        <v>5</v>
      </c>
      <c r="N1634" s="11" t="s">
        <v>1391</v>
      </c>
      <c r="O1634" s="11" t="s">
        <v>46</v>
      </c>
      <c r="P1634" s="11" t="s">
        <v>29</v>
      </c>
      <c r="Q1634" s="15">
        <v>95</v>
      </c>
      <c r="R1634" s="11" t="s">
        <v>3</v>
      </c>
      <c r="S1634" s="10">
        <v>122.98847603989</v>
      </c>
      <c r="T1634" s="15">
        <v>80</v>
      </c>
      <c r="U1634" s="15">
        <v>0</v>
      </c>
      <c r="V1634" s="15">
        <v>1</v>
      </c>
      <c r="W1634" s="15">
        <v>0</v>
      </c>
      <c r="X1634" s="15">
        <f>IF(O1634='Udvaskning nøgletal'!$D$65,1,IF(O1634='Udvaskning nøgletal'!$D$66,2,IF(O1634='Udvaskning nøgletal'!$D$67,3,IF(O1634='Udvaskning nøgletal'!$D$68,2,""))))</f>
        <v>2</v>
      </c>
      <c r="Y1634" s="15">
        <f>LOOKUP(K1634,'Udvaskning nøgletal'!$C$12:$C$60,'Udvaskning nøgletal'!$H$12:$H$60)</f>
        <v>5</v>
      </c>
      <c r="Z1634" s="10">
        <f>IF(X1634=1,LOOKUP(K1634,'Udvaskning nøgletal'!$C$12:$C$60,'Udvaskning nøgletal'!$E$12:$E$60)+Markniveau!Y1634*Markniveau!S1634/100,IF(X1634=2,LOOKUP(K1634,'Udvaskning nøgletal'!$C$12:$C$60,'Udvaskning nøgletal'!$F$12:$F$60)+Markniveau!Y1634*Markniveau!S1634/100,IF(X1634=3,LOOKUP(K1634,'Udvaskning nøgletal'!$C$12:$C$60,'Udvaskning nøgletal'!G1644:G1692)+Markniveau!Y1634*Markniveau!S1634/100,"")))</f>
        <v>29.469423801994502</v>
      </c>
      <c r="AA1634" s="10">
        <f t="shared" si="256"/>
        <v>284.67463392726688</v>
      </c>
      <c r="AB1634" s="10">
        <f t="shared" si="255"/>
        <v>1.4734711900997253</v>
      </c>
      <c r="AC1634" s="10">
        <f t="shared" si="257"/>
        <v>14.233731696363346</v>
      </c>
      <c r="AD1634" s="10">
        <f>IF(AND(Q1634&gt;0,Q1634&lt;30,K1634&lt;8),Markniveau!Z1634*'Udvaskning nøgletal'!$I$12/100,IF(AND(Q1634&gt;0,Q1634&lt;30,K1634=216),Markniveau!Z1634*'Udvaskning nøgletal'!$I$34/100,Markniveau!Z1634))</f>
        <v>29.469423801994502</v>
      </c>
      <c r="AE1634" s="10">
        <f t="shared" si="263"/>
        <v>284.67463392726688</v>
      </c>
      <c r="AF1634" s="10">
        <f t="shared" si="258"/>
        <v>1.4734711900997253</v>
      </c>
      <c r="AG1634" s="10">
        <f t="shared" si="264"/>
        <v>14.233731696363346</v>
      </c>
      <c r="AH1634" s="10" t="str">
        <f>IF(AND(Q1634&gt;0,Q1634&lt;30,K1634=216),'Udvaskning nøgletal'!$C$42,IF(AND(Q1634&gt;0,Q1634&lt;30,K1634&gt;7,K1634&lt;17),'Udvaskning nøgletal'!$C$61,IF(AND(Q1634&gt;0,Q1634&lt;30,K1634&lt;7),'Udvaskning nøgletal'!$C$62,"")))</f>
        <v/>
      </c>
      <c r="AI1634" s="10">
        <f t="shared" si="260"/>
        <v>104</v>
      </c>
      <c r="AJ1634" s="10">
        <f>IF($X1634=1,LOOKUP(AI1634,'Udvaskning nøgletal'!$C$12:$C$62,'Udvaskning nøgletal'!$E$12:$E$62)+Markniveau!$Y1634*Markniveau!$S1634/100,IF($X1634=2,LOOKUP(AI1634,'Udvaskning nøgletal'!$C$12:$C$62,'Udvaskning nøgletal'!$F$12:$F$62)+Markniveau!$Y1634*Markniveau!$S1634/100,IF($X1634=3,LOOKUP(AI1634,'Udvaskning nøgletal'!$C$12:$C$62,'Udvaskning nøgletal'!Q1644:Q1694)+Markniveau!$Y1634*Markniveau!$S1634/100,"")))</f>
        <v>29.469423801994502</v>
      </c>
      <c r="AK1634" s="10">
        <f t="shared" si="259"/>
        <v>284.67463392726688</v>
      </c>
      <c r="AL1634" s="10">
        <f t="shared" si="261"/>
        <v>1.4734711900997253</v>
      </c>
      <c r="AM1634" s="10">
        <f t="shared" si="262"/>
        <v>14.233731696363346</v>
      </c>
    </row>
    <row r="1635" spans="1:39" x14ac:dyDescent="0.25">
      <c r="A1635" s="15">
        <v>98333053</v>
      </c>
      <c r="B1635" s="15">
        <v>288.98</v>
      </c>
      <c r="C1635" s="15">
        <v>186339</v>
      </c>
      <c r="D1635" s="15">
        <v>33037</v>
      </c>
      <c r="E1635" s="15" t="s">
        <v>1296</v>
      </c>
      <c r="F1635" s="15">
        <v>2011</v>
      </c>
      <c r="G1635" s="15">
        <v>20110421</v>
      </c>
      <c r="H1635" s="15">
        <v>19923</v>
      </c>
      <c r="I1635" s="15">
        <v>1.99</v>
      </c>
      <c r="J1635" s="6" t="s">
        <v>1389</v>
      </c>
      <c r="K1635" s="15">
        <v>252</v>
      </c>
      <c r="L1635" s="15" t="s">
        <v>41</v>
      </c>
      <c r="M1635" s="15" t="s">
        <v>4</v>
      </c>
      <c r="N1635" s="11" t="s">
        <v>1391</v>
      </c>
      <c r="O1635" s="11" t="s">
        <v>46</v>
      </c>
      <c r="P1635" s="11" t="s">
        <v>29</v>
      </c>
      <c r="Q1635" s="15">
        <v>95</v>
      </c>
      <c r="R1635" s="11" t="s">
        <v>3</v>
      </c>
      <c r="S1635" s="10">
        <v>122.98847603989</v>
      </c>
      <c r="T1635" s="15">
        <v>80</v>
      </c>
      <c r="U1635" s="15">
        <v>0</v>
      </c>
      <c r="V1635" s="15">
        <v>1</v>
      </c>
      <c r="W1635" s="15">
        <v>0</v>
      </c>
      <c r="X1635" s="15">
        <f>IF(O1635='Udvaskning nøgletal'!$D$65,1,IF(O1635='Udvaskning nøgletal'!$D$66,2,IF(O1635='Udvaskning nøgletal'!$D$67,3,IF(O1635='Udvaskning nøgletal'!$D$68,2,""))))</f>
        <v>2</v>
      </c>
      <c r="Y1635" s="15">
        <f>LOOKUP(K1635,'Udvaskning nøgletal'!$C$12:$C$60,'Udvaskning nøgletal'!$H$12:$H$60)</f>
        <v>0</v>
      </c>
      <c r="Z1635" s="10">
        <f>IF(X1635=1,LOOKUP(K1635,'Udvaskning nøgletal'!$C$12:$C$60,'Udvaskning nøgletal'!$E$12:$E$60)+Markniveau!Y1635*Markniveau!S1635/100,IF(X1635=2,LOOKUP(K1635,'Udvaskning nøgletal'!$C$12:$C$60,'Udvaskning nøgletal'!$F$12:$F$60)+Markniveau!Y1635*Markniveau!S1635/100,IF(X1635=3,LOOKUP(K1635,'Udvaskning nøgletal'!$C$12:$C$60,'Udvaskning nøgletal'!G1645:G1693)+Markniveau!Y1635*Markniveau!S1635/100,"")))</f>
        <v>21.2</v>
      </c>
      <c r="AA1635" s="10">
        <f t="shared" si="256"/>
        <v>42.187999999999995</v>
      </c>
      <c r="AB1635" s="10">
        <f t="shared" si="255"/>
        <v>1.06</v>
      </c>
      <c r="AC1635" s="10">
        <f t="shared" si="257"/>
        <v>2.1093999999999999</v>
      </c>
      <c r="AD1635" s="10">
        <f>IF(AND(Q1635&gt;0,Q1635&lt;30,K1635&lt;8),Markniveau!Z1635*'Udvaskning nøgletal'!$I$12/100,IF(AND(Q1635&gt;0,Q1635&lt;30,K1635=216),Markniveau!Z1635*'Udvaskning nøgletal'!$I$34/100,Markniveau!Z1635))</f>
        <v>21.2</v>
      </c>
      <c r="AE1635" s="10">
        <f t="shared" si="263"/>
        <v>42.187999999999995</v>
      </c>
      <c r="AF1635" s="10">
        <f t="shared" si="258"/>
        <v>1.06</v>
      </c>
      <c r="AG1635" s="10">
        <f t="shared" si="264"/>
        <v>2.1093999999999999</v>
      </c>
      <c r="AH1635" s="10" t="str">
        <f>IF(AND(Q1635&gt;0,Q1635&lt;30,K1635=216),'Udvaskning nøgletal'!$C$42,IF(AND(Q1635&gt;0,Q1635&lt;30,K1635&gt;7,K1635&lt;17),'Udvaskning nøgletal'!$C$61,IF(AND(Q1635&gt;0,Q1635&lt;30,K1635&lt;7),'Udvaskning nøgletal'!$C$62,"")))</f>
        <v/>
      </c>
      <c r="AI1635" s="10">
        <f t="shared" si="260"/>
        <v>252</v>
      </c>
      <c r="AJ1635" s="10">
        <f>IF($X1635=1,LOOKUP(AI1635,'Udvaskning nøgletal'!$C$12:$C$62,'Udvaskning nøgletal'!$E$12:$E$62)+Markniveau!$Y1635*Markniveau!$S1635/100,IF($X1635=2,LOOKUP(AI1635,'Udvaskning nøgletal'!$C$12:$C$62,'Udvaskning nøgletal'!$F$12:$F$62)+Markniveau!$Y1635*Markniveau!$S1635/100,IF($X1635=3,LOOKUP(AI1635,'Udvaskning nøgletal'!$C$12:$C$62,'Udvaskning nøgletal'!Q1645:Q1695)+Markniveau!$Y1635*Markniveau!$S1635/100,"")))</f>
        <v>21.2</v>
      </c>
      <c r="AK1635" s="10">
        <f t="shared" si="259"/>
        <v>42.187999999999995</v>
      </c>
      <c r="AL1635" s="10">
        <f t="shared" si="261"/>
        <v>1.06</v>
      </c>
      <c r="AM1635" s="10">
        <f t="shared" si="262"/>
        <v>2.1093999999999999</v>
      </c>
    </row>
    <row r="1636" spans="1:39" x14ac:dyDescent="0.25">
      <c r="A1636" s="15">
        <v>98333053</v>
      </c>
      <c r="B1636" s="15">
        <v>288.98</v>
      </c>
      <c r="C1636" s="15">
        <v>186448</v>
      </c>
      <c r="D1636" s="15">
        <v>33037</v>
      </c>
      <c r="E1636" s="15" t="s">
        <v>326</v>
      </c>
      <c r="F1636" s="15">
        <v>2011</v>
      </c>
      <c r="G1636" s="15">
        <v>20110421</v>
      </c>
      <c r="H1636" s="15">
        <v>12533</v>
      </c>
      <c r="I1636" s="15">
        <v>1.25</v>
      </c>
      <c r="J1636" s="6" t="s">
        <v>728</v>
      </c>
      <c r="K1636" s="15">
        <v>11</v>
      </c>
      <c r="L1636" s="15" t="s">
        <v>102</v>
      </c>
      <c r="M1636" s="15" t="s">
        <v>5</v>
      </c>
      <c r="N1636" s="11" t="s">
        <v>1384</v>
      </c>
      <c r="O1636" s="11" t="s">
        <v>28</v>
      </c>
      <c r="P1636" s="11" t="s">
        <v>33</v>
      </c>
      <c r="Q1636" s="15">
        <v>1</v>
      </c>
      <c r="R1636" s="11" t="s">
        <v>11</v>
      </c>
      <c r="S1636" s="10">
        <v>122.98847603989</v>
      </c>
      <c r="T1636" s="15">
        <v>80</v>
      </c>
      <c r="U1636" s="15">
        <v>0</v>
      </c>
      <c r="V1636" s="15">
        <v>1</v>
      </c>
      <c r="W1636" s="15">
        <v>0</v>
      </c>
      <c r="X1636" s="15">
        <f>IF(O1636='Udvaskning nøgletal'!$D$65,1,IF(O1636='Udvaskning nøgletal'!$D$66,2,IF(O1636='Udvaskning nøgletal'!$D$67,3,IF(O1636='Udvaskning nøgletal'!$D$68,2,""))))</f>
        <v>1</v>
      </c>
      <c r="Y1636" s="15">
        <f>LOOKUP(K1636,'Udvaskning nøgletal'!$C$12:$C$60,'Udvaskning nøgletal'!$H$12:$H$60)</f>
        <v>5</v>
      </c>
      <c r="Z1636" s="10">
        <f>IF(X1636=1,LOOKUP(K1636,'Udvaskning nøgletal'!$C$12:$C$60,'Udvaskning nøgletal'!$E$12:$E$60)+Markniveau!Y1636*Markniveau!S1636/100,IF(X1636=2,LOOKUP(K1636,'Udvaskning nøgletal'!$C$12:$C$60,'Udvaskning nøgletal'!$F$12:$F$60)+Markniveau!Y1636*Markniveau!S1636/100,IF(X1636=3,LOOKUP(K1636,'Udvaskning nøgletal'!$C$12:$C$60,'Udvaskning nøgletal'!G1646:G1694)+Markniveau!Y1636*Markniveau!S1636/100,"")))</f>
        <v>70.809423801994498</v>
      </c>
      <c r="AA1636" s="10">
        <f t="shared" si="256"/>
        <v>88.511779752493126</v>
      </c>
      <c r="AB1636" s="10">
        <f t="shared" si="255"/>
        <v>70.101329563974545</v>
      </c>
      <c r="AC1636" s="10">
        <f t="shared" si="257"/>
        <v>87.626661954968185</v>
      </c>
      <c r="AD1636" s="10">
        <f>IF(AND(Q1636&gt;0,Q1636&lt;30,K1636&lt;8),Markniveau!Z1636*'Udvaskning nøgletal'!$I$12/100,IF(AND(Q1636&gt;0,Q1636&lt;30,K1636=216),Markniveau!Z1636*'Udvaskning nøgletal'!$I$34/100,Markniveau!Z1636))</f>
        <v>70.809423801994498</v>
      </c>
      <c r="AE1636" s="10">
        <f t="shared" si="263"/>
        <v>88.511779752493126</v>
      </c>
      <c r="AF1636" s="10">
        <f t="shared" si="258"/>
        <v>70.101329563974545</v>
      </c>
      <c r="AG1636" s="10">
        <f t="shared" si="264"/>
        <v>87.626661954968185</v>
      </c>
      <c r="AH1636" s="10">
        <f>IF(AND(Q1636&gt;0,Q1636&lt;30,K1636=216),'Udvaskning nøgletal'!$C$42,IF(AND(Q1636&gt;0,Q1636&lt;30,K1636&gt;7,K1636&lt;17),'Udvaskning nøgletal'!$C$61,IF(AND(Q1636&gt;0,Q1636&lt;30,K1636&lt;7),'Udvaskning nøgletal'!$C$62,"")))</f>
        <v>1001</v>
      </c>
      <c r="AI1636" s="10">
        <f t="shared" si="260"/>
        <v>1001</v>
      </c>
      <c r="AJ1636" s="10">
        <f>IF($X1636=1,LOOKUP(AI1636,'Udvaskning nøgletal'!$C$12:$C$62,'Udvaskning nøgletal'!$E$12:$E$62)+Markniveau!$Y1636*Markniveau!$S1636/100,IF($X1636=2,LOOKUP(AI1636,'Udvaskning nøgletal'!$C$12:$C$62,'Udvaskning nøgletal'!$F$12:$F$62)+Markniveau!$Y1636*Markniveau!$S1636/100,IF($X1636=3,LOOKUP(AI1636,'Udvaskning nøgletal'!$C$12:$C$62,'Udvaskning nøgletal'!Q1646:Q1696)+Markniveau!$Y1636*Markniveau!$S1636/100,"")))</f>
        <v>36.649423801994502</v>
      </c>
      <c r="AK1636" s="10">
        <f t="shared" si="259"/>
        <v>45.811779752493123</v>
      </c>
      <c r="AL1636" s="10">
        <f t="shared" si="261"/>
        <v>36.282929563974555</v>
      </c>
      <c r="AM1636" s="10">
        <f t="shared" si="262"/>
        <v>45.353661954968196</v>
      </c>
    </row>
    <row r="1637" spans="1:39" x14ac:dyDescent="0.25">
      <c r="A1637" s="15">
        <v>98333053</v>
      </c>
      <c r="B1637" s="15">
        <v>288.98</v>
      </c>
      <c r="C1637" s="15">
        <v>186449</v>
      </c>
      <c r="D1637" s="15">
        <v>33037</v>
      </c>
      <c r="E1637" s="15" t="s">
        <v>1300</v>
      </c>
      <c r="F1637" s="15">
        <v>2011</v>
      </c>
      <c r="G1637" s="15">
        <v>20110421</v>
      </c>
      <c r="H1637" s="15">
        <v>24754</v>
      </c>
      <c r="I1637" s="15">
        <v>2.48</v>
      </c>
      <c r="J1637" s="6" t="s">
        <v>1301</v>
      </c>
      <c r="K1637" s="15">
        <v>260</v>
      </c>
      <c r="L1637" s="15" t="s">
        <v>45</v>
      </c>
      <c r="M1637" s="15" t="s">
        <v>5</v>
      </c>
      <c r="N1637" s="11" t="s">
        <v>1406</v>
      </c>
      <c r="O1637" s="11" t="s">
        <v>46</v>
      </c>
      <c r="P1637" s="11" t="s">
        <v>29</v>
      </c>
      <c r="Q1637" s="15">
        <v>95</v>
      </c>
      <c r="R1637" s="11" t="s">
        <v>3</v>
      </c>
      <c r="S1637" s="10">
        <v>122.98847603989</v>
      </c>
      <c r="T1637" s="15">
        <v>80</v>
      </c>
      <c r="U1637" s="15">
        <v>0</v>
      </c>
      <c r="V1637" s="15">
        <v>1</v>
      </c>
      <c r="W1637" s="15">
        <v>0</v>
      </c>
      <c r="X1637" s="15">
        <f>IF(O1637='Udvaskning nøgletal'!$D$65,1,IF(O1637='Udvaskning nøgletal'!$D$66,2,IF(O1637='Udvaskning nøgletal'!$D$67,3,IF(O1637='Udvaskning nøgletal'!$D$68,2,""))))</f>
        <v>2</v>
      </c>
      <c r="Y1637" s="15">
        <f>LOOKUP(K1637,'Udvaskning nøgletal'!$C$12:$C$60,'Udvaskning nøgletal'!$H$12:$H$60)</f>
        <v>0</v>
      </c>
      <c r="Z1637" s="10">
        <f>IF(X1637=1,LOOKUP(K1637,'Udvaskning nøgletal'!$C$12:$C$60,'Udvaskning nøgletal'!$E$12:$E$60)+Markniveau!Y1637*Markniveau!S1637/100,IF(X1637=2,LOOKUP(K1637,'Udvaskning nøgletal'!$C$12:$C$60,'Udvaskning nøgletal'!$F$12:$F$60)+Markniveau!Y1637*Markniveau!S1637/100,IF(X1637=3,LOOKUP(K1637,'Udvaskning nøgletal'!$C$12:$C$60,'Udvaskning nøgletal'!G1647:G1695)+Markniveau!Y1637*Markniveau!S1637/100,"")))</f>
        <v>27.331185321443094</v>
      </c>
      <c r="AA1637" s="10">
        <f t="shared" si="256"/>
        <v>67.781339597178871</v>
      </c>
      <c r="AB1637" s="10">
        <f t="shared" si="255"/>
        <v>1.3665592660721546</v>
      </c>
      <c r="AC1637" s="10">
        <f t="shared" si="257"/>
        <v>3.3890669798589435</v>
      </c>
      <c r="AD1637" s="10">
        <f>IF(AND(Q1637&gt;0,Q1637&lt;30,K1637&lt;8),Markniveau!Z1637*'Udvaskning nøgletal'!$I$12/100,IF(AND(Q1637&gt;0,Q1637&lt;30,K1637=216),Markniveau!Z1637*'Udvaskning nøgletal'!$I$34/100,Markniveau!Z1637))</f>
        <v>27.331185321443094</v>
      </c>
      <c r="AE1637" s="10">
        <f t="shared" si="263"/>
        <v>67.781339597178871</v>
      </c>
      <c r="AF1637" s="10">
        <f t="shared" si="258"/>
        <v>1.3665592660721546</v>
      </c>
      <c r="AG1637" s="10">
        <f t="shared" si="264"/>
        <v>3.3890669798589435</v>
      </c>
      <c r="AH1637" s="10" t="str">
        <f>IF(AND(Q1637&gt;0,Q1637&lt;30,K1637=216),'Udvaskning nøgletal'!$C$42,IF(AND(Q1637&gt;0,Q1637&lt;30,K1637&gt;7,K1637&lt;17),'Udvaskning nøgletal'!$C$61,IF(AND(Q1637&gt;0,Q1637&lt;30,K1637&lt;7),'Udvaskning nøgletal'!$C$62,"")))</f>
        <v/>
      </c>
      <c r="AI1637" s="10">
        <f t="shared" si="260"/>
        <v>260</v>
      </c>
      <c r="AJ1637" s="10">
        <f>IF($X1637=1,LOOKUP(AI1637,'Udvaskning nøgletal'!$C$12:$C$62,'Udvaskning nøgletal'!$E$12:$E$62)+Markniveau!$Y1637*Markniveau!$S1637/100,IF($X1637=2,LOOKUP(AI1637,'Udvaskning nøgletal'!$C$12:$C$62,'Udvaskning nøgletal'!$F$12:$F$62)+Markniveau!$Y1637*Markniveau!$S1637/100,IF($X1637=3,LOOKUP(AI1637,'Udvaskning nøgletal'!$C$12:$C$62,'Udvaskning nøgletal'!Q1647:Q1697)+Markniveau!$Y1637*Markniveau!$S1637/100,"")))</f>
        <v>27.331185321443094</v>
      </c>
      <c r="AK1637" s="10">
        <f t="shared" si="259"/>
        <v>67.781339597178871</v>
      </c>
      <c r="AL1637" s="10">
        <f t="shared" si="261"/>
        <v>1.3665592660721546</v>
      </c>
      <c r="AM1637" s="10">
        <f t="shared" si="262"/>
        <v>3.3890669798589435</v>
      </c>
    </row>
    <row r="1638" spans="1:39" x14ac:dyDescent="0.25">
      <c r="A1638" s="15">
        <v>98333053</v>
      </c>
      <c r="B1638" s="15">
        <v>288.98</v>
      </c>
      <c r="C1638" s="15">
        <v>192490</v>
      </c>
      <c r="D1638" s="15">
        <v>33037</v>
      </c>
      <c r="E1638" s="15" t="s">
        <v>1302</v>
      </c>
      <c r="F1638" s="15">
        <v>2011</v>
      </c>
      <c r="G1638" s="15">
        <v>20110421</v>
      </c>
      <c r="H1638" s="15">
        <v>29183</v>
      </c>
      <c r="I1638" s="15">
        <v>2.92</v>
      </c>
      <c r="J1638" s="6" t="s">
        <v>571</v>
      </c>
      <c r="K1638" s="15">
        <v>216</v>
      </c>
      <c r="L1638" s="15" t="s">
        <v>116</v>
      </c>
      <c r="M1638" s="15" t="s">
        <v>5</v>
      </c>
      <c r="N1638" s="11" t="s">
        <v>1390</v>
      </c>
      <c r="O1638" s="11" t="s">
        <v>42</v>
      </c>
      <c r="P1638" s="11" t="s">
        <v>33</v>
      </c>
      <c r="Q1638" s="15">
        <v>0</v>
      </c>
      <c r="R1638" s="11" t="s">
        <v>1386</v>
      </c>
      <c r="S1638" s="10">
        <v>122.98847603989</v>
      </c>
      <c r="T1638" s="15">
        <v>80</v>
      </c>
      <c r="U1638" s="15">
        <v>0</v>
      </c>
      <c r="V1638" s="15">
        <v>1</v>
      </c>
      <c r="W1638" s="15">
        <v>0</v>
      </c>
      <c r="X1638" s="15">
        <f>IF(O1638='Udvaskning nøgletal'!$D$65,1,IF(O1638='Udvaskning nøgletal'!$D$66,2,IF(O1638='Udvaskning nøgletal'!$D$67,3,IF(O1638='Udvaskning nøgletal'!$D$68,2,""))))</f>
        <v>2</v>
      </c>
      <c r="Y1638" s="15">
        <f>LOOKUP(K1638,'Udvaskning nøgletal'!$C$12:$C$60,'Udvaskning nøgletal'!$H$12:$H$60)</f>
        <v>0</v>
      </c>
      <c r="Z1638" s="10">
        <f>IF(X1638=1,LOOKUP(K1638,'Udvaskning nøgletal'!$C$12:$C$60,'Udvaskning nøgletal'!$E$12:$E$60)+Markniveau!Y1638*Markniveau!S1638/100,IF(X1638=2,LOOKUP(K1638,'Udvaskning nøgletal'!$C$12:$C$60,'Udvaskning nøgletal'!$F$12:$F$60)+Markniveau!Y1638*Markniveau!S1638/100,IF(X1638=3,LOOKUP(K1638,'Udvaskning nøgletal'!$C$12:$C$60,'Udvaskning nøgletal'!G1648:G1696)+Markniveau!Y1638*Markniveau!S1638/100,"")))</f>
        <v>101.66744640811392</v>
      </c>
      <c r="AA1638" s="10">
        <f t="shared" si="256"/>
        <v>296.86894351169263</v>
      </c>
      <c r="AB1638" s="10" t="str">
        <f t="shared" si="255"/>
        <v/>
      </c>
      <c r="AC1638" s="10" t="str">
        <f t="shared" si="257"/>
        <v/>
      </c>
      <c r="AD1638" s="10">
        <f>IF(AND(Q1638&gt;0,Q1638&lt;30,K1638&lt;8),Markniveau!Z1638*'Udvaskning nøgletal'!$I$12/100,IF(AND(Q1638&gt;0,Q1638&lt;30,K1638=216),Markniveau!Z1638*'Udvaskning nøgletal'!$I$34/100,Markniveau!Z1638))</f>
        <v>101.66744640811392</v>
      </c>
      <c r="AE1638" s="10">
        <f t="shared" si="263"/>
        <v>296.86894351169263</v>
      </c>
      <c r="AF1638" s="10" t="str">
        <f t="shared" si="258"/>
        <v/>
      </c>
      <c r="AG1638" s="10" t="str">
        <f t="shared" si="264"/>
        <v/>
      </c>
      <c r="AH1638" s="10" t="str">
        <f>IF(AND(Q1638&gt;0,Q1638&lt;30,K1638=216),'Udvaskning nøgletal'!$C$42,IF(AND(Q1638&gt;0,Q1638&lt;30,K1638&gt;7,K1638&lt;17),'Udvaskning nøgletal'!$C$61,IF(AND(Q1638&gt;0,Q1638&lt;30,K1638&lt;7),'Udvaskning nøgletal'!$C$62,"")))</f>
        <v/>
      </c>
      <c r="AI1638" s="10">
        <f t="shared" si="260"/>
        <v>216</v>
      </c>
      <c r="AJ1638" s="10">
        <f>IF($X1638=1,LOOKUP(AI1638,'Udvaskning nøgletal'!$C$12:$C$62,'Udvaskning nøgletal'!$E$12:$E$62)+Markniveau!$Y1638*Markniveau!$S1638/100,IF($X1638=2,LOOKUP(AI1638,'Udvaskning nøgletal'!$C$12:$C$62,'Udvaskning nøgletal'!$F$12:$F$62)+Markniveau!$Y1638*Markniveau!$S1638/100,IF($X1638=3,LOOKUP(AI1638,'Udvaskning nøgletal'!$C$12:$C$62,'Udvaskning nøgletal'!Q1648:Q1698)+Markniveau!$Y1638*Markniveau!$S1638/100,"")))</f>
        <v>101.66744640811392</v>
      </c>
      <c r="AK1638" s="10">
        <f t="shared" si="259"/>
        <v>296.86894351169263</v>
      </c>
      <c r="AL1638" s="10" t="str">
        <f t="shared" si="261"/>
        <v/>
      </c>
      <c r="AM1638" s="10" t="str">
        <f t="shared" si="262"/>
        <v/>
      </c>
    </row>
    <row r="1639" spans="1:39" x14ac:dyDescent="0.25">
      <c r="A1639" s="15">
        <v>98333053</v>
      </c>
      <c r="B1639" s="15">
        <v>288.98</v>
      </c>
      <c r="C1639" s="15">
        <v>192577</v>
      </c>
      <c r="D1639" s="15">
        <v>33037</v>
      </c>
      <c r="E1639" s="15" t="s">
        <v>1288</v>
      </c>
      <c r="F1639" s="15">
        <v>2011</v>
      </c>
      <c r="G1639" s="15">
        <v>20110421</v>
      </c>
      <c r="H1639" s="15">
        <v>35243</v>
      </c>
      <c r="I1639" s="15">
        <v>3.52</v>
      </c>
      <c r="J1639" s="6" t="s">
        <v>1303</v>
      </c>
      <c r="K1639" s="15">
        <v>216</v>
      </c>
      <c r="L1639" s="15" t="s">
        <v>116</v>
      </c>
      <c r="M1639" s="15" t="s">
        <v>5</v>
      </c>
      <c r="N1639" s="11" t="s">
        <v>1390</v>
      </c>
      <c r="O1639" s="11" t="s">
        <v>42</v>
      </c>
      <c r="P1639" s="11" t="s">
        <v>33</v>
      </c>
      <c r="Q1639" s="15">
        <v>0</v>
      </c>
      <c r="R1639" s="11" t="s">
        <v>1386</v>
      </c>
      <c r="S1639" s="10">
        <v>122.98847603989</v>
      </c>
      <c r="T1639" s="15">
        <v>80</v>
      </c>
      <c r="U1639" s="15">
        <v>0</v>
      </c>
      <c r="V1639" s="15">
        <v>1</v>
      </c>
      <c r="W1639" s="15">
        <v>0</v>
      </c>
      <c r="X1639" s="15">
        <f>IF(O1639='Udvaskning nøgletal'!$D$65,1,IF(O1639='Udvaskning nøgletal'!$D$66,2,IF(O1639='Udvaskning nøgletal'!$D$67,3,IF(O1639='Udvaskning nøgletal'!$D$68,2,""))))</f>
        <v>2</v>
      </c>
      <c r="Y1639" s="15">
        <f>LOOKUP(K1639,'Udvaskning nøgletal'!$C$12:$C$60,'Udvaskning nøgletal'!$H$12:$H$60)</f>
        <v>0</v>
      </c>
      <c r="Z1639" s="10">
        <f>IF(X1639=1,LOOKUP(K1639,'Udvaskning nøgletal'!$C$12:$C$60,'Udvaskning nøgletal'!$E$12:$E$60)+Markniveau!Y1639*Markniveau!S1639/100,IF(X1639=2,LOOKUP(K1639,'Udvaskning nøgletal'!$C$12:$C$60,'Udvaskning nøgletal'!$F$12:$F$60)+Markniveau!Y1639*Markniveau!S1639/100,IF(X1639=3,LOOKUP(K1639,'Udvaskning nøgletal'!$C$12:$C$60,'Udvaskning nøgletal'!G1649:G1697)+Markniveau!Y1639*Markniveau!S1639/100,"")))</f>
        <v>101.66744640811392</v>
      </c>
      <c r="AA1639" s="10">
        <f t="shared" si="256"/>
        <v>357.86941135656099</v>
      </c>
      <c r="AB1639" s="10" t="str">
        <f t="shared" si="255"/>
        <v/>
      </c>
      <c r="AC1639" s="10" t="str">
        <f t="shared" si="257"/>
        <v/>
      </c>
      <c r="AD1639" s="10">
        <f>IF(AND(Q1639&gt;0,Q1639&lt;30,K1639&lt;8),Markniveau!Z1639*'Udvaskning nøgletal'!$I$12/100,IF(AND(Q1639&gt;0,Q1639&lt;30,K1639=216),Markniveau!Z1639*'Udvaskning nøgletal'!$I$34/100,Markniveau!Z1639))</f>
        <v>101.66744640811392</v>
      </c>
      <c r="AE1639" s="10">
        <f t="shared" si="263"/>
        <v>357.86941135656099</v>
      </c>
      <c r="AF1639" s="10" t="str">
        <f t="shared" si="258"/>
        <v/>
      </c>
      <c r="AG1639" s="10" t="str">
        <f t="shared" si="264"/>
        <v/>
      </c>
      <c r="AH1639" s="10" t="str">
        <f>IF(AND(Q1639&gt;0,Q1639&lt;30,K1639=216),'Udvaskning nøgletal'!$C$42,IF(AND(Q1639&gt;0,Q1639&lt;30,K1639&gt;7,K1639&lt;17),'Udvaskning nøgletal'!$C$61,IF(AND(Q1639&gt;0,Q1639&lt;30,K1639&lt;7),'Udvaskning nøgletal'!$C$62,"")))</f>
        <v/>
      </c>
      <c r="AI1639" s="10">
        <f t="shared" si="260"/>
        <v>216</v>
      </c>
      <c r="AJ1639" s="10">
        <f>IF($X1639=1,LOOKUP(AI1639,'Udvaskning nøgletal'!$C$12:$C$62,'Udvaskning nøgletal'!$E$12:$E$62)+Markniveau!$Y1639*Markniveau!$S1639/100,IF($X1639=2,LOOKUP(AI1639,'Udvaskning nøgletal'!$C$12:$C$62,'Udvaskning nøgletal'!$F$12:$F$62)+Markniveau!$Y1639*Markniveau!$S1639/100,IF($X1639=3,LOOKUP(AI1639,'Udvaskning nøgletal'!$C$12:$C$62,'Udvaskning nøgletal'!Q1649:Q1699)+Markniveau!$Y1639*Markniveau!$S1639/100,"")))</f>
        <v>101.66744640811392</v>
      </c>
      <c r="AK1639" s="10">
        <f t="shared" si="259"/>
        <v>357.86941135656099</v>
      </c>
      <c r="AL1639" s="10" t="str">
        <f t="shared" si="261"/>
        <v/>
      </c>
      <c r="AM1639" s="10" t="str">
        <f t="shared" si="262"/>
        <v/>
      </c>
    </row>
    <row r="1640" spans="1:39" x14ac:dyDescent="0.25">
      <c r="A1640" s="15">
        <v>98333053</v>
      </c>
      <c r="B1640" s="15">
        <v>288.98</v>
      </c>
      <c r="C1640" s="15">
        <v>192749</v>
      </c>
      <c r="D1640" s="15">
        <v>33037</v>
      </c>
      <c r="E1640" s="15" t="s">
        <v>1293</v>
      </c>
      <c r="F1640" s="15">
        <v>2011</v>
      </c>
      <c r="G1640" s="15">
        <v>20110421</v>
      </c>
      <c r="H1640" s="15">
        <v>6515</v>
      </c>
      <c r="I1640" s="15">
        <v>0.65</v>
      </c>
      <c r="J1640" s="6" t="s">
        <v>599</v>
      </c>
      <c r="K1640" s="15">
        <v>214</v>
      </c>
      <c r="L1640" s="15" t="s">
        <v>56</v>
      </c>
      <c r="M1640" s="15" t="s">
        <v>5</v>
      </c>
      <c r="N1640" s="11" t="s">
        <v>1391</v>
      </c>
      <c r="O1640" s="11" t="s">
        <v>46</v>
      </c>
      <c r="P1640" s="11" t="s">
        <v>29</v>
      </c>
      <c r="Q1640" s="15">
        <v>95</v>
      </c>
      <c r="R1640" s="11" t="s">
        <v>3</v>
      </c>
      <c r="S1640" s="10">
        <v>122.98847603989</v>
      </c>
      <c r="T1640" s="15">
        <v>80</v>
      </c>
      <c r="U1640" s="15">
        <v>0</v>
      </c>
      <c r="V1640" s="15">
        <v>1</v>
      </c>
      <c r="W1640" s="15">
        <v>0</v>
      </c>
      <c r="X1640" s="15">
        <f>IF(O1640='Udvaskning nøgletal'!$D$65,1,IF(O1640='Udvaskning nøgletal'!$D$66,2,IF(O1640='Udvaskning nøgletal'!$D$67,3,IF(O1640='Udvaskning nøgletal'!$D$68,2,""))))</f>
        <v>2</v>
      </c>
      <c r="Y1640" s="15">
        <f>LOOKUP(K1640,'Udvaskning nøgletal'!$C$12:$C$60,'Udvaskning nøgletal'!$H$12:$H$60)</f>
        <v>0</v>
      </c>
      <c r="Z1640" s="10">
        <f>IF(X1640=1,LOOKUP(K1640,'Udvaskning nøgletal'!$C$12:$C$60,'Udvaskning nøgletal'!$E$12:$E$60)+Markniveau!Y1640*Markniveau!S1640/100,IF(X1640=2,LOOKUP(K1640,'Udvaskning nøgletal'!$C$12:$C$60,'Udvaskning nøgletal'!$F$12:$F$60)+Markniveau!Y1640*Markniveau!S1640/100,IF(X1640=3,LOOKUP(K1640,'Udvaskning nøgletal'!$C$12:$C$60,'Udvaskning nøgletal'!G1650:G1698)+Markniveau!Y1640*Markniveau!S1640/100,"")))</f>
        <v>31.161328188970323</v>
      </c>
      <c r="AA1640" s="10">
        <f t="shared" si="256"/>
        <v>20.254863322830712</v>
      </c>
      <c r="AB1640" s="10">
        <f t="shared" si="255"/>
        <v>1.5580664094485162</v>
      </c>
      <c r="AC1640" s="10">
        <f t="shared" si="257"/>
        <v>1.0127431661415356</v>
      </c>
      <c r="AD1640" s="10">
        <f>IF(AND(Q1640&gt;0,Q1640&lt;30,K1640&lt;8),Markniveau!Z1640*'Udvaskning nøgletal'!$I$12/100,IF(AND(Q1640&gt;0,Q1640&lt;30,K1640=216),Markniveau!Z1640*'Udvaskning nøgletal'!$I$34/100,Markniveau!Z1640))</f>
        <v>31.161328188970323</v>
      </c>
      <c r="AE1640" s="10">
        <f t="shared" si="263"/>
        <v>20.254863322830712</v>
      </c>
      <c r="AF1640" s="10">
        <f t="shared" si="258"/>
        <v>1.5580664094485162</v>
      </c>
      <c r="AG1640" s="10">
        <f t="shared" si="264"/>
        <v>1.0127431661415356</v>
      </c>
      <c r="AH1640" s="10" t="str">
        <f>IF(AND(Q1640&gt;0,Q1640&lt;30,K1640=216),'Udvaskning nøgletal'!$C$42,IF(AND(Q1640&gt;0,Q1640&lt;30,K1640&gt;7,K1640&lt;17),'Udvaskning nøgletal'!$C$61,IF(AND(Q1640&gt;0,Q1640&lt;30,K1640&lt;7),'Udvaskning nøgletal'!$C$62,"")))</f>
        <v/>
      </c>
      <c r="AI1640" s="10">
        <f t="shared" si="260"/>
        <v>214</v>
      </c>
      <c r="AJ1640" s="10">
        <f>IF($X1640=1,LOOKUP(AI1640,'Udvaskning nøgletal'!$C$12:$C$62,'Udvaskning nøgletal'!$E$12:$E$62)+Markniveau!$Y1640*Markniveau!$S1640/100,IF($X1640=2,LOOKUP(AI1640,'Udvaskning nøgletal'!$C$12:$C$62,'Udvaskning nøgletal'!$F$12:$F$62)+Markniveau!$Y1640*Markniveau!$S1640/100,IF($X1640=3,LOOKUP(AI1640,'Udvaskning nøgletal'!$C$12:$C$62,'Udvaskning nøgletal'!Q1650:Q1700)+Markniveau!$Y1640*Markniveau!$S1640/100,"")))</f>
        <v>31.161328188970323</v>
      </c>
      <c r="AK1640" s="10">
        <f t="shared" si="259"/>
        <v>20.254863322830712</v>
      </c>
      <c r="AL1640" s="10">
        <f t="shared" si="261"/>
        <v>1.5580664094485162</v>
      </c>
      <c r="AM1640" s="10">
        <f t="shared" si="262"/>
        <v>1.0127431661415356</v>
      </c>
    </row>
    <row r="1641" spans="1:39" x14ac:dyDescent="0.25">
      <c r="A1641" s="15">
        <v>98333053</v>
      </c>
      <c r="B1641" s="15">
        <v>288.98</v>
      </c>
      <c r="C1641" s="15">
        <v>193500</v>
      </c>
      <c r="D1641" s="15">
        <v>33037</v>
      </c>
      <c r="E1641" s="15" t="s">
        <v>518</v>
      </c>
      <c r="F1641" s="15">
        <v>2011</v>
      </c>
      <c r="G1641" s="15">
        <v>20110421</v>
      </c>
      <c r="H1641" s="15">
        <v>75511</v>
      </c>
      <c r="I1641" s="15">
        <v>7.55</v>
      </c>
      <c r="J1641" s="6" t="s">
        <v>1304</v>
      </c>
      <c r="K1641" s="15">
        <v>1</v>
      </c>
      <c r="L1641" s="15" t="s">
        <v>32</v>
      </c>
      <c r="M1641" s="15" t="s">
        <v>5</v>
      </c>
      <c r="N1641" s="11" t="s">
        <v>1391</v>
      </c>
      <c r="O1641" s="11" t="s">
        <v>46</v>
      </c>
      <c r="P1641" s="11" t="s">
        <v>29</v>
      </c>
      <c r="Q1641" s="15">
        <v>95</v>
      </c>
      <c r="R1641" s="11" t="s">
        <v>3</v>
      </c>
      <c r="S1641" s="10">
        <v>122.98847603989</v>
      </c>
      <c r="T1641" s="15">
        <v>80</v>
      </c>
      <c r="U1641" s="15">
        <v>0</v>
      </c>
      <c r="V1641" s="15">
        <v>1</v>
      </c>
      <c r="W1641" s="15">
        <v>0</v>
      </c>
      <c r="X1641" s="15">
        <f>IF(O1641='Udvaskning nøgletal'!$D$65,1,IF(O1641='Udvaskning nøgletal'!$D$66,2,IF(O1641='Udvaskning nøgletal'!$D$67,3,IF(O1641='Udvaskning nøgletal'!$D$68,2,""))))</f>
        <v>2</v>
      </c>
      <c r="Y1641" s="15">
        <f>LOOKUP(K1641,'Udvaskning nøgletal'!$C$12:$C$60,'Udvaskning nøgletal'!$H$12:$H$60)</f>
        <v>5</v>
      </c>
      <c r="Z1641" s="10">
        <f>IF(X1641=1,LOOKUP(K1641,'Udvaskning nøgletal'!$C$12:$C$60,'Udvaskning nøgletal'!$E$12:$E$60)+Markniveau!Y1641*Markniveau!S1641/100,IF(X1641=2,LOOKUP(K1641,'Udvaskning nøgletal'!$C$12:$C$60,'Udvaskning nøgletal'!$F$12:$F$60)+Markniveau!Y1641*Markniveau!S1641/100,IF(X1641=3,LOOKUP(K1641,'Udvaskning nøgletal'!$C$12:$C$60,'Udvaskning nøgletal'!G1651:G1699)+Markniveau!Y1641*Markniveau!S1641/100,"")))</f>
        <v>57.029423801994504</v>
      </c>
      <c r="AA1641" s="10">
        <f t="shared" si="256"/>
        <v>430.57214970505851</v>
      </c>
      <c r="AB1641" s="10">
        <f t="shared" si="255"/>
        <v>2.8514711900997254</v>
      </c>
      <c r="AC1641" s="10">
        <f t="shared" si="257"/>
        <v>21.528607485252927</v>
      </c>
      <c r="AD1641" s="10">
        <f>IF(AND(Q1641&gt;0,Q1641&lt;30,K1641&lt;8),Markniveau!Z1641*'Udvaskning nøgletal'!$I$12/100,IF(AND(Q1641&gt;0,Q1641&lt;30,K1641=216),Markniveau!Z1641*'Udvaskning nøgletal'!$I$34/100,Markniveau!Z1641))</f>
        <v>57.029423801994504</v>
      </c>
      <c r="AE1641" s="10">
        <f t="shared" si="263"/>
        <v>430.57214970505851</v>
      </c>
      <c r="AF1641" s="10">
        <f t="shared" si="258"/>
        <v>2.8514711900997254</v>
      </c>
      <c r="AG1641" s="10">
        <f t="shared" si="264"/>
        <v>21.528607485252927</v>
      </c>
      <c r="AH1641" s="10" t="str">
        <f>IF(AND(Q1641&gt;0,Q1641&lt;30,K1641=216),'Udvaskning nøgletal'!$C$42,IF(AND(Q1641&gt;0,Q1641&lt;30,K1641&gt;7,K1641&lt;17),'Udvaskning nøgletal'!$C$61,IF(AND(Q1641&gt;0,Q1641&lt;30,K1641&lt;7),'Udvaskning nøgletal'!$C$62,"")))</f>
        <v/>
      </c>
      <c r="AI1641" s="10">
        <f t="shared" si="260"/>
        <v>1</v>
      </c>
      <c r="AJ1641" s="10">
        <f>IF($X1641=1,LOOKUP(AI1641,'Udvaskning nøgletal'!$C$12:$C$62,'Udvaskning nøgletal'!$E$12:$E$62)+Markniveau!$Y1641*Markniveau!$S1641/100,IF($X1641=2,LOOKUP(AI1641,'Udvaskning nøgletal'!$C$12:$C$62,'Udvaskning nøgletal'!$F$12:$F$62)+Markniveau!$Y1641*Markniveau!$S1641/100,IF($X1641=3,LOOKUP(AI1641,'Udvaskning nøgletal'!$C$12:$C$62,'Udvaskning nøgletal'!Q1651:Q1701)+Markniveau!$Y1641*Markniveau!$S1641/100,"")))</f>
        <v>57.029423801994504</v>
      </c>
      <c r="AK1641" s="10">
        <f t="shared" si="259"/>
        <v>430.57214970505851</v>
      </c>
      <c r="AL1641" s="10">
        <f t="shared" si="261"/>
        <v>2.8514711900997254</v>
      </c>
      <c r="AM1641" s="10">
        <f t="shared" si="262"/>
        <v>21.528607485252927</v>
      </c>
    </row>
    <row r="1642" spans="1:39" x14ac:dyDescent="0.25">
      <c r="A1642" s="15">
        <v>98333053</v>
      </c>
      <c r="B1642" s="15">
        <v>288.98</v>
      </c>
      <c r="C1642" s="15">
        <v>193501</v>
      </c>
      <c r="D1642" s="15">
        <v>33037</v>
      </c>
      <c r="E1642" s="15" t="s">
        <v>1174</v>
      </c>
      <c r="F1642" s="15">
        <v>2011</v>
      </c>
      <c r="G1642" s="15">
        <v>20110421</v>
      </c>
      <c r="H1642" s="15">
        <v>46078</v>
      </c>
      <c r="I1642" s="15">
        <v>4.6100000000000003</v>
      </c>
      <c r="J1642" s="6" t="s">
        <v>899</v>
      </c>
      <c r="K1642" s="15">
        <v>1</v>
      </c>
      <c r="L1642" s="15" t="s">
        <v>32</v>
      </c>
      <c r="M1642" s="15" t="s">
        <v>5</v>
      </c>
      <c r="N1642" s="11" t="s">
        <v>1391</v>
      </c>
      <c r="O1642" s="11" t="s">
        <v>46</v>
      </c>
      <c r="P1642" s="11" t="s">
        <v>29</v>
      </c>
      <c r="Q1642" s="15">
        <v>95</v>
      </c>
      <c r="R1642" s="11" t="s">
        <v>3</v>
      </c>
      <c r="S1642" s="10">
        <v>122.98847603989</v>
      </c>
      <c r="T1642" s="15">
        <v>80</v>
      </c>
      <c r="U1642" s="15">
        <v>0</v>
      </c>
      <c r="V1642" s="15">
        <v>1</v>
      </c>
      <c r="W1642" s="15">
        <v>0</v>
      </c>
      <c r="X1642" s="15">
        <f>IF(O1642='Udvaskning nøgletal'!$D$65,1,IF(O1642='Udvaskning nøgletal'!$D$66,2,IF(O1642='Udvaskning nøgletal'!$D$67,3,IF(O1642='Udvaskning nøgletal'!$D$68,2,""))))</f>
        <v>2</v>
      </c>
      <c r="Y1642" s="15">
        <f>LOOKUP(K1642,'Udvaskning nøgletal'!$C$12:$C$60,'Udvaskning nøgletal'!$H$12:$H$60)</f>
        <v>5</v>
      </c>
      <c r="Z1642" s="10">
        <f>IF(X1642=1,LOOKUP(K1642,'Udvaskning nøgletal'!$C$12:$C$60,'Udvaskning nøgletal'!$E$12:$E$60)+Markniveau!Y1642*Markniveau!S1642/100,IF(X1642=2,LOOKUP(K1642,'Udvaskning nøgletal'!$C$12:$C$60,'Udvaskning nøgletal'!$F$12:$F$60)+Markniveau!Y1642*Markniveau!S1642/100,IF(X1642=3,LOOKUP(K1642,'Udvaskning nøgletal'!$C$12:$C$60,'Udvaskning nøgletal'!G1652:G1700)+Markniveau!Y1642*Markniveau!S1642/100,"")))</f>
        <v>57.029423801994504</v>
      </c>
      <c r="AA1642" s="10">
        <f t="shared" si="256"/>
        <v>262.90564372719467</v>
      </c>
      <c r="AB1642" s="10">
        <f t="shared" si="255"/>
        <v>2.8514711900997254</v>
      </c>
      <c r="AC1642" s="10">
        <f t="shared" si="257"/>
        <v>13.145282186359735</v>
      </c>
      <c r="AD1642" s="10">
        <f>IF(AND(Q1642&gt;0,Q1642&lt;30,K1642&lt;8),Markniveau!Z1642*'Udvaskning nøgletal'!$I$12/100,IF(AND(Q1642&gt;0,Q1642&lt;30,K1642=216),Markniveau!Z1642*'Udvaskning nøgletal'!$I$34/100,Markniveau!Z1642))</f>
        <v>57.029423801994504</v>
      </c>
      <c r="AE1642" s="10">
        <f t="shared" si="263"/>
        <v>262.90564372719467</v>
      </c>
      <c r="AF1642" s="10">
        <f t="shared" si="258"/>
        <v>2.8514711900997254</v>
      </c>
      <c r="AG1642" s="10">
        <f t="shared" si="264"/>
        <v>13.145282186359735</v>
      </c>
      <c r="AH1642" s="10" t="str">
        <f>IF(AND(Q1642&gt;0,Q1642&lt;30,K1642=216),'Udvaskning nøgletal'!$C$42,IF(AND(Q1642&gt;0,Q1642&lt;30,K1642&gt;7,K1642&lt;17),'Udvaskning nøgletal'!$C$61,IF(AND(Q1642&gt;0,Q1642&lt;30,K1642&lt;7),'Udvaskning nøgletal'!$C$62,"")))</f>
        <v/>
      </c>
      <c r="AI1642" s="10">
        <f t="shared" si="260"/>
        <v>1</v>
      </c>
      <c r="AJ1642" s="10">
        <f>IF($X1642=1,LOOKUP(AI1642,'Udvaskning nøgletal'!$C$12:$C$62,'Udvaskning nøgletal'!$E$12:$E$62)+Markniveau!$Y1642*Markniveau!$S1642/100,IF($X1642=2,LOOKUP(AI1642,'Udvaskning nøgletal'!$C$12:$C$62,'Udvaskning nøgletal'!$F$12:$F$62)+Markniveau!$Y1642*Markniveau!$S1642/100,IF($X1642=3,LOOKUP(AI1642,'Udvaskning nøgletal'!$C$12:$C$62,'Udvaskning nøgletal'!Q1652:Q1702)+Markniveau!$Y1642*Markniveau!$S1642/100,"")))</f>
        <v>57.029423801994504</v>
      </c>
      <c r="AK1642" s="10">
        <f t="shared" si="259"/>
        <v>262.90564372719467</v>
      </c>
      <c r="AL1642" s="10">
        <f t="shared" si="261"/>
        <v>2.8514711900997254</v>
      </c>
      <c r="AM1642" s="10">
        <f t="shared" si="262"/>
        <v>13.145282186359735</v>
      </c>
    </row>
    <row r="1643" spans="1:39" x14ac:dyDescent="0.25">
      <c r="A1643" s="15">
        <v>98333053</v>
      </c>
      <c r="B1643" s="15">
        <v>288.98</v>
      </c>
      <c r="C1643" s="15">
        <v>193502</v>
      </c>
      <c r="D1643" s="15">
        <v>33037</v>
      </c>
      <c r="E1643" s="15" t="s">
        <v>1305</v>
      </c>
      <c r="F1643" s="15">
        <v>2011</v>
      </c>
      <c r="G1643" s="15">
        <v>20110421</v>
      </c>
      <c r="H1643" s="15">
        <v>88848</v>
      </c>
      <c r="I1643" s="15">
        <v>8.8800000000000008</v>
      </c>
      <c r="J1643" s="6" t="s">
        <v>1306</v>
      </c>
      <c r="K1643" s="15">
        <v>11</v>
      </c>
      <c r="L1643" s="15" t="s">
        <v>102</v>
      </c>
      <c r="M1643" s="15" t="s">
        <v>5</v>
      </c>
      <c r="N1643" s="11" t="s">
        <v>1391</v>
      </c>
      <c r="O1643" s="11" t="s">
        <v>46</v>
      </c>
      <c r="P1643" s="11" t="s">
        <v>29</v>
      </c>
      <c r="Q1643" s="15">
        <v>95</v>
      </c>
      <c r="R1643" s="11" t="s">
        <v>3</v>
      </c>
      <c r="S1643" s="10">
        <v>122.98847603989</v>
      </c>
      <c r="T1643" s="15">
        <v>80</v>
      </c>
      <c r="U1643" s="15">
        <v>0</v>
      </c>
      <c r="V1643" s="15">
        <v>1</v>
      </c>
      <c r="W1643" s="15">
        <v>0</v>
      </c>
      <c r="X1643" s="15">
        <f>IF(O1643='Udvaskning nøgletal'!$D$65,1,IF(O1643='Udvaskning nøgletal'!$D$66,2,IF(O1643='Udvaskning nøgletal'!$D$67,3,IF(O1643='Udvaskning nøgletal'!$D$68,2,""))))</f>
        <v>2</v>
      </c>
      <c r="Y1643" s="15">
        <f>LOOKUP(K1643,'Udvaskning nøgletal'!$C$12:$C$60,'Udvaskning nøgletal'!$H$12:$H$60)</f>
        <v>5</v>
      </c>
      <c r="Z1643" s="10">
        <f>IF(X1643=1,LOOKUP(K1643,'Udvaskning nøgletal'!$C$12:$C$60,'Udvaskning nøgletal'!$E$12:$E$60)+Markniveau!Y1643*Markniveau!S1643/100,IF(X1643=2,LOOKUP(K1643,'Udvaskning nøgletal'!$C$12:$C$60,'Udvaskning nøgletal'!$F$12:$F$60)+Markniveau!Y1643*Markniveau!S1643/100,IF(X1643=3,LOOKUP(K1643,'Udvaskning nøgletal'!$C$12:$C$60,'Udvaskning nøgletal'!G1653:G1701)+Markniveau!Y1643*Markniveau!S1643/100,"")))</f>
        <v>57.029423801994504</v>
      </c>
      <c r="AA1643" s="10">
        <f t="shared" si="256"/>
        <v>506.42128336171123</v>
      </c>
      <c r="AB1643" s="10">
        <f t="shared" si="255"/>
        <v>2.8514711900997254</v>
      </c>
      <c r="AC1643" s="10">
        <f t="shared" si="257"/>
        <v>25.321064168085563</v>
      </c>
      <c r="AD1643" s="10">
        <f>IF(AND(Q1643&gt;0,Q1643&lt;30,K1643&lt;8),Markniveau!Z1643*'Udvaskning nøgletal'!$I$12/100,IF(AND(Q1643&gt;0,Q1643&lt;30,K1643=216),Markniveau!Z1643*'Udvaskning nøgletal'!$I$34/100,Markniveau!Z1643))</f>
        <v>57.029423801994504</v>
      </c>
      <c r="AE1643" s="10">
        <f t="shared" si="263"/>
        <v>506.42128336171123</v>
      </c>
      <c r="AF1643" s="10">
        <f t="shared" si="258"/>
        <v>2.8514711900997254</v>
      </c>
      <c r="AG1643" s="10">
        <f t="shared" si="264"/>
        <v>25.321064168085563</v>
      </c>
      <c r="AH1643" s="10" t="str">
        <f>IF(AND(Q1643&gt;0,Q1643&lt;30,K1643=216),'Udvaskning nøgletal'!$C$42,IF(AND(Q1643&gt;0,Q1643&lt;30,K1643&gt;7,K1643&lt;17),'Udvaskning nøgletal'!$C$61,IF(AND(Q1643&gt;0,Q1643&lt;30,K1643&lt;7),'Udvaskning nøgletal'!$C$62,"")))</f>
        <v/>
      </c>
      <c r="AI1643" s="10">
        <f t="shared" si="260"/>
        <v>11</v>
      </c>
      <c r="AJ1643" s="10">
        <f>IF($X1643=1,LOOKUP(AI1643,'Udvaskning nøgletal'!$C$12:$C$62,'Udvaskning nøgletal'!$E$12:$E$62)+Markniveau!$Y1643*Markniveau!$S1643/100,IF($X1643=2,LOOKUP(AI1643,'Udvaskning nøgletal'!$C$12:$C$62,'Udvaskning nøgletal'!$F$12:$F$62)+Markniveau!$Y1643*Markniveau!$S1643/100,IF($X1643=3,LOOKUP(AI1643,'Udvaskning nøgletal'!$C$12:$C$62,'Udvaskning nøgletal'!Q1653:Q1703)+Markniveau!$Y1643*Markniveau!$S1643/100,"")))</f>
        <v>57.029423801994504</v>
      </c>
      <c r="AK1643" s="10">
        <f t="shared" si="259"/>
        <v>506.42128336171123</v>
      </c>
      <c r="AL1643" s="10">
        <f t="shared" si="261"/>
        <v>2.8514711900997254</v>
      </c>
      <c r="AM1643" s="10">
        <f t="shared" si="262"/>
        <v>25.321064168085563</v>
      </c>
    </row>
    <row r="1644" spans="1:39" x14ac:dyDescent="0.25">
      <c r="A1644" s="15">
        <v>98333053</v>
      </c>
      <c r="B1644" s="15">
        <v>288.98</v>
      </c>
      <c r="C1644" s="15">
        <v>193503</v>
      </c>
      <c r="D1644" s="15">
        <v>33037</v>
      </c>
      <c r="E1644" s="15" t="s">
        <v>1305</v>
      </c>
      <c r="F1644" s="15">
        <v>2011</v>
      </c>
      <c r="G1644" s="15">
        <v>20110421</v>
      </c>
      <c r="H1644" s="15">
        <v>61811</v>
      </c>
      <c r="I1644" s="15">
        <v>6.18</v>
      </c>
      <c r="J1644" s="6" t="s">
        <v>1307</v>
      </c>
      <c r="K1644" s="15">
        <v>1</v>
      </c>
      <c r="L1644" s="15" t="s">
        <v>32</v>
      </c>
      <c r="M1644" s="15" t="s">
        <v>5</v>
      </c>
      <c r="N1644" s="11" t="s">
        <v>1391</v>
      </c>
      <c r="O1644" s="11" t="s">
        <v>46</v>
      </c>
      <c r="P1644" s="11" t="s">
        <v>29</v>
      </c>
      <c r="Q1644" s="15">
        <v>95</v>
      </c>
      <c r="R1644" s="11" t="s">
        <v>3</v>
      </c>
      <c r="S1644" s="10">
        <v>122.98847603989</v>
      </c>
      <c r="T1644" s="15">
        <v>80</v>
      </c>
      <c r="U1644" s="15">
        <v>0</v>
      </c>
      <c r="V1644" s="15">
        <v>1</v>
      </c>
      <c r="W1644" s="15">
        <v>0</v>
      </c>
      <c r="X1644" s="15">
        <f>IF(O1644='Udvaskning nøgletal'!$D$65,1,IF(O1644='Udvaskning nøgletal'!$D$66,2,IF(O1644='Udvaskning nøgletal'!$D$67,3,IF(O1644='Udvaskning nøgletal'!$D$68,2,""))))</f>
        <v>2</v>
      </c>
      <c r="Y1644" s="15">
        <f>LOOKUP(K1644,'Udvaskning nøgletal'!$C$12:$C$60,'Udvaskning nøgletal'!$H$12:$H$60)</f>
        <v>5</v>
      </c>
      <c r="Z1644" s="10">
        <f>IF(X1644=1,LOOKUP(K1644,'Udvaskning nøgletal'!$C$12:$C$60,'Udvaskning nøgletal'!$E$12:$E$60)+Markniveau!Y1644*Markniveau!S1644/100,IF(X1644=2,LOOKUP(K1644,'Udvaskning nøgletal'!$C$12:$C$60,'Udvaskning nøgletal'!$F$12:$F$60)+Markniveau!Y1644*Markniveau!S1644/100,IF(X1644=3,LOOKUP(K1644,'Udvaskning nøgletal'!$C$12:$C$60,'Udvaskning nøgletal'!G1654:G1702)+Markniveau!Y1644*Markniveau!S1644/100,"")))</f>
        <v>57.029423801994504</v>
      </c>
      <c r="AA1644" s="10">
        <f t="shared" si="256"/>
        <v>352.44183909632602</v>
      </c>
      <c r="AB1644" s="10">
        <f t="shared" si="255"/>
        <v>2.8514711900997254</v>
      </c>
      <c r="AC1644" s="10">
        <f t="shared" si="257"/>
        <v>17.622091954816302</v>
      </c>
      <c r="AD1644" s="10">
        <f>IF(AND(Q1644&gt;0,Q1644&lt;30,K1644&lt;8),Markniveau!Z1644*'Udvaskning nøgletal'!$I$12/100,IF(AND(Q1644&gt;0,Q1644&lt;30,K1644=216),Markniveau!Z1644*'Udvaskning nøgletal'!$I$34/100,Markniveau!Z1644))</f>
        <v>57.029423801994504</v>
      </c>
      <c r="AE1644" s="10">
        <f t="shared" si="263"/>
        <v>352.44183909632602</v>
      </c>
      <c r="AF1644" s="10">
        <f t="shared" si="258"/>
        <v>2.8514711900997254</v>
      </c>
      <c r="AG1644" s="10">
        <f t="shared" si="264"/>
        <v>17.622091954816302</v>
      </c>
      <c r="AH1644" s="10" t="str">
        <f>IF(AND(Q1644&gt;0,Q1644&lt;30,K1644=216),'Udvaskning nøgletal'!$C$42,IF(AND(Q1644&gt;0,Q1644&lt;30,K1644&gt;7,K1644&lt;17),'Udvaskning nøgletal'!$C$61,IF(AND(Q1644&gt;0,Q1644&lt;30,K1644&lt;7),'Udvaskning nøgletal'!$C$62,"")))</f>
        <v/>
      </c>
      <c r="AI1644" s="10">
        <f t="shared" si="260"/>
        <v>1</v>
      </c>
      <c r="AJ1644" s="10">
        <f>IF($X1644=1,LOOKUP(AI1644,'Udvaskning nøgletal'!$C$12:$C$62,'Udvaskning nøgletal'!$E$12:$E$62)+Markniveau!$Y1644*Markniveau!$S1644/100,IF($X1644=2,LOOKUP(AI1644,'Udvaskning nøgletal'!$C$12:$C$62,'Udvaskning nøgletal'!$F$12:$F$62)+Markniveau!$Y1644*Markniveau!$S1644/100,IF($X1644=3,LOOKUP(AI1644,'Udvaskning nøgletal'!$C$12:$C$62,'Udvaskning nøgletal'!Q1654:Q1704)+Markniveau!$Y1644*Markniveau!$S1644/100,"")))</f>
        <v>57.029423801994504</v>
      </c>
      <c r="AK1644" s="10">
        <f t="shared" si="259"/>
        <v>352.44183909632602</v>
      </c>
      <c r="AL1644" s="10">
        <f t="shared" si="261"/>
        <v>2.8514711900997254</v>
      </c>
      <c r="AM1644" s="10">
        <f t="shared" si="262"/>
        <v>17.622091954816302</v>
      </c>
    </row>
    <row r="1645" spans="1:39" x14ac:dyDescent="0.25">
      <c r="A1645" s="15">
        <v>98333053</v>
      </c>
      <c r="B1645" s="15">
        <v>288.98</v>
      </c>
      <c r="C1645" s="15">
        <v>193504</v>
      </c>
      <c r="D1645" s="15">
        <v>33037</v>
      </c>
      <c r="E1645" s="15" t="s">
        <v>1308</v>
      </c>
      <c r="F1645" s="15">
        <v>2011</v>
      </c>
      <c r="G1645" s="15">
        <v>20110421</v>
      </c>
      <c r="H1645" s="15">
        <v>57900</v>
      </c>
      <c r="I1645" s="15">
        <v>5.79</v>
      </c>
      <c r="J1645" s="6" t="s">
        <v>910</v>
      </c>
      <c r="K1645" s="15">
        <v>11</v>
      </c>
      <c r="L1645" s="15" t="s">
        <v>102</v>
      </c>
      <c r="M1645" s="15" t="s">
        <v>5</v>
      </c>
      <c r="N1645" s="11" t="s">
        <v>1391</v>
      </c>
      <c r="O1645" s="11" t="s">
        <v>46</v>
      </c>
      <c r="P1645" s="11" t="s">
        <v>29</v>
      </c>
      <c r="Q1645" s="15">
        <v>95</v>
      </c>
      <c r="R1645" s="11" t="s">
        <v>3</v>
      </c>
      <c r="S1645" s="10">
        <v>122.98847603989</v>
      </c>
      <c r="T1645" s="15">
        <v>80</v>
      </c>
      <c r="U1645" s="15">
        <v>0</v>
      </c>
      <c r="V1645" s="15">
        <v>1</v>
      </c>
      <c r="W1645" s="15">
        <v>0</v>
      </c>
      <c r="X1645" s="15">
        <f>IF(O1645='Udvaskning nøgletal'!$D$65,1,IF(O1645='Udvaskning nøgletal'!$D$66,2,IF(O1645='Udvaskning nøgletal'!$D$67,3,IF(O1645='Udvaskning nøgletal'!$D$68,2,""))))</f>
        <v>2</v>
      </c>
      <c r="Y1645" s="15">
        <f>LOOKUP(K1645,'Udvaskning nøgletal'!$C$12:$C$60,'Udvaskning nøgletal'!$H$12:$H$60)</f>
        <v>5</v>
      </c>
      <c r="Z1645" s="10">
        <f>IF(X1645=1,LOOKUP(K1645,'Udvaskning nøgletal'!$C$12:$C$60,'Udvaskning nøgletal'!$E$12:$E$60)+Markniveau!Y1645*Markniveau!S1645/100,IF(X1645=2,LOOKUP(K1645,'Udvaskning nøgletal'!$C$12:$C$60,'Udvaskning nøgletal'!$F$12:$F$60)+Markniveau!Y1645*Markniveau!S1645/100,IF(X1645=3,LOOKUP(K1645,'Udvaskning nøgletal'!$C$12:$C$60,'Udvaskning nøgletal'!G1655:G1703)+Markniveau!Y1645*Markniveau!S1645/100,"")))</f>
        <v>57.029423801994504</v>
      </c>
      <c r="AA1645" s="10">
        <f t="shared" si="256"/>
        <v>330.20036381354817</v>
      </c>
      <c r="AB1645" s="10">
        <f t="shared" si="255"/>
        <v>2.8514711900997254</v>
      </c>
      <c r="AC1645" s="10">
        <f t="shared" si="257"/>
        <v>16.51001819067741</v>
      </c>
      <c r="AD1645" s="10">
        <f>IF(AND(Q1645&gt;0,Q1645&lt;30,K1645&lt;8),Markniveau!Z1645*'Udvaskning nøgletal'!$I$12/100,IF(AND(Q1645&gt;0,Q1645&lt;30,K1645=216),Markniveau!Z1645*'Udvaskning nøgletal'!$I$34/100,Markniveau!Z1645))</f>
        <v>57.029423801994504</v>
      </c>
      <c r="AE1645" s="10">
        <f t="shared" si="263"/>
        <v>330.20036381354817</v>
      </c>
      <c r="AF1645" s="10">
        <f t="shared" si="258"/>
        <v>2.8514711900997254</v>
      </c>
      <c r="AG1645" s="10">
        <f t="shared" si="264"/>
        <v>16.51001819067741</v>
      </c>
      <c r="AH1645" s="10" t="str">
        <f>IF(AND(Q1645&gt;0,Q1645&lt;30,K1645=216),'Udvaskning nøgletal'!$C$42,IF(AND(Q1645&gt;0,Q1645&lt;30,K1645&gt;7,K1645&lt;17),'Udvaskning nøgletal'!$C$61,IF(AND(Q1645&gt;0,Q1645&lt;30,K1645&lt;7),'Udvaskning nøgletal'!$C$62,"")))</f>
        <v/>
      </c>
      <c r="AI1645" s="10">
        <f t="shared" si="260"/>
        <v>11</v>
      </c>
      <c r="AJ1645" s="10">
        <f>IF($X1645=1,LOOKUP(AI1645,'Udvaskning nøgletal'!$C$12:$C$62,'Udvaskning nøgletal'!$E$12:$E$62)+Markniveau!$Y1645*Markniveau!$S1645/100,IF($X1645=2,LOOKUP(AI1645,'Udvaskning nøgletal'!$C$12:$C$62,'Udvaskning nøgletal'!$F$12:$F$62)+Markniveau!$Y1645*Markniveau!$S1645/100,IF($X1645=3,LOOKUP(AI1645,'Udvaskning nøgletal'!$C$12:$C$62,'Udvaskning nøgletal'!Q1655:Q1705)+Markniveau!$Y1645*Markniveau!$S1645/100,"")))</f>
        <v>57.029423801994504</v>
      </c>
      <c r="AK1645" s="10">
        <f t="shared" si="259"/>
        <v>330.20036381354817</v>
      </c>
      <c r="AL1645" s="10">
        <f t="shared" si="261"/>
        <v>2.8514711900997254</v>
      </c>
      <c r="AM1645" s="10">
        <f t="shared" si="262"/>
        <v>16.51001819067741</v>
      </c>
    </row>
    <row r="1646" spans="1:39" x14ac:dyDescent="0.25">
      <c r="A1646" s="15">
        <v>98333053</v>
      </c>
      <c r="B1646" s="15">
        <v>288.98</v>
      </c>
      <c r="C1646" s="15">
        <v>193505</v>
      </c>
      <c r="D1646" s="15">
        <v>33037</v>
      </c>
      <c r="E1646" s="15" t="s">
        <v>1305</v>
      </c>
      <c r="F1646" s="15">
        <v>2011</v>
      </c>
      <c r="G1646" s="15">
        <v>20110421</v>
      </c>
      <c r="H1646" s="15">
        <v>80160</v>
      </c>
      <c r="I1646" s="15">
        <v>8.02</v>
      </c>
      <c r="J1646" s="6" t="s">
        <v>1309</v>
      </c>
      <c r="K1646" s="15">
        <v>1</v>
      </c>
      <c r="L1646" s="15" t="s">
        <v>32</v>
      </c>
      <c r="M1646" s="15" t="s">
        <v>5</v>
      </c>
      <c r="N1646" s="11" t="s">
        <v>1391</v>
      </c>
      <c r="O1646" s="11" t="s">
        <v>46</v>
      </c>
      <c r="P1646" s="11" t="s">
        <v>29</v>
      </c>
      <c r="Q1646" s="15">
        <v>95</v>
      </c>
      <c r="R1646" s="11" t="s">
        <v>3</v>
      </c>
      <c r="S1646" s="10">
        <v>122.98847603989</v>
      </c>
      <c r="T1646" s="15">
        <v>80</v>
      </c>
      <c r="U1646" s="15">
        <v>0</v>
      </c>
      <c r="V1646" s="15">
        <v>1</v>
      </c>
      <c r="W1646" s="15">
        <v>0</v>
      </c>
      <c r="X1646" s="15">
        <f>IF(O1646='Udvaskning nøgletal'!$D$65,1,IF(O1646='Udvaskning nøgletal'!$D$66,2,IF(O1646='Udvaskning nøgletal'!$D$67,3,IF(O1646='Udvaskning nøgletal'!$D$68,2,""))))</f>
        <v>2</v>
      </c>
      <c r="Y1646" s="15">
        <f>LOOKUP(K1646,'Udvaskning nøgletal'!$C$12:$C$60,'Udvaskning nøgletal'!$H$12:$H$60)</f>
        <v>5</v>
      </c>
      <c r="Z1646" s="10">
        <f>IF(X1646=1,LOOKUP(K1646,'Udvaskning nøgletal'!$C$12:$C$60,'Udvaskning nøgletal'!$E$12:$E$60)+Markniveau!Y1646*Markniveau!S1646/100,IF(X1646=2,LOOKUP(K1646,'Udvaskning nøgletal'!$C$12:$C$60,'Udvaskning nøgletal'!$F$12:$F$60)+Markniveau!Y1646*Markniveau!S1646/100,IF(X1646=3,LOOKUP(K1646,'Udvaskning nøgletal'!$C$12:$C$60,'Udvaskning nøgletal'!G1656:G1704)+Markniveau!Y1646*Markniveau!S1646/100,"")))</f>
        <v>57.029423801994504</v>
      </c>
      <c r="AA1646" s="10">
        <f t="shared" si="256"/>
        <v>457.37597889199589</v>
      </c>
      <c r="AB1646" s="10">
        <f t="shared" si="255"/>
        <v>2.8514711900997254</v>
      </c>
      <c r="AC1646" s="10">
        <f t="shared" si="257"/>
        <v>22.868798944599796</v>
      </c>
      <c r="AD1646" s="10">
        <f>IF(AND(Q1646&gt;0,Q1646&lt;30,K1646&lt;8),Markniveau!Z1646*'Udvaskning nøgletal'!$I$12/100,IF(AND(Q1646&gt;0,Q1646&lt;30,K1646=216),Markniveau!Z1646*'Udvaskning nøgletal'!$I$34/100,Markniveau!Z1646))</f>
        <v>57.029423801994504</v>
      </c>
      <c r="AE1646" s="10">
        <f t="shared" si="263"/>
        <v>457.37597889199589</v>
      </c>
      <c r="AF1646" s="10">
        <f t="shared" si="258"/>
        <v>2.8514711900997254</v>
      </c>
      <c r="AG1646" s="10">
        <f t="shared" si="264"/>
        <v>22.868798944599796</v>
      </c>
      <c r="AH1646" s="10" t="str">
        <f>IF(AND(Q1646&gt;0,Q1646&lt;30,K1646=216),'Udvaskning nøgletal'!$C$42,IF(AND(Q1646&gt;0,Q1646&lt;30,K1646&gt;7,K1646&lt;17),'Udvaskning nøgletal'!$C$61,IF(AND(Q1646&gt;0,Q1646&lt;30,K1646&lt;7),'Udvaskning nøgletal'!$C$62,"")))</f>
        <v/>
      </c>
      <c r="AI1646" s="10">
        <f t="shared" si="260"/>
        <v>1</v>
      </c>
      <c r="AJ1646" s="10">
        <f>IF($X1646=1,LOOKUP(AI1646,'Udvaskning nøgletal'!$C$12:$C$62,'Udvaskning nøgletal'!$E$12:$E$62)+Markniveau!$Y1646*Markniveau!$S1646/100,IF($X1646=2,LOOKUP(AI1646,'Udvaskning nøgletal'!$C$12:$C$62,'Udvaskning nøgletal'!$F$12:$F$62)+Markniveau!$Y1646*Markniveau!$S1646/100,IF($X1646=3,LOOKUP(AI1646,'Udvaskning nøgletal'!$C$12:$C$62,'Udvaskning nøgletal'!Q1656:Q1706)+Markniveau!$Y1646*Markniveau!$S1646/100,"")))</f>
        <v>57.029423801994504</v>
      </c>
      <c r="AK1646" s="10">
        <f t="shared" si="259"/>
        <v>457.37597889199589</v>
      </c>
      <c r="AL1646" s="10">
        <f t="shared" si="261"/>
        <v>2.8514711900997254</v>
      </c>
      <c r="AM1646" s="10">
        <f t="shared" si="262"/>
        <v>22.868798944599796</v>
      </c>
    </row>
    <row r="1647" spans="1:39" x14ac:dyDescent="0.25">
      <c r="A1647" s="15">
        <v>98333053</v>
      </c>
      <c r="B1647" s="15">
        <v>288.98</v>
      </c>
      <c r="C1647" s="15">
        <v>193506</v>
      </c>
      <c r="D1647" s="15">
        <v>33037</v>
      </c>
      <c r="E1647" s="15" t="s">
        <v>1310</v>
      </c>
      <c r="F1647" s="15">
        <v>2011</v>
      </c>
      <c r="G1647" s="15">
        <v>20110421</v>
      </c>
      <c r="H1647" s="15">
        <v>37206</v>
      </c>
      <c r="I1647" s="15">
        <v>3.72</v>
      </c>
      <c r="J1647" s="6" t="s">
        <v>999</v>
      </c>
      <c r="K1647" s="15">
        <v>11</v>
      </c>
      <c r="L1647" s="15" t="s">
        <v>102</v>
      </c>
      <c r="M1647" s="15" t="s">
        <v>5</v>
      </c>
      <c r="N1647" s="11" t="s">
        <v>1391</v>
      </c>
      <c r="O1647" s="11" t="s">
        <v>46</v>
      </c>
      <c r="P1647" s="11" t="s">
        <v>29</v>
      </c>
      <c r="Q1647" s="15">
        <v>95</v>
      </c>
      <c r="R1647" s="11" t="s">
        <v>3</v>
      </c>
      <c r="S1647" s="10">
        <v>122.98847603989</v>
      </c>
      <c r="T1647" s="15">
        <v>80</v>
      </c>
      <c r="U1647" s="15">
        <v>0</v>
      </c>
      <c r="V1647" s="15">
        <v>1</v>
      </c>
      <c r="W1647" s="15">
        <v>0</v>
      </c>
      <c r="X1647" s="15">
        <f>IF(O1647='Udvaskning nøgletal'!$D$65,1,IF(O1647='Udvaskning nøgletal'!$D$66,2,IF(O1647='Udvaskning nøgletal'!$D$67,3,IF(O1647='Udvaskning nøgletal'!$D$68,2,""))))</f>
        <v>2</v>
      </c>
      <c r="Y1647" s="15">
        <f>LOOKUP(K1647,'Udvaskning nøgletal'!$C$12:$C$60,'Udvaskning nøgletal'!$H$12:$H$60)</f>
        <v>5</v>
      </c>
      <c r="Z1647" s="10">
        <f>IF(X1647=1,LOOKUP(K1647,'Udvaskning nøgletal'!$C$12:$C$60,'Udvaskning nøgletal'!$E$12:$E$60)+Markniveau!Y1647*Markniveau!S1647/100,IF(X1647=2,LOOKUP(K1647,'Udvaskning nøgletal'!$C$12:$C$60,'Udvaskning nøgletal'!$F$12:$F$60)+Markniveau!Y1647*Markniveau!S1647/100,IF(X1647=3,LOOKUP(K1647,'Udvaskning nøgletal'!$C$12:$C$60,'Udvaskning nøgletal'!G1657:G1705)+Markniveau!Y1647*Markniveau!S1647/100,"")))</f>
        <v>57.029423801994504</v>
      </c>
      <c r="AA1647" s="10">
        <f t="shared" si="256"/>
        <v>212.14945654341957</v>
      </c>
      <c r="AB1647" s="10">
        <f t="shared" si="255"/>
        <v>2.8514711900997254</v>
      </c>
      <c r="AC1647" s="10">
        <f t="shared" si="257"/>
        <v>10.607472827170978</v>
      </c>
      <c r="AD1647" s="10">
        <f>IF(AND(Q1647&gt;0,Q1647&lt;30,K1647&lt;8),Markniveau!Z1647*'Udvaskning nøgletal'!$I$12/100,IF(AND(Q1647&gt;0,Q1647&lt;30,K1647=216),Markniveau!Z1647*'Udvaskning nøgletal'!$I$34/100,Markniveau!Z1647))</f>
        <v>57.029423801994504</v>
      </c>
      <c r="AE1647" s="10">
        <f t="shared" si="263"/>
        <v>212.14945654341957</v>
      </c>
      <c r="AF1647" s="10">
        <f t="shared" si="258"/>
        <v>2.8514711900997254</v>
      </c>
      <c r="AG1647" s="10">
        <f t="shared" si="264"/>
        <v>10.607472827170978</v>
      </c>
      <c r="AH1647" s="10" t="str">
        <f>IF(AND(Q1647&gt;0,Q1647&lt;30,K1647=216),'Udvaskning nøgletal'!$C$42,IF(AND(Q1647&gt;0,Q1647&lt;30,K1647&gt;7,K1647&lt;17),'Udvaskning nøgletal'!$C$61,IF(AND(Q1647&gt;0,Q1647&lt;30,K1647&lt;7),'Udvaskning nøgletal'!$C$62,"")))</f>
        <v/>
      </c>
      <c r="AI1647" s="10">
        <f t="shared" si="260"/>
        <v>11</v>
      </c>
      <c r="AJ1647" s="10">
        <f>IF($X1647=1,LOOKUP(AI1647,'Udvaskning nøgletal'!$C$12:$C$62,'Udvaskning nøgletal'!$E$12:$E$62)+Markniveau!$Y1647*Markniveau!$S1647/100,IF($X1647=2,LOOKUP(AI1647,'Udvaskning nøgletal'!$C$12:$C$62,'Udvaskning nøgletal'!$F$12:$F$62)+Markniveau!$Y1647*Markniveau!$S1647/100,IF($X1647=3,LOOKUP(AI1647,'Udvaskning nøgletal'!$C$12:$C$62,'Udvaskning nøgletal'!Q1657:Q1707)+Markniveau!$Y1647*Markniveau!$S1647/100,"")))</f>
        <v>57.029423801994504</v>
      </c>
      <c r="AK1647" s="10">
        <f t="shared" si="259"/>
        <v>212.14945654341957</v>
      </c>
      <c r="AL1647" s="10">
        <f t="shared" si="261"/>
        <v>2.8514711900997254</v>
      </c>
      <c r="AM1647" s="10">
        <f t="shared" si="262"/>
        <v>10.607472827170978</v>
      </c>
    </row>
    <row r="1648" spans="1:39" x14ac:dyDescent="0.25">
      <c r="A1648" s="15">
        <v>98333053</v>
      </c>
      <c r="B1648" s="15">
        <v>288.98</v>
      </c>
      <c r="C1648" s="15">
        <v>193507</v>
      </c>
      <c r="D1648" s="15">
        <v>33037</v>
      </c>
      <c r="E1648" s="15" t="s">
        <v>517</v>
      </c>
      <c r="F1648" s="15">
        <v>2011</v>
      </c>
      <c r="G1648" s="15">
        <v>20110421</v>
      </c>
      <c r="H1648" s="15">
        <v>12089</v>
      </c>
      <c r="I1648" s="15">
        <v>1.21</v>
      </c>
      <c r="J1648" s="6" t="s">
        <v>1311</v>
      </c>
      <c r="K1648" s="15">
        <v>252</v>
      </c>
      <c r="L1648" s="15" t="s">
        <v>41</v>
      </c>
      <c r="M1648" s="15" t="s">
        <v>4</v>
      </c>
      <c r="N1648" s="11" t="s">
        <v>1391</v>
      </c>
      <c r="O1648" s="11" t="s">
        <v>46</v>
      </c>
      <c r="P1648" s="11" t="s">
        <v>33</v>
      </c>
      <c r="Q1648" s="15">
        <v>95</v>
      </c>
      <c r="R1648" s="11" t="s">
        <v>3</v>
      </c>
      <c r="S1648" s="10">
        <v>122.98847603989</v>
      </c>
      <c r="T1648" s="15">
        <v>80</v>
      </c>
      <c r="U1648" s="15">
        <v>0</v>
      </c>
      <c r="V1648" s="15">
        <v>1</v>
      </c>
      <c r="W1648" s="15">
        <v>0</v>
      </c>
      <c r="X1648" s="15">
        <f>IF(O1648='Udvaskning nøgletal'!$D$65,1,IF(O1648='Udvaskning nøgletal'!$D$66,2,IF(O1648='Udvaskning nøgletal'!$D$67,3,IF(O1648='Udvaskning nøgletal'!$D$68,2,""))))</f>
        <v>2</v>
      </c>
      <c r="Y1648" s="15">
        <f>LOOKUP(K1648,'Udvaskning nøgletal'!$C$12:$C$60,'Udvaskning nøgletal'!$H$12:$H$60)</f>
        <v>0</v>
      </c>
      <c r="Z1648" s="10">
        <f>IF(X1648=1,LOOKUP(K1648,'Udvaskning nøgletal'!$C$12:$C$60,'Udvaskning nøgletal'!$E$12:$E$60)+Markniveau!Y1648*Markniveau!S1648/100,IF(X1648=2,LOOKUP(K1648,'Udvaskning nøgletal'!$C$12:$C$60,'Udvaskning nøgletal'!$F$12:$F$60)+Markniveau!Y1648*Markniveau!S1648/100,IF(X1648=3,LOOKUP(K1648,'Udvaskning nøgletal'!$C$12:$C$60,'Udvaskning nøgletal'!G1658:G1706)+Markniveau!Y1648*Markniveau!S1648/100,"")))</f>
        <v>21.2</v>
      </c>
      <c r="AA1648" s="10">
        <f t="shared" si="256"/>
        <v>25.651999999999997</v>
      </c>
      <c r="AB1648" s="10">
        <f t="shared" si="255"/>
        <v>1.06</v>
      </c>
      <c r="AC1648" s="10">
        <f t="shared" si="257"/>
        <v>1.2826</v>
      </c>
      <c r="AD1648" s="10">
        <f>IF(AND(Q1648&gt;0,Q1648&lt;30,K1648&lt;8),Markniveau!Z1648*'Udvaskning nøgletal'!$I$12/100,IF(AND(Q1648&gt;0,Q1648&lt;30,K1648=216),Markniveau!Z1648*'Udvaskning nøgletal'!$I$34/100,Markniveau!Z1648))</f>
        <v>21.2</v>
      </c>
      <c r="AE1648" s="10">
        <f t="shared" si="263"/>
        <v>25.651999999999997</v>
      </c>
      <c r="AF1648" s="10">
        <f t="shared" si="258"/>
        <v>1.06</v>
      </c>
      <c r="AG1648" s="10">
        <f t="shared" si="264"/>
        <v>1.2826</v>
      </c>
      <c r="AH1648" s="10" t="str">
        <f>IF(AND(Q1648&gt;0,Q1648&lt;30,K1648=216),'Udvaskning nøgletal'!$C$42,IF(AND(Q1648&gt;0,Q1648&lt;30,K1648&gt;7,K1648&lt;17),'Udvaskning nøgletal'!$C$61,IF(AND(Q1648&gt;0,Q1648&lt;30,K1648&lt;7),'Udvaskning nøgletal'!$C$62,"")))</f>
        <v/>
      </c>
      <c r="AI1648" s="10">
        <f t="shared" si="260"/>
        <v>252</v>
      </c>
      <c r="AJ1648" s="10">
        <f>IF($X1648=1,LOOKUP(AI1648,'Udvaskning nøgletal'!$C$12:$C$62,'Udvaskning nøgletal'!$E$12:$E$62)+Markniveau!$Y1648*Markniveau!$S1648/100,IF($X1648=2,LOOKUP(AI1648,'Udvaskning nøgletal'!$C$12:$C$62,'Udvaskning nøgletal'!$F$12:$F$62)+Markniveau!$Y1648*Markniveau!$S1648/100,IF($X1648=3,LOOKUP(AI1648,'Udvaskning nøgletal'!$C$12:$C$62,'Udvaskning nøgletal'!Q1658:Q1708)+Markniveau!$Y1648*Markniveau!$S1648/100,"")))</f>
        <v>21.2</v>
      </c>
      <c r="AK1648" s="10">
        <f t="shared" si="259"/>
        <v>25.651999999999997</v>
      </c>
      <c r="AL1648" s="10">
        <f t="shared" si="261"/>
        <v>1.06</v>
      </c>
      <c r="AM1648" s="10">
        <f t="shared" si="262"/>
        <v>1.2826</v>
      </c>
    </row>
    <row r="1649" spans="1:39" x14ac:dyDescent="0.25">
      <c r="A1649" s="15">
        <v>98333053</v>
      </c>
      <c r="B1649" s="15">
        <v>288.98</v>
      </c>
      <c r="C1649" s="15">
        <v>194023</v>
      </c>
      <c r="D1649" s="15">
        <v>33037</v>
      </c>
      <c r="E1649" s="15" t="s">
        <v>517</v>
      </c>
      <c r="F1649" s="15">
        <v>2011</v>
      </c>
      <c r="G1649" s="15">
        <v>20110421</v>
      </c>
      <c r="H1649" s="15">
        <v>17088</v>
      </c>
      <c r="I1649" s="15">
        <v>1.71</v>
      </c>
      <c r="J1649" s="6" t="s">
        <v>1312</v>
      </c>
      <c r="K1649" s="15">
        <v>260</v>
      </c>
      <c r="L1649" s="15" t="s">
        <v>45</v>
      </c>
      <c r="M1649" s="15" t="s">
        <v>5</v>
      </c>
      <c r="N1649" s="11" t="s">
        <v>1391</v>
      </c>
      <c r="O1649" s="11" t="s">
        <v>46</v>
      </c>
      <c r="P1649" s="11" t="s">
        <v>29</v>
      </c>
      <c r="Q1649" s="15">
        <v>95</v>
      </c>
      <c r="R1649" s="11" t="s">
        <v>3</v>
      </c>
      <c r="S1649" s="10">
        <v>122.98847603989</v>
      </c>
      <c r="T1649" s="15">
        <v>80</v>
      </c>
      <c r="U1649" s="15">
        <v>0</v>
      </c>
      <c r="V1649" s="15">
        <v>1</v>
      </c>
      <c r="W1649" s="15">
        <v>0</v>
      </c>
      <c r="X1649" s="15">
        <f>IF(O1649='Udvaskning nøgletal'!$D$65,1,IF(O1649='Udvaskning nøgletal'!$D$66,2,IF(O1649='Udvaskning nøgletal'!$D$67,3,IF(O1649='Udvaskning nøgletal'!$D$68,2,""))))</f>
        <v>2</v>
      </c>
      <c r="Y1649" s="15">
        <f>LOOKUP(K1649,'Udvaskning nøgletal'!$C$12:$C$60,'Udvaskning nøgletal'!$H$12:$H$60)</f>
        <v>0</v>
      </c>
      <c r="Z1649" s="10">
        <f>IF(X1649=1,LOOKUP(K1649,'Udvaskning nøgletal'!$C$12:$C$60,'Udvaskning nøgletal'!$E$12:$E$60)+Markniveau!Y1649*Markniveau!S1649/100,IF(X1649=2,LOOKUP(K1649,'Udvaskning nøgletal'!$C$12:$C$60,'Udvaskning nøgletal'!$F$12:$F$60)+Markniveau!Y1649*Markniveau!S1649/100,IF(X1649=3,LOOKUP(K1649,'Udvaskning nøgletal'!$C$12:$C$60,'Udvaskning nøgletal'!G1659:G1707)+Markniveau!Y1649*Markniveau!S1649/100,"")))</f>
        <v>27.331185321443094</v>
      </c>
      <c r="AA1649" s="10">
        <f t="shared" si="256"/>
        <v>46.736326899667688</v>
      </c>
      <c r="AB1649" s="10">
        <f t="shared" si="255"/>
        <v>1.3665592660721546</v>
      </c>
      <c r="AC1649" s="10">
        <f t="shared" si="257"/>
        <v>2.3368163449833843</v>
      </c>
      <c r="AD1649" s="10">
        <f>IF(AND(Q1649&gt;0,Q1649&lt;30,K1649&lt;8),Markniveau!Z1649*'Udvaskning nøgletal'!$I$12/100,IF(AND(Q1649&gt;0,Q1649&lt;30,K1649=216),Markniveau!Z1649*'Udvaskning nøgletal'!$I$34/100,Markniveau!Z1649))</f>
        <v>27.331185321443094</v>
      </c>
      <c r="AE1649" s="10">
        <f t="shared" si="263"/>
        <v>46.736326899667688</v>
      </c>
      <c r="AF1649" s="10">
        <f t="shared" si="258"/>
        <v>1.3665592660721546</v>
      </c>
      <c r="AG1649" s="10">
        <f t="shared" si="264"/>
        <v>2.3368163449833843</v>
      </c>
      <c r="AH1649" s="10" t="str">
        <f>IF(AND(Q1649&gt;0,Q1649&lt;30,K1649=216),'Udvaskning nøgletal'!$C$42,IF(AND(Q1649&gt;0,Q1649&lt;30,K1649&gt;7,K1649&lt;17),'Udvaskning nøgletal'!$C$61,IF(AND(Q1649&gt;0,Q1649&lt;30,K1649&lt;7),'Udvaskning nøgletal'!$C$62,"")))</f>
        <v/>
      </c>
      <c r="AI1649" s="10">
        <f t="shared" si="260"/>
        <v>260</v>
      </c>
      <c r="AJ1649" s="10">
        <f>IF($X1649=1,LOOKUP(AI1649,'Udvaskning nøgletal'!$C$12:$C$62,'Udvaskning nøgletal'!$E$12:$E$62)+Markniveau!$Y1649*Markniveau!$S1649/100,IF($X1649=2,LOOKUP(AI1649,'Udvaskning nøgletal'!$C$12:$C$62,'Udvaskning nøgletal'!$F$12:$F$62)+Markniveau!$Y1649*Markniveau!$S1649/100,IF($X1649=3,LOOKUP(AI1649,'Udvaskning nøgletal'!$C$12:$C$62,'Udvaskning nøgletal'!Q1659:Q1709)+Markniveau!$Y1649*Markniveau!$S1649/100,"")))</f>
        <v>27.331185321443094</v>
      </c>
      <c r="AK1649" s="10">
        <f t="shared" si="259"/>
        <v>46.736326899667688</v>
      </c>
      <c r="AL1649" s="10">
        <f t="shared" si="261"/>
        <v>1.3665592660721546</v>
      </c>
      <c r="AM1649" s="10">
        <f t="shared" si="262"/>
        <v>2.3368163449833843</v>
      </c>
    </row>
    <row r="1650" spans="1:39" x14ac:dyDescent="0.25">
      <c r="A1650" s="15">
        <v>98333053</v>
      </c>
      <c r="B1650" s="15">
        <v>288.98</v>
      </c>
      <c r="C1650" s="15">
        <v>194026</v>
      </c>
      <c r="D1650" s="15">
        <v>33037</v>
      </c>
      <c r="E1650" s="15" t="s">
        <v>331</v>
      </c>
      <c r="F1650" s="15">
        <v>2011</v>
      </c>
      <c r="G1650" s="15">
        <v>20110421</v>
      </c>
      <c r="H1650" s="15">
        <v>27839</v>
      </c>
      <c r="I1650" s="15">
        <v>2.78</v>
      </c>
      <c r="J1650" s="6" t="s">
        <v>458</v>
      </c>
      <c r="K1650" s="15">
        <v>216</v>
      </c>
      <c r="L1650" s="15" t="s">
        <v>116</v>
      </c>
      <c r="M1650" s="15" t="s">
        <v>5</v>
      </c>
      <c r="N1650" s="11" t="s">
        <v>1391</v>
      </c>
      <c r="O1650" s="11" t="s">
        <v>46</v>
      </c>
      <c r="P1650" s="11" t="s">
        <v>33</v>
      </c>
      <c r="Q1650" s="15">
        <v>1</v>
      </c>
      <c r="R1650" s="11" t="s">
        <v>11</v>
      </c>
      <c r="S1650" s="10">
        <v>122.98847603989</v>
      </c>
      <c r="T1650" s="15">
        <v>80</v>
      </c>
      <c r="U1650" s="15">
        <v>0</v>
      </c>
      <c r="V1650" s="15">
        <v>1</v>
      </c>
      <c r="W1650" s="15">
        <v>0</v>
      </c>
      <c r="X1650" s="15">
        <f>IF(O1650='Udvaskning nøgletal'!$D$65,1,IF(O1650='Udvaskning nøgletal'!$D$66,2,IF(O1650='Udvaskning nøgletal'!$D$67,3,IF(O1650='Udvaskning nøgletal'!$D$68,2,""))))</f>
        <v>2</v>
      </c>
      <c r="Y1650" s="15">
        <f>LOOKUP(K1650,'Udvaskning nøgletal'!$C$12:$C$60,'Udvaskning nøgletal'!$H$12:$H$60)</f>
        <v>0</v>
      </c>
      <c r="Z1650" s="10">
        <f>IF(X1650=1,LOOKUP(K1650,'Udvaskning nøgletal'!$C$12:$C$60,'Udvaskning nøgletal'!$E$12:$E$60)+Markniveau!Y1650*Markniveau!S1650/100,IF(X1650=2,LOOKUP(K1650,'Udvaskning nøgletal'!$C$12:$C$60,'Udvaskning nøgletal'!$F$12:$F$60)+Markniveau!Y1650*Markniveau!S1650/100,IF(X1650=3,LOOKUP(K1650,'Udvaskning nøgletal'!$C$12:$C$60,'Udvaskning nøgletal'!G1660:G1708)+Markniveau!Y1650*Markniveau!S1650/100,"")))</f>
        <v>101.66744640811392</v>
      </c>
      <c r="AA1650" s="10">
        <f t="shared" si="256"/>
        <v>282.63550101455667</v>
      </c>
      <c r="AB1650" s="10">
        <f t="shared" si="255"/>
        <v>100.65077194403278</v>
      </c>
      <c r="AC1650" s="10">
        <f t="shared" si="257"/>
        <v>279.8091460044111</v>
      </c>
      <c r="AD1650" s="10">
        <f>IF(AND(Q1650&gt;0,Q1650&lt;30,K1650&lt;8),Markniveau!Z1650*'Udvaskning nøgletal'!$I$12/100,IF(AND(Q1650&gt;0,Q1650&lt;30,K1650=216),Markniveau!Z1650*'Udvaskning nøgletal'!$I$34/100,Markniveau!Z1650))</f>
        <v>71.167212485679741</v>
      </c>
      <c r="AE1650" s="10">
        <f t="shared" si="263"/>
        <v>197.84485071018966</v>
      </c>
      <c r="AF1650" s="10">
        <f t="shared" si="258"/>
        <v>70.455540360822937</v>
      </c>
      <c r="AG1650" s="10">
        <f t="shared" si="264"/>
        <v>195.86640220308774</v>
      </c>
      <c r="AH1650" s="10">
        <f>IF(AND(Q1650&gt;0,Q1650&lt;30,K1650=216),'Udvaskning nøgletal'!$C$42,IF(AND(Q1650&gt;0,Q1650&lt;30,K1650&gt;7,K1650&lt;17),'Udvaskning nøgletal'!$C$61,IF(AND(Q1650&gt;0,Q1650&lt;30,K1650&lt;7),'Udvaskning nøgletal'!$C$62,"")))</f>
        <v>260</v>
      </c>
      <c r="AI1650" s="10">
        <f t="shared" si="260"/>
        <v>260</v>
      </c>
      <c r="AJ1650" s="10">
        <f>IF($X1650=1,LOOKUP(AI1650,'Udvaskning nøgletal'!$C$12:$C$62,'Udvaskning nøgletal'!$E$12:$E$62)+Markniveau!$Y1650*Markniveau!$S1650/100,IF($X1650=2,LOOKUP(AI1650,'Udvaskning nøgletal'!$C$12:$C$62,'Udvaskning nøgletal'!$F$12:$F$62)+Markniveau!$Y1650*Markniveau!$S1650/100,IF($X1650=3,LOOKUP(AI1650,'Udvaskning nøgletal'!$C$12:$C$62,'Udvaskning nøgletal'!Q1660:Q1710)+Markniveau!$Y1650*Markniveau!$S1650/100,"")))</f>
        <v>27.331185321443094</v>
      </c>
      <c r="AK1650" s="10">
        <f t="shared" si="259"/>
        <v>75.980695193611794</v>
      </c>
      <c r="AL1650" s="10">
        <f t="shared" si="261"/>
        <v>27.057873468228664</v>
      </c>
      <c r="AM1650" s="10">
        <f t="shared" si="262"/>
        <v>75.220888241675681</v>
      </c>
    </row>
    <row r="1651" spans="1:39" x14ac:dyDescent="0.25">
      <c r="A1651" s="15">
        <v>98333053</v>
      </c>
      <c r="B1651" s="15">
        <v>288.98</v>
      </c>
      <c r="C1651" s="15">
        <v>194028</v>
      </c>
      <c r="D1651" s="15">
        <v>33037</v>
      </c>
      <c r="E1651" s="15" t="s">
        <v>332</v>
      </c>
      <c r="F1651" s="15">
        <v>2011</v>
      </c>
      <c r="G1651" s="15">
        <v>20110421</v>
      </c>
      <c r="H1651" s="15">
        <v>90250</v>
      </c>
      <c r="I1651" s="15">
        <v>9.0299999999999994</v>
      </c>
      <c r="J1651" s="6" t="s">
        <v>75</v>
      </c>
      <c r="K1651" s="15">
        <v>216</v>
      </c>
      <c r="L1651" s="15" t="s">
        <v>116</v>
      </c>
      <c r="M1651" s="15" t="s">
        <v>5</v>
      </c>
      <c r="N1651" s="11" t="s">
        <v>1391</v>
      </c>
      <c r="O1651" s="11" t="s">
        <v>46</v>
      </c>
      <c r="P1651" s="11" t="s">
        <v>33</v>
      </c>
      <c r="Q1651" s="15">
        <v>95</v>
      </c>
      <c r="R1651" s="11" t="s">
        <v>3</v>
      </c>
      <c r="S1651" s="10">
        <v>122.98847603989</v>
      </c>
      <c r="T1651" s="15">
        <v>80</v>
      </c>
      <c r="U1651" s="15">
        <v>0</v>
      </c>
      <c r="V1651" s="15">
        <v>1</v>
      </c>
      <c r="W1651" s="15">
        <v>0</v>
      </c>
      <c r="X1651" s="15">
        <f>IF(O1651='Udvaskning nøgletal'!$D$65,1,IF(O1651='Udvaskning nøgletal'!$D$66,2,IF(O1651='Udvaskning nøgletal'!$D$67,3,IF(O1651='Udvaskning nøgletal'!$D$68,2,""))))</f>
        <v>2</v>
      </c>
      <c r="Y1651" s="15">
        <f>LOOKUP(K1651,'Udvaskning nøgletal'!$C$12:$C$60,'Udvaskning nøgletal'!$H$12:$H$60)</f>
        <v>0</v>
      </c>
      <c r="Z1651" s="10">
        <f>IF(X1651=1,LOOKUP(K1651,'Udvaskning nøgletal'!$C$12:$C$60,'Udvaskning nøgletal'!$E$12:$E$60)+Markniveau!Y1651*Markniveau!S1651/100,IF(X1651=2,LOOKUP(K1651,'Udvaskning nøgletal'!$C$12:$C$60,'Udvaskning nøgletal'!$F$12:$F$60)+Markniveau!Y1651*Markniveau!S1651/100,IF(X1651=3,LOOKUP(K1651,'Udvaskning nøgletal'!$C$12:$C$60,'Udvaskning nøgletal'!G1661:G1709)+Markniveau!Y1651*Markniveau!S1651/100,"")))</f>
        <v>101.66744640811392</v>
      </c>
      <c r="AA1651" s="10">
        <f t="shared" si="256"/>
        <v>918.05704106526866</v>
      </c>
      <c r="AB1651" s="10">
        <f t="shared" si="255"/>
        <v>5.0833723204056955</v>
      </c>
      <c r="AC1651" s="10">
        <f t="shared" si="257"/>
        <v>45.90285205326343</v>
      </c>
      <c r="AD1651" s="10">
        <f>IF(AND(Q1651&gt;0,Q1651&lt;30,K1651&lt;8),Markniveau!Z1651*'Udvaskning nøgletal'!$I$12/100,IF(AND(Q1651&gt;0,Q1651&lt;30,K1651=216),Markniveau!Z1651*'Udvaskning nøgletal'!$I$34/100,Markniveau!Z1651))</f>
        <v>101.66744640811392</v>
      </c>
      <c r="AE1651" s="10">
        <f t="shared" si="263"/>
        <v>918.05704106526866</v>
      </c>
      <c r="AF1651" s="10">
        <f t="shared" si="258"/>
        <v>5.0833723204056955</v>
      </c>
      <c r="AG1651" s="10">
        <f t="shared" si="264"/>
        <v>45.90285205326343</v>
      </c>
      <c r="AH1651" s="10" t="str">
        <f>IF(AND(Q1651&gt;0,Q1651&lt;30,K1651=216),'Udvaskning nøgletal'!$C$42,IF(AND(Q1651&gt;0,Q1651&lt;30,K1651&gt;7,K1651&lt;17),'Udvaskning nøgletal'!$C$61,IF(AND(Q1651&gt;0,Q1651&lt;30,K1651&lt;7),'Udvaskning nøgletal'!$C$62,"")))</f>
        <v/>
      </c>
      <c r="AI1651" s="10">
        <f t="shared" si="260"/>
        <v>216</v>
      </c>
      <c r="AJ1651" s="10">
        <f>IF($X1651=1,LOOKUP(AI1651,'Udvaskning nøgletal'!$C$12:$C$62,'Udvaskning nøgletal'!$E$12:$E$62)+Markniveau!$Y1651*Markniveau!$S1651/100,IF($X1651=2,LOOKUP(AI1651,'Udvaskning nøgletal'!$C$12:$C$62,'Udvaskning nøgletal'!$F$12:$F$62)+Markniveau!$Y1651*Markniveau!$S1651/100,IF($X1651=3,LOOKUP(AI1651,'Udvaskning nøgletal'!$C$12:$C$62,'Udvaskning nøgletal'!Q1661:Q1711)+Markniveau!$Y1651*Markniveau!$S1651/100,"")))</f>
        <v>101.66744640811392</v>
      </c>
      <c r="AK1651" s="10">
        <f t="shared" si="259"/>
        <v>918.05704106526866</v>
      </c>
      <c r="AL1651" s="10">
        <f t="shared" si="261"/>
        <v>5.0833723204056955</v>
      </c>
      <c r="AM1651" s="10">
        <f t="shared" si="262"/>
        <v>45.90285205326343</v>
      </c>
    </row>
    <row r="1652" spans="1:39" x14ac:dyDescent="0.25">
      <c r="A1652" s="15">
        <v>98333053</v>
      </c>
      <c r="B1652" s="15">
        <v>288.98</v>
      </c>
      <c r="C1652" s="15">
        <v>194516</v>
      </c>
      <c r="D1652" s="15">
        <v>33037</v>
      </c>
      <c r="E1652" s="15" t="s">
        <v>668</v>
      </c>
      <c r="F1652" s="15">
        <v>2011</v>
      </c>
      <c r="G1652" s="15">
        <v>20110421</v>
      </c>
      <c r="H1652" s="15">
        <v>20411</v>
      </c>
      <c r="I1652" s="15">
        <v>2.04</v>
      </c>
      <c r="J1652" s="6" t="s">
        <v>60</v>
      </c>
      <c r="K1652" s="15">
        <v>11</v>
      </c>
      <c r="L1652" s="15" t="s">
        <v>102</v>
      </c>
      <c r="M1652" s="15" t="s">
        <v>5</v>
      </c>
      <c r="N1652" s="11" t="s">
        <v>1384</v>
      </c>
      <c r="O1652" s="11" t="s">
        <v>28</v>
      </c>
      <c r="P1652" s="11" t="s">
        <v>33</v>
      </c>
      <c r="Q1652" s="15">
        <v>40</v>
      </c>
      <c r="R1652" s="11" t="s">
        <v>6</v>
      </c>
      <c r="S1652" s="10">
        <v>122.98847603989</v>
      </c>
      <c r="T1652" s="15">
        <v>80</v>
      </c>
      <c r="U1652" s="15">
        <v>0</v>
      </c>
      <c r="V1652" s="15">
        <v>1</v>
      </c>
      <c r="W1652" s="15">
        <v>0</v>
      </c>
      <c r="X1652" s="15">
        <f>IF(O1652='Udvaskning nøgletal'!$D$65,1,IF(O1652='Udvaskning nøgletal'!$D$66,2,IF(O1652='Udvaskning nøgletal'!$D$67,3,IF(O1652='Udvaskning nøgletal'!$D$68,2,""))))</f>
        <v>1</v>
      </c>
      <c r="Y1652" s="15">
        <f>LOOKUP(K1652,'Udvaskning nøgletal'!$C$12:$C$60,'Udvaskning nøgletal'!$H$12:$H$60)</f>
        <v>5</v>
      </c>
      <c r="Z1652" s="10">
        <f>IF(X1652=1,LOOKUP(K1652,'Udvaskning nøgletal'!$C$12:$C$60,'Udvaskning nøgletal'!$E$12:$E$60)+Markniveau!Y1652*Markniveau!S1652/100,IF(X1652=2,LOOKUP(K1652,'Udvaskning nøgletal'!$C$12:$C$60,'Udvaskning nøgletal'!$F$12:$F$60)+Markniveau!Y1652*Markniveau!S1652/100,IF(X1652=3,LOOKUP(K1652,'Udvaskning nøgletal'!$C$12:$C$60,'Udvaskning nøgletal'!G1662:G1710)+Markniveau!Y1652*Markniveau!S1652/100,"")))</f>
        <v>70.809423801994498</v>
      </c>
      <c r="AA1652" s="10">
        <f t="shared" si="256"/>
        <v>144.45122455606878</v>
      </c>
      <c r="AB1652" s="10">
        <f t="shared" si="255"/>
        <v>42.485654281196702</v>
      </c>
      <c r="AC1652" s="10">
        <f t="shared" si="257"/>
        <v>86.670734733641268</v>
      </c>
      <c r="AD1652" s="10">
        <f>IF(AND(Q1652&gt;0,Q1652&lt;30,K1652&lt;8),Markniveau!Z1652*'Udvaskning nøgletal'!$I$12/100,IF(AND(Q1652&gt;0,Q1652&lt;30,K1652=216),Markniveau!Z1652*'Udvaskning nøgletal'!$I$34/100,Markniveau!Z1652))</f>
        <v>70.809423801994498</v>
      </c>
      <c r="AE1652" s="10">
        <f t="shared" si="263"/>
        <v>144.45122455606878</v>
      </c>
      <c r="AF1652" s="10">
        <f t="shared" si="258"/>
        <v>42.485654281196702</v>
      </c>
      <c r="AG1652" s="10">
        <f t="shared" si="264"/>
        <v>86.670734733641268</v>
      </c>
      <c r="AH1652" s="10" t="str">
        <f>IF(AND(Q1652&gt;0,Q1652&lt;30,K1652=216),'Udvaskning nøgletal'!$C$42,IF(AND(Q1652&gt;0,Q1652&lt;30,K1652&gt;7,K1652&lt;17),'Udvaskning nøgletal'!$C$61,IF(AND(Q1652&gt;0,Q1652&lt;30,K1652&lt;7),'Udvaskning nøgletal'!$C$62,"")))</f>
        <v/>
      </c>
      <c r="AI1652" s="10">
        <f t="shared" si="260"/>
        <v>11</v>
      </c>
      <c r="AJ1652" s="10">
        <f>IF($X1652=1,LOOKUP(AI1652,'Udvaskning nøgletal'!$C$12:$C$62,'Udvaskning nøgletal'!$E$12:$E$62)+Markniveau!$Y1652*Markniveau!$S1652/100,IF($X1652=2,LOOKUP(AI1652,'Udvaskning nøgletal'!$C$12:$C$62,'Udvaskning nøgletal'!$F$12:$F$62)+Markniveau!$Y1652*Markniveau!$S1652/100,IF($X1652=3,LOOKUP(AI1652,'Udvaskning nøgletal'!$C$12:$C$62,'Udvaskning nøgletal'!Q1662:Q1712)+Markniveau!$Y1652*Markniveau!$S1652/100,"")))</f>
        <v>70.809423801994498</v>
      </c>
      <c r="AK1652" s="10">
        <f t="shared" si="259"/>
        <v>144.45122455606878</v>
      </c>
      <c r="AL1652" s="10">
        <f t="shared" si="261"/>
        <v>42.485654281196702</v>
      </c>
      <c r="AM1652" s="10">
        <f t="shared" si="262"/>
        <v>86.670734733641268</v>
      </c>
    </row>
    <row r="1653" spans="1:39" x14ac:dyDescent="0.25">
      <c r="A1653" s="15">
        <v>98333053</v>
      </c>
      <c r="B1653" s="15">
        <v>288.98</v>
      </c>
      <c r="C1653" s="15">
        <v>194517</v>
      </c>
      <c r="D1653" s="15">
        <v>33037</v>
      </c>
      <c r="E1653" s="15" t="s">
        <v>1313</v>
      </c>
      <c r="F1653" s="15">
        <v>2011</v>
      </c>
      <c r="G1653" s="15">
        <v>20110421</v>
      </c>
      <c r="H1653" s="15">
        <v>79371</v>
      </c>
      <c r="I1653" s="15">
        <v>7.94</v>
      </c>
      <c r="J1653" s="6" t="s">
        <v>76</v>
      </c>
      <c r="K1653" s="15">
        <v>216</v>
      </c>
      <c r="L1653" s="15" t="s">
        <v>116</v>
      </c>
      <c r="M1653" s="15" t="s">
        <v>5</v>
      </c>
      <c r="N1653" s="11" t="s">
        <v>1384</v>
      </c>
      <c r="O1653" s="11" t="s">
        <v>28</v>
      </c>
      <c r="P1653" s="11" t="s">
        <v>33</v>
      </c>
      <c r="Q1653" s="15">
        <v>40</v>
      </c>
      <c r="R1653" s="11" t="s">
        <v>6</v>
      </c>
      <c r="S1653" s="10">
        <v>122.98847603989</v>
      </c>
      <c r="T1653" s="15">
        <v>80</v>
      </c>
      <c r="U1653" s="15">
        <v>0</v>
      </c>
      <c r="V1653" s="15">
        <v>1</v>
      </c>
      <c r="W1653" s="15">
        <v>0</v>
      </c>
      <c r="X1653" s="15">
        <f>IF(O1653='Udvaskning nøgletal'!$D$65,1,IF(O1653='Udvaskning nøgletal'!$D$66,2,IF(O1653='Udvaskning nøgletal'!$D$67,3,IF(O1653='Udvaskning nøgletal'!$D$68,2,""))))</f>
        <v>1</v>
      </c>
      <c r="Y1653" s="15">
        <f>LOOKUP(K1653,'Udvaskning nøgletal'!$C$12:$C$60,'Udvaskning nøgletal'!$H$12:$H$60)</f>
        <v>0</v>
      </c>
      <c r="Z1653" s="10">
        <f>IF(X1653=1,LOOKUP(K1653,'Udvaskning nøgletal'!$C$12:$C$60,'Udvaskning nøgletal'!$E$12:$E$60)+Markniveau!Y1653*Markniveau!S1653/100,IF(X1653=2,LOOKUP(K1653,'Udvaskning nøgletal'!$C$12:$C$60,'Udvaskning nøgletal'!$F$12:$F$60)+Markniveau!Y1653*Markniveau!S1653/100,IF(X1653=3,LOOKUP(K1653,'Udvaskning nøgletal'!$C$12:$C$60,'Udvaskning nøgletal'!G1663:G1711)+Markniveau!Y1653*Markniveau!S1653/100,"")))</f>
        <v>125.85383557148924</v>
      </c>
      <c r="AA1653" s="10">
        <f t="shared" si="256"/>
        <v>999.27945443762462</v>
      </c>
      <c r="AB1653" s="10">
        <f t="shared" si="255"/>
        <v>75.512301342893537</v>
      </c>
      <c r="AC1653" s="10">
        <f t="shared" si="257"/>
        <v>599.56767266257475</v>
      </c>
      <c r="AD1653" s="10">
        <f>IF(AND(Q1653&gt;0,Q1653&lt;30,K1653&lt;8),Markniveau!Z1653*'Udvaskning nøgletal'!$I$12/100,IF(AND(Q1653&gt;0,Q1653&lt;30,K1653=216),Markniveau!Z1653*'Udvaskning nøgletal'!$I$34/100,Markniveau!Z1653))</f>
        <v>125.85383557148924</v>
      </c>
      <c r="AE1653" s="10">
        <f t="shared" si="263"/>
        <v>999.27945443762462</v>
      </c>
      <c r="AF1653" s="10">
        <f t="shared" si="258"/>
        <v>75.512301342893537</v>
      </c>
      <c r="AG1653" s="10">
        <f t="shared" si="264"/>
        <v>599.56767266257475</v>
      </c>
      <c r="AH1653" s="10" t="str">
        <f>IF(AND(Q1653&gt;0,Q1653&lt;30,K1653=216),'Udvaskning nøgletal'!$C$42,IF(AND(Q1653&gt;0,Q1653&lt;30,K1653&gt;7,K1653&lt;17),'Udvaskning nøgletal'!$C$61,IF(AND(Q1653&gt;0,Q1653&lt;30,K1653&lt;7),'Udvaskning nøgletal'!$C$62,"")))</f>
        <v/>
      </c>
      <c r="AI1653" s="10">
        <f t="shared" si="260"/>
        <v>216</v>
      </c>
      <c r="AJ1653" s="10">
        <f>IF($X1653=1,LOOKUP(AI1653,'Udvaskning nøgletal'!$C$12:$C$62,'Udvaskning nøgletal'!$E$12:$E$62)+Markniveau!$Y1653*Markniveau!$S1653/100,IF($X1653=2,LOOKUP(AI1653,'Udvaskning nøgletal'!$C$12:$C$62,'Udvaskning nøgletal'!$F$12:$F$62)+Markniveau!$Y1653*Markniveau!$S1653/100,IF($X1653=3,LOOKUP(AI1653,'Udvaskning nøgletal'!$C$12:$C$62,'Udvaskning nøgletal'!Q1663:Q1713)+Markniveau!$Y1653*Markniveau!$S1653/100,"")))</f>
        <v>125.85383557148924</v>
      </c>
      <c r="AK1653" s="10">
        <f t="shared" si="259"/>
        <v>999.27945443762462</v>
      </c>
      <c r="AL1653" s="10">
        <f t="shared" si="261"/>
        <v>75.512301342893537</v>
      </c>
      <c r="AM1653" s="10">
        <f t="shared" si="262"/>
        <v>599.56767266257475</v>
      </c>
    </row>
    <row r="1654" spans="1:39" x14ac:dyDescent="0.25">
      <c r="A1654" s="15">
        <v>98333053</v>
      </c>
      <c r="B1654" s="15">
        <v>288.98</v>
      </c>
      <c r="C1654" s="15">
        <v>194518</v>
      </c>
      <c r="D1654" s="15">
        <v>33037</v>
      </c>
      <c r="E1654" s="15" t="s">
        <v>1313</v>
      </c>
      <c r="F1654" s="15">
        <v>2011</v>
      </c>
      <c r="G1654" s="15">
        <v>20110421</v>
      </c>
      <c r="H1654" s="15">
        <v>91575</v>
      </c>
      <c r="I1654" s="15">
        <v>9.16</v>
      </c>
      <c r="J1654" s="6" t="s">
        <v>1480</v>
      </c>
      <c r="K1654" s="15">
        <v>216</v>
      </c>
      <c r="L1654" s="15" t="s">
        <v>116</v>
      </c>
      <c r="M1654" s="15" t="s">
        <v>5</v>
      </c>
      <c r="N1654" s="11" t="s">
        <v>1384</v>
      </c>
      <c r="O1654" s="11" t="s">
        <v>28</v>
      </c>
      <c r="P1654" s="11" t="s">
        <v>33</v>
      </c>
      <c r="Q1654" s="15">
        <v>40</v>
      </c>
      <c r="R1654" s="11" t="s">
        <v>6</v>
      </c>
      <c r="S1654" s="10">
        <v>122.98847603989</v>
      </c>
      <c r="T1654" s="15">
        <v>80</v>
      </c>
      <c r="U1654" s="15">
        <v>0</v>
      </c>
      <c r="V1654" s="15">
        <v>1</v>
      </c>
      <c r="W1654" s="15">
        <v>0</v>
      </c>
      <c r="X1654" s="15">
        <f>IF(O1654='Udvaskning nøgletal'!$D$65,1,IF(O1654='Udvaskning nøgletal'!$D$66,2,IF(O1654='Udvaskning nøgletal'!$D$67,3,IF(O1654='Udvaskning nøgletal'!$D$68,2,""))))</f>
        <v>1</v>
      </c>
      <c r="Y1654" s="15">
        <f>LOOKUP(K1654,'Udvaskning nøgletal'!$C$12:$C$60,'Udvaskning nøgletal'!$H$12:$H$60)</f>
        <v>0</v>
      </c>
      <c r="Z1654" s="10">
        <f>IF(X1654=1,LOOKUP(K1654,'Udvaskning nøgletal'!$C$12:$C$60,'Udvaskning nøgletal'!$E$12:$E$60)+Markniveau!Y1654*Markniveau!S1654/100,IF(X1654=2,LOOKUP(K1654,'Udvaskning nøgletal'!$C$12:$C$60,'Udvaskning nøgletal'!$F$12:$F$60)+Markniveau!Y1654*Markniveau!S1654/100,IF(X1654=3,LOOKUP(K1654,'Udvaskning nøgletal'!$C$12:$C$60,'Udvaskning nøgletal'!G1664:G1712)+Markniveau!Y1654*Markniveau!S1654/100,"")))</f>
        <v>125.85383557148924</v>
      </c>
      <c r="AA1654" s="10">
        <f t="shared" si="256"/>
        <v>1152.8211338348415</v>
      </c>
      <c r="AB1654" s="10">
        <f t="shared" si="255"/>
        <v>75.512301342893537</v>
      </c>
      <c r="AC1654" s="10">
        <f t="shared" si="257"/>
        <v>691.69268030090484</v>
      </c>
      <c r="AD1654" s="10">
        <f>IF(AND(Q1654&gt;0,Q1654&lt;30,K1654&lt;8),Markniveau!Z1654*'Udvaskning nøgletal'!$I$12/100,IF(AND(Q1654&gt;0,Q1654&lt;30,K1654=216),Markniveau!Z1654*'Udvaskning nøgletal'!$I$34/100,Markniveau!Z1654))</f>
        <v>125.85383557148924</v>
      </c>
      <c r="AE1654" s="10">
        <f t="shared" si="263"/>
        <v>1152.8211338348415</v>
      </c>
      <c r="AF1654" s="10">
        <f t="shared" si="258"/>
        <v>75.512301342893537</v>
      </c>
      <c r="AG1654" s="10">
        <f t="shared" si="264"/>
        <v>691.69268030090484</v>
      </c>
      <c r="AH1654" s="10" t="str">
        <f>IF(AND(Q1654&gt;0,Q1654&lt;30,K1654=216),'Udvaskning nøgletal'!$C$42,IF(AND(Q1654&gt;0,Q1654&lt;30,K1654&gt;7,K1654&lt;17),'Udvaskning nøgletal'!$C$61,IF(AND(Q1654&gt;0,Q1654&lt;30,K1654&lt;7),'Udvaskning nøgletal'!$C$62,"")))</f>
        <v/>
      </c>
      <c r="AI1654" s="10">
        <f t="shared" si="260"/>
        <v>216</v>
      </c>
      <c r="AJ1654" s="10">
        <f>IF($X1654=1,LOOKUP(AI1654,'Udvaskning nøgletal'!$C$12:$C$62,'Udvaskning nøgletal'!$E$12:$E$62)+Markniveau!$Y1654*Markniveau!$S1654/100,IF($X1654=2,LOOKUP(AI1654,'Udvaskning nøgletal'!$C$12:$C$62,'Udvaskning nøgletal'!$F$12:$F$62)+Markniveau!$Y1654*Markniveau!$S1654/100,IF($X1654=3,LOOKUP(AI1654,'Udvaskning nøgletal'!$C$12:$C$62,'Udvaskning nøgletal'!Q1664:Q1714)+Markniveau!$Y1654*Markniveau!$S1654/100,"")))</f>
        <v>125.85383557148924</v>
      </c>
      <c r="AK1654" s="10">
        <f t="shared" si="259"/>
        <v>1152.8211338348415</v>
      </c>
      <c r="AL1654" s="10">
        <f t="shared" si="261"/>
        <v>75.512301342893537</v>
      </c>
      <c r="AM1654" s="10">
        <f t="shared" si="262"/>
        <v>691.69268030090484</v>
      </c>
    </row>
    <row r="1655" spans="1:39" x14ac:dyDescent="0.25">
      <c r="A1655" s="15">
        <v>98333053</v>
      </c>
      <c r="B1655" s="15">
        <v>288.98</v>
      </c>
      <c r="C1655" s="15">
        <v>194519</v>
      </c>
      <c r="D1655" s="15">
        <v>33037</v>
      </c>
      <c r="E1655" s="15" t="s">
        <v>1298</v>
      </c>
      <c r="F1655" s="15">
        <v>2011</v>
      </c>
      <c r="G1655" s="15">
        <v>20110421</v>
      </c>
      <c r="H1655" s="15">
        <v>102862</v>
      </c>
      <c r="I1655" s="15">
        <v>10.29</v>
      </c>
      <c r="J1655" s="6" t="s">
        <v>97</v>
      </c>
      <c r="K1655" s="15">
        <v>104</v>
      </c>
      <c r="L1655" s="15" t="s">
        <v>1299</v>
      </c>
      <c r="M1655" s="15" t="s">
        <v>5</v>
      </c>
      <c r="N1655" s="11" t="s">
        <v>1391</v>
      </c>
      <c r="O1655" s="11" t="s">
        <v>46</v>
      </c>
      <c r="P1655" s="11" t="s">
        <v>29</v>
      </c>
      <c r="Q1655" s="15">
        <v>95</v>
      </c>
      <c r="R1655" s="11" t="s">
        <v>3</v>
      </c>
      <c r="S1655" s="10">
        <v>122.98847603989</v>
      </c>
      <c r="T1655" s="15">
        <v>80</v>
      </c>
      <c r="U1655" s="15">
        <v>0</v>
      </c>
      <c r="V1655" s="15">
        <v>1</v>
      </c>
      <c r="W1655" s="15">
        <v>0</v>
      </c>
      <c r="X1655" s="15">
        <f>IF(O1655='Udvaskning nøgletal'!$D$65,1,IF(O1655='Udvaskning nøgletal'!$D$66,2,IF(O1655='Udvaskning nøgletal'!$D$67,3,IF(O1655='Udvaskning nøgletal'!$D$68,2,""))))</f>
        <v>2</v>
      </c>
      <c r="Y1655" s="15">
        <f>LOOKUP(K1655,'Udvaskning nøgletal'!$C$12:$C$60,'Udvaskning nøgletal'!$H$12:$H$60)</f>
        <v>5</v>
      </c>
      <c r="Z1655" s="10">
        <f>IF(X1655=1,LOOKUP(K1655,'Udvaskning nøgletal'!$C$12:$C$60,'Udvaskning nøgletal'!$E$12:$E$60)+Markniveau!Y1655*Markniveau!S1655/100,IF(X1655=2,LOOKUP(K1655,'Udvaskning nøgletal'!$C$12:$C$60,'Udvaskning nøgletal'!$F$12:$F$60)+Markniveau!Y1655*Markniveau!S1655/100,IF(X1655=3,LOOKUP(K1655,'Udvaskning nøgletal'!$C$12:$C$60,'Udvaskning nøgletal'!G1665:G1713)+Markniveau!Y1655*Markniveau!S1655/100,"")))</f>
        <v>29.469423801994502</v>
      </c>
      <c r="AA1655" s="10">
        <f t="shared" si="256"/>
        <v>303.24037092252343</v>
      </c>
      <c r="AB1655" s="10">
        <f t="shared" si="255"/>
        <v>1.4734711900997253</v>
      </c>
      <c r="AC1655" s="10">
        <f t="shared" si="257"/>
        <v>15.162018546126172</v>
      </c>
      <c r="AD1655" s="10">
        <f>IF(AND(Q1655&gt;0,Q1655&lt;30,K1655&lt;8),Markniveau!Z1655*'Udvaskning nøgletal'!$I$12/100,IF(AND(Q1655&gt;0,Q1655&lt;30,K1655=216),Markniveau!Z1655*'Udvaskning nøgletal'!$I$34/100,Markniveau!Z1655))</f>
        <v>29.469423801994502</v>
      </c>
      <c r="AE1655" s="10">
        <f t="shared" si="263"/>
        <v>303.24037092252343</v>
      </c>
      <c r="AF1655" s="10">
        <f t="shared" si="258"/>
        <v>1.4734711900997253</v>
      </c>
      <c r="AG1655" s="10">
        <f t="shared" si="264"/>
        <v>15.162018546126172</v>
      </c>
      <c r="AH1655" s="10" t="str">
        <f>IF(AND(Q1655&gt;0,Q1655&lt;30,K1655=216),'Udvaskning nøgletal'!$C$42,IF(AND(Q1655&gt;0,Q1655&lt;30,K1655&gt;7,K1655&lt;17),'Udvaskning nøgletal'!$C$61,IF(AND(Q1655&gt;0,Q1655&lt;30,K1655&lt;7),'Udvaskning nøgletal'!$C$62,"")))</f>
        <v/>
      </c>
      <c r="AI1655" s="10">
        <f t="shared" si="260"/>
        <v>104</v>
      </c>
      <c r="AJ1655" s="10">
        <f>IF($X1655=1,LOOKUP(AI1655,'Udvaskning nøgletal'!$C$12:$C$62,'Udvaskning nøgletal'!$E$12:$E$62)+Markniveau!$Y1655*Markniveau!$S1655/100,IF($X1655=2,LOOKUP(AI1655,'Udvaskning nøgletal'!$C$12:$C$62,'Udvaskning nøgletal'!$F$12:$F$62)+Markniveau!$Y1655*Markniveau!$S1655/100,IF($X1655=3,LOOKUP(AI1655,'Udvaskning nøgletal'!$C$12:$C$62,'Udvaskning nøgletal'!Q1665:Q1715)+Markniveau!$Y1655*Markniveau!$S1655/100,"")))</f>
        <v>29.469423801994502</v>
      </c>
      <c r="AK1655" s="10">
        <f t="shared" si="259"/>
        <v>303.24037092252343</v>
      </c>
      <c r="AL1655" s="10">
        <f t="shared" si="261"/>
        <v>1.4734711900997253</v>
      </c>
      <c r="AM1655" s="10">
        <f t="shared" si="262"/>
        <v>15.162018546126172</v>
      </c>
    </row>
    <row r="1656" spans="1:39" x14ac:dyDescent="0.25">
      <c r="A1656" s="15">
        <v>98333053</v>
      </c>
      <c r="B1656" s="15">
        <v>288.98</v>
      </c>
      <c r="C1656" s="15">
        <v>194520</v>
      </c>
      <c r="D1656" s="15">
        <v>33037</v>
      </c>
      <c r="E1656" s="15" t="s">
        <v>1298</v>
      </c>
      <c r="F1656" s="15">
        <v>2011</v>
      </c>
      <c r="G1656" s="15">
        <v>20110421</v>
      </c>
      <c r="H1656" s="15">
        <v>12255</v>
      </c>
      <c r="I1656" s="15">
        <v>1.23</v>
      </c>
      <c r="J1656" s="6" t="s">
        <v>1413</v>
      </c>
      <c r="K1656" s="15">
        <v>260</v>
      </c>
      <c r="L1656" s="15" t="s">
        <v>45</v>
      </c>
      <c r="M1656" s="15" t="s">
        <v>5</v>
      </c>
      <c r="N1656" s="11" t="s">
        <v>1391</v>
      </c>
      <c r="O1656" s="11" t="s">
        <v>46</v>
      </c>
      <c r="P1656" s="11" t="s">
        <v>29</v>
      </c>
      <c r="Q1656" s="15">
        <v>95</v>
      </c>
      <c r="R1656" s="11" t="s">
        <v>3</v>
      </c>
      <c r="S1656" s="10">
        <v>122.98847603989</v>
      </c>
      <c r="T1656" s="15">
        <v>80</v>
      </c>
      <c r="U1656" s="15">
        <v>0</v>
      </c>
      <c r="V1656" s="15">
        <v>1</v>
      </c>
      <c r="W1656" s="15">
        <v>0</v>
      </c>
      <c r="X1656" s="15">
        <f>IF(O1656='Udvaskning nøgletal'!$D$65,1,IF(O1656='Udvaskning nøgletal'!$D$66,2,IF(O1656='Udvaskning nøgletal'!$D$67,3,IF(O1656='Udvaskning nøgletal'!$D$68,2,""))))</f>
        <v>2</v>
      </c>
      <c r="Y1656" s="15">
        <f>LOOKUP(K1656,'Udvaskning nøgletal'!$C$12:$C$60,'Udvaskning nøgletal'!$H$12:$H$60)</f>
        <v>0</v>
      </c>
      <c r="Z1656" s="10">
        <f>IF(X1656=1,LOOKUP(K1656,'Udvaskning nøgletal'!$C$12:$C$60,'Udvaskning nøgletal'!$E$12:$E$60)+Markniveau!Y1656*Markniveau!S1656/100,IF(X1656=2,LOOKUP(K1656,'Udvaskning nøgletal'!$C$12:$C$60,'Udvaskning nøgletal'!$F$12:$F$60)+Markniveau!Y1656*Markniveau!S1656/100,IF(X1656=3,LOOKUP(K1656,'Udvaskning nøgletal'!$C$12:$C$60,'Udvaskning nøgletal'!G1666:G1714)+Markniveau!Y1656*Markniveau!S1656/100,"")))</f>
        <v>27.331185321443094</v>
      </c>
      <c r="AA1656" s="10">
        <f t="shared" si="256"/>
        <v>33.617357945375005</v>
      </c>
      <c r="AB1656" s="10">
        <f t="shared" si="255"/>
        <v>1.3665592660721546</v>
      </c>
      <c r="AC1656" s="10">
        <f t="shared" si="257"/>
        <v>1.6808678972687501</v>
      </c>
      <c r="AD1656" s="10">
        <f>IF(AND(Q1656&gt;0,Q1656&lt;30,K1656&lt;8),Markniveau!Z1656*'Udvaskning nøgletal'!$I$12/100,IF(AND(Q1656&gt;0,Q1656&lt;30,K1656=216),Markniveau!Z1656*'Udvaskning nøgletal'!$I$34/100,Markniveau!Z1656))</f>
        <v>27.331185321443094</v>
      </c>
      <c r="AE1656" s="10">
        <f t="shared" si="263"/>
        <v>33.617357945375005</v>
      </c>
      <c r="AF1656" s="10">
        <f t="shared" si="258"/>
        <v>1.3665592660721546</v>
      </c>
      <c r="AG1656" s="10">
        <f t="shared" si="264"/>
        <v>1.6808678972687501</v>
      </c>
      <c r="AH1656" s="10" t="str">
        <f>IF(AND(Q1656&gt;0,Q1656&lt;30,K1656=216),'Udvaskning nøgletal'!$C$42,IF(AND(Q1656&gt;0,Q1656&lt;30,K1656&gt;7,K1656&lt;17),'Udvaskning nøgletal'!$C$61,IF(AND(Q1656&gt;0,Q1656&lt;30,K1656&lt;7),'Udvaskning nøgletal'!$C$62,"")))</f>
        <v/>
      </c>
      <c r="AI1656" s="10">
        <f t="shared" si="260"/>
        <v>260</v>
      </c>
      <c r="AJ1656" s="10">
        <f>IF($X1656=1,LOOKUP(AI1656,'Udvaskning nøgletal'!$C$12:$C$62,'Udvaskning nøgletal'!$E$12:$E$62)+Markniveau!$Y1656*Markniveau!$S1656/100,IF($X1656=2,LOOKUP(AI1656,'Udvaskning nøgletal'!$C$12:$C$62,'Udvaskning nøgletal'!$F$12:$F$62)+Markniveau!$Y1656*Markniveau!$S1656/100,IF($X1656=3,LOOKUP(AI1656,'Udvaskning nøgletal'!$C$12:$C$62,'Udvaskning nøgletal'!Q1666:Q1716)+Markniveau!$Y1656*Markniveau!$S1656/100,"")))</f>
        <v>27.331185321443094</v>
      </c>
      <c r="AK1656" s="10">
        <f t="shared" si="259"/>
        <v>33.617357945375005</v>
      </c>
      <c r="AL1656" s="10">
        <f t="shared" si="261"/>
        <v>1.3665592660721546</v>
      </c>
      <c r="AM1656" s="10">
        <f t="shared" si="262"/>
        <v>1.6808678972687501</v>
      </c>
    </row>
    <row r="1657" spans="1:39" x14ac:dyDescent="0.25">
      <c r="A1657" s="15">
        <v>98333053</v>
      </c>
      <c r="B1657" s="15">
        <v>288.98</v>
      </c>
      <c r="C1657" s="15">
        <v>194521</v>
      </c>
      <c r="D1657" s="15">
        <v>33037</v>
      </c>
      <c r="E1657" s="15" t="s">
        <v>1314</v>
      </c>
      <c r="F1657" s="15">
        <v>2011</v>
      </c>
      <c r="G1657" s="15">
        <v>20110421</v>
      </c>
      <c r="H1657" s="15">
        <v>1465</v>
      </c>
      <c r="I1657" s="15">
        <v>0.15</v>
      </c>
      <c r="J1657" s="6" t="s">
        <v>1315</v>
      </c>
      <c r="K1657" s="15">
        <v>583</v>
      </c>
      <c r="L1657" s="15" t="s">
        <v>154</v>
      </c>
      <c r="M1657" s="15" t="s">
        <v>155</v>
      </c>
      <c r="N1657" s="11" t="s">
        <v>1391</v>
      </c>
      <c r="O1657" s="11" t="s">
        <v>46</v>
      </c>
      <c r="P1657" s="11" t="s">
        <v>29</v>
      </c>
      <c r="Q1657" s="15">
        <v>95</v>
      </c>
      <c r="R1657" s="11" t="s">
        <v>3</v>
      </c>
      <c r="S1657" s="10">
        <v>122.98847603989</v>
      </c>
      <c r="T1657" s="15">
        <v>80</v>
      </c>
      <c r="U1657" s="15">
        <v>0</v>
      </c>
      <c r="V1657" s="15">
        <v>1</v>
      </c>
      <c r="W1657" s="15">
        <v>0</v>
      </c>
      <c r="X1657" s="15">
        <f>IF(O1657='Udvaskning nøgletal'!$D$65,1,IF(O1657='Udvaskning nøgletal'!$D$66,2,IF(O1657='Udvaskning nøgletal'!$D$67,3,IF(O1657='Udvaskning nøgletal'!$D$68,2,""))))</f>
        <v>2</v>
      </c>
      <c r="Y1657" s="15">
        <f>LOOKUP(K1657,'Udvaskning nøgletal'!$C$12:$C$60,'Udvaskning nøgletal'!$H$12:$H$60)</f>
        <v>0</v>
      </c>
      <c r="Z1657" s="10">
        <f>IF(X1657=1,LOOKUP(K1657,'Udvaskning nøgletal'!$C$12:$C$60,'Udvaskning nøgletal'!$E$12:$E$60)+Markniveau!Y1657*Markniveau!S1657/100,IF(X1657=2,LOOKUP(K1657,'Udvaskning nøgletal'!$C$12:$C$60,'Udvaskning nøgletal'!$F$12:$F$60)+Markniveau!Y1657*Markniveau!S1657/100,IF(X1657=3,LOOKUP(K1657,'Udvaskning nøgletal'!$C$12:$C$60,'Udvaskning nøgletal'!G1667:G1715)+Markniveau!Y1657*Markniveau!S1657/100,"")))</f>
        <v>10</v>
      </c>
      <c r="AA1657" s="10">
        <f t="shared" si="256"/>
        <v>1.5</v>
      </c>
      <c r="AB1657" s="10">
        <f t="shared" si="255"/>
        <v>0.5</v>
      </c>
      <c r="AC1657" s="10">
        <f t="shared" si="257"/>
        <v>7.4999999999999997E-2</v>
      </c>
      <c r="AD1657" s="10">
        <f>IF(AND(Q1657&gt;0,Q1657&lt;30,K1657&lt;8),Markniveau!Z1657*'Udvaskning nøgletal'!$I$12/100,IF(AND(Q1657&gt;0,Q1657&lt;30,K1657=216),Markniveau!Z1657*'Udvaskning nøgletal'!$I$34/100,Markniveau!Z1657))</f>
        <v>10</v>
      </c>
      <c r="AE1657" s="10">
        <f t="shared" si="263"/>
        <v>1.5</v>
      </c>
      <c r="AF1657" s="10">
        <f t="shared" si="258"/>
        <v>0.5</v>
      </c>
      <c r="AG1657" s="10">
        <f t="shared" si="264"/>
        <v>7.4999999999999997E-2</v>
      </c>
      <c r="AH1657" s="10" t="str">
        <f>IF(AND(Q1657&gt;0,Q1657&lt;30,K1657=216),'Udvaskning nøgletal'!$C$42,IF(AND(Q1657&gt;0,Q1657&lt;30,K1657&gt;7,K1657&lt;17),'Udvaskning nøgletal'!$C$61,IF(AND(Q1657&gt;0,Q1657&lt;30,K1657&lt;7),'Udvaskning nøgletal'!$C$62,"")))</f>
        <v/>
      </c>
      <c r="AI1657" s="10">
        <f t="shared" si="260"/>
        <v>583</v>
      </c>
      <c r="AJ1657" s="10">
        <f>IF($X1657=1,LOOKUP(AI1657,'Udvaskning nøgletal'!$C$12:$C$62,'Udvaskning nøgletal'!$E$12:$E$62)+Markniveau!$Y1657*Markniveau!$S1657/100,IF($X1657=2,LOOKUP(AI1657,'Udvaskning nøgletal'!$C$12:$C$62,'Udvaskning nøgletal'!$F$12:$F$62)+Markniveau!$Y1657*Markniveau!$S1657/100,IF($X1657=3,LOOKUP(AI1657,'Udvaskning nøgletal'!$C$12:$C$62,'Udvaskning nøgletal'!Q1667:Q1717)+Markniveau!$Y1657*Markniveau!$S1657/100,"")))</f>
        <v>10</v>
      </c>
      <c r="AK1657" s="10">
        <f t="shared" si="259"/>
        <v>1.5</v>
      </c>
      <c r="AL1657" s="10">
        <f t="shared" si="261"/>
        <v>0.5</v>
      </c>
      <c r="AM1657" s="10">
        <f t="shared" si="262"/>
        <v>7.4999999999999997E-2</v>
      </c>
    </row>
    <row r="1658" spans="1:39" x14ac:dyDescent="0.25">
      <c r="A1658" s="15">
        <v>98333053</v>
      </c>
      <c r="B1658" s="15">
        <v>288.98</v>
      </c>
      <c r="C1658" s="15">
        <v>194522</v>
      </c>
      <c r="D1658" s="15">
        <v>33037</v>
      </c>
      <c r="E1658" s="15" t="s">
        <v>1316</v>
      </c>
      <c r="F1658" s="15">
        <v>2011</v>
      </c>
      <c r="G1658" s="15">
        <v>20110421</v>
      </c>
      <c r="H1658" s="15">
        <v>2779</v>
      </c>
      <c r="I1658" s="15">
        <v>0.28000000000000003</v>
      </c>
      <c r="J1658" s="6" t="s">
        <v>1317</v>
      </c>
      <c r="K1658" s="15">
        <v>583</v>
      </c>
      <c r="L1658" s="15" t="s">
        <v>154</v>
      </c>
      <c r="M1658" s="15" t="s">
        <v>155</v>
      </c>
      <c r="N1658" s="11" t="s">
        <v>1391</v>
      </c>
      <c r="O1658" s="11" t="s">
        <v>46</v>
      </c>
      <c r="P1658" s="11" t="s">
        <v>29</v>
      </c>
      <c r="Q1658" s="15">
        <v>95</v>
      </c>
      <c r="R1658" s="11" t="s">
        <v>3</v>
      </c>
      <c r="S1658" s="10">
        <v>122.98847603989</v>
      </c>
      <c r="T1658" s="15">
        <v>80</v>
      </c>
      <c r="U1658" s="15">
        <v>0</v>
      </c>
      <c r="V1658" s="15">
        <v>1</v>
      </c>
      <c r="W1658" s="15">
        <v>0</v>
      </c>
      <c r="X1658" s="15">
        <f>IF(O1658='Udvaskning nøgletal'!$D$65,1,IF(O1658='Udvaskning nøgletal'!$D$66,2,IF(O1658='Udvaskning nøgletal'!$D$67,3,IF(O1658='Udvaskning nøgletal'!$D$68,2,""))))</f>
        <v>2</v>
      </c>
      <c r="Y1658" s="15">
        <f>LOOKUP(K1658,'Udvaskning nøgletal'!$C$12:$C$60,'Udvaskning nøgletal'!$H$12:$H$60)</f>
        <v>0</v>
      </c>
      <c r="Z1658" s="10">
        <f>IF(X1658=1,LOOKUP(K1658,'Udvaskning nøgletal'!$C$12:$C$60,'Udvaskning nøgletal'!$E$12:$E$60)+Markniveau!Y1658*Markniveau!S1658/100,IF(X1658=2,LOOKUP(K1658,'Udvaskning nøgletal'!$C$12:$C$60,'Udvaskning nøgletal'!$F$12:$F$60)+Markniveau!Y1658*Markniveau!S1658/100,IF(X1658=3,LOOKUP(K1658,'Udvaskning nøgletal'!$C$12:$C$60,'Udvaskning nøgletal'!G1668:G1716)+Markniveau!Y1658*Markniveau!S1658/100,"")))</f>
        <v>10</v>
      </c>
      <c r="AA1658" s="10">
        <f t="shared" si="256"/>
        <v>2.8000000000000003</v>
      </c>
      <c r="AB1658" s="10">
        <f t="shared" si="255"/>
        <v>0.5</v>
      </c>
      <c r="AC1658" s="10">
        <f t="shared" si="257"/>
        <v>0.14000000000000001</v>
      </c>
      <c r="AD1658" s="10">
        <f>IF(AND(Q1658&gt;0,Q1658&lt;30,K1658&lt;8),Markniveau!Z1658*'Udvaskning nøgletal'!$I$12/100,IF(AND(Q1658&gt;0,Q1658&lt;30,K1658=216),Markniveau!Z1658*'Udvaskning nøgletal'!$I$34/100,Markniveau!Z1658))</f>
        <v>10</v>
      </c>
      <c r="AE1658" s="10">
        <f t="shared" si="263"/>
        <v>2.8000000000000003</v>
      </c>
      <c r="AF1658" s="10">
        <f t="shared" si="258"/>
        <v>0.5</v>
      </c>
      <c r="AG1658" s="10">
        <f t="shared" si="264"/>
        <v>0.14000000000000001</v>
      </c>
      <c r="AH1658" s="10" t="str">
        <f>IF(AND(Q1658&gt;0,Q1658&lt;30,K1658=216),'Udvaskning nøgletal'!$C$42,IF(AND(Q1658&gt;0,Q1658&lt;30,K1658&gt;7,K1658&lt;17),'Udvaskning nøgletal'!$C$61,IF(AND(Q1658&gt;0,Q1658&lt;30,K1658&lt;7),'Udvaskning nøgletal'!$C$62,"")))</f>
        <v/>
      </c>
      <c r="AI1658" s="10">
        <f t="shared" si="260"/>
        <v>583</v>
      </c>
      <c r="AJ1658" s="10">
        <f>IF($X1658=1,LOOKUP(AI1658,'Udvaskning nøgletal'!$C$12:$C$62,'Udvaskning nøgletal'!$E$12:$E$62)+Markniveau!$Y1658*Markniveau!$S1658/100,IF($X1658=2,LOOKUP(AI1658,'Udvaskning nøgletal'!$C$12:$C$62,'Udvaskning nøgletal'!$F$12:$F$62)+Markniveau!$Y1658*Markniveau!$S1658/100,IF($X1658=3,LOOKUP(AI1658,'Udvaskning nøgletal'!$C$12:$C$62,'Udvaskning nøgletal'!Q1668:Q1718)+Markniveau!$Y1658*Markniveau!$S1658/100,"")))</f>
        <v>10</v>
      </c>
      <c r="AK1658" s="10">
        <f t="shared" si="259"/>
        <v>2.8000000000000003</v>
      </c>
      <c r="AL1658" s="10">
        <f t="shared" si="261"/>
        <v>0.5</v>
      </c>
      <c r="AM1658" s="10">
        <f t="shared" si="262"/>
        <v>0.14000000000000001</v>
      </c>
    </row>
    <row r="1659" spans="1:39" x14ac:dyDescent="0.25">
      <c r="A1659" s="15">
        <v>98333053</v>
      </c>
      <c r="B1659" s="15">
        <v>288.98</v>
      </c>
      <c r="C1659" s="15">
        <v>195030</v>
      </c>
      <c r="D1659" s="15">
        <v>33037</v>
      </c>
      <c r="E1659" s="15" t="s">
        <v>1318</v>
      </c>
      <c r="F1659" s="15">
        <v>2011</v>
      </c>
      <c r="G1659" s="15">
        <v>20110421</v>
      </c>
      <c r="H1659" s="15">
        <v>76425</v>
      </c>
      <c r="I1659" s="15">
        <v>7.64</v>
      </c>
      <c r="J1659" s="6" t="s">
        <v>86</v>
      </c>
      <c r="K1659" s="15">
        <v>216</v>
      </c>
      <c r="L1659" s="15" t="s">
        <v>116</v>
      </c>
      <c r="M1659" s="15" t="s">
        <v>5</v>
      </c>
      <c r="N1659" s="11" t="s">
        <v>1391</v>
      </c>
      <c r="O1659" s="11" t="s">
        <v>46</v>
      </c>
      <c r="P1659" s="11" t="s">
        <v>29</v>
      </c>
      <c r="Q1659" s="15">
        <v>95</v>
      </c>
      <c r="R1659" s="11" t="s">
        <v>3</v>
      </c>
      <c r="S1659" s="10">
        <v>122.98847603989</v>
      </c>
      <c r="T1659" s="15">
        <v>80</v>
      </c>
      <c r="U1659" s="15">
        <v>0</v>
      </c>
      <c r="V1659" s="15">
        <v>1</v>
      </c>
      <c r="W1659" s="15">
        <v>0</v>
      </c>
      <c r="X1659" s="15">
        <f>IF(O1659='Udvaskning nøgletal'!$D$65,1,IF(O1659='Udvaskning nøgletal'!$D$66,2,IF(O1659='Udvaskning nøgletal'!$D$67,3,IF(O1659='Udvaskning nøgletal'!$D$68,2,""))))</f>
        <v>2</v>
      </c>
      <c r="Y1659" s="15">
        <f>LOOKUP(K1659,'Udvaskning nøgletal'!$C$12:$C$60,'Udvaskning nøgletal'!$H$12:$H$60)</f>
        <v>0</v>
      </c>
      <c r="Z1659" s="10">
        <f>IF(X1659=1,LOOKUP(K1659,'Udvaskning nøgletal'!$C$12:$C$60,'Udvaskning nøgletal'!$E$12:$E$60)+Markniveau!Y1659*Markniveau!S1659/100,IF(X1659=2,LOOKUP(K1659,'Udvaskning nøgletal'!$C$12:$C$60,'Udvaskning nøgletal'!$F$12:$F$60)+Markniveau!Y1659*Markniveau!S1659/100,IF(X1659=3,LOOKUP(K1659,'Udvaskning nøgletal'!$C$12:$C$60,'Udvaskning nøgletal'!G1669:G1717)+Markniveau!Y1659*Markniveau!S1659/100,"")))</f>
        <v>101.66744640811392</v>
      </c>
      <c r="AA1659" s="10">
        <f t="shared" si="256"/>
        <v>776.73929055799033</v>
      </c>
      <c r="AB1659" s="10">
        <f t="shared" si="255"/>
        <v>5.0833723204056955</v>
      </c>
      <c r="AC1659" s="10">
        <f t="shared" si="257"/>
        <v>38.836964527899511</v>
      </c>
      <c r="AD1659" s="10">
        <f>IF(AND(Q1659&gt;0,Q1659&lt;30,K1659&lt;8),Markniveau!Z1659*'Udvaskning nøgletal'!$I$12/100,IF(AND(Q1659&gt;0,Q1659&lt;30,K1659=216),Markniveau!Z1659*'Udvaskning nøgletal'!$I$34/100,Markniveau!Z1659))</f>
        <v>101.66744640811392</v>
      </c>
      <c r="AE1659" s="10">
        <f t="shared" si="263"/>
        <v>776.73929055799033</v>
      </c>
      <c r="AF1659" s="10">
        <f t="shared" si="258"/>
        <v>5.0833723204056955</v>
      </c>
      <c r="AG1659" s="10">
        <f t="shared" si="264"/>
        <v>38.836964527899511</v>
      </c>
      <c r="AH1659" s="10" t="str">
        <f>IF(AND(Q1659&gt;0,Q1659&lt;30,K1659=216),'Udvaskning nøgletal'!$C$42,IF(AND(Q1659&gt;0,Q1659&lt;30,K1659&gt;7,K1659&lt;17),'Udvaskning nøgletal'!$C$61,IF(AND(Q1659&gt;0,Q1659&lt;30,K1659&lt;7),'Udvaskning nøgletal'!$C$62,"")))</f>
        <v/>
      </c>
      <c r="AI1659" s="10">
        <f t="shared" si="260"/>
        <v>216</v>
      </c>
      <c r="AJ1659" s="10">
        <f>IF($X1659=1,LOOKUP(AI1659,'Udvaskning nøgletal'!$C$12:$C$62,'Udvaskning nøgletal'!$E$12:$E$62)+Markniveau!$Y1659*Markniveau!$S1659/100,IF($X1659=2,LOOKUP(AI1659,'Udvaskning nøgletal'!$C$12:$C$62,'Udvaskning nøgletal'!$F$12:$F$62)+Markniveau!$Y1659*Markniveau!$S1659/100,IF($X1659=3,LOOKUP(AI1659,'Udvaskning nøgletal'!$C$12:$C$62,'Udvaskning nøgletal'!Q1669:Q1719)+Markniveau!$Y1659*Markniveau!$S1659/100,"")))</f>
        <v>101.66744640811392</v>
      </c>
      <c r="AK1659" s="10">
        <f t="shared" si="259"/>
        <v>776.73929055799033</v>
      </c>
      <c r="AL1659" s="10">
        <f t="shared" si="261"/>
        <v>5.0833723204056955</v>
      </c>
      <c r="AM1659" s="10">
        <f t="shared" si="262"/>
        <v>38.836964527899511</v>
      </c>
    </row>
    <row r="1660" spans="1:39" x14ac:dyDescent="0.25">
      <c r="A1660" s="15">
        <v>98333053</v>
      </c>
      <c r="B1660" s="15">
        <v>288.98</v>
      </c>
      <c r="C1660" s="15">
        <v>195031</v>
      </c>
      <c r="D1660" s="15">
        <v>33037</v>
      </c>
      <c r="E1660" s="15" t="s">
        <v>1319</v>
      </c>
      <c r="F1660" s="15">
        <v>2011</v>
      </c>
      <c r="G1660" s="15">
        <v>20110421</v>
      </c>
      <c r="H1660" s="15">
        <v>2661</v>
      </c>
      <c r="I1660" s="15">
        <v>0.27</v>
      </c>
      <c r="J1660" s="6" t="s">
        <v>1320</v>
      </c>
      <c r="K1660" s="15">
        <v>583</v>
      </c>
      <c r="L1660" s="15" t="s">
        <v>154</v>
      </c>
      <c r="M1660" s="15" t="s">
        <v>155</v>
      </c>
      <c r="N1660" s="11" t="s">
        <v>1391</v>
      </c>
      <c r="O1660" s="11" t="s">
        <v>46</v>
      </c>
      <c r="P1660" s="11" t="s">
        <v>29</v>
      </c>
      <c r="Q1660" s="15">
        <v>95</v>
      </c>
      <c r="R1660" s="11" t="s">
        <v>3</v>
      </c>
      <c r="S1660" s="10">
        <v>122.98847603989</v>
      </c>
      <c r="T1660" s="15">
        <v>80</v>
      </c>
      <c r="U1660" s="15">
        <v>0</v>
      </c>
      <c r="V1660" s="15">
        <v>1</v>
      </c>
      <c r="W1660" s="15">
        <v>0</v>
      </c>
      <c r="X1660" s="15">
        <f>IF(O1660='Udvaskning nøgletal'!$D$65,1,IF(O1660='Udvaskning nøgletal'!$D$66,2,IF(O1660='Udvaskning nøgletal'!$D$67,3,IF(O1660='Udvaskning nøgletal'!$D$68,2,""))))</f>
        <v>2</v>
      </c>
      <c r="Y1660" s="15">
        <f>LOOKUP(K1660,'Udvaskning nøgletal'!$C$12:$C$60,'Udvaskning nøgletal'!$H$12:$H$60)</f>
        <v>0</v>
      </c>
      <c r="Z1660" s="10">
        <f>IF(X1660=1,LOOKUP(K1660,'Udvaskning nøgletal'!$C$12:$C$60,'Udvaskning nøgletal'!$E$12:$E$60)+Markniveau!Y1660*Markniveau!S1660/100,IF(X1660=2,LOOKUP(K1660,'Udvaskning nøgletal'!$C$12:$C$60,'Udvaskning nøgletal'!$F$12:$F$60)+Markniveau!Y1660*Markniveau!S1660/100,IF(X1660=3,LOOKUP(K1660,'Udvaskning nøgletal'!$C$12:$C$60,'Udvaskning nøgletal'!G1670:G1718)+Markniveau!Y1660*Markniveau!S1660/100,"")))</f>
        <v>10</v>
      </c>
      <c r="AA1660" s="10">
        <f t="shared" si="256"/>
        <v>2.7</v>
      </c>
      <c r="AB1660" s="10">
        <f t="shared" si="255"/>
        <v>0.5</v>
      </c>
      <c r="AC1660" s="10">
        <f t="shared" si="257"/>
        <v>0.13500000000000001</v>
      </c>
      <c r="AD1660" s="10">
        <f>IF(AND(Q1660&gt;0,Q1660&lt;30,K1660&lt;8),Markniveau!Z1660*'Udvaskning nøgletal'!$I$12/100,IF(AND(Q1660&gt;0,Q1660&lt;30,K1660=216),Markniveau!Z1660*'Udvaskning nøgletal'!$I$34/100,Markniveau!Z1660))</f>
        <v>10</v>
      </c>
      <c r="AE1660" s="10">
        <f t="shared" si="263"/>
        <v>2.7</v>
      </c>
      <c r="AF1660" s="10">
        <f t="shared" si="258"/>
        <v>0.5</v>
      </c>
      <c r="AG1660" s="10">
        <f t="shared" si="264"/>
        <v>0.13500000000000001</v>
      </c>
      <c r="AH1660" s="10" t="str">
        <f>IF(AND(Q1660&gt;0,Q1660&lt;30,K1660=216),'Udvaskning nøgletal'!$C$42,IF(AND(Q1660&gt;0,Q1660&lt;30,K1660&gt;7,K1660&lt;17),'Udvaskning nøgletal'!$C$61,IF(AND(Q1660&gt;0,Q1660&lt;30,K1660&lt;7),'Udvaskning nøgletal'!$C$62,"")))</f>
        <v/>
      </c>
      <c r="AI1660" s="10">
        <f t="shared" si="260"/>
        <v>583</v>
      </c>
      <c r="AJ1660" s="10">
        <f>IF($X1660=1,LOOKUP(AI1660,'Udvaskning nøgletal'!$C$12:$C$62,'Udvaskning nøgletal'!$E$12:$E$62)+Markniveau!$Y1660*Markniveau!$S1660/100,IF($X1660=2,LOOKUP(AI1660,'Udvaskning nøgletal'!$C$12:$C$62,'Udvaskning nøgletal'!$F$12:$F$62)+Markniveau!$Y1660*Markniveau!$S1660/100,IF($X1660=3,LOOKUP(AI1660,'Udvaskning nøgletal'!$C$12:$C$62,'Udvaskning nøgletal'!Q1670:Q1720)+Markniveau!$Y1660*Markniveau!$S1660/100,"")))</f>
        <v>10</v>
      </c>
      <c r="AK1660" s="10">
        <f t="shared" si="259"/>
        <v>2.7</v>
      </c>
      <c r="AL1660" s="10">
        <f t="shared" si="261"/>
        <v>0.5</v>
      </c>
      <c r="AM1660" s="10">
        <f t="shared" si="262"/>
        <v>0.13500000000000001</v>
      </c>
    </row>
    <row r="1661" spans="1:39" x14ac:dyDescent="0.25">
      <c r="A1661" s="15">
        <v>98333053</v>
      </c>
      <c r="B1661" s="15">
        <v>288.98</v>
      </c>
      <c r="C1661" s="15">
        <v>195032</v>
      </c>
      <c r="D1661" s="15">
        <v>33037</v>
      </c>
      <c r="E1661" s="15" t="s">
        <v>1321</v>
      </c>
      <c r="F1661" s="15">
        <v>2011</v>
      </c>
      <c r="G1661" s="15">
        <v>20110421</v>
      </c>
      <c r="H1661" s="15">
        <v>27853</v>
      </c>
      <c r="I1661" s="15">
        <v>2.79</v>
      </c>
      <c r="J1661" s="6" t="s">
        <v>1396</v>
      </c>
      <c r="K1661" s="15">
        <v>252</v>
      </c>
      <c r="L1661" s="15" t="s">
        <v>41</v>
      </c>
      <c r="M1661" s="15" t="s">
        <v>4</v>
      </c>
      <c r="N1661" s="11" t="s">
        <v>1391</v>
      </c>
      <c r="O1661" s="11" t="s">
        <v>46</v>
      </c>
      <c r="P1661" s="11" t="s">
        <v>29</v>
      </c>
      <c r="Q1661" s="15">
        <v>95</v>
      </c>
      <c r="R1661" s="11" t="s">
        <v>3</v>
      </c>
      <c r="S1661" s="10">
        <v>122.98847603989</v>
      </c>
      <c r="T1661" s="15">
        <v>80</v>
      </c>
      <c r="U1661" s="15">
        <v>0</v>
      </c>
      <c r="V1661" s="15">
        <v>1</v>
      </c>
      <c r="W1661" s="15">
        <v>0</v>
      </c>
      <c r="X1661" s="15">
        <f>IF(O1661='Udvaskning nøgletal'!$D$65,1,IF(O1661='Udvaskning nøgletal'!$D$66,2,IF(O1661='Udvaskning nøgletal'!$D$67,3,IF(O1661='Udvaskning nøgletal'!$D$68,2,""))))</f>
        <v>2</v>
      </c>
      <c r="Y1661" s="15">
        <f>LOOKUP(K1661,'Udvaskning nøgletal'!$C$12:$C$60,'Udvaskning nøgletal'!$H$12:$H$60)</f>
        <v>0</v>
      </c>
      <c r="Z1661" s="10">
        <f>IF(X1661=1,LOOKUP(K1661,'Udvaskning nøgletal'!$C$12:$C$60,'Udvaskning nøgletal'!$E$12:$E$60)+Markniveau!Y1661*Markniveau!S1661/100,IF(X1661=2,LOOKUP(K1661,'Udvaskning nøgletal'!$C$12:$C$60,'Udvaskning nøgletal'!$F$12:$F$60)+Markniveau!Y1661*Markniveau!S1661/100,IF(X1661=3,LOOKUP(K1661,'Udvaskning nøgletal'!$C$12:$C$60,'Udvaskning nøgletal'!G1671:G1719)+Markniveau!Y1661*Markniveau!S1661/100,"")))</f>
        <v>21.2</v>
      </c>
      <c r="AA1661" s="10">
        <f t="shared" si="256"/>
        <v>59.147999999999996</v>
      </c>
      <c r="AB1661" s="10">
        <f t="shared" si="255"/>
        <v>1.06</v>
      </c>
      <c r="AC1661" s="10">
        <f t="shared" si="257"/>
        <v>2.9574000000000003</v>
      </c>
      <c r="AD1661" s="10">
        <f>IF(AND(Q1661&gt;0,Q1661&lt;30,K1661&lt;8),Markniveau!Z1661*'Udvaskning nøgletal'!$I$12/100,IF(AND(Q1661&gt;0,Q1661&lt;30,K1661=216),Markniveau!Z1661*'Udvaskning nøgletal'!$I$34/100,Markniveau!Z1661))</f>
        <v>21.2</v>
      </c>
      <c r="AE1661" s="10">
        <f t="shared" si="263"/>
        <v>59.147999999999996</v>
      </c>
      <c r="AF1661" s="10">
        <f t="shared" si="258"/>
        <v>1.06</v>
      </c>
      <c r="AG1661" s="10">
        <f t="shared" si="264"/>
        <v>2.9574000000000003</v>
      </c>
      <c r="AH1661" s="10" t="str">
        <f>IF(AND(Q1661&gt;0,Q1661&lt;30,K1661=216),'Udvaskning nøgletal'!$C$42,IF(AND(Q1661&gt;0,Q1661&lt;30,K1661&gt;7,K1661&lt;17),'Udvaskning nøgletal'!$C$61,IF(AND(Q1661&gt;0,Q1661&lt;30,K1661&lt;7),'Udvaskning nøgletal'!$C$62,"")))</f>
        <v/>
      </c>
      <c r="AI1661" s="10">
        <f t="shared" si="260"/>
        <v>252</v>
      </c>
      <c r="AJ1661" s="10">
        <f>IF($X1661=1,LOOKUP(AI1661,'Udvaskning nøgletal'!$C$12:$C$62,'Udvaskning nøgletal'!$E$12:$E$62)+Markniveau!$Y1661*Markniveau!$S1661/100,IF($X1661=2,LOOKUP(AI1661,'Udvaskning nøgletal'!$C$12:$C$62,'Udvaskning nøgletal'!$F$12:$F$62)+Markniveau!$Y1661*Markniveau!$S1661/100,IF($X1661=3,LOOKUP(AI1661,'Udvaskning nøgletal'!$C$12:$C$62,'Udvaskning nøgletal'!Q1671:Q1721)+Markniveau!$Y1661*Markniveau!$S1661/100,"")))</f>
        <v>21.2</v>
      </c>
      <c r="AK1661" s="10">
        <f t="shared" si="259"/>
        <v>59.147999999999996</v>
      </c>
      <c r="AL1661" s="10">
        <f t="shared" si="261"/>
        <v>1.06</v>
      </c>
      <c r="AM1661" s="10">
        <f t="shared" si="262"/>
        <v>2.9574000000000003</v>
      </c>
    </row>
    <row r="1662" spans="1:39" x14ac:dyDescent="0.25">
      <c r="A1662" s="15">
        <v>98333053</v>
      </c>
      <c r="B1662" s="15">
        <v>288.98</v>
      </c>
      <c r="C1662" s="15">
        <v>195033</v>
      </c>
      <c r="D1662" s="15">
        <v>33037</v>
      </c>
      <c r="E1662" s="15" t="s">
        <v>1321</v>
      </c>
      <c r="F1662" s="15">
        <v>2011</v>
      </c>
      <c r="G1662" s="15">
        <v>20110421</v>
      </c>
      <c r="H1662" s="15">
        <v>58344</v>
      </c>
      <c r="I1662" s="15">
        <v>5.83</v>
      </c>
      <c r="J1662" s="6" t="s">
        <v>38</v>
      </c>
      <c r="K1662" s="15">
        <v>252</v>
      </c>
      <c r="L1662" s="15" t="s">
        <v>41</v>
      </c>
      <c r="M1662" s="15" t="s">
        <v>4</v>
      </c>
      <c r="N1662" s="11" t="s">
        <v>1391</v>
      </c>
      <c r="O1662" s="11" t="s">
        <v>46</v>
      </c>
      <c r="P1662" s="11" t="s">
        <v>29</v>
      </c>
      <c r="Q1662" s="15">
        <v>95</v>
      </c>
      <c r="R1662" s="11" t="s">
        <v>3</v>
      </c>
      <c r="S1662" s="10">
        <v>122.98847603989</v>
      </c>
      <c r="T1662" s="15">
        <v>80</v>
      </c>
      <c r="U1662" s="15">
        <v>0</v>
      </c>
      <c r="V1662" s="15">
        <v>1</v>
      </c>
      <c r="W1662" s="15">
        <v>0</v>
      </c>
      <c r="X1662" s="15">
        <f>IF(O1662='Udvaskning nøgletal'!$D$65,1,IF(O1662='Udvaskning nøgletal'!$D$66,2,IF(O1662='Udvaskning nøgletal'!$D$67,3,IF(O1662='Udvaskning nøgletal'!$D$68,2,""))))</f>
        <v>2</v>
      </c>
      <c r="Y1662" s="15">
        <f>LOOKUP(K1662,'Udvaskning nøgletal'!$C$12:$C$60,'Udvaskning nøgletal'!$H$12:$H$60)</f>
        <v>0</v>
      </c>
      <c r="Z1662" s="10">
        <f>IF(X1662=1,LOOKUP(K1662,'Udvaskning nøgletal'!$C$12:$C$60,'Udvaskning nøgletal'!$E$12:$E$60)+Markniveau!Y1662*Markniveau!S1662/100,IF(X1662=2,LOOKUP(K1662,'Udvaskning nøgletal'!$C$12:$C$60,'Udvaskning nøgletal'!$F$12:$F$60)+Markniveau!Y1662*Markniveau!S1662/100,IF(X1662=3,LOOKUP(K1662,'Udvaskning nøgletal'!$C$12:$C$60,'Udvaskning nøgletal'!G1672:G1720)+Markniveau!Y1662*Markniveau!S1662/100,"")))</f>
        <v>21.2</v>
      </c>
      <c r="AA1662" s="10">
        <f t="shared" si="256"/>
        <v>123.596</v>
      </c>
      <c r="AB1662" s="10">
        <f t="shared" si="255"/>
        <v>1.06</v>
      </c>
      <c r="AC1662" s="10">
        <f t="shared" si="257"/>
        <v>6.1798000000000002</v>
      </c>
      <c r="AD1662" s="10">
        <f>IF(AND(Q1662&gt;0,Q1662&lt;30,K1662&lt;8),Markniveau!Z1662*'Udvaskning nøgletal'!$I$12/100,IF(AND(Q1662&gt;0,Q1662&lt;30,K1662=216),Markniveau!Z1662*'Udvaskning nøgletal'!$I$34/100,Markniveau!Z1662))</f>
        <v>21.2</v>
      </c>
      <c r="AE1662" s="10">
        <f t="shared" si="263"/>
        <v>123.596</v>
      </c>
      <c r="AF1662" s="10">
        <f t="shared" si="258"/>
        <v>1.06</v>
      </c>
      <c r="AG1662" s="10">
        <f t="shared" si="264"/>
        <v>6.1798000000000002</v>
      </c>
      <c r="AH1662" s="10" t="str">
        <f>IF(AND(Q1662&gt;0,Q1662&lt;30,K1662=216),'Udvaskning nøgletal'!$C$42,IF(AND(Q1662&gt;0,Q1662&lt;30,K1662&gt;7,K1662&lt;17),'Udvaskning nøgletal'!$C$61,IF(AND(Q1662&gt;0,Q1662&lt;30,K1662&lt;7),'Udvaskning nøgletal'!$C$62,"")))</f>
        <v/>
      </c>
      <c r="AI1662" s="10">
        <f t="shared" si="260"/>
        <v>252</v>
      </c>
      <c r="AJ1662" s="10">
        <f>IF($X1662=1,LOOKUP(AI1662,'Udvaskning nøgletal'!$C$12:$C$62,'Udvaskning nøgletal'!$E$12:$E$62)+Markniveau!$Y1662*Markniveau!$S1662/100,IF($X1662=2,LOOKUP(AI1662,'Udvaskning nøgletal'!$C$12:$C$62,'Udvaskning nøgletal'!$F$12:$F$62)+Markniveau!$Y1662*Markniveau!$S1662/100,IF($X1662=3,LOOKUP(AI1662,'Udvaskning nøgletal'!$C$12:$C$62,'Udvaskning nøgletal'!Q1672:Q1722)+Markniveau!$Y1662*Markniveau!$S1662/100,"")))</f>
        <v>21.2</v>
      </c>
      <c r="AK1662" s="10">
        <f t="shared" si="259"/>
        <v>123.596</v>
      </c>
      <c r="AL1662" s="10">
        <f t="shared" si="261"/>
        <v>1.06</v>
      </c>
      <c r="AM1662" s="10">
        <f t="shared" si="262"/>
        <v>6.1798000000000002</v>
      </c>
    </row>
    <row r="1663" spans="1:39" x14ac:dyDescent="0.25">
      <c r="A1663" s="15">
        <v>98333053</v>
      </c>
      <c r="B1663" s="15">
        <v>288.98</v>
      </c>
      <c r="C1663" s="15">
        <v>195034</v>
      </c>
      <c r="D1663" s="15">
        <v>33037</v>
      </c>
      <c r="E1663" s="15" t="s">
        <v>1321</v>
      </c>
      <c r="F1663" s="15">
        <v>2011</v>
      </c>
      <c r="G1663" s="15">
        <v>20110421</v>
      </c>
      <c r="H1663" s="15">
        <v>43936</v>
      </c>
      <c r="I1663" s="15">
        <v>4.3899999999999997</v>
      </c>
      <c r="J1663" s="6" t="s">
        <v>137</v>
      </c>
      <c r="K1663" s="15">
        <v>216</v>
      </c>
      <c r="L1663" s="15" t="s">
        <v>116</v>
      </c>
      <c r="M1663" s="15" t="s">
        <v>5</v>
      </c>
      <c r="N1663" s="11" t="s">
        <v>1391</v>
      </c>
      <c r="O1663" s="11" t="s">
        <v>46</v>
      </c>
      <c r="P1663" s="11" t="s">
        <v>29</v>
      </c>
      <c r="Q1663" s="15">
        <v>95</v>
      </c>
      <c r="R1663" s="11" t="s">
        <v>3</v>
      </c>
      <c r="S1663" s="10">
        <v>122.98847603989</v>
      </c>
      <c r="T1663" s="15">
        <v>80</v>
      </c>
      <c r="U1663" s="15">
        <v>0</v>
      </c>
      <c r="V1663" s="15">
        <v>1</v>
      </c>
      <c r="W1663" s="15">
        <v>0</v>
      </c>
      <c r="X1663" s="15">
        <f>IF(O1663='Udvaskning nøgletal'!$D$65,1,IF(O1663='Udvaskning nøgletal'!$D$66,2,IF(O1663='Udvaskning nøgletal'!$D$67,3,IF(O1663='Udvaskning nøgletal'!$D$68,2,""))))</f>
        <v>2</v>
      </c>
      <c r="Y1663" s="15">
        <f>LOOKUP(K1663,'Udvaskning nøgletal'!$C$12:$C$60,'Udvaskning nøgletal'!$H$12:$H$60)</f>
        <v>0</v>
      </c>
      <c r="Z1663" s="10">
        <f>IF(X1663=1,LOOKUP(K1663,'Udvaskning nøgletal'!$C$12:$C$60,'Udvaskning nøgletal'!$E$12:$E$60)+Markniveau!Y1663*Markniveau!S1663/100,IF(X1663=2,LOOKUP(K1663,'Udvaskning nøgletal'!$C$12:$C$60,'Udvaskning nøgletal'!$F$12:$F$60)+Markniveau!Y1663*Markniveau!S1663/100,IF(X1663=3,LOOKUP(K1663,'Udvaskning nøgletal'!$C$12:$C$60,'Udvaskning nøgletal'!G1673:G1721)+Markniveau!Y1663*Markniveau!S1663/100,"")))</f>
        <v>101.66744640811392</v>
      </c>
      <c r="AA1663" s="10">
        <f t="shared" si="256"/>
        <v>446.32008973162004</v>
      </c>
      <c r="AB1663" s="10">
        <f t="shared" si="255"/>
        <v>5.0833723204056955</v>
      </c>
      <c r="AC1663" s="10">
        <f t="shared" si="257"/>
        <v>22.316004486581001</v>
      </c>
      <c r="AD1663" s="10">
        <f>IF(AND(Q1663&gt;0,Q1663&lt;30,K1663&lt;8),Markniveau!Z1663*'Udvaskning nøgletal'!$I$12/100,IF(AND(Q1663&gt;0,Q1663&lt;30,K1663=216),Markniveau!Z1663*'Udvaskning nøgletal'!$I$34/100,Markniveau!Z1663))</f>
        <v>101.66744640811392</v>
      </c>
      <c r="AE1663" s="10">
        <f t="shared" si="263"/>
        <v>446.32008973162004</v>
      </c>
      <c r="AF1663" s="10">
        <f t="shared" si="258"/>
        <v>5.0833723204056955</v>
      </c>
      <c r="AG1663" s="10">
        <f t="shared" si="264"/>
        <v>22.316004486581001</v>
      </c>
      <c r="AH1663" s="10" t="str">
        <f>IF(AND(Q1663&gt;0,Q1663&lt;30,K1663=216),'Udvaskning nøgletal'!$C$42,IF(AND(Q1663&gt;0,Q1663&lt;30,K1663&gt;7,K1663&lt;17),'Udvaskning nøgletal'!$C$61,IF(AND(Q1663&gt;0,Q1663&lt;30,K1663&lt;7),'Udvaskning nøgletal'!$C$62,"")))</f>
        <v/>
      </c>
      <c r="AI1663" s="10">
        <f t="shared" si="260"/>
        <v>216</v>
      </c>
      <c r="AJ1663" s="10">
        <f>IF($X1663=1,LOOKUP(AI1663,'Udvaskning nøgletal'!$C$12:$C$62,'Udvaskning nøgletal'!$E$12:$E$62)+Markniveau!$Y1663*Markniveau!$S1663/100,IF($X1663=2,LOOKUP(AI1663,'Udvaskning nøgletal'!$C$12:$C$62,'Udvaskning nøgletal'!$F$12:$F$62)+Markniveau!$Y1663*Markniveau!$S1663/100,IF($X1663=3,LOOKUP(AI1663,'Udvaskning nøgletal'!$C$12:$C$62,'Udvaskning nøgletal'!Q1673:Q1723)+Markniveau!$Y1663*Markniveau!$S1663/100,"")))</f>
        <v>101.66744640811392</v>
      </c>
      <c r="AK1663" s="10">
        <f t="shared" si="259"/>
        <v>446.32008973162004</v>
      </c>
      <c r="AL1663" s="10">
        <f t="shared" si="261"/>
        <v>5.0833723204056955</v>
      </c>
      <c r="AM1663" s="10">
        <f t="shared" si="262"/>
        <v>22.316004486581001</v>
      </c>
    </row>
    <row r="1664" spans="1:39" x14ac:dyDescent="0.25">
      <c r="A1664" s="15">
        <v>98333053</v>
      </c>
      <c r="B1664" s="15">
        <v>288.98</v>
      </c>
      <c r="C1664" s="15">
        <v>195035</v>
      </c>
      <c r="D1664" s="15">
        <v>33037</v>
      </c>
      <c r="E1664" s="15" t="s">
        <v>1287</v>
      </c>
      <c r="F1664" s="15">
        <v>2011</v>
      </c>
      <c r="G1664" s="15">
        <v>20110421</v>
      </c>
      <c r="H1664" s="15">
        <v>27714</v>
      </c>
      <c r="I1664" s="15">
        <v>2.77</v>
      </c>
      <c r="J1664" s="6" t="s">
        <v>26</v>
      </c>
      <c r="K1664" s="15">
        <v>216</v>
      </c>
      <c r="L1664" s="15" t="s">
        <v>116</v>
      </c>
      <c r="M1664" s="15" t="s">
        <v>5</v>
      </c>
      <c r="N1664" s="11" t="s">
        <v>1391</v>
      </c>
      <c r="O1664" s="11" t="s">
        <v>46</v>
      </c>
      <c r="P1664" s="11" t="s">
        <v>29</v>
      </c>
      <c r="Q1664" s="15">
        <v>95</v>
      </c>
      <c r="R1664" s="11" t="s">
        <v>3</v>
      </c>
      <c r="S1664" s="10">
        <v>122.98847603989</v>
      </c>
      <c r="T1664" s="15">
        <v>80</v>
      </c>
      <c r="U1664" s="15">
        <v>0</v>
      </c>
      <c r="V1664" s="15">
        <v>1</v>
      </c>
      <c r="W1664" s="15">
        <v>0</v>
      </c>
      <c r="X1664" s="15">
        <f>IF(O1664='Udvaskning nøgletal'!$D$65,1,IF(O1664='Udvaskning nøgletal'!$D$66,2,IF(O1664='Udvaskning nøgletal'!$D$67,3,IF(O1664='Udvaskning nøgletal'!$D$68,2,""))))</f>
        <v>2</v>
      </c>
      <c r="Y1664" s="15">
        <f>LOOKUP(K1664,'Udvaskning nøgletal'!$C$12:$C$60,'Udvaskning nøgletal'!$H$12:$H$60)</f>
        <v>0</v>
      </c>
      <c r="Z1664" s="10">
        <f>IF(X1664=1,LOOKUP(K1664,'Udvaskning nøgletal'!$C$12:$C$60,'Udvaskning nøgletal'!$E$12:$E$60)+Markniveau!Y1664*Markniveau!S1664/100,IF(X1664=2,LOOKUP(K1664,'Udvaskning nøgletal'!$C$12:$C$60,'Udvaskning nøgletal'!$F$12:$F$60)+Markniveau!Y1664*Markniveau!S1664/100,IF(X1664=3,LOOKUP(K1664,'Udvaskning nøgletal'!$C$12:$C$60,'Udvaskning nøgletal'!G1674:G1722)+Markniveau!Y1664*Markniveau!S1664/100,"")))</f>
        <v>101.66744640811392</v>
      </c>
      <c r="AA1664" s="10">
        <f t="shared" si="256"/>
        <v>281.61882655047555</v>
      </c>
      <c r="AB1664" s="10">
        <f t="shared" si="255"/>
        <v>5.0833723204056955</v>
      </c>
      <c r="AC1664" s="10">
        <f t="shared" si="257"/>
        <v>14.080941327523776</v>
      </c>
      <c r="AD1664" s="10">
        <f>IF(AND(Q1664&gt;0,Q1664&lt;30,K1664&lt;8),Markniveau!Z1664*'Udvaskning nøgletal'!$I$12/100,IF(AND(Q1664&gt;0,Q1664&lt;30,K1664=216),Markniveau!Z1664*'Udvaskning nøgletal'!$I$34/100,Markniveau!Z1664))</f>
        <v>101.66744640811392</v>
      </c>
      <c r="AE1664" s="10">
        <f t="shared" si="263"/>
        <v>281.61882655047555</v>
      </c>
      <c r="AF1664" s="10">
        <f t="shared" si="258"/>
        <v>5.0833723204056955</v>
      </c>
      <c r="AG1664" s="10">
        <f t="shared" si="264"/>
        <v>14.080941327523776</v>
      </c>
      <c r="AH1664" s="10" t="str">
        <f>IF(AND(Q1664&gt;0,Q1664&lt;30,K1664=216),'Udvaskning nøgletal'!$C$42,IF(AND(Q1664&gt;0,Q1664&lt;30,K1664&gt;7,K1664&lt;17),'Udvaskning nøgletal'!$C$61,IF(AND(Q1664&gt;0,Q1664&lt;30,K1664&lt;7),'Udvaskning nøgletal'!$C$62,"")))</f>
        <v/>
      </c>
      <c r="AI1664" s="10">
        <f t="shared" si="260"/>
        <v>216</v>
      </c>
      <c r="AJ1664" s="10">
        <f>IF($X1664=1,LOOKUP(AI1664,'Udvaskning nøgletal'!$C$12:$C$62,'Udvaskning nøgletal'!$E$12:$E$62)+Markniveau!$Y1664*Markniveau!$S1664/100,IF($X1664=2,LOOKUP(AI1664,'Udvaskning nøgletal'!$C$12:$C$62,'Udvaskning nøgletal'!$F$12:$F$62)+Markniveau!$Y1664*Markniveau!$S1664/100,IF($X1664=3,LOOKUP(AI1664,'Udvaskning nøgletal'!$C$12:$C$62,'Udvaskning nøgletal'!Q1674:Q1724)+Markniveau!$Y1664*Markniveau!$S1664/100,"")))</f>
        <v>101.66744640811392</v>
      </c>
      <c r="AK1664" s="10">
        <f t="shared" si="259"/>
        <v>281.61882655047555</v>
      </c>
      <c r="AL1664" s="10">
        <f t="shared" si="261"/>
        <v>5.0833723204056955</v>
      </c>
      <c r="AM1664" s="10">
        <f t="shared" si="262"/>
        <v>14.080941327523776</v>
      </c>
    </row>
    <row r="1665" spans="1:39" x14ac:dyDescent="0.25">
      <c r="A1665" s="15">
        <v>98333053</v>
      </c>
      <c r="B1665" s="15">
        <v>288.98</v>
      </c>
      <c r="C1665" s="15">
        <v>195036</v>
      </c>
      <c r="D1665" s="15">
        <v>33037</v>
      </c>
      <c r="E1665" s="15" t="s">
        <v>1322</v>
      </c>
      <c r="F1665" s="15">
        <v>2011</v>
      </c>
      <c r="G1665" s="15">
        <v>20110421</v>
      </c>
      <c r="H1665" s="15">
        <v>30984</v>
      </c>
      <c r="I1665" s="15">
        <v>3.1</v>
      </c>
      <c r="J1665" s="6" t="s">
        <v>34</v>
      </c>
      <c r="K1665" s="15">
        <v>214</v>
      </c>
      <c r="L1665" s="15" t="s">
        <v>56</v>
      </c>
      <c r="M1665" s="15" t="s">
        <v>5</v>
      </c>
      <c r="N1665" s="11" t="s">
        <v>1391</v>
      </c>
      <c r="O1665" s="11" t="s">
        <v>46</v>
      </c>
      <c r="P1665" s="11" t="s">
        <v>29</v>
      </c>
      <c r="Q1665" s="15">
        <v>95</v>
      </c>
      <c r="R1665" s="11" t="s">
        <v>3</v>
      </c>
      <c r="S1665" s="10">
        <v>122.98847603989</v>
      </c>
      <c r="T1665" s="15">
        <v>80</v>
      </c>
      <c r="U1665" s="15">
        <v>0</v>
      </c>
      <c r="V1665" s="15">
        <v>1</v>
      </c>
      <c r="W1665" s="15">
        <v>0</v>
      </c>
      <c r="X1665" s="15">
        <f>IF(O1665='Udvaskning nøgletal'!$D$65,1,IF(O1665='Udvaskning nøgletal'!$D$66,2,IF(O1665='Udvaskning nøgletal'!$D$67,3,IF(O1665='Udvaskning nøgletal'!$D$68,2,""))))</f>
        <v>2</v>
      </c>
      <c r="Y1665" s="15">
        <f>LOOKUP(K1665,'Udvaskning nøgletal'!$C$12:$C$60,'Udvaskning nøgletal'!$H$12:$H$60)</f>
        <v>0</v>
      </c>
      <c r="Z1665" s="10">
        <f>IF(X1665=1,LOOKUP(K1665,'Udvaskning nøgletal'!$C$12:$C$60,'Udvaskning nøgletal'!$E$12:$E$60)+Markniveau!Y1665*Markniveau!S1665/100,IF(X1665=2,LOOKUP(K1665,'Udvaskning nøgletal'!$C$12:$C$60,'Udvaskning nøgletal'!$F$12:$F$60)+Markniveau!Y1665*Markniveau!S1665/100,IF(X1665=3,LOOKUP(K1665,'Udvaskning nøgletal'!$C$12:$C$60,'Udvaskning nøgletal'!G1675:G1723)+Markniveau!Y1665*Markniveau!S1665/100,"")))</f>
        <v>31.161328188970323</v>
      </c>
      <c r="AA1665" s="10">
        <f t="shared" si="256"/>
        <v>96.600117385808005</v>
      </c>
      <c r="AB1665" s="10">
        <f t="shared" si="255"/>
        <v>1.5580664094485162</v>
      </c>
      <c r="AC1665" s="10">
        <f t="shared" si="257"/>
        <v>4.8300058692904004</v>
      </c>
      <c r="AD1665" s="10">
        <f>IF(AND(Q1665&gt;0,Q1665&lt;30,K1665&lt;8),Markniveau!Z1665*'Udvaskning nøgletal'!$I$12/100,IF(AND(Q1665&gt;0,Q1665&lt;30,K1665=216),Markniveau!Z1665*'Udvaskning nøgletal'!$I$34/100,Markniveau!Z1665))</f>
        <v>31.161328188970323</v>
      </c>
      <c r="AE1665" s="10">
        <f t="shared" si="263"/>
        <v>96.600117385808005</v>
      </c>
      <c r="AF1665" s="10">
        <f t="shared" si="258"/>
        <v>1.5580664094485162</v>
      </c>
      <c r="AG1665" s="10">
        <f t="shared" si="264"/>
        <v>4.8300058692904004</v>
      </c>
      <c r="AH1665" s="10" t="str">
        <f>IF(AND(Q1665&gt;0,Q1665&lt;30,K1665=216),'Udvaskning nøgletal'!$C$42,IF(AND(Q1665&gt;0,Q1665&lt;30,K1665&gt;7,K1665&lt;17),'Udvaskning nøgletal'!$C$61,IF(AND(Q1665&gt;0,Q1665&lt;30,K1665&lt;7),'Udvaskning nøgletal'!$C$62,"")))</f>
        <v/>
      </c>
      <c r="AI1665" s="10">
        <f t="shared" si="260"/>
        <v>214</v>
      </c>
      <c r="AJ1665" s="10">
        <f>IF($X1665=1,LOOKUP(AI1665,'Udvaskning nøgletal'!$C$12:$C$62,'Udvaskning nøgletal'!$E$12:$E$62)+Markniveau!$Y1665*Markniveau!$S1665/100,IF($X1665=2,LOOKUP(AI1665,'Udvaskning nøgletal'!$C$12:$C$62,'Udvaskning nøgletal'!$F$12:$F$62)+Markniveau!$Y1665*Markniveau!$S1665/100,IF($X1665=3,LOOKUP(AI1665,'Udvaskning nøgletal'!$C$12:$C$62,'Udvaskning nøgletal'!Q1675:Q1725)+Markniveau!$Y1665*Markniveau!$S1665/100,"")))</f>
        <v>31.161328188970323</v>
      </c>
      <c r="AK1665" s="10">
        <f t="shared" si="259"/>
        <v>96.600117385808005</v>
      </c>
      <c r="AL1665" s="10">
        <f t="shared" si="261"/>
        <v>1.5580664094485162</v>
      </c>
      <c r="AM1665" s="10">
        <f t="shared" si="262"/>
        <v>4.8300058692904004</v>
      </c>
    </row>
    <row r="1666" spans="1:39" x14ac:dyDescent="0.25">
      <c r="A1666" s="15">
        <v>98333053</v>
      </c>
      <c r="B1666" s="15">
        <v>288.98</v>
      </c>
      <c r="C1666" s="15">
        <v>195037</v>
      </c>
      <c r="D1666" s="15">
        <v>33037</v>
      </c>
      <c r="E1666" s="15" t="s">
        <v>1293</v>
      </c>
      <c r="F1666" s="15">
        <v>2011</v>
      </c>
      <c r="G1666" s="15">
        <v>20110421</v>
      </c>
      <c r="H1666" s="15">
        <v>44950</v>
      </c>
      <c r="I1666" s="15">
        <v>4.5</v>
      </c>
      <c r="J1666" s="6" t="s">
        <v>37</v>
      </c>
      <c r="K1666" s="15">
        <v>214</v>
      </c>
      <c r="L1666" s="15" t="s">
        <v>56</v>
      </c>
      <c r="M1666" s="15" t="s">
        <v>5</v>
      </c>
      <c r="N1666" s="11" t="s">
        <v>1391</v>
      </c>
      <c r="O1666" s="11" t="s">
        <v>46</v>
      </c>
      <c r="P1666" s="11" t="s">
        <v>29</v>
      </c>
      <c r="Q1666" s="15">
        <v>95</v>
      </c>
      <c r="R1666" s="11" t="s">
        <v>3</v>
      </c>
      <c r="S1666" s="10">
        <v>122.98847603989</v>
      </c>
      <c r="T1666" s="15">
        <v>80</v>
      </c>
      <c r="U1666" s="15">
        <v>0</v>
      </c>
      <c r="V1666" s="15">
        <v>1</v>
      </c>
      <c r="W1666" s="15">
        <v>0</v>
      </c>
      <c r="X1666" s="15">
        <f>IF(O1666='Udvaskning nøgletal'!$D$65,1,IF(O1666='Udvaskning nøgletal'!$D$66,2,IF(O1666='Udvaskning nøgletal'!$D$67,3,IF(O1666='Udvaskning nøgletal'!$D$68,2,""))))</f>
        <v>2</v>
      </c>
      <c r="Y1666" s="15">
        <f>LOOKUP(K1666,'Udvaskning nøgletal'!$C$12:$C$60,'Udvaskning nøgletal'!$H$12:$H$60)</f>
        <v>0</v>
      </c>
      <c r="Z1666" s="10">
        <f>IF(X1666=1,LOOKUP(K1666,'Udvaskning nøgletal'!$C$12:$C$60,'Udvaskning nøgletal'!$E$12:$E$60)+Markniveau!Y1666*Markniveau!S1666/100,IF(X1666=2,LOOKUP(K1666,'Udvaskning nøgletal'!$C$12:$C$60,'Udvaskning nøgletal'!$F$12:$F$60)+Markniveau!Y1666*Markniveau!S1666/100,IF(X1666=3,LOOKUP(K1666,'Udvaskning nøgletal'!$C$12:$C$60,'Udvaskning nøgletal'!G1676:G1724)+Markniveau!Y1666*Markniveau!S1666/100,"")))</f>
        <v>31.161328188970323</v>
      </c>
      <c r="AA1666" s="10">
        <f t="shared" si="256"/>
        <v>140.22597685036646</v>
      </c>
      <c r="AB1666" s="10">
        <f t="shared" ref="AB1666:AB1729" si="265">IF(Q1666&gt;0,(100-Q1666)*Z1666/100,"")</f>
        <v>1.5580664094485162</v>
      </c>
      <c r="AC1666" s="10">
        <f t="shared" si="257"/>
        <v>7.0112988425183227</v>
      </c>
      <c r="AD1666" s="10">
        <f>IF(AND(Q1666&gt;0,Q1666&lt;30,K1666&lt;8),Markniveau!Z1666*'Udvaskning nøgletal'!$I$12/100,IF(AND(Q1666&gt;0,Q1666&lt;30,K1666=216),Markniveau!Z1666*'Udvaskning nøgletal'!$I$34/100,Markniveau!Z1666))</f>
        <v>31.161328188970323</v>
      </c>
      <c r="AE1666" s="10">
        <f t="shared" si="263"/>
        <v>140.22597685036646</v>
      </c>
      <c r="AF1666" s="10">
        <f t="shared" si="258"/>
        <v>1.5580664094485162</v>
      </c>
      <c r="AG1666" s="10">
        <f t="shared" si="264"/>
        <v>7.0112988425183227</v>
      </c>
      <c r="AH1666" s="10" t="str">
        <f>IF(AND(Q1666&gt;0,Q1666&lt;30,K1666=216),'Udvaskning nøgletal'!$C$42,IF(AND(Q1666&gt;0,Q1666&lt;30,K1666&gt;7,K1666&lt;17),'Udvaskning nøgletal'!$C$61,IF(AND(Q1666&gt;0,Q1666&lt;30,K1666&lt;7),'Udvaskning nøgletal'!$C$62,"")))</f>
        <v/>
      </c>
      <c r="AI1666" s="10">
        <f t="shared" si="260"/>
        <v>214</v>
      </c>
      <c r="AJ1666" s="10">
        <f>IF($X1666=1,LOOKUP(AI1666,'Udvaskning nøgletal'!$C$12:$C$62,'Udvaskning nøgletal'!$E$12:$E$62)+Markniveau!$Y1666*Markniveau!$S1666/100,IF($X1666=2,LOOKUP(AI1666,'Udvaskning nøgletal'!$C$12:$C$62,'Udvaskning nøgletal'!$F$12:$F$62)+Markniveau!$Y1666*Markniveau!$S1666/100,IF($X1666=3,LOOKUP(AI1666,'Udvaskning nøgletal'!$C$12:$C$62,'Udvaskning nøgletal'!Q1676:Q1726)+Markniveau!$Y1666*Markniveau!$S1666/100,"")))</f>
        <v>31.161328188970323</v>
      </c>
      <c r="AK1666" s="10">
        <f t="shared" si="259"/>
        <v>140.22597685036646</v>
      </c>
      <c r="AL1666" s="10">
        <f t="shared" si="261"/>
        <v>1.5580664094485162</v>
      </c>
      <c r="AM1666" s="10">
        <f t="shared" si="262"/>
        <v>7.0112988425183227</v>
      </c>
    </row>
    <row r="1667" spans="1:39" x14ac:dyDescent="0.25">
      <c r="A1667" s="15">
        <v>98333053</v>
      </c>
      <c r="B1667" s="15">
        <v>288.98</v>
      </c>
      <c r="C1667" s="15">
        <v>195546</v>
      </c>
      <c r="D1667" s="15">
        <v>33037</v>
      </c>
      <c r="E1667" s="15" t="s">
        <v>1323</v>
      </c>
      <c r="F1667" s="15">
        <v>2011</v>
      </c>
      <c r="G1667" s="15">
        <v>20110421</v>
      </c>
      <c r="H1667" s="15">
        <v>9053</v>
      </c>
      <c r="I1667" s="15">
        <v>0.91</v>
      </c>
      <c r="J1667" s="6" t="s">
        <v>1324</v>
      </c>
      <c r="K1667" s="15">
        <v>583</v>
      </c>
      <c r="L1667" s="15" t="s">
        <v>154</v>
      </c>
      <c r="M1667" s="15" t="s">
        <v>155</v>
      </c>
      <c r="N1667" s="11" t="s">
        <v>1391</v>
      </c>
      <c r="O1667" s="11" t="s">
        <v>46</v>
      </c>
      <c r="P1667" s="11" t="s">
        <v>29</v>
      </c>
      <c r="Q1667" s="15">
        <v>95</v>
      </c>
      <c r="R1667" s="11" t="s">
        <v>3</v>
      </c>
      <c r="S1667" s="10">
        <v>122.98847603989</v>
      </c>
      <c r="T1667" s="15">
        <v>80</v>
      </c>
      <c r="U1667" s="15">
        <v>0</v>
      </c>
      <c r="V1667" s="15">
        <v>1</v>
      </c>
      <c r="W1667" s="15">
        <v>0</v>
      </c>
      <c r="X1667" s="15">
        <f>IF(O1667='Udvaskning nøgletal'!$D$65,1,IF(O1667='Udvaskning nøgletal'!$D$66,2,IF(O1667='Udvaskning nøgletal'!$D$67,3,IF(O1667='Udvaskning nøgletal'!$D$68,2,""))))</f>
        <v>2</v>
      </c>
      <c r="Y1667" s="15">
        <f>LOOKUP(K1667,'Udvaskning nøgletal'!$C$12:$C$60,'Udvaskning nøgletal'!$H$12:$H$60)</f>
        <v>0</v>
      </c>
      <c r="Z1667" s="10">
        <f>IF(X1667=1,LOOKUP(K1667,'Udvaskning nøgletal'!$C$12:$C$60,'Udvaskning nøgletal'!$E$12:$E$60)+Markniveau!Y1667*Markniveau!S1667/100,IF(X1667=2,LOOKUP(K1667,'Udvaskning nøgletal'!$C$12:$C$60,'Udvaskning nøgletal'!$F$12:$F$60)+Markniveau!Y1667*Markniveau!S1667/100,IF(X1667=3,LOOKUP(K1667,'Udvaskning nøgletal'!$C$12:$C$60,'Udvaskning nøgletal'!G1677:G1725)+Markniveau!Y1667*Markniveau!S1667/100,"")))</f>
        <v>10</v>
      </c>
      <c r="AA1667" s="10">
        <f t="shared" ref="AA1667:AA1730" si="266">Z1667*I1667</f>
        <v>9.1</v>
      </c>
      <c r="AB1667" s="10">
        <f t="shared" si="265"/>
        <v>0.5</v>
      </c>
      <c r="AC1667" s="10">
        <f t="shared" ref="AC1667:AC1730" si="267">IF(Q1667&gt;0,AB1667*I1667,"")</f>
        <v>0.45500000000000002</v>
      </c>
      <c r="AD1667" s="10">
        <f>IF(AND(Q1667&gt;0,Q1667&lt;30,K1667&lt;8),Markniveau!Z1667*'Udvaskning nøgletal'!$I$12/100,IF(AND(Q1667&gt;0,Q1667&lt;30,K1667=216),Markniveau!Z1667*'Udvaskning nøgletal'!$I$34/100,Markniveau!Z1667))</f>
        <v>10</v>
      </c>
      <c r="AE1667" s="10">
        <f t="shared" si="263"/>
        <v>9.1</v>
      </c>
      <c r="AF1667" s="10">
        <f t="shared" ref="AF1667:AF1730" si="268">IF($Q1667&gt;0,(100-$Q1667)*$AD1667/100,"")</f>
        <v>0.5</v>
      </c>
      <c r="AG1667" s="10">
        <f t="shared" si="264"/>
        <v>0.45500000000000002</v>
      </c>
      <c r="AH1667" s="10" t="str">
        <f>IF(AND(Q1667&gt;0,Q1667&lt;30,K1667=216),'Udvaskning nøgletal'!$C$42,IF(AND(Q1667&gt;0,Q1667&lt;30,K1667&gt;7,K1667&lt;17),'Udvaskning nøgletal'!$C$61,IF(AND(Q1667&gt;0,Q1667&lt;30,K1667&lt;7),'Udvaskning nøgletal'!$C$62,"")))</f>
        <v/>
      </c>
      <c r="AI1667" s="10">
        <f t="shared" si="260"/>
        <v>583</v>
      </c>
      <c r="AJ1667" s="10">
        <f>IF($X1667=1,LOOKUP(AI1667,'Udvaskning nøgletal'!$C$12:$C$62,'Udvaskning nøgletal'!$E$12:$E$62)+Markniveau!$Y1667*Markniveau!$S1667/100,IF($X1667=2,LOOKUP(AI1667,'Udvaskning nøgletal'!$C$12:$C$62,'Udvaskning nøgletal'!$F$12:$F$62)+Markniveau!$Y1667*Markniveau!$S1667/100,IF($X1667=3,LOOKUP(AI1667,'Udvaskning nøgletal'!$C$12:$C$62,'Udvaskning nøgletal'!Q1677:Q1727)+Markniveau!$Y1667*Markniveau!$S1667/100,"")))</f>
        <v>10</v>
      </c>
      <c r="AK1667" s="10">
        <f t="shared" ref="AK1667:AK1730" si="269">AJ1667*$I1667</f>
        <v>9.1</v>
      </c>
      <c r="AL1667" s="10">
        <f t="shared" si="261"/>
        <v>0.5</v>
      </c>
      <c r="AM1667" s="10">
        <f t="shared" si="262"/>
        <v>0.45500000000000002</v>
      </c>
    </row>
    <row r="1668" spans="1:39" x14ac:dyDescent="0.25">
      <c r="A1668" s="15">
        <v>98333053</v>
      </c>
      <c r="B1668" s="15">
        <v>288.98</v>
      </c>
      <c r="C1668" s="15">
        <v>195548</v>
      </c>
      <c r="D1668" s="15">
        <v>33037</v>
      </c>
      <c r="E1668" s="15" t="s">
        <v>1293</v>
      </c>
      <c r="F1668" s="15">
        <v>2011</v>
      </c>
      <c r="G1668" s="15">
        <v>20110421</v>
      </c>
      <c r="H1668" s="15">
        <v>11898</v>
      </c>
      <c r="I1668" s="15">
        <v>1.19</v>
      </c>
      <c r="J1668" s="6" t="s">
        <v>31</v>
      </c>
      <c r="K1668" s="15">
        <v>252</v>
      </c>
      <c r="L1668" s="15" t="s">
        <v>41</v>
      </c>
      <c r="M1668" s="15" t="s">
        <v>4</v>
      </c>
      <c r="N1668" s="11" t="s">
        <v>1391</v>
      </c>
      <c r="O1668" s="11" t="s">
        <v>46</v>
      </c>
      <c r="P1668" s="11" t="s">
        <v>29</v>
      </c>
      <c r="Q1668" s="15">
        <v>95</v>
      </c>
      <c r="R1668" s="11" t="s">
        <v>3</v>
      </c>
      <c r="S1668" s="10">
        <v>122.98847603989</v>
      </c>
      <c r="T1668" s="15">
        <v>80</v>
      </c>
      <c r="U1668" s="15">
        <v>0</v>
      </c>
      <c r="V1668" s="15">
        <v>1</v>
      </c>
      <c r="W1668" s="15">
        <v>0</v>
      </c>
      <c r="X1668" s="15">
        <f>IF(O1668='Udvaskning nøgletal'!$D$65,1,IF(O1668='Udvaskning nøgletal'!$D$66,2,IF(O1668='Udvaskning nøgletal'!$D$67,3,IF(O1668='Udvaskning nøgletal'!$D$68,2,""))))</f>
        <v>2</v>
      </c>
      <c r="Y1668" s="15">
        <f>LOOKUP(K1668,'Udvaskning nøgletal'!$C$12:$C$60,'Udvaskning nøgletal'!$H$12:$H$60)</f>
        <v>0</v>
      </c>
      <c r="Z1668" s="10">
        <f>IF(X1668=1,LOOKUP(K1668,'Udvaskning nøgletal'!$C$12:$C$60,'Udvaskning nøgletal'!$E$12:$E$60)+Markniveau!Y1668*Markniveau!S1668/100,IF(X1668=2,LOOKUP(K1668,'Udvaskning nøgletal'!$C$12:$C$60,'Udvaskning nøgletal'!$F$12:$F$60)+Markniveau!Y1668*Markniveau!S1668/100,IF(X1668=3,LOOKUP(K1668,'Udvaskning nøgletal'!$C$12:$C$60,'Udvaskning nøgletal'!G1678:G1726)+Markniveau!Y1668*Markniveau!S1668/100,"")))</f>
        <v>21.2</v>
      </c>
      <c r="AA1668" s="10">
        <f t="shared" si="266"/>
        <v>25.227999999999998</v>
      </c>
      <c r="AB1668" s="10">
        <f t="shared" si="265"/>
        <v>1.06</v>
      </c>
      <c r="AC1668" s="10">
        <f t="shared" si="267"/>
        <v>1.2614000000000001</v>
      </c>
      <c r="AD1668" s="10">
        <f>IF(AND(Q1668&gt;0,Q1668&lt;30,K1668&lt;8),Markniveau!Z1668*'Udvaskning nøgletal'!$I$12/100,IF(AND(Q1668&gt;0,Q1668&lt;30,K1668=216),Markniveau!Z1668*'Udvaskning nøgletal'!$I$34/100,Markniveau!Z1668))</f>
        <v>21.2</v>
      </c>
      <c r="AE1668" s="10">
        <f t="shared" si="263"/>
        <v>25.227999999999998</v>
      </c>
      <c r="AF1668" s="10">
        <f t="shared" si="268"/>
        <v>1.06</v>
      </c>
      <c r="AG1668" s="10">
        <f t="shared" si="264"/>
        <v>1.2614000000000001</v>
      </c>
      <c r="AH1668" s="10" t="str">
        <f>IF(AND(Q1668&gt;0,Q1668&lt;30,K1668=216),'Udvaskning nøgletal'!$C$42,IF(AND(Q1668&gt;0,Q1668&lt;30,K1668&gt;7,K1668&lt;17),'Udvaskning nøgletal'!$C$61,IF(AND(Q1668&gt;0,Q1668&lt;30,K1668&lt;7),'Udvaskning nøgletal'!$C$62,"")))</f>
        <v/>
      </c>
      <c r="AI1668" s="10">
        <f t="shared" si="260"/>
        <v>252</v>
      </c>
      <c r="AJ1668" s="10">
        <f>IF($X1668=1,LOOKUP(AI1668,'Udvaskning nøgletal'!$C$12:$C$62,'Udvaskning nøgletal'!$E$12:$E$62)+Markniveau!$Y1668*Markniveau!$S1668/100,IF($X1668=2,LOOKUP(AI1668,'Udvaskning nøgletal'!$C$12:$C$62,'Udvaskning nøgletal'!$F$12:$F$62)+Markniveau!$Y1668*Markniveau!$S1668/100,IF($X1668=3,LOOKUP(AI1668,'Udvaskning nøgletal'!$C$12:$C$62,'Udvaskning nøgletal'!Q1678:Q1728)+Markniveau!$Y1668*Markniveau!$S1668/100,"")))</f>
        <v>21.2</v>
      </c>
      <c r="AK1668" s="10">
        <f t="shared" si="269"/>
        <v>25.227999999999998</v>
      </c>
      <c r="AL1668" s="10">
        <f t="shared" si="261"/>
        <v>1.06</v>
      </c>
      <c r="AM1668" s="10">
        <f t="shared" si="262"/>
        <v>1.2614000000000001</v>
      </c>
    </row>
    <row r="1669" spans="1:39" x14ac:dyDescent="0.25">
      <c r="A1669" s="15">
        <v>98333053</v>
      </c>
      <c r="B1669" s="15">
        <v>288.98</v>
      </c>
      <c r="C1669" s="15">
        <v>195549</v>
      </c>
      <c r="D1669" s="15">
        <v>33037</v>
      </c>
      <c r="E1669" s="15" t="s">
        <v>1257</v>
      </c>
      <c r="F1669" s="15">
        <v>2011</v>
      </c>
      <c r="G1669" s="15">
        <v>20110421</v>
      </c>
      <c r="H1669" s="15">
        <v>12582</v>
      </c>
      <c r="I1669" s="15">
        <v>1.26</v>
      </c>
      <c r="J1669" s="6" t="s">
        <v>1402</v>
      </c>
      <c r="K1669" s="15">
        <v>260</v>
      </c>
      <c r="L1669" s="15" t="s">
        <v>45</v>
      </c>
      <c r="M1669" s="15" t="s">
        <v>5</v>
      </c>
      <c r="N1669" s="11" t="s">
        <v>1391</v>
      </c>
      <c r="O1669" s="11" t="s">
        <v>46</v>
      </c>
      <c r="P1669" s="11" t="s">
        <v>29</v>
      </c>
      <c r="Q1669" s="15">
        <v>1</v>
      </c>
      <c r="R1669" s="11" t="s">
        <v>11</v>
      </c>
      <c r="S1669" s="10">
        <v>122.98847603989</v>
      </c>
      <c r="T1669" s="15">
        <v>80</v>
      </c>
      <c r="U1669" s="15">
        <v>0</v>
      </c>
      <c r="V1669" s="15">
        <v>1</v>
      </c>
      <c r="W1669" s="15">
        <v>0</v>
      </c>
      <c r="X1669" s="15">
        <f>IF(O1669='Udvaskning nøgletal'!$D$65,1,IF(O1669='Udvaskning nøgletal'!$D$66,2,IF(O1669='Udvaskning nøgletal'!$D$67,3,IF(O1669='Udvaskning nøgletal'!$D$68,2,""))))</f>
        <v>2</v>
      </c>
      <c r="Y1669" s="15">
        <f>LOOKUP(K1669,'Udvaskning nøgletal'!$C$12:$C$60,'Udvaskning nøgletal'!$H$12:$H$60)</f>
        <v>0</v>
      </c>
      <c r="Z1669" s="10">
        <f>IF(X1669=1,LOOKUP(K1669,'Udvaskning nøgletal'!$C$12:$C$60,'Udvaskning nøgletal'!$E$12:$E$60)+Markniveau!Y1669*Markniveau!S1669/100,IF(X1669=2,LOOKUP(K1669,'Udvaskning nøgletal'!$C$12:$C$60,'Udvaskning nøgletal'!$F$12:$F$60)+Markniveau!Y1669*Markniveau!S1669/100,IF(X1669=3,LOOKUP(K1669,'Udvaskning nøgletal'!$C$12:$C$60,'Udvaskning nøgletal'!G1679:G1727)+Markniveau!Y1669*Markniveau!S1669/100,"")))</f>
        <v>27.331185321443094</v>
      </c>
      <c r="AA1669" s="10">
        <f t="shared" si="266"/>
        <v>34.437293505018296</v>
      </c>
      <c r="AB1669" s="10">
        <f t="shared" si="265"/>
        <v>27.057873468228664</v>
      </c>
      <c r="AC1669" s="10">
        <f t="shared" si="267"/>
        <v>34.092920569968115</v>
      </c>
      <c r="AD1669" s="10">
        <f>IF(AND(Q1669&gt;0,Q1669&lt;30,K1669&lt;8),Markniveau!Z1669*'Udvaskning nøgletal'!$I$12/100,IF(AND(Q1669&gt;0,Q1669&lt;30,K1669=216),Markniveau!Z1669*'Udvaskning nøgletal'!$I$34/100,Markniveau!Z1669))</f>
        <v>27.331185321443094</v>
      </c>
      <c r="AE1669" s="10">
        <f t="shared" si="263"/>
        <v>34.437293505018296</v>
      </c>
      <c r="AF1669" s="10">
        <f t="shared" si="268"/>
        <v>27.057873468228664</v>
      </c>
      <c r="AG1669" s="10">
        <f t="shared" si="264"/>
        <v>34.092920569968115</v>
      </c>
      <c r="AH1669" s="10" t="str">
        <f>IF(AND(Q1669&gt;0,Q1669&lt;30,K1669=216),'Udvaskning nøgletal'!$C$42,IF(AND(Q1669&gt;0,Q1669&lt;30,K1669&gt;7,K1669&lt;17),'Udvaskning nøgletal'!$C$61,IF(AND(Q1669&gt;0,Q1669&lt;30,K1669&lt;7),'Udvaskning nøgletal'!$C$62,"")))</f>
        <v/>
      </c>
      <c r="AI1669" s="10">
        <f t="shared" si="260"/>
        <v>260</v>
      </c>
      <c r="AJ1669" s="10">
        <f>IF($X1669=1,LOOKUP(AI1669,'Udvaskning nøgletal'!$C$12:$C$62,'Udvaskning nøgletal'!$E$12:$E$62)+Markniveau!$Y1669*Markniveau!$S1669/100,IF($X1669=2,LOOKUP(AI1669,'Udvaskning nøgletal'!$C$12:$C$62,'Udvaskning nøgletal'!$F$12:$F$62)+Markniveau!$Y1669*Markniveau!$S1669/100,IF($X1669=3,LOOKUP(AI1669,'Udvaskning nøgletal'!$C$12:$C$62,'Udvaskning nøgletal'!Q1679:Q1729)+Markniveau!$Y1669*Markniveau!$S1669/100,"")))</f>
        <v>27.331185321443094</v>
      </c>
      <c r="AK1669" s="10">
        <f t="shared" si="269"/>
        <v>34.437293505018296</v>
      </c>
      <c r="AL1669" s="10">
        <f t="shared" si="261"/>
        <v>27.057873468228664</v>
      </c>
      <c r="AM1669" s="10">
        <f t="shared" si="262"/>
        <v>34.092920569968115</v>
      </c>
    </row>
    <row r="1670" spans="1:39" x14ac:dyDescent="0.25">
      <c r="A1670" s="15">
        <v>98333053</v>
      </c>
      <c r="B1670" s="15">
        <v>288.98</v>
      </c>
      <c r="C1670" s="15">
        <v>195550</v>
      </c>
      <c r="D1670" s="15">
        <v>33037</v>
      </c>
      <c r="E1670" s="15" t="s">
        <v>1257</v>
      </c>
      <c r="F1670" s="15">
        <v>2011</v>
      </c>
      <c r="G1670" s="15">
        <v>20110421</v>
      </c>
      <c r="H1670" s="15">
        <v>62583</v>
      </c>
      <c r="I1670" s="15">
        <v>6.26</v>
      </c>
      <c r="J1670" s="6" t="s">
        <v>61</v>
      </c>
      <c r="K1670" s="15">
        <v>260</v>
      </c>
      <c r="L1670" s="15" t="s">
        <v>45</v>
      </c>
      <c r="M1670" s="15" t="s">
        <v>5</v>
      </c>
      <c r="N1670" s="11" t="s">
        <v>1391</v>
      </c>
      <c r="O1670" s="11" t="s">
        <v>46</v>
      </c>
      <c r="P1670" s="11" t="s">
        <v>29</v>
      </c>
      <c r="Q1670" s="15">
        <v>95</v>
      </c>
      <c r="R1670" s="11" t="s">
        <v>3</v>
      </c>
      <c r="S1670" s="10">
        <v>122.98847603989</v>
      </c>
      <c r="T1670" s="15">
        <v>80</v>
      </c>
      <c r="U1670" s="15">
        <v>0</v>
      </c>
      <c r="V1670" s="15">
        <v>1</v>
      </c>
      <c r="W1670" s="15">
        <v>0</v>
      </c>
      <c r="X1670" s="15">
        <f>IF(O1670='Udvaskning nøgletal'!$D$65,1,IF(O1670='Udvaskning nøgletal'!$D$66,2,IF(O1670='Udvaskning nøgletal'!$D$67,3,IF(O1670='Udvaskning nøgletal'!$D$68,2,""))))</f>
        <v>2</v>
      </c>
      <c r="Y1670" s="15">
        <f>LOOKUP(K1670,'Udvaskning nøgletal'!$C$12:$C$60,'Udvaskning nøgletal'!$H$12:$H$60)</f>
        <v>0</v>
      </c>
      <c r="Z1670" s="10">
        <f>IF(X1670=1,LOOKUP(K1670,'Udvaskning nøgletal'!$C$12:$C$60,'Udvaskning nøgletal'!$E$12:$E$60)+Markniveau!Y1670*Markniveau!S1670/100,IF(X1670=2,LOOKUP(K1670,'Udvaskning nøgletal'!$C$12:$C$60,'Udvaskning nøgletal'!$F$12:$F$60)+Markniveau!Y1670*Markniveau!S1670/100,IF(X1670=3,LOOKUP(K1670,'Udvaskning nøgletal'!$C$12:$C$60,'Udvaskning nøgletal'!G1680:G1728)+Markniveau!Y1670*Markniveau!S1670/100,"")))</f>
        <v>27.331185321443094</v>
      </c>
      <c r="AA1670" s="10">
        <f t="shared" si="266"/>
        <v>171.09322011223375</v>
      </c>
      <c r="AB1670" s="10">
        <f t="shared" si="265"/>
        <v>1.3665592660721546</v>
      </c>
      <c r="AC1670" s="10">
        <f t="shared" si="267"/>
        <v>8.5546610056116883</v>
      </c>
      <c r="AD1670" s="10">
        <f>IF(AND(Q1670&gt;0,Q1670&lt;30,K1670&lt;8),Markniveau!Z1670*'Udvaskning nøgletal'!$I$12/100,IF(AND(Q1670&gt;0,Q1670&lt;30,K1670=216),Markniveau!Z1670*'Udvaskning nøgletal'!$I$34/100,Markniveau!Z1670))</f>
        <v>27.331185321443094</v>
      </c>
      <c r="AE1670" s="10">
        <f t="shared" si="263"/>
        <v>171.09322011223375</v>
      </c>
      <c r="AF1670" s="10">
        <f t="shared" si="268"/>
        <v>1.3665592660721546</v>
      </c>
      <c r="AG1670" s="10">
        <f t="shared" si="264"/>
        <v>8.5546610056116883</v>
      </c>
      <c r="AH1670" s="10" t="str">
        <f>IF(AND(Q1670&gt;0,Q1670&lt;30,K1670=216),'Udvaskning nøgletal'!$C$42,IF(AND(Q1670&gt;0,Q1670&lt;30,K1670&gt;7,K1670&lt;17),'Udvaskning nøgletal'!$C$61,IF(AND(Q1670&gt;0,Q1670&lt;30,K1670&lt;7),'Udvaskning nøgletal'!$C$62,"")))</f>
        <v/>
      </c>
      <c r="AI1670" s="10">
        <f t="shared" si="260"/>
        <v>260</v>
      </c>
      <c r="AJ1670" s="10">
        <f>IF($X1670=1,LOOKUP(AI1670,'Udvaskning nøgletal'!$C$12:$C$62,'Udvaskning nøgletal'!$E$12:$E$62)+Markniveau!$Y1670*Markniveau!$S1670/100,IF($X1670=2,LOOKUP(AI1670,'Udvaskning nøgletal'!$C$12:$C$62,'Udvaskning nøgletal'!$F$12:$F$62)+Markniveau!$Y1670*Markniveau!$S1670/100,IF($X1670=3,LOOKUP(AI1670,'Udvaskning nøgletal'!$C$12:$C$62,'Udvaskning nøgletal'!Q1680:Q1730)+Markniveau!$Y1670*Markniveau!$S1670/100,"")))</f>
        <v>27.331185321443094</v>
      </c>
      <c r="AK1670" s="10">
        <f t="shared" si="269"/>
        <v>171.09322011223375</v>
      </c>
      <c r="AL1670" s="10">
        <f t="shared" si="261"/>
        <v>1.3665592660721546</v>
      </c>
      <c r="AM1670" s="10">
        <f t="shared" si="262"/>
        <v>8.5546610056116883</v>
      </c>
    </row>
    <row r="1671" spans="1:39" x14ac:dyDescent="0.25">
      <c r="A1671" s="15">
        <v>98333053</v>
      </c>
      <c r="B1671" s="15">
        <v>288.98</v>
      </c>
      <c r="C1671" s="15">
        <v>196047</v>
      </c>
      <c r="D1671" s="15">
        <v>33037</v>
      </c>
      <c r="E1671" s="15" t="s">
        <v>1257</v>
      </c>
      <c r="F1671" s="15">
        <v>2011</v>
      </c>
      <c r="G1671" s="15">
        <v>20110421</v>
      </c>
      <c r="H1671" s="15">
        <v>124206</v>
      </c>
      <c r="I1671" s="15">
        <v>12.42</v>
      </c>
      <c r="J1671" s="6" t="s">
        <v>91</v>
      </c>
      <c r="K1671" s="15">
        <v>11</v>
      </c>
      <c r="L1671" s="15" t="s">
        <v>102</v>
      </c>
      <c r="M1671" s="15" t="s">
        <v>5</v>
      </c>
      <c r="N1671" s="11" t="s">
        <v>1391</v>
      </c>
      <c r="O1671" s="11" t="s">
        <v>46</v>
      </c>
      <c r="P1671" s="11" t="s">
        <v>29</v>
      </c>
      <c r="Q1671" s="15">
        <v>95</v>
      </c>
      <c r="R1671" s="11" t="s">
        <v>3</v>
      </c>
      <c r="S1671" s="10">
        <v>122.98847603989</v>
      </c>
      <c r="T1671" s="15">
        <v>80</v>
      </c>
      <c r="U1671" s="15">
        <v>0</v>
      </c>
      <c r="V1671" s="15">
        <v>1</v>
      </c>
      <c r="W1671" s="15">
        <v>0</v>
      </c>
      <c r="X1671" s="15">
        <f>IF(O1671='Udvaskning nøgletal'!$D$65,1,IF(O1671='Udvaskning nøgletal'!$D$66,2,IF(O1671='Udvaskning nøgletal'!$D$67,3,IF(O1671='Udvaskning nøgletal'!$D$68,2,""))))</f>
        <v>2</v>
      </c>
      <c r="Y1671" s="15">
        <f>LOOKUP(K1671,'Udvaskning nøgletal'!$C$12:$C$60,'Udvaskning nøgletal'!$H$12:$H$60)</f>
        <v>5</v>
      </c>
      <c r="Z1671" s="10">
        <f>IF(X1671=1,LOOKUP(K1671,'Udvaskning nøgletal'!$C$12:$C$60,'Udvaskning nøgletal'!$E$12:$E$60)+Markniveau!Y1671*Markniveau!S1671/100,IF(X1671=2,LOOKUP(K1671,'Udvaskning nøgletal'!$C$12:$C$60,'Udvaskning nøgletal'!$F$12:$F$60)+Markniveau!Y1671*Markniveau!S1671/100,IF(X1671=3,LOOKUP(K1671,'Udvaskning nøgletal'!$C$12:$C$60,'Udvaskning nøgletal'!G1681:G1729)+Markniveau!Y1671*Markniveau!S1671/100,"")))</f>
        <v>57.029423801994504</v>
      </c>
      <c r="AA1671" s="10">
        <f t="shared" si="266"/>
        <v>708.30544362077171</v>
      </c>
      <c r="AB1671" s="10">
        <f t="shared" si="265"/>
        <v>2.8514711900997254</v>
      </c>
      <c r="AC1671" s="10">
        <f t="shared" si="267"/>
        <v>35.415272181038588</v>
      </c>
      <c r="AD1671" s="10">
        <f>IF(AND(Q1671&gt;0,Q1671&lt;30,K1671&lt;8),Markniveau!Z1671*'Udvaskning nøgletal'!$I$12/100,IF(AND(Q1671&gt;0,Q1671&lt;30,K1671=216),Markniveau!Z1671*'Udvaskning nøgletal'!$I$34/100,Markniveau!Z1671))</f>
        <v>57.029423801994504</v>
      </c>
      <c r="AE1671" s="10">
        <f t="shared" si="263"/>
        <v>708.30544362077171</v>
      </c>
      <c r="AF1671" s="10">
        <f t="shared" si="268"/>
        <v>2.8514711900997254</v>
      </c>
      <c r="AG1671" s="10">
        <f t="shared" si="264"/>
        <v>35.415272181038588</v>
      </c>
      <c r="AH1671" s="10" t="str">
        <f>IF(AND(Q1671&gt;0,Q1671&lt;30,K1671=216),'Udvaskning nøgletal'!$C$42,IF(AND(Q1671&gt;0,Q1671&lt;30,K1671&gt;7,K1671&lt;17),'Udvaskning nøgletal'!$C$61,IF(AND(Q1671&gt;0,Q1671&lt;30,K1671&lt;7),'Udvaskning nøgletal'!$C$62,"")))</f>
        <v/>
      </c>
      <c r="AI1671" s="10">
        <f t="shared" si="260"/>
        <v>11</v>
      </c>
      <c r="AJ1671" s="10">
        <f>IF($X1671=1,LOOKUP(AI1671,'Udvaskning nøgletal'!$C$12:$C$62,'Udvaskning nøgletal'!$E$12:$E$62)+Markniveau!$Y1671*Markniveau!$S1671/100,IF($X1671=2,LOOKUP(AI1671,'Udvaskning nøgletal'!$C$12:$C$62,'Udvaskning nøgletal'!$F$12:$F$62)+Markniveau!$Y1671*Markniveau!$S1671/100,IF($X1671=3,LOOKUP(AI1671,'Udvaskning nøgletal'!$C$12:$C$62,'Udvaskning nøgletal'!Q1681:Q1731)+Markniveau!$Y1671*Markniveau!$S1671/100,"")))</f>
        <v>57.029423801994504</v>
      </c>
      <c r="AK1671" s="10">
        <f t="shared" si="269"/>
        <v>708.30544362077171</v>
      </c>
      <c r="AL1671" s="10">
        <f t="shared" si="261"/>
        <v>2.8514711900997254</v>
      </c>
      <c r="AM1671" s="10">
        <f t="shared" si="262"/>
        <v>35.415272181038588</v>
      </c>
    </row>
    <row r="1672" spans="1:39" x14ac:dyDescent="0.25">
      <c r="A1672" s="15">
        <v>98333053</v>
      </c>
      <c r="B1672" s="15">
        <v>288.98</v>
      </c>
      <c r="C1672" s="15">
        <v>196048</v>
      </c>
      <c r="D1672" s="15">
        <v>33037</v>
      </c>
      <c r="E1672" s="15" t="s">
        <v>1325</v>
      </c>
      <c r="F1672" s="15">
        <v>2011</v>
      </c>
      <c r="G1672" s="15">
        <v>20110421</v>
      </c>
      <c r="H1672" s="15">
        <v>42097</v>
      </c>
      <c r="I1672" s="15">
        <v>4.21</v>
      </c>
      <c r="J1672" s="6" t="s">
        <v>53</v>
      </c>
      <c r="K1672" s="15">
        <v>216</v>
      </c>
      <c r="L1672" s="15" t="s">
        <v>116</v>
      </c>
      <c r="M1672" s="15" t="s">
        <v>5</v>
      </c>
      <c r="N1672" s="11" t="s">
        <v>1391</v>
      </c>
      <c r="O1672" s="11" t="s">
        <v>46</v>
      </c>
      <c r="P1672" s="11" t="s">
        <v>29</v>
      </c>
      <c r="Q1672" s="15">
        <v>95</v>
      </c>
      <c r="R1672" s="11" t="s">
        <v>3</v>
      </c>
      <c r="S1672" s="10">
        <v>122.98847603989</v>
      </c>
      <c r="T1672" s="15">
        <v>80</v>
      </c>
      <c r="U1672" s="15">
        <v>0</v>
      </c>
      <c r="V1672" s="15">
        <v>1</v>
      </c>
      <c r="W1672" s="15">
        <v>0</v>
      </c>
      <c r="X1672" s="15">
        <f>IF(O1672='Udvaskning nøgletal'!$D$65,1,IF(O1672='Udvaskning nøgletal'!$D$66,2,IF(O1672='Udvaskning nøgletal'!$D$67,3,IF(O1672='Udvaskning nøgletal'!$D$68,2,""))))</f>
        <v>2</v>
      </c>
      <c r="Y1672" s="15">
        <f>LOOKUP(K1672,'Udvaskning nøgletal'!$C$12:$C$60,'Udvaskning nøgletal'!$H$12:$H$60)</f>
        <v>0</v>
      </c>
      <c r="Z1672" s="10">
        <f>IF(X1672=1,LOOKUP(K1672,'Udvaskning nøgletal'!$C$12:$C$60,'Udvaskning nøgletal'!$E$12:$E$60)+Markniveau!Y1672*Markniveau!S1672/100,IF(X1672=2,LOOKUP(K1672,'Udvaskning nøgletal'!$C$12:$C$60,'Udvaskning nøgletal'!$F$12:$F$60)+Markniveau!Y1672*Markniveau!S1672/100,IF(X1672=3,LOOKUP(K1672,'Udvaskning nøgletal'!$C$12:$C$60,'Udvaskning nøgletal'!G1682:G1730)+Markniveau!Y1672*Markniveau!S1672/100,"")))</f>
        <v>101.66744640811392</v>
      </c>
      <c r="AA1672" s="10">
        <f t="shared" si="266"/>
        <v>428.01994937815959</v>
      </c>
      <c r="AB1672" s="10">
        <f t="shared" si="265"/>
        <v>5.0833723204056955</v>
      </c>
      <c r="AC1672" s="10">
        <f t="shared" si="267"/>
        <v>21.400997468907978</v>
      </c>
      <c r="AD1672" s="10">
        <f>IF(AND(Q1672&gt;0,Q1672&lt;30,K1672&lt;8),Markniveau!Z1672*'Udvaskning nøgletal'!$I$12/100,IF(AND(Q1672&gt;0,Q1672&lt;30,K1672=216),Markniveau!Z1672*'Udvaskning nøgletal'!$I$34/100,Markniveau!Z1672))</f>
        <v>101.66744640811392</v>
      </c>
      <c r="AE1672" s="10">
        <f t="shared" si="263"/>
        <v>428.01994937815959</v>
      </c>
      <c r="AF1672" s="10">
        <f t="shared" si="268"/>
        <v>5.0833723204056955</v>
      </c>
      <c r="AG1672" s="10">
        <f t="shared" si="264"/>
        <v>21.400997468907978</v>
      </c>
      <c r="AH1672" s="10" t="str">
        <f>IF(AND(Q1672&gt;0,Q1672&lt;30,K1672=216),'Udvaskning nøgletal'!$C$42,IF(AND(Q1672&gt;0,Q1672&lt;30,K1672&gt;7,K1672&lt;17),'Udvaskning nøgletal'!$C$61,IF(AND(Q1672&gt;0,Q1672&lt;30,K1672&lt;7),'Udvaskning nøgletal'!$C$62,"")))</f>
        <v/>
      </c>
      <c r="AI1672" s="10">
        <f t="shared" ref="AI1672:AI1732" si="270">IF(SUM(AH1672)&gt;0,AH1672,K1672)</f>
        <v>216</v>
      </c>
      <c r="AJ1672" s="10">
        <f>IF($X1672=1,LOOKUP(AI1672,'Udvaskning nøgletal'!$C$12:$C$62,'Udvaskning nøgletal'!$E$12:$E$62)+Markniveau!$Y1672*Markniveau!$S1672/100,IF($X1672=2,LOOKUP(AI1672,'Udvaskning nøgletal'!$C$12:$C$62,'Udvaskning nøgletal'!$F$12:$F$62)+Markniveau!$Y1672*Markniveau!$S1672/100,IF($X1672=3,LOOKUP(AI1672,'Udvaskning nøgletal'!$C$12:$C$62,'Udvaskning nøgletal'!Q1682:Q1732)+Markniveau!$Y1672*Markniveau!$S1672/100,"")))</f>
        <v>101.66744640811392</v>
      </c>
      <c r="AK1672" s="10">
        <f t="shared" si="269"/>
        <v>428.01994937815959</v>
      </c>
      <c r="AL1672" s="10">
        <f t="shared" si="261"/>
        <v>5.0833723204056955</v>
      </c>
      <c r="AM1672" s="10">
        <f t="shared" si="262"/>
        <v>21.400997468907978</v>
      </c>
    </row>
    <row r="1673" spans="1:39" x14ac:dyDescent="0.25">
      <c r="A1673" s="15">
        <v>98333053</v>
      </c>
      <c r="B1673" s="15">
        <v>288.98</v>
      </c>
      <c r="C1673" s="15">
        <v>196051</v>
      </c>
      <c r="D1673" s="15">
        <v>33037</v>
      </c>
      <c r="E1673" s="15" t="s">
        <v>1326</v>
      </c>
      <c r="F1673" s="15">
        <v>2011</v>
      </c>
      <c r="G1673" s="15">
        <v>20110421</v>
      </c>
      <c r="H1673" s="15">
        <v>11494</v>
      </c>
      <c r="I1673" s="15">
        <v>1.1499999999999999</v>
      </c>
      <c r="J1673" s="6" t="s">
        <v>1527</v>
      </c>
      <c r="K1673" s="15">
        <v>216</v>
      </c>
      <c r="L1673" s="15" t="s">
        <v>116</v>
      </c>
      <c r="M1673" s="15" t="s">
        <v>5</v>
      </c>
      <c r="N1673" s="11" t="s">
        <v>1391</v>
      </c>
      <c r="O1673" s="11" t="s">
        <v>46</v>
      </c>
      <c r="P1673" s="11" t="s">
        <v>33</v>
      </c>
      <c r="Q1673" s="15">
        <v>95</v>
      </c>
      <c r="R1673" s="11" t="s">
        <v>3</v>
      </c>
      <c r="S1673" s="10">
        <v>122.98847603989</v>
      </c>
      <c r="T1673" s="15">
        <v>80</v>
      </c>
      <c r="U1673" s="15">
        <v>0</v>
      </c>
      <c r="V1673" s="15">
        <v>1</v>
      </c>
      <c r="W1673" s="15">
        <v>0</v>
      </c>
      <c r="X1673" s="15">
        <f>IF(O1673='Udvaskning nøgletal'!$D$65,1,IF(O1673='Udvaskning nøgletal'!$D$66,2,IF(O1673='Udvaskning nøgletal'!$D$67,3,IF(O1673='Udvaskning nøgletal'!$D$68,2,""))))</f>
        <v>2</v>
      </c>
      <c r="Y1673" s="15">
        <f>LOOKUP(K1673,'Udvaskning nøgletal'!$C$12:$C$60,'Udvaskning nøgletal'!$H$12:$H$60)</f>
        <v>0</v>
      </c>
      <c r="Z1673" s="10">
        <f>IF(X1673=1,LOOKUP(K1673,'Udvaskning nøgletal'!$C$12:$C$60,'Udvaskning nøgletal'!$E$12:$E$60)+Markniveau!Y1673*Markniveau!S1673/100,IF(X1673=2,LOOKUP(K1673,'Udvaskning nøgletal'!$C$12:$C$60,'Udvaskning nøgletal'!$F$12:$F$60)+Markniveau!Y1673*Markniveau!S1673/100,IF(X1673=3,LOOKUP(K1673,'Udvaskning nøgletal'!$C$12:$C$60,'Udvaskning nøgletal'!G1683:G1731)+Markniveau!Y1673*Markniveau!S1673/100,"")))</f>
        <v>101.66744640811392</v>
      </c>
      <c r="AA1673" s="10">
        <f t="shared" si="266"/>
        <v>116.91756336933099</v>
      </c>
      <c r="AB1673" s="10">
        <f t="shared" si="265"/>
        <v>5.0833723204056955</v>
      </c>
      <c r="AC1673" s="10">
        <f t="shared" si="267"/>
        <v>5.8458781684665491</v>
      </c>
      <c r="AD1673" s="10">
        <f>IF(AND(Q1673&gt;0,Q1673&lt;30,K1673&lt;8),Markniveau!Z1673*'Udvaskning nøgletal'!$I$12/100,IF(AND(Q1673&gt;0,Q1673&lt;30,K1673=216),Markniveau!Z1673*'Udvaskning nøgletal'!$I$34/100,Markniveau!Z1673))</f>
        <v>101.66744640811392</v>
      </c>
      <c r="AE1673" s="10">
        <f t="shared" si="263"/>
        <v>116.91756336933099</v>
      </c>
      <c r="AF1673" s="10">
        <f t="shared" si="268"/>
        <v>5.0833723204056955</v>
      </c>
      <c r="AG1673" s="10">
        <f t="shared" si="264"/>
        <v>5.8458781684665491</v>
      </c>
      <c r="AH1673" s="10" t="str">
        <f>IF(AND(Q1673&gt;0,Q1673&lt;30,K1673=216),'Udvaskning nøgletal'!$C$42,IF(AND(Q1673&gt;0,Q1673&lt;30,K1673&gt;7,K1673&lt;17),'Udvaskning nøgletal'!$C$61,IF(AND(Q1673&gt;0,Q1673&lt;30,K1673&lt;7),'Udvaskning nøgletal'!$C$62,"")))</f>
        <v/>
      </c>
      <c r="AI1673" s="10">
        <f t="shared" si="270"/>
        <v>216</v>
      </c>
      <c r="AJ1673" s="10">
        <f>IF($X1673=1,LOOKUP(AI1673,'Udvaskning nøgletal'!$C$12:$C$62,'Udvaskning nøgletal'!$E$12:$E$62)+Markniveau!$Y1673*Markniveau!$S1673/100,IF($X1673=2,LOOKUP(AI1673,'Udvaskning nøgletal'!$C$12:$C$62,'Udvaskning nøgletal'!$F$12:$F$62)+Markniveau!$Y1673*Markniveau!$S1673/100,IF($X1673=3,LOOKUP(AI1673,'Udvaskning nøgletal'!$C$12:$C$62,'Udvaskning nøgletal'!Q1683:Q1733)+Markniveau!$Y1673*Markniveau!$S1673/100,"")))</f>
        <v>101.66744640811392</v>
      </c>
      <c r="AK1673" s="10">
        <f t="shared" si="269"/>
        <v>116.91756336933099</v>
      </c>
      <c r="AL1673" s="10">
        <f t="shared" si="261"/>
        <v>5.0833723204056955</v>
      </c>
      <c r="AM1673" s="10">
        <f t="shared" si="262"/>
        <v>5.8458781684665491</v>
      </c>
    </row>
    <row r="1674" spans="1:39" x14ac:dyDescent="0.25">
      <c r="A1674" s="15">
        <v>98333053</v>
      </c>
      <c r="B1674" s="15">
        <v>288.98</v>
      </c>
      <c r="C1674" s="15">
        <v>196053</v>
      </c>
      <c r="D1674" s="15">
        <v>33037</v>
      </c>
      <c r="E1674" s="15" t="s">
        <v>625</v>
      </c>
      <c r="F1674" s="15">
        <v>2011</v>
      </c>
      <c r="G1674" s="15">
        <v>20110421</v>
      </c>
      <c r="H1674" s="15">
        <v>2521</v>
      </c>
      <c r="I1674" s="15">
        <v>0.25</v>
      </c>
      <c r="J1674" s="6" t="s">
        <v>1327</v>
      </c>
      <c r="K1674" s="15">
        <v>252</v>
      </c>
      <c r="L1674" s="15" t="s">
        <v>41</v>
      </c>
      <c r="M1674" s="15" t="s">
        <v>4</v>
      </c>
      <c r="N1674" s="11" t="s">
        <v>1391</v>
      </c>
      <c r="O1674" s="11" t="s">
        <v>46</v>
      </c>
      <c r="P1674" s="11" t="s">
        <v>33</v>
      </c>
      <c r="Q1674" s="15">
        <v>95</v>
      </c>
      <c r="R1674" s="11" t="s">
        <v>3</v>
      </c>
      <c r="S1674" s="10">
        <v>122.98847603989</v>
      </c>
      <c r="T1674" s="15">
        <v>80</v>
      </c>
      <c r="U1674" s="15">
        <v>0</v>
      </c>
      <c r="V1674" s="15">
        <v>1</v>
      </c>
      <c r="W1674" s="15">
        <v>0</v>
      </c>
      <c r="X1674" s="15">
        <f>IF(O1674='Udvaskning nøgletal'!$D$65,1,IF(O1674='Udvaskning nøgletal'!$D$66,2,IF(O1674='Udvaskning nøgletal'!$D$67,3,IF(O1674='Udvaskning nøgletal'!$D$68,2,""))))</f>
        <v>2</v>
      </c>
      <c r="Y1674" s="15">
        <f>LOOKUP(K1674,'Udvaskning nøgletal'!$C$12:$C$60,'Udvaskning nøgletal'!$H$12:$H$60)</f>
        <v>0</v>
      </c>
      <c r="Z1674" s="10">
        <f>IF(X1674=1,LOOKUP(K1674,'Udvaskning nøgletal'!$C$12:$C$60,'Udvaskning nøgletal'!$E$12:$E$60)+Markniveau!Y1674*Markniveau!S1674/100,IF(X1674=2,LOOKUP(K1674,'Udvaskning nøgletal'!$C$12:$C$60,'Udvaskning nøgletal'!$F$12:$F$60)+Markniveau!Y1674*Markniveau!S1674/100,IF(X1674=3,LOOKUP(K1674,'Udvaskning nøgletal'!$C$12:$C$60,'Udvaskning nøgletal'!G1684:G1732)+Markniveau!Y1674*Markniveau!S1674/100,"")))</f>
        <v>21.2</v>
      </c>
      <c r="AA1674" s="10">
        <f t="shared" si="266"/>
        <v>5.3</v>
      </c>
      <c r="AB1674" s="10">
        <f t="shared" si="265"/>
        <v>1.06</v>
      </c>
      <c r="AC1674" s="10">
        <f t="shared" si="267"/>
        <v>0.26500000000000001</v>
      </c>
      <c r="AD1674" s="10">
        <f>IF(AND(Q1674&gt;0,Q1674&lt;30,K1674&lt;8),Markniveau!Z1674*'Udvaskning nøgletal'!$I$12/100,IF(AND(Q1674&gt;0,Q1674&lt;30,K1674=216),Markniveau!Z1674*'Udvaskning nøgletal'!$I$34/100,Markniveau!Z1674))</f>
        <v>21.2</v>
      </c>
      <c r="AE1674" s="10">
        <f t="shared" si="263"/>
        <v>5.3</v>
      </c>
      <c r="AF1674" s="10">
        <f t="shared" si="268"/>
        <v>1.06</v>
      </c>
      <c r="AG1674" s="10">
        <f t="shared" si="264"/>
        <v>0.26500000000000001</v>
      </c>
      <c r="AH1674" s="10" t="str">
        <f>IF(AND(Q1674&gt;0,Q1674&lt;30,K1674=216),'Udvaskning nøgletal'!$C$42,IF(AND(Q1674&gt;0,Q1674&lt;30,K1674&gt;7,K1674&lt;17),'Udvaskning nøgletal'!$C$61,IF(AND(Q1674&gt;0,Q1674&lt;30,K1674&lt;7),'Udvaskning nøgletal'!$C$62,"")))</f>
        <v/>
      </c>
      <c r="AI1674" s="10">
        <f t="shared" si="270"/>
        <v>252</v>
      </c>
      <c r="AJ1674" s="10">
        <f>IF($X1674=1,LOOKUP(AI1674,'Udvaskning nøgletal'!$C$12:$C$62,'Udvaskning nøgletal'!$E$12:$E$62)+Markniveau!$Y1674*Markniveau!$S1674/100,IF($X1674=2,LOOKUP(AI1674,'Udvaskning nøgletal'!$C$12:$C$62,'Udvaskning nøgletal'!$F$12:$F$62)+Markniveau!$Y1674*Markniveau!$S1674/100,IF($X1674=3,LOOKUP(AI1674,'Udvaskning nøgletal'!$C$12:$C$62,'Udvaskning nøgletal'!Q1684:Q1734)+Markniveau!$Y1674*Markniveau!$S1674/100,"")))</f>
        <v>21.2</v>
      </c>
      <c r="AK1674" s="10">
        <f t="shared" si="269"/>
        <v>5.3</v>
      </c>
      <c r="AL1674" s="10">
        <f t="shared" si="261"/>
        <v>1.06</v>
      </c>
      <c r="AM1674" s="10">
        <f t="shared" si="262"/>
        <v>0.26500000000000001</v>
      </c>
    </row>
    <row r="1675" spans="1:39" x14ac:dyDescent="0.25">
      <c r="A1675" s="15">
        <v>98333053</v>
      </c>
      <c r="B1675" s="15">
        <v>288.98</v>
      </c>
      <c r="C1675" s="15">
        <v>196600</v>
      </c>
      <c r="D1675" s="15">
        <v>33037</v>
      </c>
      <c r="E1675" s="15" t="s">
        <v>1292</v>
      </c>
      <c r="F1675" s="15">
        <v>2011</v>
      </c>
      <c r="G1675" s="15">
        <v>20110421</v>
      </c>
      <c r="H1675" s="15">
        <v>77167</v>
      </c>
      <c r="I1675" s="15">
        <v>7.72</v>
      </c>
      <c r="J1675" s="6" t="s">
        <v>454</v>
      </c>
      <c r="K1675" s="15">
        <v>260</v>
      </c>
      <c r="L1675" s="15" t="s">
        <v>45</v>
      </c>
      <c r="M1675" s="15" t="s">
        <v>5</v>
      </c>
      <c r="N1675" s="11" t="s">
        <v>1406</v>
      </c>
      <c r="O1675" s="11" t="s">
        <v>46</v>
      </c>
      <c r="P1675" s="11" t="s">
        <v>29</v>
      </c>
      <c r="Q1675" s="15">
        <v>25</v>
      </c>
      <c r="R1675" s="11" t="s">
        <v>7</v>
      </c>
      <c r="S1675" s="10">
        <v>122.98847603989</v>
      </c>
      <c r="T1675" s="15">
        <v>80</v>
      </c>
      <c r="U1675" s="15">
        <v>0</v>
      </c>
      <c r="V1675" s="15">
        <v>1</v>
      </c>
      <c r="W1675" s="15">
        <v>0</v>
      </c>
      <c r="X1675" s="15">
        <f>IF(O1675='Udvaskning nøgletal'!$D$65,1,IF(O1675='Udvaskning nøgletal'!$D$66,2,IF(O1675='Udvaskning nøgletal'!$D$67,3,IF(O1675='Udvaskning nøgletal'!$D$68,2,""))))</f>
        <v>2</v>
      </c>
      <c r="Y1675" s="15">
        <f>LOOKUP(K1675,'Udvaskning nøgletal'!$C$12:$C$60,'Udvaskning nøgletal'!$H$12:$H$60)</f>
        <v>0</v>
      </c>
      <c r="Z1675" s="10">
        <f>IF(X1675=1,LOOKUP(K1675,'Udvaskning nøgletal'!$C$12:$C$60,'Udvaskning nøgletal'!$E$12:$E$60)+Markniveau!Y1675*Markniveau!S1675/100,IF(X1675=2,LOOKUP(K1675,'Udvaskning nøgletal'!$C$12:$C$60,'Udvaskning nøgletal'!$F$12:$F$60)+Markniveau!Y1675*Markniveau!S1675/100,IF(X1675=3,LOOKUP(K1675,'Udvaskning nøgletal'!$C$12:$C$60,'Udvaskning nøgletal'!G1685:G1733)+Markniveau!Y1675*Markniveau!S1675/100,"")))</f>
        <v>27.331185321443094</v>
      </c>
      <c r="AA1675" s="10">
        <f t="shared" si="266"/>
        <v>210.99675068154068</v>
      </c>
      <c r="AB1675" s="10">
        <f t="shared" si="265"/>
        <v>20.498388991082319</v>
      </c>
      <c r="AC1675" s="10">
        <f t="shared" si="267"/>
        <v>158.24756301115551</v>
      </c>
      <c r="AD1675" s="10">
        <f>IF(AND(Q1675&gt;0,Q1675&lt;30,K1675&lt;8),Markniveau!Z1675*'Udvaskning nøgletal'!$I$12/100,IF(AND(Q1675&gt;0,Q1675&lt;30,K1675=216),Markniveau!Z1675*'Udvaskning nøgletal'!$I$34/100,Markniveau!Z1675))</f>
        <v>27.331185321443094</v>
      </c>
      <c r="AE1675" s="10">
        <f t="shared" si="263"/>
        <v>210.99675068154068</v>
      </c>
      <c r="AF1675" s="10">
        <f t="shared" si="268"/>
        <v>20.498388991082319</v>
      </c>
      <c r="AG1675" s="10">
        <f t="shared" si="264"/>
        <v>158.24756301115551</v>
      </c>
      <c r="AH1675" s="10" t="str">
        <f>IF(AND(Q1675&gt;0,Q1675&lt;30,K1675=216),'Udvaskning nøgletal'!$C$42,IF(AND(Q1675&gt;0,Q1675&lt;30,K1675&gt;7,K1675&lt;17),'Udvaskning nøgletal'!$C$61,IF(AND(Q1675&gt;0,Q1675&lt;30,K1675&lt;7),'Udvaskning nøgletal'!$C$62,"")))</f>
        <v/>
      </c>
      <c r="AI1675" s="10">
        <f t="shared" si="270"/>
        <v>260</v>
      </c>
      <c r="AJ1675" s="10">
        <f>IF($X1675=1,LOOKUP(AI1675,'Udvaskning nøgletal'!$C$12:$C$62,'Udvaskning nøgletal'!$E$12:$E$62)+Markniveau!$Y1675*Markniveau!$S1675/100,IF($X1675=2,LOOKUP(AI1675,'Udvaskning nøgletal'!$C$12:$C$62,'Udvaskning nøgletal'!$F$12:$F$62)+Markniveau!$Y1675*Markniveau!$S1675/100,IF($X1675=3,LOOKUP(AI1675,'Udvaskning nøgletal'!$C$12:$C$62,'Udvaskning nøgletal'!Q1685:Q1735)+Markniveau!$Y1675*Markniveau!$S1675/100,"")))</f>
        <v>27.331185321443094</v>
      </c>
      <c r="AK1675" s="10">
        <f t="shared" si="269"/>
        <v>210.99675068154068</v>
      </c>
      <c r="AL1675" s="10">
        <f t="shared" ref="AL1675:AL1732" si="271">IF($Q1675&gt;0,(100-$Q1675)*AJ1675/100,"")</f>
        <v>20.498388991082319</v>
      </c>
      <c r="AM1675" s="10">
        <f t="shared" ref="AM1675:AM1732" si="272">IF($Q1675&gt;0,(100-$Q1675)*AJ1675/100*I1675,"")</f>
        <v>158.24756301115551</v>
      </c>
    </row>
    <row r="1676" spans="1:39" x14ac:dyDescent="0.25">
      <c r="A1676" s="15">
        <v>98333053</v>
      </c>
      <c r="B1676" s="15">
        <v>288.98</v>
      </c>
      <c r="C1676" s="15">
        <v>196603</v>
      </c>
      <c r="D1676" s="15">
        <v>33037</v>
      </c>
      <c r="E1676" s="15" t="s">
        <v>692</v>
      </c>
      <c r="F1676" s="15">
        <v>2011</v>
      </c>
      <c r="G1676" s="15">
        <v>20110421</v>
      </c>
      <c r="H1676" s="15">
        <v>46419</v>
      </c>
      <c r="I1676" s="15">
        <v>4.6399999999999997</v>
      </c>
      <c r="J1676" s="6" t="s">
        <v>1047</v>
      </c>
      <c r="K1676" s="15">
        <v>11</v>
      </c>
      <c r="L1676" s="15" t="s">
        <v>102</v>
      </c>
      <c r="M1676" s="15" t="s">
        <v>5</v>
      </c>
      <c r="N1676" s="11" t="s">
        <v>1391</v>
      </c>
      <c r="O1676" s="11" t="s">
        <v>46</v>
      </c>
      <c r="P1676" s="11" t="s">
        <v>29</v>
      </c>
      <c r="Q1676" s="15">
        <v>95</v>
      </c>
      <c r="R1676" s="11" t="s">
        <v>3</v>
      </c>
      <c r="S1676" s="10">
        <v>122.98847603989</v>
      </c>
      <c r="T1676" s="15">
        <v>80</v>
      </c>
      <c r="U1676" s="15">
        <v>0</v>
      </c>
      <c r="V1676" s="15">
        <v>1</v>
      </c>
      <c r="W1676" s="15">
        <v>0</v>
      </c>
      <c r="X1676" s="15">
        <f>IF(O1676='Udvaskning nøgletal'!$D$65,1,IF(O1676='Udvaskning nøgletal'!$D$66,2,IF(O1676='Udvaskning nøgletal'!$D$67,3,IF(O1676='Udvaskning nøgletal'!$D$68,2,""))))</f>
        <v>2</v>
      </c>
      <c r="Y1676" s="15">
        <f>LOOKUP(K1676,'Udvaskning nøgletal'!$C$12:$C$60,'Udvaskning nøgletal'!$H$12:$H$60)</f>
        <v>5</v>
      </c>
      <c r="Z1676" s="10">
        <f>IF(X1676=1,LOOKUP(K1676,'Udvaskning nøgletal'!$C$12:$C$60,'Udvaskning nøgletal'!$E$12:$E$60)+Markniveau!Y1676*Markniveau!S1676/100,IF(X1676=2,LOOKUP(K1676,'Udvaskning nøgletal'!$C$12:$C$60,'Udvaskning nøgletal'!$F$12:$F$60)+Markniveau!Y1676*Markniveau!S1676/100,IF(X1676=3,LOOKUP(K1676,'Udvaskning nøgletal'!$C$12:$C$60,'Udvaskning nøgletal'!G1686:G1734)+Markniveau!Y1676*Markniveau!S1676/100,"")))</f>
        <v>57.029423801994504</v>
      </c>
      <c r="AA1676" s="10">
        <f t="shared" si="266"/>
        <v>264.61652644125451</v>
      </c>
      <c r="AB1676" s="10">
        <f t="shared" si="265"/>
        <v>2.8514711900997254</v>
      </c>
      <c r="AC1676" s="10">
        <f t="shared" si="267"/>
        <v>13.230826322062725</v>
      </c>
      <c r="AD1676" s="10">
        <f>IF(AND(Q1676&gt;0,Q1676&lt;30,K1676&lt;8),Markniveau!Z1676*'Udvaskning nøgletal'!$I$12/100,IF(AND(Q1676&gt;0,Q1676&lt;30,K1676=216),Markniveau!Z1676*'Udvaskning nøgletal'!$I$34/100,Markniveau!Z1676))</f>
        <v>57.029423801994504</v>
      </c>
      <c r="AE1676" s="10">
        <f t="shared" si="263"/>
        <v>264.61652644125451</v>
      </c>
      <c r="AF1676" s="10">
        <f t="shared" si="268"/>
        <v>2.8514711900997254</v>
      </c>
      <c r="AG1676" s="10">
        <f t="shared" si="264"/>
        <v>13.230826322062725</v>
      </c>
      <c r="AH1676" s="10" t="str">
        <f>IF(AND(Q1676&gt;0,Q1676&lt;30,K1676=216),'Udvaskning nøgletal'!$C$42,IF(AND(Q1676&gt;0,Q1676&lt;30,K1676&gt;7,K1676&lt;17),'Udvaskning nøgletal'!$C$61,IF(AND(Q1676&gt;0,Q1676&lt;30,K1676&lt;7),'Udvaskning nøgletal'!$C$62,"")))</f>
        <v/>
      </c>
      <c r="AI1676" s="10">
        <f t="shared" si="270"/>
        <v>11</v>
      </c>
      <c r="AJ1676" s="10">
        <f>IF($X1676=1,LOOKUP(AI1676,'Udvaskning nøgletal'!$C$12:$C$62,'Udvaskning nøgletal'!$E$12:$E$62)+Markniveau!$Y1676*Markniveau!$S1676/100,IF($X1676=2,LOOKUP(AI1676,'Udvaskning nøgletal'!$C$12:$C$62,'Udvaskning nøgletal'!$F$12:$F$62)+Markniveau!$Y1676*Markniveau!$S1676/100,IF($X1676=3,LOOKUP(AI1676,'Udvaskning nøgletal'!$C$12:$C$62,'Udvaskning nøgletal'!Q1686:Q1736)+Markniveau!$Y1676*Markniveau!$S1676/100,"")))</f>
        <v>57.029423801994504</v>
      </c>
      <c r="AK1676" s="10">
        <f t="shared" si="269"/>
        <v>264.61652644125451</v>
      </c>
      <c r="AL1676" s="10">
        <f t="shared" si="271"/>
        <v>2.8514711900997254</v>
      </c>
      <c r="AM1676" s="10">
        <f t="shared" si="272"/>
        <v>13.230826322062725</v>
      </c>
    </row>
    <row r="1677" spans="1:39" x14ac:dyDescent="0.25">
      <c r="A1677" s="15">
        <v>98333053</v>
      </c>
      <c r="B1677" s="15">
        <v>288.98</v>
      </c>
      <c r="C1677" s="15">
        <v>201639</v>
      </c>
      <c r="D1677" s="15">
        <v>33037</v>
      </c>
      <c r="E1677" s="15" t="s">
        <v>1300</v>
      </c>
      <c r="F1677" s="15">
        <v>2011</v>
      </c>
      <c r="G1677" s="15">
        <v>20110421</v>
      </c>
      <c r="H1677" s="15">
        <v>66007</v>
      </c>
      <c r="I1677" s="15">
        <v>6.6</v>
      </c>
      <c r="J1677" s="6" t="s">
        <v>1328</v>
      </c>
      <c r="K1677" s="15">
        <v>252</v>
      </c>
      <c r="L1677" s="15" t="s">
        <v>41</v>
      </c>
      <c r="M1677" s="15" t="s">
        <v>4</v>
      </c>
      <c r="N1677" s="11" t="s">
        <v>1406</v>
      </c>
      <c r="O1677" s="11" t="s">
        <v>46</v>
      </c>
      <c r="P1677" s="11" t="s">
        <v>29</v>
      </c>
      <c r="Q1677" s="15">
        <v>95</v>
      </c>
      <c r="R1677" s="11" t="s">
        <v>3</v>
      </c>
      <c r="S1677" s="10">
        <v>122.98847603989</v>
      </c>
      <c r="T1677" s="15">
        <v>80</v>
      </c>
      <c r="U1677" s="15">
        <v>0</v>
      </c>
      <c r="V1677" s="15">
        <v>1</v>
      </c>
      <c r="W1677" s="15">
        <v>0</v>
      </c>
      <c r="X1677" s="15">
        <f>IF(O1677='Udvaskning nøgletal'!$D$65,1,IF(O1677='Udvaskning nøgletal'!$D$66,2,IF(O1677='Udvaskning nøgletal'!$D$67,3,IF(O1677='Udvaskning nøgletal'!$D$68,2,""))))</f>
        <v>2</v>
      </c>
      <c r="Y1677" s="15">
        <f>LOOKUP(K1677,'Udvaskning nøgletal'!$C$12:$C$60,'Udvaskning nøgletal'!$H$12:$H$60)</f>
        <v>0</v>
      </c>
      <c r="Z1677" s="10">
        <f>IF(X1677=1,LOOKUP(K1677,'Udvaskning nøgletal'!$C$12:$C$60,'Udvaskning nøgletal'!$E$12:$E$60)+Markniveau!Y1677*Markniveau!S1677/100,IF(X1677=2,LOOKUP(K1677,'Udvaskning nøgletal'!$C$12:$C$60,'Udvaskning nøgletal'!$F$12:$F$60)+Markniveau!Y1677*Markniveau!S1677/100,IF(X1677=3,LOOKUP(K1677,'Udvaskning nøgletal'!$C$12:$C$60,'Udvaskning nøgletal'!G1687:G1735)+Markniveau!Y1677*Markniveau!S1677/100,"")))</f>
        <v>21.2</v>
      </c>
      <c r="AA1677" s="10">
        <f t="shared" si="266"/>
        <v>139.91999999999999</v>
      </c>
      <c r="AB1677" s="10">
        <f t="shared" si="265"/>
        <v>1.06</v>
      </c>
      <c r="AC1677" s="10">
        <f t="shared" si="267"/>
        <v>6.9959999999999996</v>
      </c>
      <c r="AD1677" s="10">
        <f>IF(AND(Q1677&gt;0,Q1677&lt;30,K1677&lt;8),Markniveau!Z1677*'Udvaskning nøgletal'!$I$12/100,IF(AND(Q1677&gt;0,Q1677&lt;30,K1677=216),Markniveau!Z1677*'Udvaskning nøgletal'!$I$34/100,Markniveau!Z1677))</f>
        <v>21.2</v>
      </c>
      <c r="AE1677" s="10">
        <f t="shared" si="263"/>
        <v>139.91999999999999</v>
      </c>
      <c r="AF1677" s="10">
        <f t="shared" si="268"/>
        <v>1.06</v>
      </c>
      <c r="AG1677" s="10">
        <f t="shared" si="264"/>
        <v>6.9959999999999996</v>
      </c>
      <c r="AH1677" s="10" t="str">
        <f>IF(AND(Q1677&gt;0,Q1677&lt;30,K1677=216),'Udvaskning nøgletal'!$C$42,IF(AND(Q1677&gt;0,Q1677&lt;30,K1677&gt;7,K1677&lt;17),'Udvaskning nøgletal'!$C$61,IF(AND(Q1677&gt;0,Q1677&lt;30,K1677&lt;7),'Udvaskning nøgletal'!$C$62,"")))</f>
        <v/>
      </c>
      <c r="AI1677" s="10">
        <f t="shared" si="270"/>
        <v>252</v>
      </c>
      <c r="AJ1677" s="10">
        <f>IF($X1677=1,LOOKUP(AI1677,'Udvaskning nøgletal'!$C$12:$C$62,'Udvaskning nøgletal'!$E$12:$E$62)+Markniveau!$Y1677*Markniveau!$S1677/100,IF($X1677=2,LOOKUP(AI1677,'Udvaskning nøgletal'!$C$12:$C$62,'Udvaskning nøgletal'!$F$12:$F$62)+Markniveau!$Y1677*Markniveau!$S1677/100,IF($X1677=3,LOOKUP(AI1677,'Udvaskning nøgletal'!$C$12:$C$62,'Udvaskning nøgletal'!Q1687:Q1737)+Markniveau!$Y1677*Markniveau!$S1677/100,"")))</f>
        <v>21.2</v>
      </c>
      <c r="AK1677" s="10">
        <f t="shared" si="269"/>
        <v>139.91999999999999</v>
      </c>
      <c r="AL1677" s="10">
        <f t="shared" si="271"/>
        <v>1.06</v>
      </c>
      <c r="AM1677" s="10">
        <f t="shared" si="272"/>
        <v>6.9959999999999996</v>
      </c>
    </row>
    <row r="1678" spans="1:39" x14ac:dyDescent="0.25">
      <c r="A1678" s="15">
        <v>98333053</v>
      </c>
      <c r="B1678" s="15">
        <v>288.98</v>
      </c>
      <c r="C1678" s="15">
        <v>203055</v>
      </c>
      <c r="D1678" s="15">
        <v>33037</v>
      </c>
      <c r="E1678" s="15" t="s">
        <v>1298</v>
      </c>
      <c r="F1678" s="15">
        <v>2011</v>
      </c>
      <c r="G1678" s="15">
        <v>20110421</v>
      </c>
      <c r="H1678" s="15">
        <v>130592</v>
      </c>
      <c r="I1678" s="15">
        <v>13.06</v>
      </c>
      <c r="J1678" s="6" t="s">
        <v>92</v>
      </c>
      <c r="K1678" s="15">
        <v>22</v>
      </c>
      <c r="L1678" s="15" t="s">
        <v>213</v>
      </c>
      <c r="M1678" s="15" t="s">
        <v>5</v>
      </c>
      <c r="N1678" s="11" t="s">
        <v>1391</v>
      </c>
      <c r="O1678" s="11" t="s">
        <v>46</v>
      </c>
      <c r="P1678" s="11" t="s">
        <v>29</v>
      </c>
      <c r="Q1678" s="15">
        <v>95</v>
      </c>
      <c r="R1678" s="11" t="s">
        <v>3</v>
      </c>
      <c r="S1678" s="10">
        <v>122.98847603989</v>
      </c>
      <c r="T1678" s="15">
        <v>80</v>
      </c>
      <c r="U1678" s="15">
        <v>0</v>
      </c>
      <c r="V1678" s="15">
        <v>1</v>
      </c>
      <c r="W1678" s="15">
        <v>0</v>
      </c>
      <c r="X1678" s="15">
        <f>IF(O1678='Udvaskning nøgletal'!$D$65,1,IF(O1678='Udvaskning nøgletal'!$D$66,2,IF(O1678='Udvaskning nøgletal'!$D$67,3,IF(O1678='Udvaskning nøgletal'!$D$68,2,""))))</f>
        <v>2</v>
      </c>
      <c r="Y1678" s="15">
        <f>LOOKUP(K1678,'Udvaskning nøgletal'!$C$12:$C$60,'Udvaskning nøgletal'!$H$12:$H$60)</f>
        <v>5</v>
      </c>
      <c r="Z1678" s="10">
        <f>IF(X1678=1,LOOKUP(K1678,'Udvaskning nøgletal'!$C$12:$C$60,'Udvaskning nøgletal'!$E$12:$E$60)+Markniveau!Y1678*Markniveau!S1678/100,IF(X1678=2,LOOKUP(K1678,'Udvaskning nøgletal'!$C$12:$C$60,'Udvaskning nøgletal'!$F$12:$F$60)+Markniveau!Y1678*Markniveau!S1678/100,IF(X1678=3,LOOKUP(K1678,'Udvaskning nøgletal'!$C$12:$C$60,'Udvaskning nøgletal'!G1688:G1736)+Markniveau!Y1678*Markniveau!S1678/100,"")))</f>
        <v>57.029423801994504</v>
      </c>
      <c r="AA1678" s="10">
        <f t="shared" si="266"/>
        <v>744.80427485404823</v>
      </c>
      <c r="AB1678" s="10">
        <f t="shared" si="265"/>
        <v>2.8514711900997254</v>
      </c>
      <c r="AC1678" s="10">
        <f t="shared" si="267"/>
        <v>37.240213742702416</v>
      </c>
      <c r="AD1678" s="10">
        <f>IF(AND(Q1678&gt;0,Q1678&lt;30,K1678&lt;8),Markniveau!Z1678*'Udvaskning nøgletal'!$I$12/100,IF(AND(Q1678&gt;0,Q1678&lt;30,K1678=216),Markniveau!Z1678*'Udvaskning nøgletal'!$I$34/100,Markniveau!Z1678))</f>
        <v>57.029423801994504</v>
      </c>
      <c r="AE1678" s="10">
        <f t="shared" si="263"/>
        <v>744.80427485404823</v>
      </c>
      <c r="AF1678" s="10">
        <f t="shared" si="268"/>
        <v>2.8514711900997254</v>
      </c>
      <c r="AG1678" s="10">
        <f t="shared" si="264"/>
        <v>37.240213742702416</v>
      </c>
      <c r="AH1678" s="10" t="str">
        <f>IF(AND(Q1678&gt;0,Q1678&lt;30,K1678=216),'Udvaskning nøgletal'!$C$42,IF(AND(Q1678&gt;0,Q1678&lt;30,K1678&gt;7,K1678&lt;17),'Udvaskning nøgletal'!$C$61,IF(AND(Q1678&gt;0,Q1678&lt;30,K1678&lt;7),'Udvaskning nøgletal'!$C$62,"")))</f>
        <v/>
      </c>
      <c r="AI1678" s="10">
        <f t="shared" si="270"/>
        <v>22</v>
      </c>
      <c r="AJ1678" s="10">
        <f>IF($X1678=1,LOOKUP(AI1678,'Udvaskning nøgletal'!$C$12:$C$62,'Udvaskning nøgletal'!$E$12:$E$62)+Markniveau!$Y1678*Markniveau!$S1678/100,IF($X1678=2,LOOKUP(AI1678,'Udvaskning nøgletal'!$C$12:$C$62,'Udvaskning nøgletal'!$F$12:$F$62)+Markniveau!$Y1678*Markniveau!$S1678/100,IF($X1678=3,LOOKUP(AI1678,'Udvaskning nøgletal'!$C$12:$C$62,'Udvaskning nøgletal'!Q1688:Q1738)+Markniveau!$Y1678*Markniveau!$S1678/100,"")))</f>
        <v>57.029423801994504</v>
      </c>
      <c r="AK1678" s="10">
        <f t="shared" si="269"/>
        <v>744.80427485404823</v>
      </c>
      <c r="AL1678" s="10">
        <f t="shared" si="271"/>
        <v>2.8514711900997254</v>
      </c>
      <c r="AM1678" s="10">
        <f t="shared" si="272"/>
        <v>37.240213742702416</v>
      </c>
    </row>
    <row r="1679" spans="1:39" x14ac:dyDescent="0.25">
      <c r="A1679" s="15">
        <v>98333053</v>
      </c>
      <c r="B1679" s="15">
        <v>288.98</v>
      </c>
      <c r="C1679" s="15">
        <v>207398</v>
      </c>
      <c r="D1679" s="15">
        <v>33037</v>
      </c>
      <c r="E1679" s="15" t="s">
        <v>1298</v>
      </c>
      <c r="F1679" s="15">
        <v>2011</v>
      </c>
      <c r="G1679" s="15">
        <v>20110421</v>
      </c>
      <c r="H1679" s="15">
        <v>133322</v>
      </c>
      <c r="I1679" s="15">
        <v>13.33</v>
      </c>
      <c r="J1679" s="6" t="s">
        <v>164</v>
      </c>
      <c r="K1679" s="15">
        <v>260</v>
      </c>
      <c r="L1679" s="15" t="s">
        <v>45</v>
      </c>
      <c r="M1679" s="15" t="s">
        <v>5</v>
      </c>
      <c r="N1679" s="11" t="s">
        <v>1391</v>
      </c>
      <c r="O1679" s="11" t="s">
        <v>46</v>
      </c>
      <c r="P1679" s="11" t="s">
        <v>29</v>
      </c>
      <c r="Q1679" s="15">
        <v>95</v>
      </c>
      <c r="R1679" s="11" t="s">
        <v>3</v>
      </c>
      <c r="S1679" s="10">
        <v>122.98847603989</v>
      </c>
      <c r="T1679" s="15">
        <v>80</v>
      </c>
      <c r="U1679" s="15">
        <v>0</v>
      </c>
      <c r="V1679" s="15">
        <v>1</v>
      </c>
      <c r="W1679" s="15">
        <v>0</v>
      </c>
      <c r="X1679" s="15">
        <f>IF(O1679='Udvaskning nøgletal'!$D$65,1,IF(O1679='Udvaskning nøgletal'!$D$66,2,IF(O1679='Udvaskning nøgletal'!$D$67,3,IF(O1679='Udvaskning nøgletal'!$D$68,2,""))))</f>
        <v>2</v>
      </c>
      <c r="Y1679" s="15">
        <f>LOOKUP(K1679,'Udvaskning nøgletal'!$C$12:$C$60,'Udvaskning nøgletal'!$H$12:$H$60)</f>
        <v>0</v>
      </c>
      <c r="Z1679" s="10">
        <f>IF(X1679=1,LOOKUP(K1679,'Udvaskning nøgletal'!$C$12:$C$60,'Udvaskning nøgletal'!$E$12:$E$60)+Markniveau!Y1679*Markniveau!S1679/100,IF(X1679=2,LOOKUP(K1679,'Udvaskning nøgletal'!$C$12:$C$60,'Udvaskning nøgletal'!$F$12:$F$60)+Markniveau!Y1679*Markniveau!S1679/100,IF(X1679=3,LOOKUP(K1679,'Udvaskning nøgletal'!$C$12:$C$60,'Udvaskning nøgletal'!G1689:G1737)+Markniveau!Y1679*Markniveau!S1679/100,"")))</f>
        <v>27.331185321443094</v>
      </c>
      <c r="AA1679" s="10">
        <f t="shared" si="266"/>
        <v>364.32470033483645</v>
      </c>
      <c r="AB1679" s="10">
        <f t="shared" si="265"/>
        <v>1.3665592660721546</v>
      </c>
      <c r="AC1679" s="10">
        <f t="shared" si="267"/>
        <v>18.21623501674182</v>
      </c>
      <c r="AD1679" s="10">
        <f>IF(AND(Q1679&gt;0,Q1679&lt;30,K1679&lt;8),Markniveau!Z1679*'Udvaskning nøgletal'!$I$12/100,IF(AND(Q1679&gt;0,Q1679&lt;30,K1679=216),Markniveau!Z1679*'Udvaskning nøgletal'!$I$34/100,Markniveau!Z1679))</f>
        <v>27.331185321443094</v>
      </c>
      <c r="AE1679" s="10">
        <f t="shared" si="263"/>
        <v>364.32470033483645</v>
      </c>
      <c r="AF1679" s="10">
        <f t="shared" si="268"/>
        <v>1.3665592660721546</v>
      </c>
      <c r="AG1679" s="10">
        <f t="shared" si="264"/>
        <v>18.21623501674182</v>
      </c>
      <c r="AH1679" s="10" t="str">
        <f>IF(AND(Q1679&gt;0,Q1679&lt;30,K1679=216),'Udvaskning nøgletal'!$C$42,IF(AND(Q1679&gt;0,Q1679&lt;30,K1679&gt;7,K1679&lt;17),'Udvaskning nøgletal'!$C$61,IF(AND(Q1679&gt;0,Q1679&lt;30,K1679&lt;7),'Udvaskning nøgletal'!$C$62,"")))</f>
        <v/>
      </c>
      <c r="AI1679" s="10">
        <f t="shared" si="270"/>
        <v>260</v>
      </c>
      <c r="AJ1679" s="10">
        <f>IF($X1679=1,LOOKUP(AI1679,'Udvaskning nøgletal'!$C$12:$C$62,'Udvaskning nøgletal'!$E$12:$E$62)+Markniveau!$Y1679*Markniveau!$S1679/100,IF($X1679=2,LOOKUP(AI1679,'Udvaskning nøgletal'!$C$12:$C$62,'Udvaskning nøgletal'!$F$12:$F$62)+Markniveau!$Y1679*Markniveau!$S1679/100,IF($X1679=3,LOOKUP(AI1679,'Udvaskning nøgletal'!$C$12:$C$62,'Udvaskning nøgletal'!Q1689:Q1739)+Markniveau!$Y1679*Markniveau!$S1679/100,"")))</f>
        <v>27.331185321443094</v>
      </c>
      <c r="AK1679" s="10">
        <f t="shared" si="269"/>
        <v>364.32470033483645</v>
      </c>
      <c r="AL1679" s="10">
        <f t="shared" si="271"/>
        <v>1.3665592660721546</v>
      </c>
      <c r="AM1679" s="10">
        <f t="shared" si="272"/>
        <v>18.21623501674182</v>
      </c>
    </row>
    <row r="1680" spans="1:39" x14ac:dyDescent="0.25">
      <c r="A1680" s="15">
        <v>98333053</v>
      </c>
      <c r="B1680" s="15">
        <v>288.98</v>
      </c>
      <c r="C1680" s="15">
        <v>209729</v>
      </c>
      <c r="D1680" s="15">
        <v>33037</v>
      </c>
      <c r="E1680" s="15" t="s">
        <v>517</v>
      </c>
      <c r="F1680" s="15">
        <v>2011</v>
      </c>
      <c r="G1680" s="15">
        <v>20110421</v>
      </c>
      <c r="H1680" s="15">
        <v>202043</v>
      </c>
      <c r="I1680" s="15">
        <v>20.2</v>
      </c>
      <c r="J1680" s="6" t="s">
        <v>893</v>
      </c>
      <c r="K1680" s="15">
        <v>22</v>
      </c>
      <c r="L1680" s="15" t="s">
        <v>213</v>
      </c>
      <c r="M1680" s="15" t="s">
        <v>5</v>
      </c>
      <c r="N1680" s="11" t="s">
        <v>1391</v>
      </c>
      <c r="O1680" s="11" t="s">
        <v>46</v>
      </c>
      <c r="P1680" s="11" t="s">
        <v>29</v>
      </c>
      <c r="Q1680" s="15">
        <v>95</v>
      </c>
      <c r="R1680" s="11" t="s">
        <v>3</v>
      </c>
      <c r="S1680" s="10">
        <v>122.98847603989</v>
      </c>
      <c r="T1680" s="15">
        <v>80</v>
      </c>
      <c r="U1680" s="15">
        <v>0</v>
      </c>
      <c r="V1680" s="15">
        <v>1</v>
      </c>
      <c r="W1680" s="15">
        <v>0</v>
      </c>
      <c r="X1680" s="15">
        <f>IF(O1680='Udvaskning nøgletal'!$D$65,1,IF(O1680='Udvaskning nøgletal'!$D$66,2,IF(O1680='Udvaskning nøgletal'!$D$67,3,IF(O1680='Udvaskning nøgletal'!$D$68,2,""))))</f>
        <v>2</v>
      </c>
      <c r="Y1680" s="15">
        <f>LOOKUP(K1680,'Udvaskning nøgletal'!$C$12:$C$60,'Udvaskning nøgletal'!$H$12:$H$60)</f>
        <v>5</v>
      </c>
      <c r="Z1680" s="10">
        <f>IF(X1680=1,LOOKUP(K1680,'Udvaskning nøgletal'!$C$12:$C$60,'Udvaskning nøgletal'!$E$12:$E$60)+Markniveau!Y1680*Markniveau!S1680/100,IF(X1680=2,LOOKUP(K1680,'Udvaskning nøgletal'!$C$12:$C$60,'Udvaskning nøgletal'!$F$12:$F$60)+Markniveau!Y1680*Markniveau!S1680/100,IF(X1680=3,LOOKUP(K1680,'Udvaskning nøgletal'!$C$12:$C$60,'Udvaskning nøgletal'!G1690:G1738)+Markniveau!Y1680*Markniveau!S1680/100,"")))</f>
        <v>57.029423801994504</v>
      </c>
      <c r="AA1680" s="10">
        <f t="shared" si="266"/>
        <v>1151.9943608002889</v>
      </c>
      <c r="AB1680" s="10">
        <f t="shared" si="265"/>
        <v>2.8514711900997254</v>
      </c>
      <c r="AC1680" s="10">
        <f t="shared" si="267"/>
        <v>57.599718040014452</v>
      </c>
      <c r="AD1680" s="10">
        <f>IF(AND(Q1680&gt;0,Q1680&lt;30,K1680&lt;8),Markniveau!Z1680*'Udvaskning nøgletal'!$I$12/100,IF(AND(Q1680&gt;0,Q1680&lt;30,K1680=216),Markniveau!Z1680*'Udvaskning nøgletal'!$I$34/100,Markniveau!Z1680))</f>
        <v>57.029423801994504</v>
      </c>
      <c r="AE1680" s="10">
        <f t="shared" si="263"/>
        <v>1151.9943608002889</v>
      </c>
      <c r="AF1680" s="10">
        <f t="shared" si="268"/>
        <v>2.8514711900997254</v>
      </c>
      <c r="AG1680" s="10">
        <f t="shared" si="264"/>
        <v>57.599718040014452</v>
      </c>
      <c r="AH1680" s="10" t="str">
        <f>IF(AND(Q1680&gt;0,Q1680&lt;30,K1680=216),'Udvaskning nøgletal'!$C$42,IF(AND(Q1680&gt;0,Q1680&lt;30,K1680&gt;7,K1680&lt;17),'Udvaskning nøgletal'!$C$61,IF(AND(Q1680&gt;0,Q1680&lt;30,K1680&lt;7),'Udvaskning nøgletal'!$C$62,"")))</f>
        <v/>
      </c>
      <c r="AI1680" s="10">
        <f t="shared" si="270"/>
        <v>22</v>
      </c>
      <c r="AJ1680" s="10">
        <f>IF($X1680=1,LOOKUP(AI1680,'Udvaskning nøgletal'!$C$12:$C$62,'Udvaskning nøgletal'!$E$12:$E$62)+Markniveau!$Y1680*Markniveau!$S1680/100,IF($X1680=2,LOOKUP(AI1680,'Udvaskning nøgletal'!$C$12:$C$62,'Udvaskning nøgletal'!$F$12:$F$62)+Markniveau!$Y1680*Markniveau!$S1680/100,IF($X1680=3,LOOKUP(AI1680,'Udvaskning nøgletal'!$C$12:$C$62,'Udvaskning nøgletal'!Q1690:Q1740)+Markniveau!$Y1680*Markniveau!$S1680/100,"")))</f>
        <v>57.029423801994504</v>
      </c>
      <c r="AK1680" s="10">
        <f t="shared" si="269"/>
        <v>1151.9943608002889</v>
      </c>
      <c r="AL1680" s="10">
        <f t="shared" si="271"/>
        <v>2.8514711900997254</v>
      </c>
      <c r="AM1680" s="10">
        <f t="shared" si="272"/>
        <v>57.599718040014452</v>
      </c>
    </row>
    <row r="1681" spans="1:39" x14ac:dyDescent="0.25">
      <c r="A1681" s="15">
        <v>98333053</v>
      </c>
      <c r="B1681" s="15">
        <v>288.98</v>
      </c>
      <c r="C1681" s="15">
        <v>212588</v>
      </c>
      <c r="D1681" s="15">
        <v>33037</v>
      </c>
      <c r="E1681" s="15" t="s">
        <v>625</v>
      </c>
      <c r="F1681" s="15">
        <v>2011</v>
      </c>
      <c r="G1681" s="15">
        <v>20110421</v>
      </c>
      <c r="H1681" s="15">
        <v>23286</v>
      </c>
      <c r="I1681" s="15">
        <v>2.33</v>
      </c>
      <c r="J1681" s="6" t="s">
        <v>982</v>
      </c>
      <c r="K1681" s="15">
        <v>254</v>
      </c>
      <c r="L1681" s="15" t="s">
        <v>27</v>
      </c>
      <c r="M1681" s="15" t="s">
        <v>4</v>
      </c>
      <c r="N1681" s="11" t="s">
        <v>1391</v>
      </c>
      <c r="O1681" s="11" t="s">
        <v>46</v>
      </c>
      <c r="P1681" s="11" t="s">
        <v>33</v>
      </c>
      <c r="Q1681" s="15">
        <v>95</v>
      </c>
      <c r="R1681" s="11" t="s">
        <v>3</v>
      </c>
      <c r="S1681" s="10">
        <v>122.98847603989</v>
      </c>
      <c r="T1681" s="15">
        <v>80</v>
      </c>
      <c r="U1681" s="15">
        <v>0</v>
      </c>
      <c r="V1681" s="15">
        <v>1</v>
      </c>
      <c r="W1681" s="15">
        <v>0</v>
      </c>
      <c r="X1681" s="15">
        <f>IF(O1681='Udvaskning nøgletal'!$D$65,1,IF(O1681='Udvaskning nøgletal'!$D$66,2,IF(O1681='Udvaskning nøgletal'!$D$67,3,IF(O1681='Udvaskning nøgletal'!$D$68,2,""))))</f>
        <v>2</v>
      </c>
      <c r="Y1681" s="15">
        <f>LOOKUP(K1681,'Udvaskning nøgletal'!$C$12:$C$60,'Udvaskning nøgletal'!$H$12:$H$60)</f>
        <v>0</v>
      </c>
      <c r="Z1681" s="10">
        <f>IF(X1681=1,LOOKUP(K1681,'Udvaskning nøgletal'!$C$12:$C$60,'Udvaskning nøgletal'!$E$12:$E$60)+Markniveau!Y1681*Markniveau!S1681/100,IF(X1681=2,LOOKUP(K1681,'Udvaskning nøgletal'!$C$12:$C$60,'Udvaskning nøgletal'!$F$12:$F$60)+Markniveau!Y1681*Markniveau!S1681/100,IF(X1681=3,LOOKUP(K1681,'Udvaskning nøgletal'!$C$12:$C$60,'Udvaskning nøgletal'!G1691:G1739)+Markniveau!Y1681*Markniveau!S1681/100,"")))</f>
        <v>21.2</v>
      </c>
      <c r="AA1681" s="10">
        <f t="shared" si="266"/>
        <v>49.396000000000001</v>
      </c>
      <c r="AB1681" s="10">
        <f t="shared" si="265"/>
        <v>1.06</v>
      </c>
      <c r="AC1681" s="10">
        <f t="shared" si="267"/>
        <v>2.4698000000000002</v>
      </c>
      <c r="AD1681" s="10">
        <f>IF(AND(Q1681&gt;0,Q1681&lt;30,K1681&lt;8),Markniveau!Z1681*'Udvaskning nøgletal'!$I$12/100,IF(AND(Q1681&gt;0,Q1681&lt;30,K1681=216),Markniveau!Z1681*'Udvaskning nøgletal'!$I$34/100,Markniveau!Z1681))</f>
        <v>21.2</v>
      </c>
      <c r="AE1681" s="10">
        <f t="shared" ref="AE1681:AE1732" si="273">AD1681*I1681</f>
        <v>49.396000000000001</v>
      </c>
      <c r="AF1681" s="10">
        <f t="shared" si="268"/>
        <v>1.06</v>
      </c>
      <c r="AG1681" s="10">
        <f t="shared" ref="AG1681:AG1732" si="274">IF($Q1681&gt;0,(100-$Q1681)*$AD1681/100*I1681,"")</f>
        <v>2.4698000000000002</v>
      </c>
      <c r="AH1681" s="10" t="str">
        <f>IF(AND(Q1681&gt;0,Q1681&lt;30,K1681=216),'Udvaskning nøgletal'!$C$42,IF(AND(Q1681&gt;0,Q1681&lt;30,K1681&gt;7,K1681&lt;17),'Udvaskning nøgletal'!$C$61,IF(AND(Q1681&gt;0,Q1681&lt;30,K1681&lt;7),'Udvaskning nøgletal'!$C$62,"")))</f>
        <v/>
      </c>
      <c r="AI1681" s="10">
        <f t="shared" si="270"/>
        <v>254</v>
      </c>
      <c r="AJ1681" s="10">
        <f>IF($X1681=1,LOOKUP(AI1681,'Udvaskning nøgletal'!$C$12:$C$62,'Udvaskning nøgletal'!$E$12:$E$62)+Markniveau!$Y1681*Markniveau!$S1681/100,IF($X1681=2,LOOKUP(AI1681,'Udvaskning nøgletal'!$C$12:$C$62,'Udvaskning nøgletal'!$F$12:$F$62)+Markniveau!$Y1681*Markniveau!$S1681/100,IF($X1681=3,LOOKUP(AI1681,'Udvaskning nøgletal'!$C$12:$C$62,'Udvaskning nøgletal'!Q1691:Q1741)+Markniveau!$Y1681*Markniveau!$S1681/100,"")))</f>
        <v>21.2</v>
      </c>
      <c r="AK1681" s="10">
        <f t="shared" si="269"/>
        <v>49.396000000000001</v>
      </c>
      <c r="AL1681" s="10">
        <f t="shared" si="271"/>
        <v>1.06</v>
      </c>
      <c r="AM1681" s="10">
        <f t="shared" si="272"/>
        <v>2.4698000000000002</v>
      </c>
    </row>
    <row r="1682" spans="1:39" x14ac:dyDescent="0.25">
      <c r="A1682" s="15">
        <v>98333053</v>
      </c>
      <c r="B1682" s="15">
        <v>288.98</v>
      </c>
      <c r="C1682" s="15">
        <v>213028</v>
      </c>
      <c r="D1682" s="15">
        <v>33037</v>
      </c>
      <c r="E1682" s="15" t="s">
        <v>1329</v>
      </c>
      <c r="F1682" s="15">
        <v>2011</v>
      </c>
      <c r="G1682" s="15">
        <v>20110421</v>
      </c>
      <c r="H1682" s="15">
        <v>20550</v>
      </c>
      <c r="I1682" s="15">
        <v>2.06</v>
      </c>
      <c r="J1682" s="6" t="s">
        <v>144</v>
      </c>
      <c r="K1682" s="15">
        <v>216</v>
      </c>
      <c r="L1682" s="15" t="s">
        <v>116</v>
      </c>
      <c r="M1682" s="15" t="s">
        <v>5</v>
      </c>
      <c r="N1682" s="11" t="s">
        <v>1391</v>
      </c>
      <c r="O1682" s="11" t="s">
        <v>46</v>
      </c>
      <c r="P1682" s="11" t="s">
        <v>33</v>
      </c>
      <c r="Q1682" s="15">
        <v>95</v>
      </c>
      <c r="R1682" s="11" t="s">
        <v>3</v>
      </c>
      <c r="S1682" s="10">
        <v>122.98847603989</v>
      </c>
      <c r="T1682" s="15">
        <v>80</v>
      </c>
      <c r="U1682" s="15">
        <v>0</v>
      </c>
      <c r="V1682" s="15">
        <v>1</v>
      </c>
      <c r="W1682" s="15">
        <v>0</v>
      </c>
      <c r="X1682" s="15">
        <f>IF(O1682='Udvaskning nøgletal'!$D$65,1,IF(O1682='Udvaskning nøgletal'!$D$66,2,IF(O1682='Udvaskning nøgletal'!$D$67,3,IF(O1682='Udvaskning nøgletal'!$D$68,2,""))))</f>
        <v>2</v>
      </c>
      <c r="Y1682" s="15">
        <f>LOOKUP(K1682,'Udvaskning nøgletal'!$C$12:$C$60,'Udvaskning nøgletal'!$H$12:$H$60)</f>
        <v>0</v>
      </c>
      <c r="Z1682" s="10">
        <f>IF(X1682=1,LOOKUP(K1682,'Udvaskning nøgletal'!$C$12:$C$60,'Udvaskning nøgletal'!$E$12:$E$60)+Markniveau!Y1682*Markniveau!S1682/100,IF(X1682=2,LOOKUP(K1682,'Udvaskning nøgletal'!$C$12:$C$60,'Udvaskning nøgletal'!$F$12:$F$60)+Markniveau!Y1682*Markniveau!S1682/100,IF(X1682=3,LOOKUP(K1682,'Udvaskning nøgletal'!$C$12:$C$60,'Udvaskning nøgletal'!G1692:G1740)+Markniveau!Y1682*Markniveau!S1682/100,"")))</f>
        <v>101.66744640811392</v>
      </c>
      <c r="AA1682" s="10">
        <f t="shared" si="266"/>
        <v>209.43493960071467</v>
      </c>
      <c r="AB1682" s="10">
        <f t="shared" si="265"/>
        <v>5.0833723204056955</v>
      </c>
      <c r="AC1682" s="10">
        <f t="shared" si="267"/>
        <v>10.471746980035734</v>
      </c>
      <c r="AD1682" s="10">
        <f>IF(AND(Q1682&gt;0,Q1682&lt;30,K1682&lt;8),Markniveau!Z1682*'Udvaskning nøgletal'!$I$12/100,IF(AND(Q1682&gt;0,Q1682&lt;30,K1682=216),Markniveau!Z1682*'Udvaskning nøgletal'!$I$34/100,Markniveau!Z1682))</f>
        <v>101.66744640811392</v>
      </c>
      <c r="AE1682" s="10">
        <f t="shared" si="273"/>
        <v>209.43493960071467</v>
      </c>
      <c r="AF1682" s="10">
        <f t="shared" si="268"/>
        <v>5.0833723204056955</v>
      </c>
      <c r="AG1682" s="10">
        <f t="shared" si="274"/>
        <v>10.471746980035734</v>
      </c>
      <c r="AH1682" s="10" t="str">
        <f>IF(AND(Q1682&gt;0,Q1682&lt;30,K1682=216),'Udvaskning nøgletal'!$C$42,IF(AND(Q1682&gt;0,Q1682&lt;30,K1682&gt;7,K1682&lt;17),'Udvaskning nøgletal'!$C$61,IF(AND(Q1682&gt;0,Q1682&lt;30,K1682&lt;7),'Udvaskning nøgletal'!$C$62,"")))</f>
        <v/>
      </c>
      <c r="AI1682" s="10">
        <f t="shared" si="270"/>
        <v>216</v>
      </c>
      <c r="AJ1682" s="10">
        <f>IF($X1682=1,LOOKUP(AI1682,'Udvaskning nøgletal'!$C$12:$C$62,'Udvaskning nøgletal'!$E$12:$E$62)+Markniveau!$Y1682*Markniveau!$S1682/100,IF($X1682=2,LOOKUP(AI1682,'Udvaskning nøgletal'!$C$12:$C$62,'Udvaskning nøgletal'!$F$12:$F$62)+Markniveau!$Y1682*Markniveau!$S1682/100,IF($X1682=3,LOOKUP(AI1682,'Udvaskning nøgletal'!$C$12:$C$62,'Udvaskning nøgletal'!Q1692:Q1742)+Markniveau!$Y1682*Markniveau!$S1682/100,"")))</f>
        <v>101.66744640811392</v>
      </c>
      <c r="AK1682" s="10">
        <f t="shared" si="269"/>
        <v>209.43493960071467</v>
      </c>
      <c r="AL1682" s="10">
        <f t="shared" si="271"/>
        <v>5.0833723204056955</v>
      </c>
      <c r="AM1682" s="10">
        <f t="shared" si="272"/>
        <v>10.471746980035734</v>
      </c>
    </row>
    <row r="1683" spans="1:39" x14ac:dyDescent="0.25">
      <c r="A1683" s="15">
        <v>98333053</v>
      </c>
      <c r="B1683" s="15">
        <v>288.98</v>
      </c>
      <c r="C1683" s="15">
        <v>238793</v>
      </c>
      <c r="D1683" s="15">
        <v>33037</v>
      </c>
      <c r="E1683" s="15" t="s">
        <v>1293</v>
      </c>
      <c r="F1683" s="15">
        <v>2011</v>
      </c>
      <c r="G1683" s="15">
        <v>20110421</v>
      </c>
      <c r="H1683" s="15">
        <v>27193</v>
      </c>
      <c r="I1683" s="15">
        <v>2.72</v>
      </c>
      <c r="J1683" s="6" t="s">
        <v>1398</v>
      </c>
      <c r="K1683" s="15">
        <v>214</v>
      </c>
      <c r="L1683" s="15" t="s">
        <v>56</v>
      </c>
      <c r="M1683" s="15" t="s">
        <v>5</v>
      </c>
      <c r="N1683" s="11" t="s">
        <v>1391</v>
      </c>
      <c r="O1683" s="11" t="s">
        <v>46</v>
      </c>
      <c r="P1683" s="11" t="s">
        <v>29</v>
      </c>
      <c r="Q1683" s="15">
        <v>95</v>
      </c>
      <c r="R1683" s="11" t="s">
        <v>3</v>
      </c>
      <c r="S1683" s="10">
        <v>122.98847603989</v>
      </c>
      <c r="T1683" s="15">
        <v>80</v>
      </c>
      <c r="U1683" s="15">
        <v>0</v>
      </c>
      <c r="V1683" s="15">
        <v>1</v>
      </c>
      <c r="W1683" s="15">
        <v>0</v>
      </c>
      <c r="X1683" s="15">
        <f>IF(O1683='Udvaskning nøgletal'!$D$65,1,IF(O1683='Udvaskning nøgletal'!$D$66,2,IF(O1683='Udvaskning nøgletal'!$D$67,3,IF(O1683='Udvaskning nøgletal'!$D$68,2,""))))</f>
        <v>2</v>
      </c>
      <c r="Y1683" s="15">
        <f>LOOKUP(K1683,'Udvaskning nøgletal'!$C$12:$C$60,'Udvaskning nøgletal'!$H$12:$H$60)</f>
        <v>0</v>
      </c>
      <c r="Z1683" s="10">
        <f>IF(X1683=1,LOOKUP(K1683,'Udvaskning nøgletal'!$C$12:$C$60,'Udvaskning nøgletal'!$E$12:$E$60)+Markniveau!Y1683*Markniveau!S1683/100,IF(X1683=2,LOOKUP(K1683,'Udvaskning nøgletal'!$C$12:$C$60,'Udvaskning nøgletal'!$F$12:$F$60)+Markniveau!Y1683*Markniveau!S1683/100,IF(X1683=3,LOOKUP(K1683,'Udvaskning nøgletal'!$C$12:$C$60,'Udvaskning nøgletal'!G1693:G1741)+Markniveau!Y1683*Markniveau!S1683/100,"")))</f>
        <v>31.161328188970323</v>
      </c>
      <c r="AA1683" s="10">
        <f t="shared" si="266"/>
        <v>84.758812673999287</v>
      </c>
      <c r="AB1683" s="10">
        <f t="shared" si="265"/>
        <v>1.5580664094485162</v>
      </c>
      <c r="AC1683" s="10">
        <f t="shared" si="267"/>
        <v>4.2379406336999645</v>
      </c>
      <c r="AD1683" s="10">
        <f>IF(AND(Q1683&gt;0,Q1683&lt;30,K1683&lt;8),Markniveau!Z1683*'Udvaskning nøgletal'!$I$12/100,IF(AND(Q1683&gt;0,Q1683&lt;30,K1683=216),Markniveau!Z1683*'Udvaskning nøgletal'!$I$34/100,Markniveau!Z1683))</f>
        <v>31.161328188970323</v>
      </c>
      <c r="AE1683" s="10">
        <f t="shared" si="273"/>
        <v>84.758812673999287</v>
      </c>
      <c r="AF1683" s="10">
        <f t="shared" si="268"/>
        <v>1.5580664094485162</v>
      </c>
      <c r="AG1683" s="10">
        <f t="shared" si="274"/>
        <v>4.2379406336999645</v>
      </c>
      <c r="AH1683" s="10" t="str">
        <f>IF(AND(Q1683&gt;0,Q1683&lt;30,K1683=216),'Udvaskning nøgletal'!$C$42,IF(AND(Q1683&gt;0,Q1683&lt;30,K1683&gt;7,K1683&lt;17),'Udvaskning nøgletal'!$C$61,IF(AND(Q1683&gt;0,Q1683&lt;30,K1683&lt;7),'Udvaskning nøgletal'!$C$62,"")))</f>
        <v/>
      </c>
      <c r="AI1683" s="10">
        <f t="shared" si="270"/>
        <v>214</v>
      </c>
      <c r="AJ1683" s="10">
        <f>IF($X1683=1,LOOKUP(AI1683,'Udvaskning nøgletal'!$C$12:$C$62,'Udvaskning nøgletal'!$E$12:$E$62)+Markniveau!$Y1683*Markniveau!$S1683/100,IF($X1683=2,LOOKUP(AI1683,'Udvaskning nøgletal'!$C$12:$C$62,'Udvaskning nøgletal'!$F$12:$F$62)+Markniveau!$Y1683*Markniveau!$S1683/100,IF($X1683=3,LOOKUP(AI1683,'Udvaskning nøgletal'!$C$12:$C$62,'Udvaskning nøgletal'!Q1693:Q1743)+Markniveau!$Y1683*Markniveau!$S1683/100,"")))</f>
        <v>31.161328188970323</v>
      </c>
      <c r="AK1683" s="10">
        <f t="shared" si="269"/>
        <v>84.758812673999287</v>
      </c>
      <c r="AL1683" s="10">
        <f t="shared" si="271"/>
        <v>1.5580664094485162</v>
      </c>
      <c r="AM1683" s="10">
        <f t="shared" si="272"/>
        <v>4.2379406336999645</v>
      </c>
    </row>
    <row r="1684" spans="1:39" x14ac:dyDescent="0.25">
      <c r="A1684" s="15">
        <v>98333053</v>
      </c>
      <c r="B1684" s="15">
        <v>288.98</v>
      </c>
      <c r="C1684" s="15">
        <v>292851</v>
      </c>
      <c r="D1684" s="15">
        <v>33037</v>
      </c>
      <c r="E1684" s="15" t="s">
        <v>331</v>
      </c>
      <c r="F1684" s="15">
        <v>2011</v>
      </c>
      <c r="G1684" s="15">
        <v>20110421</v>
      </c>
      <c r="H1684" s="15">
        <v>11418</v>
      </c>
      <c r="I1684" s="15">
        <v>1.1399999999999999</v>
      </c>
      <c r="J1684" s="6" t="s">
        <v>65</v>
      </c>
      <c r="K1684" s="15">
        <v>252</v>
      </c>
      <c r="L1684" s="15" t="s">
        <v>41</v>
      </c>
      <c r="M1684" s="15" t="s">
        <v>4</v>
      </c>
      <c r="N1684" s="11" t="s">
        <v>1391</v>
      </c>
      <c r="O1684" s="11" t="s">
        <v>46</v>
      </c>
      <c r="P1684" s="11" t="s">
        <v>33</v>
      </c>
      <c r="Q1684" s="15">
        <v>95</v>
      </c>
      <c r="R1684" s="11" t="s">
        <v>3</v>
      </c>
      <c r="S1684" s="10">
        <v>122.98847603989</v>
      </c>
      <c r="T1684" s="15">
        <v>80</v>
      </c>
      <c r="U1684" s="15">
        <v>0</v>
      </c>
      <c r="V1684" s="15">
        <v>1</v>
      </c>
      <c r="W1684" s="15">
        <v>0</v>
      </c>
      <c r="X1684" s="15">
        <f>IF(O1684='Udvaskning nøgletal'!$D$65,1,IF(O1684='Udvaskning nøgletal'!$D$66,2,IF(O1684='Udvaskning nøgletal'!$D$67,3,IF(O1684='Udvaskning nøgletal'!$D$68,2,""))))</f>
        <v>2</v>
      </c>
      <c r="Y1684" s="15">
        <f>LOOKUP(K1684,'Udvaskning nøgletal'!$C$12:$C$60,'Udvaskning nøgletal'!$H$12:$H$60)</f>
        <v>0</v>
      </c>
      <c r="Z1684" s="10">
        <f>IF(X1684=1,LOOKUP(K1684,'Udvaskning nøgletal'!$C$12:$C$60,'Udvaskning nøgletal'!$E$12:$E$60)+Markniveau!Y1684*Markniveau!S1684/100,IF(X1684=2,LOOKUP(K1684,'Udvaskning nøgletal'!$C$12:$C$60,'Udvaskning nøgletal'!$F$12:$F$60)+Markniveau!Y1684*Markniveau!S1684/100,IF(X1684=3,LOOKUP(K1684,'Udvaskning nøgletal'!$C$12:$C$60,'Udvaskning nøgletal'!G1694:G1742)+Markniveau!Y1684*Markniveau!S1684/100,"")))</f>
        <v>21.2</v>
      </c>
      <c r="AA1684" s="10">
        <f t="shared" si="266"/>
        <v>24.167999999999996</v>
      </c>
      <c r="AB1684" s="10">
        <f t="shared" si="265"/>
        <v>1.06</v>
      </c>
      <c r="AC1684" s="10">
        <f t="shared" si="267"/>
        <v>1.2083999999999999</v>
      </c>
      <c r="AD1684" s="10">
        <f>IF(AND(Q1684&gt;0,Q1684&lt;30,K1684&lt;8),Markniveau!Z1684*'Udvaskning nøgletal'!$I$12/100,IF(AND(Q1684&gt;0,Q1684&lt;30,K1684=216),Markniveau!Z1684*'Udvaskning nøgletal'!$I$34/100,Markniveau!Z1684))</f>
        <v>21.2</v>
      </c>
      <c r="AE1684" s="10">
        <f t="shared" si="273"/>
        <v>24.167999999999996</v>
      </c>
      <c r="AF1684" s="10">
        <f t="shared" si="268"/>
        <v>1.06</v>
      </c>
      <c r="AG1684" s="10">
        <f t="shared" si="274"/>
        <v>1.2083999999999999</v>
      </c>
      <c r="AH1684" s="10" t="str">
        <f>IF(AND(Q1684&gt;0,Q1684&lt;30,K1684=216),'Udvaskning nøgletal'!$C$42,IF(AND(Q1684&gt;0,Q1684&lt;30,K1684&gt;7,K1684&lt;17),'Udvaskning nøgletal'!$C$61,IF(AND(Q1684&gt;0,Q1684&lt;30,K1684&lt;7),'Udvaskning nøgletal'!$C$62,"")))</f>
        <v/>
      </c>
      <c r="AI1684" s="10">
        <f t="shared" si="270"/>
        <v>252</v>
      </c>
      <c r="AJ1684" s="10">
        <f>IF($X1684=1,LOOKUP(AI1684,'Udvaskning nøgletal'!$C$12:$C$62,'Udvaskning nøgletal'!$E$12:$E$62)+Markniveau!$Y1684*Markniveau!$S1684/100,IF($X1684=2,LOOKUP(AI1684,'Udvaskning nøgletal'!$C$12:$C$62,'Udvaskning nøgletal'!$F$12:$F$62)+Markniveau!$Y1684*Markniveau!$S1684/100,IF($X1684=3,LOOKUP(AI1684,'Udvaskning nøgletal'!$C$12:$C$62,'Udvaskning nøgletal'!Q1694:Q1744)+Markniveau!$Y1684*Markniveau!$S1684/100,"")))</f>
        <v>21.2</v>
      </c>
      <c r="AK1684" s="10">
        <f t="shared" si="269"/>
        <v>24.167999999999996</v>
      </c>
      <c r="AL1684" s="10">
        <f t="shared" si="271"/>
        <v>1.06</v>
      </c>
      <c r="AM1684" s="10">
        <f t="shared" si="272"/>
        <v>1.2083999999999999</v>
      </c>
    </row>
    <row r="1685" spans="1:39" x14ac:dyDescent="0.25">
      <c r="A1685" s="15">
        <v>98333053</v>
      </c>
      <c r="B1685" s="15">
        <v>288.98</v>
      </c>
      <c r="C1685" s="15">
        <v>453120</v>
      </c>
      <c r="D1685" s="15">
        <v>33037</v>
      </c>
      <c r="E1685" s="15" t="s">
        <v>625</v>
      </c>
      <c r="F1685" s="15">
        <v>2011</v>
      </c>
      <c r="G1685" s="15">
        <v>20110421</v>
      </c>
      <c r="H1685" s="15">
        <v>38981</v>
      </c>
      <c r="I1685" s="15">
        <v>3.9</v>
      </c>
      <c r="J1685" s="6" t="s">
        <v>1330</v>
      </c>
      <c r="K1685" s="15">
        <v>252</v>
      </c>
      <c r="L1685" s="15" t="s">
        <v>41</v>
      </c>
      <c r="M1685" s="15" t="s">
        <v>4</v>
      </c>
      <c r="N1685" s="11" t="s">
        <v>1391</v>
      </c>
      <c r="O1685" s="11" t="s">
        <v>46</v>
      </c>
      <c r="P1685" s="11" t="s">
        <v>29</v>
      </c>
      <c r="Q1685" s="15">
        <v>95</v>
      </c>
      <c r="R1685" s="11" t="s">
        <v>3</v>
      </c>
      <c r="S1685" s="10">
        <v>122.98847603989</v>
      </c>
      <c r="T1685" s="15">
        <v>80</v>
      </c>
      <c r="U1685" s="15">
        <v>0</v>
      </c>
      <c r="V1685" s="15">
        <v>1</v>
      </c>
      <c r="W1685" s="15">
        <v>0</v>
      </c>
      <c r="X1685" s="15">
        <f>IF(O1685='Udvaskning nøgletal'!$D$65,1,IF(O1685='Udvaskning nøgletal'!$D$66,2,IF(O1685='Udvaskning nøgletal'!$D$67,3,IF(O1685='Udvaskning nøgletal'!$D$68,2,""))))</f>
        <v>2</v>
      </c>
      <c r="Y1685" s="15">
        <f>LOOKUP(K1685,'Udvaskning nøgletal'!$C$12:$C$60,'Udvaskning nøgletal'!$H$12:$H$60)</f>
        <v>0</v>
      </c>
      <c r="Z1685" s="10">
        <f>IF(X1685=1,LOOKUP(K1685,'Udvaskning nøgletal'!$C$12:$C$60,'Udvaskning nøgletal'!$E$12:$E$60)+Markniveau!Y1685*Markniveau!S1685/100,IF(X1685=2,LOOKUP(K1685,'Udvaskning nøgletal'!$C$12:$C$60,'Udvaskning nøgletal'!$F$12:$F$60)+Markniveau!Y1685*Markniveau!S1685/100,IF(X1685=3,LOOKUP(K1685,'Udvaskning nøgletal'!$C$12:$C$60,'Udvaskning nøgletal'!G1695:G1743)+Markniveau!Y1685*Markniveau!S1685/100,"")))</f>
        <v>21.2</v>
      </c>
      <c r="AA1685" s="10">
        <f t="shared" si="266"/>
        <v>82.679999999999993</v>
      </c>
      <c r="AB1685" s="10">
        <f t="shared" si="265"/>
        <v>1.06</v>
      </c>
      <c r="AC1685" s="10">
        <f t="shared" si="267"/>
        <v>4.1340000000000003</v>
      </c>
      <c r="AD1685" s="10">
        <f>IF(AND(Q1685&gt;0,Q1685&lt;30,K1685&lt;8),Markniveau!Z1685*'Udvaskning nøgletal'!$I$12/100,IF(AND(Q1685&gt;0,Q1685&lt;30,K1685=216),Markniveau!Z1685*'Udvaskning nøgletal'!$I$34/100,Markniveau!Z1685))</f>
        <v>21.2</v>
      </c>
      <c r="AE1685" s="10">
        <f t="shared" si="273"/>
        <v>82.679999999999993</v>
      </c>
      <c r="AF1685" s="10">
        <f t="shared" si="268"/>
        <v>1.06</v>
      </c>
      <c r="AG1685" s="10">
        <f t="shared" si="274"/>
        <v>4.1340000000000003</v>
      </c>
      <c r="AH1685" s="10" t="str">
        <f>IF(AND(Q1685&gt;0,Q1685&lt;30,K1685=216),'Udvaskning nøgletal'!$C$42,IF(AND(Q1685&gt;0,Q1685&lt;30,K1685&gt;7,K1685&lt;17),'Udvaskning nøgletal'!$C$61,IF(AND(Q1685&gt;0,Q1685&lt;30,K1685&lt;7),'Udvaskning nøgletal'!$C$62,"")))</f>
        <v/>
      </c>
      <c r="AI1685" s="10">
        <f t="shared" si="270"/>
        <v>252</v>
      </c>
      <c r="AJ1685" s="10">
        <f>IF($X1685=1,LOOKUP(AI1685,'Udvaskning nøgletal'!$C$12:$C$62,'Udvaskning nøgletal'!$E$12:$E$62)+Markniveau!$Y1685*Markniveau!$S1685/100,IF($X1685=2,LOOKUP(AI1685,'Udvaskning nøgletal'!$C$12:$C$62,'Udvaskning nøgletal'!$F$12:$F$62)+Markniveau!$Y1685*Markniveau!$S1685/100,IF($X1685=3,LOOKUP(AI1685,'Udvaskning nøgletal'!$C$12:$C$62,'Udvaskning nøgletal'!Q1695:Q1745)+Markniveau!$Y1685*Markniveau!$S1685/100,"")))</f>
        <v>21.2</v>
      </c>
      <c r="AK1685" s="10">
        <f t="shared" si="269"/>
        <v>82.679999999999993</v>
      </c>
      <c r="AL1685" s="10">
        <f t="shared" si="271"/>
        <v>1.06</v>
      </c>
      <c r="AM1685" s="10">
        <f t="shared" si="272"/>
        <v>4.1340000000000003</v>
      </c>
    </row>
    <row r="1686" spans="1:39" x14ac:dyDescent="0.25">
      <c r="A1686" s="15">
        <v>98333053</v>
      </c>
      <c r="B1686" s="15">
        <v>288.98</v>
      </c>
      <c r="C1686" s="15">
        <v>46397</v>
      </c>
      <c r="D1686" s="15">
        <v>33037</v>
      </c>
      <c r="E1686" s="15" t="s">
        <v>1300</v>
      </c>
      <c r="F1686" s="15">
        <v>2011</v>
      </c>
      <c r="G1686" s="15">
        <v>20110421</v>
      </c>
      <c r="H1686" s="15">
        <v>81242</v>
      </c>
      <c r="I1686" s="15">
        <v>8.1199999999999992</v>
      </c>
      <c r="J1686" s="6" t="s">
        <v>476</v>
      </c>
      <c r="K1686" s="15">
        <v>216</v>
      </c>
      <c r="L1686" s="15" t="s">
        <v>116</v>
      </c>
      <c r="M1686" s="15" t="s">
        <v>5</v>
      </c>
      <c r="N1686" s="11" t="s">
        <v>1406</v>
      </c>
      <c r="O1686" s="11" t="s">
        <v>46</v>
      </c>
      <c r="P1686" s="11" t="s">
        <v>29</v>
      </c>
      <c r="Q1686" s="15">
        <v>25</v>
      </c>
      <c r="R1686" s="11" t="s">
        <v>7</v>
      </c>
      <c r="S1686" s="10">
        <v>122.98847603989</v>
      </c>
      <c r="T1686" s="15">
        <v>80</v>
      </c>
      <c r="U1686" s="15">
        <v>0</v>
      </c>
      <c r="V1686" s="15">
        <v>1</v>
      </c>
      <c r="W1686" s="15">
        <v>0</v>
      </c>
      <c r="X1686" s="15">
        <f>IF(O1686='Udvaskning nøgletal'!$D$65,1,IF(O1686='Udvaskning nøgletal'!$D$66,2,IF(O1686='Udvaskning nøgletal'!$D$67,3,IF(O1686='Udvaskning nøgletal'!$D$68,2,""))))</f>
        <v>2</v>
      </c>
      <c r="Y1686" s="15">
        <f>LOOKUP(K1686,'Udvaskning nøgletal'!$C$12:$C$60,'Udvaskning nøgletal'!$H$12:$H$60)</f>
        <v>0</v>
      </c>
      <c r="Z1686" s="10">
        <f>IF(X1686=1,LOOKUP(K1686,'Udvaskning nøgletal'!$C$12:$C$60,'Udvaskning nøgletal'!$E$12:$E$60)+Markniveau!Y1686*Markniveau!S1686/100,IF(X1686=2,LOOKUP(K1686,'Udvaskning nøgletal'!$C$12:$C$60,'Udvaskning nøgletal'!$F$12:$F$60)+Markniveau!Y1686*Markniveau!S1686/100,IF(X1686=3,LOOKUP(K1686,'Udvaskning nøgletal'!$C$12:$C$60,'Udvaskning nøgletal'!G1696:G1744)+Markniveau!Y1686*Markniveau!S1686/100,"")))</f>
        <v>101.66744640811392</v>
      </c>
      <c r="AA1686" s="10">
        <f t="shared" si="266"/>
        <v>825.5396648338849</v>
      </c>
      <c r="AB1686" s="10">
        <f t="shared" si="265"/>
        <v>76.250584806085442</v>
      </c>
      <c r="AC1686" s="10">
        <f t="shared" si="267"/>
        <v>619.15474862541373</v>
      </c>
      <c r="AD1686" s="10">
        <f>IF(AND(Q1686&gt;0,Q1686&lt;30,K1686&lt;8),Markniveau!Z1686*'Udvaskning nøgletal'!$I$12/100,IF(AND(Q1686&gt;0,Q1686&lt;30,K1686=216),Markniveau!Z1686*'Udvaskning nøgletal'!$I$34/100,Markniveau!Z1686))</f>
        <v>71.167212485679741</v>
      </c>
      <c r="AE1686" s="10">
        <f t="shared" si="273"/>
        <v>577.87776538371941</v>
      </c>
      <c r="AF1686" s="10">
        <f t="shared" si="268"/>
        <v>53.375409364259802</v>
      </c>
      <c r="AG1686" s="10">
        <f t="shared" si="274"/>
        <v>433.40832403778955</v>
      </c>
      <c r="AH1686" s="10">
        <f>IF(AND(Q1686&gt;0,Q1686&lt;30,K1686=216),'Udvaskning nøgletal'!$C$42,IF(AND(Q1686&gt;0,Q1686&lt;30,K1686&gt;7,K1686&lt;17),'Udvaskning nøgletal'!$C$61,IF(AND(Q1686&gt;0,Q1686&lt;30,K1686&lt;7),'Udvaskning nøgletal'!$C$62,"")))</f>
        <v>260</v>
      </c>
      <c r="AI1686" s="10">
        <f t="shared" si="270"/>
        <v>260</v>
      </c>
      <c r="AJ1686" s="10">
        <f>IF($X1686=1,LOOKUP(AI1686,'Udvaskning nøgletal'!$C$12:$C$62,'Udvaskning nøgletal'!$E$12:$E$62)+Markniveau!$Y1686*Markniveau!$S1686/100,IF($X1686=2,LOOKUP(AI1686,'Udvaskning nøgletal'!$C$12:$C$62,'Udvaskning nøgletal'!$F$12:$F$62)+Markniveau!$Y1686*Markniveau!$S1686/100,IF($X1686=3,LOOKUP(AI1686,'Udvaskning nøgletal'!$C$12:$C$62,'Udvaskning nøgletal'!Q1696:Q1746)+Markniveau!$Y1686*Markniveau!$S1686/100,"")))</f>
        <v>27.331185321443094</v>
      </c>
      <c r="AK1686" s="10">
        <f t="shared" si="269"/>
        <v>221.92922481011792</v>
      </c>
      <c r="AL1686" s="10">
        <f t="shared" si="271"/>
        <v>20.498388991082319</v>
      </c>
      <c r="AM1686" s="10">
        <f t="shared" si="272"/>
        <v>166.4469186075884</v>
      </c>
    </row>
    <row r="1687" spans="1:39" x14ac:dyDescent="0.25">
      <c r="A1687" s="15">
        <v>98333053</v>
      </c>
      <c r="B1687" s="15">
        <v>288.98</v>
      </c>
      <c r="C1687" s="15">
        <v>46401</v>
      </c>
      <c r="D1687" s="15">
        <v>33037</v>
      </c>
      <c r="E1687" s="15" t="s">
        <v>625</v>
      </c>
      <c r="F1687" s="15">
        <v>2011</v>
      </c>
      <c r="G1687" s="15">
        <v>20110421</v>
      </c>
      <c r="H1687" s="15">
        <v>117121</v>
      </c>
      <c r="I1687" s="15">
        <v>11.71</v>
      </c>
      <c r="J1687" s="6" t="s">
        <v>1056</v>
      </c>
      <c r="K1687" s="15">
        <v>216</v>
      </c>
      <c r="L1687" s="15" t="s">
        <v>116</v>
      </c>
      <c r="M1687" s="15" t="s">
        <v>5</v>
      </c>
      <c r="N1687" s="11" t="s">
        <v>1391</v>
      </c>
      <c r="O1687" s="11" t="s">
        <v>46</v>
      </c>
      <c r="P1687" s="11" t="s">
        <v>29</v>
      </c>
      <c r="Q1687" s="15">
        <v>95</v>
      </c>
      <c r="R1687" s="11" t="s">
        <v>3</v>
      </c>
      <c r="S1687" s="10">
        <v>122.98847603989</v>
      </c>
      <c r="T1687" s="15">
        <v>80</v>
      </c>
      <c r="U1687" s="15">
        <v>0</v>
      </c>
      <c r="V1687" s="15">
        <v>1</v>
      </c>
      <c r="W1687" s="15">
        <v>0</v>
      </c>
      <c r="X1687" s="15">
        <f>IF(O1687='Udvaskning nøgletal'!$D$65,1,IF(O1687='Udvaskning nøgletal'!$D$66,2,IF(O1687='Udvaskning nøgletal'!$D$67,3,IF(O1687='Udvaskning nøgletal'!$D$68,2,""))))</f>
        <v>2</v>
      </c>
      <c r="Y1687" s="15">
        <f>LOOKUP(K1687,'Udvaskning nøgletal'!$C$12:$C$60,'Udvaskning nøgletal'!$H$12:$H$60)</f>
        <v>0</v>
      </c>
      <c r="Z1687" s="10">
        <f>IF(X1687=1,LOOKUP(K1687,'Udvaskning nøgletal'!$C$12:$C$60,'Udvaskning nøgletal'!$E$12:$E$60)+Markniveau!Y1687*Markniveau!S1687/100,IF(X1687=2,LOOKUP(K1687,'Udvaskning nøgletal'!$C$12:$C$60,'Udvaskning nøgletal'!$F$12:$F$60)+Markniveau!Y1687*Markniveau!S1687/100,IF(X1687=3,LOOKUP(K1687,'Udvaskning nøgletal'!$C$12:$C$60,'Udvaskning nøgletal'!G1697:G1745)+Markniveau!Y1687*Markniveau!S1687/100,"")))</f>
        <v>101.66744640811392</v>
      </c>
      <c r="AA1687" s="10">
        <f t="shared" si="266"/>
        <v>1190.525797439014</v>
      </c>
      <c r="AB1687" s="10">
        <f t="shared" si="265"/>
        <v>5.0833723204056955</v>
      </c>
      <c r="AC1687" s="10">
        <f t="shared" si="267"/>
        <v>59.526289871950702</v>
      </c>
      <c r="AD1687" s="10">
        <f>IF(AND(Q1687&gt;0,Q1687&lt;30,K1687&lt;8),Markniveau!Z1687*'Udvaskning nøgletal'!$I$12/100,IF(AND(Q1687&gt;0,Q1687&lt;30,K1687=216),Markniveau!Z1687*'Udvaskning nøgletal'!$I$34/100,Markniveau!Z1687))</f>
        <v>101.66744640811392</v>
      </c>
      <c r="AE1687" s="10">
        <f t="shared" si="273"/>
        <v>1190.525797439014</v>
      </c>
      <c r="AF1687" s="10">
        <f t="shared" si="268"/>
        <v>5.0833723204056955</v>
      </c>
      <c r="AG1687" s="10">
        <f t="shared" si="274"/>
        <v>59.526289871950702</v>
      </c>
      <c r="AH1687" s="10" t="str">
        <f>IF(AND(Q1687&gt;0,Q1687&lt;30,K1687=216),'Udvaskning nøgletal'!$C$42,IF(AND(Q1687&gt;0,Q1687&lt;30,K1687&gt;7,K1687&lt;17),'Udvaskning nøgletal'!$C$61,IF(AND(Q1687&gt;0,Q1687&lt;30,K1687&lt;7),'Udvaskning nøgletal'!$C$62,"")))</f>
        <v/>
      </c>
      <c r="AI1687" s="10">
        <f t="shared" si="270"/>
        <v>216</v>
      </c>
      <c r="AJ1687" s="10">
        <f>IF($X1687=1,LOOKUP(AI1687,'Udvaskning nøgletal'!$C$12:$C$62,'Udvaskning nøgletal'!$E$12:$E$62)+Markniveau!$Y1687*Markniveau!$S1687/100,IF($X1687=2,LOOKUP(AI1687,'Udvaskning nøgletal'!$C$12:$C$62,'Udvaskning nøgletal'!$F$12:$F$62)+Markniveau!$Y1687*Markniveau!$S1687/100,IF($X1687=3,LOOKUP(AI1687,'Udvaskning nøgletal'!$C$12:$C$62,'Udvaskning nøgletal'!Q1697:Q1747)+Markniveau!$Y1687*Markniveau!$S1687/100,"")))</f>
        <v>101.66744640811392</v>
      </c>
      <c r="AK1687" s="10">
        <f t="shared" si="269"/>
        <v>1190.525797439014</v>
      </c>
      <c r="AL1687" s="10">
        <f t="shared" si="271"/>
        <v>5.0833723204056955</v>
      </c>
      <c r="AM1687" s="10">
        <f t="shared" si="272"/>
        <v>59.526289871950702</v>
      </c>
    </row>
    <row r="1688" spans="1:39" x14ac:dyDescent="0.25">
      <c r="A1688" s="15">
        <v>98400257</v>
      </c>
      <c r="B1688" s="15">
        <v>33.81</v>
      </c>
      <c r="C1688" s="15">
        <v>474449</v>
      </c>
      <c r="D1688" s="15">
        <v>71054</v>
      </c>
      <c r="E1688" s="15" t="s">
        <v>1331</v>
      </c>
      <c r="F1688" s="15">
        <v>2011</v>
      </c>
      <c r="G1688" s="15">
        <v>20110311</v>
      </c>
      <c r="H1688" s="15">
        <v>69069</v>
      </c>
      <c r="I1688" s="15">
        <v>6.91</v>
      </c>
      <c r="J1688" s="6" t="s">
        <v>34</v>
      </c>
      <c r="K1688" s="15">
        <v>22</v>
      </c>
      <c r="L1688" s="15" t="s">
        <v>213</v>
      </c>
      <c r="M1688" s="15" t="s">
        <v>5</v>
      </c>
      <c r="N1688" s="11" t="s">
        <v>1391</v>
      </c>
      <c r="O1688" s="11" t="s">
        <v>46</v>
      </c>
      <c r="P1688" s="11" t="s">
        <v>29</v>
      </c>
      <c r="Q1688" s="15">
        <v>95</v>
      </c>
      <c r="R1688" s="11" t="s">
        <v>3</v>
      </c>
      <c r="S1688" s="10">
        <v>49.452824608104002</v>
      </c>
      <c r="T1688" s="15">
        <v>80</v>
      </c>
      <c r="U1688" s="15">
        <v>0</v>
      </c>
      <c r="V1688" s="15">
        <v>0</v>
      </c>
      <c r="W1688" s="15">
        <v>0</v>
      </c>
      <c r="X1688" s="15">
        <f>IF(O1688='Udvaskning nøgletal'!$D$65,1,IF(O1688='Udvaskning nøgletal'!$D$66,2,IF(O1688='Udvaskning nøgletal'!$D$67,3,IF(O1688='Udvaskning nøgletal'!$D$68,2,""))))</f>
        <v>2</v>
      </c>
      <c r="Y1688" s="15">
        <f>LOOKUP(K1688,'Udvaskning nøgletal'!$C$12:$C$60,'Udvaskning nøgletal'!$H$12:$H$60)</f>
        <v>5</v>
      </c>
      <c r="Z1688" s="10">
        <f>IF(X1688=1,LOOKUP(K1688,'Udvaskning nøgletal'!$C$12:$C$60,'Udvaskning nøgletal'!$E$12:$E$60)+Markniveau!Y1688*Markniveau!S1688/100,IF(X1688=2,LOOKUP(K1688,'Udvaskning nøgletal'!$C$12:$C$60,'Udvaskning nøgletal'!$F$12:$F$60)+Markniveau!Y1688*Markniveau!S1688/100,IF(X1688=3,LOOKUP(K1688,'Udvaskning nøgletal'!$C$12:$C$60,'Udvaskning nøgletal'!G1698:G1746)+Markniveau!Y1688*Markniveau!S1688/100,"")))</f>
        <v>53.352641230405204</v>
      </c>
      <c r="AA1688" s="10">
        <f t="shared" si="266"/>
        <v>368.66675090209998</v>
      </c>
      <c r="AB1688" s="10">
        <f t="shared" si="265"/>
        <v>2.6676320615202602</v>
      </c>
      <c r="AC1688" s="10">
        <f t="shared" si="267"/>
        <v>18.433337545104997</v>
      </c>
      <c r="AD1688" s="10">
        <f>IF(AND(Q1688&gt;0,Q1688&lt;30,K1688&lt;8),Markniveau!Z1688*'Udvaskning nøgletal'!$I$12/100,IF(AND(Q1688&gt;0,Q1688&lt;30,K1688=216),Markniveau!Z1688*'Udvaskning nøgletal'!$I$34/100,Markniveau!Z1688))</f>
        <v>53.352641230405204</v>
      </c>
      <c r="AE1688" s="10">
        <f t="shared" si="273"/>
        <v>368.66675090209998</v>
      </c>
      <c r="AF1688" s="10">
        <f t="shared" si="268"/>
        <v>2.6676320615202602</v>
      </c>
      <c r="AG1688" s="10">
        <f t="shared" si="274"/>
        <v>18.433337545104997</v>
      </c>
      <c r="AH1688" s="10" t="str">
        <f>IF(AND(Q1688&gt;0,Q1688&lt;30,K1688=216),'Udvaskning nøgletal'!$C$42,IF(AND(Q1688&gt;0,Q1688&lt;30,K1688&gt;7,K1688&lt;17),'Udvaskning nøgletal'!$C$61,IF(AND(Q1688&gt;0,Q1688&lt;30,K1688&lt;7),'Udvaskning nøgletal'!$C$62,"")))</f>
        <v/>
      </c>
      <c r="AI1688" s="10">
        <f t="shared" si="270"/>
        <v>22</v>
      </c>
      <c r="AJ1688" s="10">
        <f>IF($X1688=1,LOOKUP(AI1688,'Udvaskning nøgletal'!$C$12:$C$62,'Udvaskning nøgletal'!$E$12:$E$62)+Markniveau!$Y1688*Markniveau!$S1688/100,IF($X1688=2,LOOKUP(AI1688,'Udvaskning nøgletal'!$C$12:$C$62,'Udvaskning nøgletal'!$F$12:$F$62)+Markniveau!$Y1688*Markniveau!$S1688/100,IF($X1688=3,LOOKUP(AI1688,'Udvaskning nøgletal'!$C$12:$C$62,'Udvaskning nøgletal'!Q1698:Q1748)+Markniveau!$Y1688*Markniveau!$S1688/100,"")))</f>
        <v>53.352641230405204</v>
      </c>
      <c r="AK1688" s="10">
        <f t="shared" si="269"/>
        <v>368.66675090209998</v>
      </c>
      <c r="AL1688" s="10">
        <f t="shared" si="271"/>
        <v>2.6676320615202602</v>
      </c>
      <c r="AM1688" s="10">
        <f t="shared" si="272"/>
        <v>18.433337545104997</v>
      </c>
    </row>
    <row r="1689" spans="1:39" x14ac:dyDescent="0.25">
      <c r="A1689" s="15">
        <v>98400257</v>
      </c>
      <c r="B1689" s="15">
        <v>33.81</v>
      </c>
      <c r="C1689" s="15">
        <v>474456</v>
      </c>
      <c r="D1689" s="15">
        <v>71054</v>
      </c>
      <c r="E1689" s="15" t="s">
        <v>1331</v>
      </c>
      <c r="F1689" s="15">
        <v>2011</v>
      </c>
      <c r="G1689" s="15">
        <v>20110311</v>
      </c>
      <c r="H1689" s="15">
        <v>35451</v>
      </c>
      <c r="I1689" s="15">
        <v>3.55</v>
      </c>
      <c r="J1689" s="6" t="s">
        <v>1421</v>
      </c>
      <c r="K1689" s="15">
        <v>1</v>
      </c>
      <c r="L1689" s="15" t="s">
        <v>32</v>
      </c>
      <c r="M1689" s="15" t="s">
        <v>5</v>
      </c>
      <c r="N1689" s="11" t="s">
        <v>1391</v>
      </c>
      <c r="O1689" s="11" t="s">
        <v>46</v>
      </c>
      <c r="P1689" s="11" t="s">
        <v>29</v>
      </c>
      <c r="Q1689" s="15">
        <v>95</v>
      </c>
      <c r="R1689" s="11" t="s">
        <v>3</v>
      </c>
      <c r="S1689" s="10">
        <v>49.452824608104002</v>
      </c>
      <c r="T1689" s="15">
        <v>80</v>
      </c>
      <c r="U1689" s="15">
        <v>0</v>
      </c>
      <c r="V1689" s="15">
        <v>0</v>
      </c>
      <c r="W1689" s="15">
        <v>0</v>
      </c>
      <c r="X1689" s="15">
        <f>IF(O1689='Udvaskning nøgletal'!$D$65,1,IF(O1689='Udvaskning nøgletal'!$D$66,2,IF(O1689='Udvaskning nøgletal'!$D$67,3,IF(O1689='Udvaskning nøgletal'!$D$68,2,""))))</f>
        <v>2</v>
      </c>
      <c r="Y1689" s="15">
        <f>LOOKUP(K1689,'Udvaskning nøgletal'!$C$12:$C$60,'Udvaskning nøgletal'!$H$12:$H$60)</f>
        <v>5</v>
      </c>
      <c r="Z1689" s="10">
        <f>IF(X1689=1,LOOKUP(K1689,'Udvaskning nøgletal'!$C$12:$C$60,'Udvaskning nøgletal'!$E$12:$E$60)+Markniveau!Y1689*Markniveau!S1689/100,IF(X1689=2,LOOKUP(K1689,'Udvaskning nøgletal'!$C$12:$C$60,'Udvaskning nøgletal'!$F$12:$F$60)+Markniveau!Y1689*Markniveau!S1689/100,IF(X1689=3,LOOKUP(K1689,'Udvaskning nøgletal'!$C$12:$C$60,'Udvaskning nøgletal'!G1699:G1747)+Markniveau!Y1689*Markniveau!S1689/100,"")))</f>
        <v>53.352641230405204</v>
      </c>
      <c r="AA1689" s="10">
        <f t="shared" si="266"/>
        <v>189.40187636793846</v>
      </c>
      <c r="AB1689" s="10">
        <f t="shared" si="265"/>
        <v>2.6676320615202602</v>
      </c>
      <c r="AC1689" s="10">
        <f t="shared" si="267"/>
        <v>9.4700938183969239</v>
      </c>
      <c r="AD1689" s="10">
        <f>IF(AND(Q1689&gt;0,Q1689&lt;30,K1689&lt;8),Markniveau!Z1689*'Udvaskning nøgletal'!$I$12/100,IF(AND(Q1689&gt;0,Q1689&lt;30,K1689=216),Markniveau!Z1689*'Udvaskning nøgletal'!$I$34/100,Markniveau!Z1689))</f>
        <v>53.352641230405204</v>
      </c>
      <c r="AE1689" s="10">
        <f t="shared" si="273"/>
        <v>189.40187636793846</v>
      </c>
      <c r="AF1689" s="10">
        <f t="shared" si="268"/>
        <v>2.6676320615202602</v>
      </c>
      <c r="AG1689" s="10">
        <f t="shared" si="274"/>
        <v>9.4700938183969239</v>
      </c>
      <c r="AH1689" s="10" t="str">
        <f>IF(AND(Q1689&gt;0,Q1689&lt;30,K1689=216),'Udvaskning nøgletal'!$C$42,IF(AND(Q1689&gt;0,Q1689&lt;30,K1689&gt;7,K1689&lt;17),'Udvaskning nøgletal'!$C$61,IF(AND(Q1689&gt;0,Q1689&lt;30,K1689&lt;7),'Udvaskning nøgletal'!$C$62,"")))</f>
        <v/>
      </c>
      <c r="AI1689" s="10">
        <f t="shared" si="270"/>
        <v>1</v>
      </c>
      <c r="AJ1689" s="10">
        <f>IF($X1689=1,LOOKUP(AI1689,'Udvaskning nøgletal'!$C$12:$C$62,'Udvaskning nøgletal'!$E$12:$E$62)+Markniveau!$Y1689*Markniveau!$S1689/100,IF($X1689=2,LOOKUP(AI1689,'Udvaskning nøgletal'!$C$12:$C$62,'Udvaskning nøgletal'!$F$12:$F$62)+Markniveau!$Y1689*Markniveau!$S1689/100,IF($X1689=3,LOOKUP(AI1689,'Udvaskning nøgletal'!$C$12:$C$62,'Udvaskning nøgletal'!Q1699:Q1749)+Markniveau!$Y1689*Markniveau!$S1689/100,"")))</f>
        <v>53.352641230405204</v>
      </c>
      <c r="AK1689" s="10">
        <f t="shared" si="269"/>
        <v>189.40187636793846</v>
      </c>
      <c r="AL1689" s="10">
        <f t="shared" si="271"/>
        <v>2.6676320615202602</v>
      </c>
      <c r="AM1689" s="10">
        <f t="shared" si="272"/>
        <v>9.4700938183969239</v>
      </c>
    </row>
    <row r="1690" spans="1:39" x14ac:dyDescent="0.25">
      <c r="A1690" s="15">
        <v>98400257</v>
      </c>
      <c r="B1690" s="15">
        <v>33.81</v>
      </c>
      <c r="C1690" s="15">
        <v>475909</v>
      </c>
      <c r="D1690" s="15">
        <v>71054</v>
      </c>
      <c r="E1690" s="15" t="s">
        <v>543</v>
      </c>
      <c r="F1690" s="15">
        <v>2011</v>
      </c>
      <c r="G1690" s="15">
        <v>20110311</v>
      </c>
      <c r="H1690" s="15">
        <v>63902</v>
      </c>
      <c r="I1690" s="15">
        <v>6.39</v>
      </c>
      <c r="J1690" s="6" t="s">
        <v>37</v>
      </c>
      <c r="K1690" s="15">
        <v>11</v>
      </c>
      <c r="L1690" s="15" t="s">
        <v>102</v>
      </c>
      <c r="M1690" s="15" t="s">
        <v>5</v>
      </c>
      <c r="N1690" s="11" t="s">
        <v>1391</v>
      </c>
      <c r="O1690" s="11" t="s">
        <v>46</v>
      </c>
      <c r="P1690" s="11" t="s">
        <v>29</v>
      </c>
      <c r="Q1690" s="15">
        <v>95</v>
      </c>
      <c r="R1690" s="11" t="s">
        <v>3</v>
      </c>
      <c r="S1690" s="10">
        <v>49.452824608104002</v>
      </c>
      <c r="T1690" s="15">
        <v>80</v>
      </c>
      <c r="U1690" s="15">
        <v>0</v>
      </c>
      <c r="V1690" s="15">
        <v>0</v>
      </c>
      <c r="W1690" s="15">
        <v>0</v>
      </c>
      <c r="X1690" s="15">
        <f>IF(O1690='Udvaskning nøgletal'!$D$65,1,IF(O1690='Udvaskning nøgletal'!$D$66,2,IF(O1690='Udvaskning nøgletal'!$D$67,3,IF(O1690='Udvaskning nøgletal'!$D$68,2,""))))</f>
        <v>2</v>
      </c>
      <c r="Y1690" s="15">
        <f>LOOKUP(K1690,'Udvaskning nøgletal'!$C$12:$C$60,'Udvaskning nøgletal'!$H$12:$H$60)</f>
        <v>5</v>
      </c>
      <c r="Z1690" s="10">
        <f>IF(X1690=1,LOOKUP(K1690,'Udvaskning nøgletal'!$C$12:$C$60,'Udvaskning nøgletal'!$E$12:$E$60)+Markniveau!Y1690*Markniveau!S1690/100,IF(X1690=2,LOOKUP(K1690,'Udvaskning nøgletal'!$C$12:$C$60,'Udvaskning nøgletal'!$F$12:$F$60)+Markniveau!Y1690*Markniveau!S1690/100,IF(X1690=3,LOOKUP(K1690,'Udvaskning nøgletal'!$C$12:$C$60,'Udvaskning nøgletal'!G1700:G1748)+Markniveau!Y1690*Markniveau!S1690/100,"")))</f>
        <v>53.352641230405204</v>
      </c>
      <c r="AA1690" s="10">
        <f t="shared" si="266"/>
        <v>340.92337746228924</v>
      </c>
      <c r="AB1690" s="10">
        <f t="shared" si="265"/>
        <v>2.6676320615202602</v>
      </c>
      <c r="AC1690" s="10">
        <f t="shared" si="267"/>
        <v>17.04616887311446</v>
      </c>
      <c r="AD1690" s="10">
        <f>IF(AND(Q1690&gt;0,Q1690&lt;30,K1690&lt;8),Markniveau!Z1690*'Udvaskning nøgletal'!$I$12/100,IF(AND(Q1690&gt;0,Q1690&lt;30,K1690=216),Markniveau!Z1690*'Udvaskning nøgletal'!$I$34/100,Markniveau!Z1690))</f>
        <v>53.352641230405204</v>
      </c>
      <c r="AE1690" s="10">
        <f t="shared" si="273"/>
        <v>340.92337746228924</v>
      </c>
      <c r="AF1690" s="10">
        <f t="shared" si="268"/>
        <v>2.6676320615202602</v>
      </c>
      <c r="AG1690" s="10">
        <f t="shared" si="274"/>
        <v>17.04616887311446</v>
      </c>
      <c r="AH1690" s="10" t="str">
        <f>IF(AND(Q1690&gt;0,Q1690&lt;30,K1690=216),'Udvaskning nøgletal'!$C$42,IF(AND(Q1690&gt;0,Q1690&lt;30,K1690&gt;7,K1690&lt;17),'Udvaskning nøgletal'!$C$61,IF(AND(Q1690&gt;0,Q1690&lt;30,K1690&lt;7),'Udvaskning nøgletal'!$C$62,"")))</f>
        <v/>
      </c>
      <c r="AI1690" s="10">
        <f t="shared" si="270"/>
        <v>11</v>
      </c>
      <c r="AJ1690" s="10">
        <f>IF($X1690=1,LOOKUP(AI1690,'Udvaskning nøgletal'!$C$12:$C$62,'Udvaskning nøgletal'!$E$12:$E$62)+Markniveau!$Y1690*Markniveau!$S1690/100,IF($X1690=2,LOOKUP(AI1690,'Udvaskning nøgletal'!$C$12:$C$62,'Udvaskning nøgletal'!$F$12:$F$62)+Markniveau!$Y1690*Markniveau!$S1690/100,IF($X1690=3,LOOKUP(AI1690,'Udvaskning nøgletal'!$C$12:$C$62,'Udvaskning nøgletal'!Q1700:Q1750)+Markniveau!$Y1690*Markniveau!$S1690/100,"")))</f>
        <v>53.352641230405204</v>
      </c>
      <c r="AK1690" s="10">
        <f t="shared" si="269"/>
        <v>340.92337746228924</v>
      </c>
      <c r="AL1690" s="10">
        <f t="shared" si="271"/>
        <v>2.6676320615202602</v>
      </c>
      <c r="AM1690" s="10">
        <f t="shared" si="272"/>
        <v>17.04616887311446</v>
      </c>
    </row>
    <row r="1691" spans="1:39" x14ac:dyDescent="0.25">
      <c r="A1691" s="15">
        <v>98400257</v>
      </c>
      <c r="B1691" s="15">
        <v>33.81</v>
      </c>
      <c r="C1691" s="15">
        <v>479007</v>
      </c>
      <c r="D1691" s="15">
        <v>71054</v>
      </c>
      <c r="E1691" s="15" t="s">
        <v>543</v>
      </c>
      <c r="F1691" s="15">
        <v>2011</v>
      </c>
      <c r="G1691" s="15">
        <v>20110311</v>
      </c>
      <c r="H1691" s="15">
        <v>65415</v>
      </c>
      <c r="I1691" s="15">
        <v>6.54</v>
      </c>
      <c r="J1691" s="6" t="s">
        <v>61</v>
      </c>
      <c r="K1691" s="15">
        <v>1</v>
      </c>
      <c r="L1691" s="15" t="s">
        <v>32</v>
      </c>
      <c r="M1691" s="15" t="s">
        <v>5</v>
      </c>
      <c r="N1691" s="11" t="s">
        <v>1391</v>
      </c>
      <c r="O1691" s="11" t="s">
        <v>46</v>
      </c>
      <c r="P1691" s="11" t="s">
        <v>29</v>
      </c>
      <c r="Q1691" s="15">
        <v>95</v>
      </c>
      <c r="R1691" s="11" t="s">
        <v>3</v>
      </c>
      <c r="S1691" s="10">
        <v>49.452824608104002</v>
      </c>
      <c r="T1691" s="15">
        <v>80</v>
      </c>
      <c r="U1691" s="15">
        <v>0</v>
      </c>
      <c r="V1691" s="15">
        <v>0</v>
      </c>
      <c r="W1691" s="15">
        <v>0</v>
      </c>
      <c r="X1691" s="15">
        <f>IF(O1691='Udvaskning nøgletal'!$D$65,1,IF(O1691='Udvaskning nøgletal'!$D$66,2,IF(O1691='Udvaskning nøgletal'!$D$67,3,IF(O1691='Udvaskning nøgletal'!$D$68,2,""))))</f>
        <v>2</v>
      </c>
      <c r="Y1691" s="15">
        <f>LOOKUP(K1691,'Udvaskning nøgletal'!$C$12:$C$60,'Udvaskning nøgletal'!$H$12:$H$60)</f>
        <v>5</v>
      </c>
      <c r="Z1691" s="10">
        <f>IF(X1691=1,LOOKUP(K1691,'Udvaskning nøgletal'!$C$12:$C$60,'Udvaskning nøgletal'!$E$12:$E$60)+Markniveau!Y1691*Markniveau!S1691/100,IF(X1691=2,LOOKUP(K1691,'Udvaskning nøgletal'!$C$12:$C$60,'Udvaskning nøgletal'!$F$12:$F$60)+Markniveau!Y1691*Markniveau!S1691/100,IF(X1691=3,LOOKUP(K1691,'Udvaskning nøgletal'!$C$12:$C$60,'Udvaskning nøgletal'!G1701:G1749)+Markniveau!Y1691*Markniveau!S1691/100,"")))</f>
        <v>53.352641230405204</v>
      </c>
      <c r="AA1691" s="10">
        <f t="shared" si="266"/>
        <v>348.92627364685006</v>
      </c>
      <c r="AB1691" s="10">
        <f t="shared" si="265"/>
        <v>2.6676320615202602</v>
      </c>
      <c r="AC1691" s="10">
        <f t="shared" si="267"/>
        <v>17.446313682342502</v>
      </c>
      <c r="AD1691" s="10">
        <f>IF(AND(Q1691&gt;0,Q1691&lt;30,K1691&lt;8),Markniveau!Z1691*'Udvaskning nøgletal'!$I$12/100,IF(AND(Q1691&gt;0,Q1691&lt;30,K1691=216),Markniveau!Z1691*'Udvaskning nøgletal'!$I$34/100,Markniveau!Z1691))</f>
        <v>53.352641230405204</v>
      </c>
      <c r="AE1691" s="10">
        <f t="shared" si="273"/>
        <v>348.92627364685006</v>
      </c>
      <c r="AF1691" s="10">
        <f t="shared" si="268"/>
        <v>2.6676320615202602</v>
      </c>
      <c r="AG1691" s="10">
        <f t="shared" si="274"/>
        <v>17.446313682342502</v>
      </c>
      <c r="AH1691" s="10" t="str">
        <f>IF(AND(Q1691&gt;0,Q1691&lt;30,K1691=216),'Udvaskning nøgletal'!$C$42,IF(AND(Q1691&gt;0,Q1691&lt;30,K1691&gt;7,K1691&lt;17),'Udvaskning nøgletal'!$C$61,IF(AND(Q1691&gt;0,Q1691&lt;30,K1691&lt;7),'Udvaskning nøgletal'!$C$62,"")))</f>
        <v/>
      </c>
      <c r="AI1691" s="10">
        <f t="shared" si="270"/>
        <v>1</v>
      </c>
      <c r="AJ1691" s="10">
        <f>IF($X1691=1,LOOKUP(AI1691,'Udvaskning nøgletal'!$C$12:$C$62,'Udvaskning nøgletal'!$E$12:$E$62)+Markniveau!$Y1691*Markniveau!$S1691/100,IF($X1691=2,LOOKUP(AI1691,'Udvaskning nøgletal'!$C$12:$C$62,'Udvaskning nøgletal'!$F$12:$F$62)+Markniveau!$Y1691*Markniveau!$S1691/100,IF($X1691=3,LOOKUP(AI1691,'Udvaskning nøgletal'!$C$12:$C$62,'Udvaskning nøgletal'!Q1701:Q1751)+Markniveau!$Y1691*Markniveau!$S1691/100,"")))</f>
        <v>53.352641230405204</v>
      </c>
      <c r="AK1691" s="10">
        <f t="shared" si="269"/>
        <v>348.92627364685006</v>
      </c>
      <c r="AL1691" s="10">
        <f t="shared" si="271"/>
        <v>2.6676320615202602</v>
      </c>
      <c r="AM1691" s="10">
        <f t="shared" si="272"/>
        <v>17.446313682342502</v>
      </c>
    </row>
    <row r="1692" spans="1:39" x14ac:dyDescent="0.25">
      <c r="A1692" s="15">
        <v>98400257</v>
      </c>
      <c r="B1692" s="15">
        <v>33.81</v>
      </c>
      <c r="C1692" s="15">
        <v>483132</v>
      </c>
      <c r="D1692" s="15">
        <v>71054</v>
      </c>
      <c r="E1692" s="15" t="s">
        <v>543</v>
      </c>
      <c r="F1692" s="15">
        <v>2011</v>
      </c>
      <c r="G1692" s="15">
        <v>20110311</v>
      </c>
      <c r="H1692" s="15">
        <v>13327</v>
      </c>
      <c r="I1692" s="15">
        <v>1.33</v>
      </c>
      <c r="J1692" s="6" t="s">
        <v>1458</v>
      </c>
      <c r="K1692" s="15">
        <v>1</v>
      </c>
      <c r="L1692" s="15" t="s">
        <v>32</v>
      </c>
      <c r="M1692" s="15" t="s">
        <v>5</v>
      </c>
      <c r="N1692" s="11" t="s">
        <v>1391</v>
      </c>
      <c r="O1692" s="11" t="s">
        <v>46</v>
      </c>
      <c r="P1692" s="11" t="s">
        <v>29</v>
      </c>
      <c r="Q1692" s="15">
        <v>95</v>
      </c>
      <c r="R1692" s="11" t="s">
        <v>3</v>
      </c>
      <c r="S1692" s="10">
        <v>49.452824608104002</v>
      </c>
      <c r="T1692" s="15">
        <v>80</v>
      </c>
      <c r="U1692" s="15">
        <v>0</v>
      </c>
      <c r="V1692" s="15">
        <v>0</v>
      </c>
      <c r="W1692" s="15">
        <v>0</v>
      </c>
      <c r="X1692" s="15">
        <f>IF(O1692='Udvaskning nøgletal'!$D$65,1,IF(O1692='Udvaskning nøgletal'!$D$66,2,IF(O1692='Udvaskning nøgletal'!$D$67,3,IF(O1692='Udvaskning nøgletal'!$D$68,2,""))))</f>
        <v>2</v>
      </c>
      <c r="Y1692" s="15">
        <f>LOOKUP(K1692,'Udvaskning nøgletal'!$C$12:$C$60,'Udvaskning nøgletal'!$H$12:$H$60)</f>
        <v>5</v>
      </c>
      <c r="Z1692" s="10">
        <f>IF(X1692=1,LOOKUP(K1692,'Udvaskning nøgletal'!$C$12:$C$60,'Udvaskning nøgletal'!$E$12:$E$60)+Markniveau!Y1692*Markniveau!S1692/100,IF(X1692=2,LOOKUP(K1692,'Udvaskning nøgletal'!$C$12:$C$60,'Udvaskning nøgletal'!$F$12:$F$60)+Markniveau!Y1692*Markniveau!S1692/100,IF(X1692=3,LOOKUP(K1692,'Udvaskning nøgletal'!$C$12:$C$60,'Udvaskning nøgletal'!G1702:G1750)+Markniveau!Y1692*Markniveau!S1692/100,"")))</f>
        <v>53.352641230405204</v>
      </c>
      <c r="AA1692" s="10">
        <f t="shared" si="266"/>
        <v>70.95901283643893</v>
      </c>
      <c r="AB1692" s="10">
        <f t="shared" si="265"/>
        <v>2.6676320615202602</v>
      </c>
      <c r="AC1692" s="10">
        <f t="shared" si="267"/>
        <v>3.5479506418219464</v>
      </c>
      <c r="AD1692" s="10">
        <f>IF(AND(Q1692&gt;0,Q1692&lt;30,K1692&lt;8),Markniveau!Z1692*'Udvaskning nøgletal'!$I$12/100,IF(AND(Q1692&gt;0,Q1692&lt;30,K1692=216),Markniveau!Z1692*'Udvaskning nøgletal'!$I$34/100,Markniveau!Z1692))</f>
        <v>53.352641230405204</v>
      </c>
      <c r="AE1692" s="10">
        <f t="shared" si="273"/>
        <v>70.95901283643893</v>
      </c>
      <c r="AF1692" s="10">
        <f t="shared" si="268"/>
        <v>2.6676320615202602</v>
      </c>
      <c r="AG1692" s="10">
        <f t="shared" si="274"/>
        <v>3.5479506418219464</v>
      </c>
      <c r="AH1692" s="10" t="str">
        <f>IF(AND(Q1692&gt;0,Q1692&lt;30,K1692=216),'Udvaskning nøgletal'!$C$42,IF(AND(Q1692&gt;0,Q1692&lt;30,K1692&gt;7,K1692&lt;17),'Udvaskning nøgletal'!$C$61,IF(AND(Q1692&gt;0,Q1692&lt;30,K1692&lt;7),'Udvaskning nøgletal'!$C$62,"")))</f>
        <v/>
      </c>
      <c r="AI1692" s="10">
        <f t="shared" si="270"/>
        <v>1</v>
      </c>
      <c r="AJ1692" s="10">
        <f>IF($X1692=1,LOOKUP(AI1692,'Udvaskning nøgletal'!$C$12:$C$62,'Udvaskning nøgletal'!$E$12:$E$62)+Markniveau!$Y1692*Markniveau!$S1692/100,IF($X1692=2,LOOKUP(AI1692,'Udvaskning nøgletal'!$C$12:$C$62,'Udvaskning nøgletal'!$F$12:$F$62)+Markniveau!$Y1692*Markniveau!$S1692/100,IF($X1692=3,LOOKUP(AI1692,'Udvaskning nøgletal'!$C$12:$C$62,'Udvaskning nøgletal'!Q1702:Q1752)+Markniveau!$Y1692*Markniveau!$S1692/100,"")))</f>
        <v>53.352641230405204</v>
      </c>
      <c r="AK1692" s="10">
        <f t="shared" si="269"/>
        <v>70.95901283643893</v>
      </c>
      <c r="AL1692" s="10">
        <f t="shared" si="271"/>
        <v>2.6676320615202602</v>
      </c>
      <c r="AM1692" s="10">
        <f t="shared" si="272"/>
        <v>3.5479506418219464</v>
      </c>
    </row>
    <row r="1693" spans="1:39" x14ac:dyDescent="0.25">
      <c r="A1693" s="15">
        <v>98400257</v>
      </c>
      <c r="B1693" s="15">
        <v>33.81</v>
      </c>
      <c r="C1693" s="15">
        <v>483311</v>
      </c>
      <c r="D1693" s="15">
        <v>71054</v>
      </c>
      <c r="E1693" s="15" t="s">
        <v>543</v>
      </c>
      <c r="F1693" s="15">
        <v>2011</v>
      </c>
      <c r="G1693" s="15">
        <v>20110311</v>
      </c>
      <c r="H1693" s="15">
        <v>14620</v>
      </c>
      <c r="I1693" s="15">
        <v>1.46</v>
      </c>
      <c r="J1693" s="6" t="s">
        <v>97</v>
      </c>
      <c r="K1693" s="15">
        <v>1</v>
      </c>
      <c r="L1693" s="15" t="s">
        <v>32</v>
      </c>
      <c r="M1693" s="15" t="s">
        <v>5</v>
      </c>
      <c r="N1693" s="11" t="s">
        <v>1391</v>
      </c>
      <c r="O1693" s="11" t="s">
        <v>46</v>
      </c>
      <c r="P1693" s="11" t="s">
        <v>29</v>
      </c>
      <c r="Q1693" s="15">
        <v>95</v>
      </c>
      <c r="R1693" s="11" t="s">
        <v>3</v>
      </c>
      <c r="S1693" s="10">
        <v>49.452824608104002</v>
      </c>
      <c r="T1693" s="15">
        <v>80</v>
      </c>
      <c r="U1693" s="15">
        <v>0</v>
      </c>
      <c r="V1693" s="15">
        <v>0</v>
      </c>
      <c r="W1693" s="15">
        <v>0</v>
      </c>
      <c r="X1693" s="15">
        <f>IF(O1693='Udvaskning nøgletal'!$D$65,1,IF(O1693='Udvaskning nøgletal'!$D$66,2,IF(O1693='Udvaskning nøgletal'!$D$67,3,IF(O1693='Udvaskning nøgletal'!$D$68,2,""))))</f>
        <v>2</v>
      </c>
      <c r="Y1693" s="15">
        <f>LOOKUP(K1693,'Udvaskning nøgletal'!$C$12:$C$60,'Udvaskning nøgletal'!$H$12:$H$60)</f>
        <v>5</v>
      </c>
      <c r="Z1693" s="10">
        <f>IF(X1693=1,LOOKUP(K1693,'Udvaskning nøgletal'!$C$12:$C$60,'Udvaskning nøgletal'!$E$12:$E$60)+Markniveau!Y1693*Markniveau!S1693/100,IF(X1693=2,LOOKUP(K1693,'Udvaskning nøgletal'!$C$12:$C$60,'Udvaskning nøgletal'!$F$12:$F$60)+Markniveau!Y1693*Markniveau!S1693/100,IF(X1693=3,LOOKUP(K1693,'Udvaskning nøgletal'!$C$12:$C$60,'Udvaskning nøgletal'!G1703:G1751)+Markniveau!Y1693*Markniveau!S1693/100,"")))</f>
        <v>53.352641230405204</v>
      </c>
      <c r="AA1693" s="10">
        <f t="shared" si="266"/>
        <v>77.894856196391601</v>
      </c>
      <c r="AB1693" s="10">
        <f t="shared" si="265"/>
        <v>2.6676320615202602</v>
      </c>
      <c r="AC1693" s="10">
        <f t="shared" si="267"/>
        <v>3.8947428098195798</v>
      </c>
      <c r="AD1693" s="10">
        <f>IF(AND(Q1693&gt;0,Q1693&lt;30,K1693&lt;8),Markniveau!Z1693*'Udvaskning nøgletal'!$I$12/100,IF(AND(Q1693&gt;0,Q1693&lt;30,K1693=216),Markniveau!Z1693*'Udvaskning nøgletal'!$I$34/100,Markniveau!Z1693))</f>
        <v>53.352641230405204</v>
      </c>
      <c r="AE1693" s="10">
        <f t="shared" si="273"/>
        <v>77.894856196391601</v>
      </c>
      <c r="AF1693" s="10">
        <f t="shared" si="268"/>
        <v>2.6676320615202602</v>
      </c>
      <c r="AG1693" s="10">
        <f t="shared" si="274"/>
        <v>3.8947428098195798</v>
      </c>
      <c r="AH1693" s="10" t="str">
        <f>IF(AND(Q1693&gt;0,Q1693&lt;30,K1693=216),'Udvaskning nøgletal'!$C$42,IF(AND(Q1693&gt;0,Q1693&lt;30,K1693&gt;7,K1693&lt;17),'Udvaskning nøgletal'!$C$61,IF(AND(Q1693&gt;0,Q1693&lt;30,K1693&lt;7),'Udvaskning nøgletal'!$C$62,"")))</f>
        <v/>
      </c>
      <c r="AI1693" s="10">
        <f t="shared" si="270"/>
        <v>1</v>
      </c>
      <c r="AJ1693" s="10">
        <f>IF($X1693=1,LOOKUP(AI1693,'Udvaskning nøgletal'!$C$12:$C$62,'Udvaskning nøgletal'!$E$12:$E$62)+Markniveau!$Y1693*Markniveau!$S1693/100,IF($X1693=2,LOOKUP(AI1693,'Udvaskning nøgletal'!$C$12:$C$62,'Udvaskning nøgletal'!$F$12:$F$62)+Markniveau!$Y1693*Markniveau!$S1693/100,IF($X1693=3,LOOKUP(AI1693,'Udvaskning nøgletal'!$C$12:$C$62,'Udvaskning nøgletal'!Q1703:Q1753)+Markniveau!$Y1693*Markniveau!$S1693/100,"")))</f>
        <v>53.352641230405204</v>
      </c>
      <c r="AK1693" s="10">
        <f t="shared" si="269"/>
        <v>77.894856196391601</v>
      </c>
      <c r="AL1693" s="10">
        <f t="shared" si="271"/>
        <v>2.6676320615202602</v>
      </c>
      <c r="AM1693" s="10">
        <f t="shared" si="272"/>
        <v>3.8947428098195798</v>
      </c>
    </row>
    <row r="1694" spans="1:39" x14ac:dyDescent="0.25">
      <c r="A1694" s="15">
        <v>98400257</v>
      </c>
      <c r="B1694" s="15">
        <v>33.81</v>
      </c>
      <c r="C1694" s="15">
        <v>473698</v>
      </c>
      <c r="D1694" s="15">
        <v>71054</v>
      </c>
      <c r="E1694" s="15" t="s">
        <v>543</v>
      </c>
      <c r="F1694" s="15">
        <v>2011</v>
      </c>
      <c r="G1694" s="15">
        <v>20110311</v>
      </c>
      <c r="H1694" s="15">
        <v>6159</v>
      </c>
      <c r="I1694" s="15">
        <v>0.62</v>
      </c>
      <c r="J1694" s="6" t="s">
        <v>1455</v>
      </c>
      <c r="K1694" s="15">
        <v>1</v>
      </c>
      <c r="L1694" s="15" t="s">
        <v>32</v>
      </c>
      <c r="M1694" s="15" t="s">
        <v>5</v>
      </c>
      <c r="N1694" s="11" t="s">
        <v>1391</v>
      </c>
      <c r="O1694" s="11" t="s">
        <v>46</v>
      </c>
      <c r="P1694" s="11" t="s">
        <v>29</v>
      </c>
      <c r="Q1694" s="15">
        <v>95</v>
      </c>
      <c r="R1694" s="11" t="s">
        <v>3</v>
      </c>
      <c r="S1694" s="10">
        <v>49.452824608104002</v>
      </c>
      <c r="T1694" s="15">
        <v>80</v>
      </c>
      <c r="U1694" s="15">
        <v>0</v>
      </c>
      <c r="V1694" s="15">
        <v>0</v>
      </c>
      <c r="W1694" s="15">
        <v>0</v>
      </c>
      <c r="X1694" s="15">
        <f>IF(O1694='Udvaskning nøgletal'!$D$65,1,IF(O1694='Udvaskning nøgletal'!$D$66,2,IF(O1694='Udvaskning nøgletal'!$D$67,3,IF(O1694='Udvaskning nøgletal'!$D$68,2,""))))</f>
        <v>2</v>
      </c>
      <c r="Y1694" s="15">
        <f>LOOKUP(K1694,'Udvaskning nøgletal'!$C$12:$C$60,'Udvaskning nøgletal'!$H$12:$H$60)</f>
        <v>5</v>
      </c>
      <c r="Z1694" s="10">
        <f>IF(X1694=1,LOOKUP(K1694,'Udvaskning nøgletal'!$C$12:$C$60,'Udvaskning nøgletal'!$E$12:$E$60)+Markniveau!Y1694*Markniveau!S1694/100,IF(X1694=2,LOOKUP(K1694,'Udvaskning nøgletal'!$C$12:$C$60,'Udvaskning nøgletal'!$F$12:$F$60)+Markniveau!Y1694*Markniveau!S1694/100,IF(X1694=3,LOOKUP(K1694,'Udvaskning nøgletal'!$C$12:$C$60,'Udvaskning nøgletal'!G1704:G1752)+Markniveau!Y1694*Markniveau!S1694/100,"")))</f>
        <v>53.352641230405204</v>
      </c>
      <c r="AA1694" s="10">
        <f t="shared" si="266"/>
        <v>33.078637562851227</v>
      </c>
      <c r="AB1694" s="10">
        <f t="shared" si="265"/>
        <v>2.6676320615202602</v>
      </c>
      <c r="AC1694" s="10">
        <f t="shared" si="267"/>
        <v>1.6539318781425614</v>
      </c>
      <c r="AD1694" s="10">
        <f>IF(AND(Q1694&gt;0,Q1694&lt;30,K1694&lt;8),Markniveau!Z1694*'Udvaskning nøgletal'!$I$12/100,IF(AND(Q1694&gt;0,Q1694&lt;30,K1694=216),Markniveau!Z1694*'Udvaskning nøgletal'!$I$34/100,Markniveau!Z1694))</f>
        <v>53.352641230405204</v>
      </c>
      <c r="AE1694" s="10">
        <f t="shared" si="273"/>
        <v>33.078637562851227</v>
      </c>
      <c r="AF1694" s="10">
        <f t="shared" si="268"/>
        <v>2.6676320615202602</v>
      </c>
      <c r="AG1694" s="10">
        <f t="shared" si="274"/>
        <v>1.6539318781425614</v>
      </c>
      <c r="AH1694" s="10" t="str">
        <f>IF(AND(Q1694&gt;0,Q1694&lt;30,K1694=216),'Udvaskning nøgletal'!$C$42,IF(AND(Q1694&gt;0,Q1694&lt;30,K1694&gt;7,K1694&lt;17),'Udvaskning nøgletal'!$C$61,IF(AND(Q1694&gt;0,Q1694&lt;30,K1694&lt;7),'Udvaskning nøgletal'!$C$62,"")))</f>
        <v/>
      </c>
      <c r="AI1694" s="10">
        <f t="shared" si="270"/>
        <v>1</v>
      </c>
      <c r="AJ1694" s="10">
        <f>IF($X1694=1,LOOKUP(AI1694,'Udvaskning nøgletal'!$C$12:$C$62,'Udvaskning nøgletal'!$E$12:$E$62)+Markniveau!$Y1694*Markniveau!$S1694/100,IF($X1694=2,LOOKUP(AI1694,'Udvaskning nøgletal'!$C$12:$C$62,'Udvaskning nøgletal'!$F$12:$F$62)+Markniveau!$Y1694*Markniveau!$S1694/100,IF($X1694=3,LOOKUP(AI1694,'Udvaskning nøgletal'!$C$12:$C$62,'Udvaskning nøgletal'!Q1704:Q1754)+Markniveau!$Y1694*Markniveau!$S1694/100,"")))</f>
        <v>53.352641230405204</v>
      </c>
      <c r="AK1694" s="10">
        <f t="shared" si="269"/>
        <v>33.078637562851227</v>
      </c>
      <c r="AL1694" s="10">
        <f t="shared" si="271"/>
        <v>2.6676320615202602</v>
      </c>
      <c r="AM1694" s="10">
        <f t="shared" si="272"/>
        <v>1.6539318781425614</v>
      </c>
    </row>
    <row r="1695" spans="1:39" x14ac:dyDescent="0.25">
      <c r="A1695" s="15">
        <v>98400257</v>
      </c>
      <c r="B1695" s="15">
        <v>33.81</v>
      </c>
      <c r="C1695" s="15">
        <v>474446</v>
      </c>
      <c r="D1695" s="15">
        <v>71054</v>
      </c>
      <c r="E1695" s="15" t="s">
        <v>1331</v>
      </c>
      <c r="F1695" s="15">
        <v>2011</v>
      </c>
      <c r="G1695" s="15">
        <v>20110311</v>
      </c>
      <c r="H1695" s="15">
        <v>70093</v>
      </c>
      <c r="I1695" s="15">
        <v>7.01</v>
      </c>
      <c r="J1695" s="6" t="s">
        <v>31</v>
      </c>
      <c r="K1695" s="15">
        <v>101</v>
      </c>
      <c r="L1695" s="15" t="s">
        <v>313</v>
      </c>
      <c r="M1695" s="15" t="s">
        <v>5</v>
      </c>
      <c r="N1695" s="11" t="s">
        <v>1391</v>
      </c>
      <c r="O1695" s="11" t="s">
        <v>46</v>
      </c>
      <c r="P1695" s="11" t="s">
        <v>29</v>
      </c>
      <c r="Q1695" s="15">
        <v>95</v>
      </c>
      <c r="R1695" s="11" t="s">
        <v>3</v>
      </c>
      <c r="S1695" s="10">
        <v>49.452824608104002</v>
      </c>
      <c r="T1695" s="15">
        <v>80</v>
      </c>
      <c r="U1695" s="15">
        <v>0</v>
      </c>
      <c r="V1695" s="15">
        <v>0</v>
      </c>
      <c r="W1695" s="15">
        <v>0</v>
      </c>
      <c r="X1695" s="15">
        <f>IF(O1695='Udvaskning nøgletal'!$D$65,1,IF(O1695='Udvaskning nøgletal'!$D$66,2,IF(O1695='Udvaskning nøgletal'!$D$67,3,IF(O1695='Udvaskning nøgletal'!$D$68,2,""))))</f>
        <v>2</v>
      </c>
      <c r="Y1695" s="15">
        <f>LOOKUP(K1695,'Udvaskning nøgletal'!$C$12:$C$60,'Udvaskning nøgletal'!$H$12:$H$60)</f>
        <v>5</v>
      </c>
      <c r="Z1695" s="10">
        <f>IF(X1695=1,LOOKUP(K1695,'Udvaskning nøgletal'!$C$12:$C$60,'Udvaskning nøgletal'!$E$12:$E$60)+Markniveau!Y1695*Markniveau!S1695/100,IF(X1695=2,LOOKUP(K1695,'Udvaskning nøgletal'!$C$12:$C$60,'Udvaskning nøgletal'!$F$12:$F$60)+Markniveau!Y1695*Markniveau!S1695/100,IF(X1695=3,LOOKUP(K1695,'Udvaskning nøgletal'!$C$12:$C$60,'Udvaskning nøgletal'!G1705:G1753)+Markniveau!Y1695*Markniveau!S1695/100,"")))</f>
        <v>25.792641230405202</v>
      </c>
      <c r="AA1695" s="10">
        <f t="shared" si="266"/>
        <v>180.80641502514047</v>
      </c>
      <c r="AB1695" s="10">
        <f t="shared" si="265"/>
        <v>1.2896320615202601</v>
      </c>
      <c r="AC1695" s="10">
        <f t="shared" si="267"/>
        <v>9.0403207512570223</v>
      </c>
      <c r="AD1695" s="10">
        <f>IF(AND(Q1695&gt;0,Q1695&lt;30,K1695&lt;8),Markniveau!Z1695*'Udvaskning nøgletal'!$I$12/100,IF(AND(Q1695&gt;0,Q1695&lt;30,K1695=216),Markniveau!Z1695*'Udvaskning nøgletal'!$I$34/100,Markniveau!Z1695))</f>
        <v>25.792641230405202</v>
      </c>
      <c r="AE1695" s="10">
        <f t="shared" si="273"/>
        <v>180.80641502514047</v>
      </c>
      <c r="AF1695" s="10">
        <f t="shared" si="268"/>
        <v>1.2896320615202601</v>
      </c>
      <c r="AG1695" s="10">
        <f t="shared" si="274"/>
        <v>9.0403207512570223</v>
      </c>
      <c r="AH1695" s="10" t="str">
        <f>IF(AND(Q1695&gt;0,Q1695&lt;30,K1695=216),'Udvaskning nøgletal'!$C$42,IF(AND(Q1695&gt;0,Q1695&lt;30,K1695&gt;7,K1695&lt;17),'Udvaskning nøgletal'!$C$61,IF(AND(Q1695&gt;0,Q1695&lt;30,K1695&lt;7),'Udvaskning nøgletal'!$C$62,"")))</f>
        <v/>
      </c>
      <c r="AI1695" s="10">
        <f t="shared" si="270"/>
        <v>101</v>
      </c>
      <c r="AJ1695" s="10">
        <f>IF($X1695=1,LOOKUP(AI1695,'Udvaskning nøgletal'!$C$12:$C$62,'Udvaskning nøgletal'!$E$12:$E$62)+Markniveau!$Y1695*Markniveau!$S1695/100,IF($X1695=2,LOOKUP(AI1695,'Udvaskning nøgletal'!$C$12:$C$62,'Udvaskning nøgletal'!$F$12:$F$62)+Markniveau!$Y1695*Markniveau!$S1695/100,IF($X1695=3,LOOKUP(AI1695,'Udvaskning nøgletal'!$C$12:$C$62,'Udvaskning nøgletal'!Q1705:Q1755)+Markniveau!$Y1695*Markniveau!$S1695/100,"")))</f>
        <v>25.792641230405202</v>
      </c>
      <c r="AK1695" s="10">
        <f t="shared" si="269"/>
        <v>180.80641502514047</v>
      </c>
      <c r="AL1695" s="10">
        <f t="shared" si="271"/>
        <v>1.2896320615202601</v>
      </c>
      <c r="AM1695" s="10">
        <f t="shared" si="272"/>
        <v>9.0403207512570223</v>
      </c>
    </row>
    <row r="1696" spans="1:39" x14ac:dyDescent="0.25">
      <c r="A1696" s="15">
        <v>98481257</v>
      </c>
      <c r="B1696" s="15">
        <v>61.51</v>
      </c>
      <c r="C1696" s="15">
        <v>23976</v>
      </c>
      <c r="D1696" s="15">
        <v>28648</v>
      </c>
      <c r="E1696" s="15" t="s">
        <v>1332</v>
      </c>
      <c r="F1696" s="15">
        <v>2011</v>
      </c>
      <c r="G1696" s="15">
        <v>20110407</v>
      </c>
      <c r="H1696" s="15">
        <v>7155</v>
      </c>
      <c r="I1696" s="15">
        <v>0.72</v>
      </c>
      <c r="J1696" s="6" t="s">
        <v>1333</v>
      </c>
      <c r="K1696" s="15">
        <v>1</v>
      </c>
      <c r="L1696" s="15" t="s">
        <v>32</v>
      </c>
      <c r="M1696" s="15" t="s">
        <v>5</v>
      </c>
      <c r="N1696" s="11" t="s">
        <v>1406</v>
      </c>
      <c r="O1696" s="11" t="s">
        <v>46</v>
      </c>
      <c r="P1696" s="11" t="s">
        <v>33</v>
      </c>
      <c r="Q1696" s="15">
        <v>0</v>
      </c>
      <c r="R1696" s="11" t="s">
        <v>1386</v>
      </c>
      <c r="S1696" s="10">
        <v>91.908810844116005</v>
      </c>
      <c r="T1696" s="15">
        <v>80</v>
      </c>
      <c r="U1696" s="15">
        <v>0</v>
      </c>
      <c r="V1696" s="15">
        <v>0</v>
      </c>
      <c r="W1696" s="15">
        <v>0</v>
      </c>
      <c r="X1696" s="15">
        <f>IF(O1696='Udvaskning nøgletal'!$D$65,1,IF(O1696='Udvaskning nøgletal'!$D$66,2,IF(O1696='Udvaskning nøgletal'!$D$67,3,IF(O1696='Udvaskning nøgletal'!$D$68,2,""))))</f>
        <v>2</v>
      </c>
      <c r="Y1696" s="15">
        <f>LOOKUP(K1696,'Udvaskning nøgletal'!$C$12:$C$60,'Udvaskning nøgletal'!$H$12:$H$60)</f>
        <v>5</v>
      </c>
      <c r="Z1696" s="10">
        <f>IF(X1696=1,LOOKUP(K1696,'Udvaskning nøgletal'!$C$12:$C$60,'Udvaskning nøgletal'!$E$12:$E$60)+Markniveau!Y1696*Markniveau!S1696/100,IF(X1696=2,LOOKUP(K1696,'Udvaskning nøgletal'!$C$12:$C$60,'Udvaskning nøgletal'!$F$12:$F$60)+Markniveau!Y1696*Markniveau!S1696/100,IF(X1696=3,LOOKUP(K1696,'Udvaskning nøgletal'!$C$12:$C$60,'Udvaskning nøgletal'!G1706:G1754)+Markniveau!Y1696*Markniveau!S1696/100,"")))</f>
        <v>55.475440542205803</v>
      </c>
      <c r="AA1696" s="10">
        <f t="shared" si="266"/>
        <v>39.942317190388174</v>
      </c>
      <c r="AB1696" s="10" t="str">
        <f t="shared" si="265"/>
        <v/>
      </c>
      <c r="AC1696" s="10" t="str">
        <f t="shared" si="267"/>
        <v/>
      </c>
      <c r="AD1696" s="10">
        <f>IF(AND(Q1696&gt;0,Q1696&lt;30,K1696&lt;8),Markniveau!Z1696*'Udvaskning nøgletal'!$I$12/100,IF(AND(Q1696&gt;0,Q1696&lt;30,K1696=216),Markniveau!Z1696*'Udvaskning nøgletal'!$I$34/100,Markniveau!Z1696))</f>
        <v>55.475440542205803</v>
      </c>
      <c r="AE1696" s="10">
        <f t="shared" si="273"/>
        <v>39.942317190388174</v>
      </c>
      <c r="AF1696" s="10" t="str">
        <f t="shared" si="268"/>
        <v/>
      </c>
      <c r="AG1696" s="10" t="str">
        <f t="shared" si="274"/>
        <v/>
      </c>
      <c r="AH1696" s="10" t="str">
        <f>IF(AND(Q1696&gt;0,Q1696&lt;30,K1696=216),'Udvaskning nøgletal'!$C$42,IF(AND(Q1696&gt;0,Q1696&lt;30,K1696&gt;7,K1696&lt;17),'Udvaskning nøgletal'!$C$61,IF(AND(Q1696&gt;0,Q1696&lt;30,K1696&lt;7),'Udvaskning nøgletal'!$C$62,"")))</f>
        <v/>
      </c>
      <c r="AI1696" s="10">
        <f t="shared" si="270"/>
        <v>1</v>
      </c>
      <c r="AJ1696" s="10">
        <f>IF($X1696=1,LOOKUP(AI1696,'Udvaskning nøgletal'!$C$12:$C$62,'Udvaskning nøgletal'!$E$12:$E$62)+Markniveau!$Y1696*Markniveau!$S1696/100,IF($X1696=2,LOOKUP(AI1696,'Udvaskning nøgletal'!$C$12:$C$62,'Udvaskning nøgletal'!$F$12:$F$62)+Markniveau!$Y1696*Markniveau!$S1696/100,IF($X1696=3,LOOKUP(AI1696,'Udvaskning nøgletal'!$C$12:$C$62,'Udvaskning nøgletal'!Q1706:Q1756)+Markniveau!$Y1696*Markniveau!$S1696/100,"")))</f>
        <v>55.475440542205803</v>
      </c>
      <c r="AK1696" s="10">
        <f t="shared" si="269"/>
        <v>39.942317190388174</v>
      </c>
      <c r="AL1696" s="10" t="str">
        <f t="shared" si="271"/>
        <v/>
      </c>
      <c r="AM1696" s="10" t="str">
        <f t="shared" si="272"/>
        <v/>
      </c>
    </row>
    <row r="1697" spans="1:39" x14ac:dyDescent="0.25">
      <c r="A1697" s="15">
        <v>98481257</v>
      </c>
      <c r="B1697" s="15">
        <v>61.51</v>
      </c>
      <c r="C1697" s="15">
        <v>30977</v>
      </c>
      <c r="D1697" s="15">
        <v>28648</v>
      </c>
      <c r="E1697" s="15" t="s">
        <v>1334</v>
      </c>
      <c r="F1697" s="15">
        <v>2011</v>
      </c>
      <c r="G1697" s="15">
        <v>20110407</v>
      </c>
      <c r="H1697" s="15">
        <v>54479</v>
      </c>
      <c r="I1697" s="15">
        <v>5.45</v>
      </c>
      <c r="J1697" s="6" t="s">
        <v>840</v>
      </c>
      <c r="K1697" s="15">
        <v>152</v>
      </c>
      <c r="L1697" s="15" t="s">
        <v>333</v>
      </c>
      <c r="M1697" s="15" t="s">
        <v>5</v>
      </c>
      <c r="N1697" s="11" t="s">
        <v>1384</v>
      </c>
      <c r="O1697" s="11" t="s">
        <v>28</v>
      </c>
      <c r="P1697" s="11" t="s">
        <v>33</v>
      </c>
      <c r="Q1697" s="15">
        <v>25</v>
      </c>
      <c r="R1697" s="11" t="s">
        <v>7</v>
      </c>
      <c r="S1697" s="10">
        <v>91.908810844116005</v>
      </c>
      <c r="T1697" s="15">
        <v>80</v>
      </c>
      <c r="U1697" s="15">
        <v>0</v>
      </c>
      <c r="V1697" s="15">
        <v>0</v>
      </c>
      <c r="W1697" s="15">
        <v>0</v>
      </c>
      <c r="X1697" s="15">
        <f>IF(O1697='Udvaskning nøgletal'!$D$65,1,IF(O1697='Udvaskning nøgletal'!$D$66,2,IF(O1697='Udvaskning nøgletal'!$D$67,3,IF(O1697='Udvaskning nøgletal'!$D$68,2,""))))</f>
        <v>1</v>
      </c>
      <c r="Y1697" s="15">
        <f>LOOKUP(K1697,'Udvaskning nøgletal'!$C$12:$C$60,'Udvaskning nøgletal'!$H$12:$H$60)</f>
        <v>5</v>
      </c>
      <c r="Z1697" s="10">
        <f>IF(X1697=1,LOOKUP(K1697,'Udvaskning nøgletal'!$C$12:$C$60,'Udvaskning nøgletal'!$E$12:$E$60)+Markniveau!Y1697*Markniveau!S1697/100,IF(X1697=2,LOOKUP(K1697,'Udvaskning nøgletal'!$C$12:$C$60,'Udvaskning nøgletal'!$F$12:$F$60)+Markniveau!Y1697*Markniveau!S1697/100,IF(X1697=3,LOOKUP(K1697,'Udvaskning nøgletal'!$C$12:$C$60,'Udvaskning nøgletal'!G1707:G1755)+Markniveau!Y1697*Markniveau!S1697/100,"")))</f>
        <v>69.255440542205804</v>
      </c>
      <c r="AA1697" s="10">
        <f t="shared" si="266"/>
        <v>377.44215095502165</v>
      </c>
      <c r="AB1697" s="10">
        <f t="shared" si="265"/>
        <v>51.94158040665436</v>
      </c>
      <c r="AC1697" s="10">
        <f t="shared" si="267"/>
        <v>283.08161321626625</v>
      </c>
      <c r="AD1697" s="10">
        <f>IF(AND(Q1697&gt;0,Q1697&lt;30,K1697&lt;8),Markniveau!Z1697*'Udvaskning nøgletal'!$I$12/100,IF(AND(Q1697&gt;0,Q1697&lt;30,K1697=216),Markniveau!Z1697*'Udvaskning nøgletal'!$I$34/100,Markniveau!Z1697))</f>
        <v>69.255440542205804</v>
      </c>
      <c r="AE1697" s="10">
        <f t="shared" si="273"/>
        <v>377.44215095502165</v>
      </c>
      <c r="AF1697" s="10">
        <f t="shared" si="268"/>
        <v>51.94158040665436</v>
      </c>
      <c r="AG1697" s="10">
        <f t="shared" si="274"/>
        <v>283.08161321626625</v>
      </c>
      <c r="AH1697" s="10" t="str">
        <f>IF(AND(Q1697&gt;0,Q1697&lt;30,K1697=216),'Udvaskning nøgletal'!$C$42,IF(AND(Q1697&gt;0,Q1697&lt;30,K1697&gt;7,K1697&lt;17),'Udvaskning nøgletal'!$C$61,IF(AND(Q1697&gt;0,Q1697&lt;30,K1697&lt;7),'Udvaskning nøgletal'!$C$62,"")))</f>
        <v/>
      </c>
      <c r="AI1697" s="10">
        <f t="shared" si="270"/>
        <v>152</v>
      </c>
      <c r="AJ1697" s="10">
        <f>IF($X1697=1,LOOKUP(AI1697,'Udvaskning nøgletal'!$C$12:$C$62,'Udvaskning nøgletal'!$E$12:$E$62)+Markniveau!$Y1697*Markniveau!$S1697/100,IF($X1697=2,LOOKUP(AI1697,'Udvaskning nøgletal'!$C$12:$C$62,'Udvaskning nøgletal'!$F$12:$F$62)+Markniveau!$Y1697*Markniveau!$S1697/100,IF($X1697=3,LOOKUP(AI1697,'Udvaskning nøgletal'!$C$12:$C$62,'Udvaskning nøgletal'!Q1707:Q1757)+Markniveau!$Y1697*Markniveau!$S1697/100,"")))</f>
        <v>69.255440542205804</v>
      </c>
      <c r="AK1697" s="10">
        <f t="shared" si="269"/>
        <v>377.44215095502165</v>
      </c>
      <c r="AL1697" s="10">
        <f t="shared" si="271"/>
        <v>51.94158040665436</v>
      </c>
      <c r="AM1697" s="10">
        <f t="shared" si="272"/>
        <v>283.08161321626625</v>
      </c>
    </row>
    <row r="1698" spans="1:39" x14ac:dyDescent="0.25">
      <c r="A1698" s="15">
        <v>98481257</v>
      </c>
      <c r="B1698" s="15">
        <v>61.51</v>
      </c>
      <c r="C1698" s="15">
        <v>48438</v>
      </c>
      <c r="D1698" s="15">
        <v>28648</v>
      </c>
      <c r="E1698" s="15" t="s">
        <v>366</v>
      </c>
      <c r="F1698" s="15">
        <v>2011</v>
      </c>
      <c r="G1698" s="15">
        <v>20110413</v>
      </c>
      <c r="H1698" s="15">
        <v>56642</v>
      </c>
      <c r="I1698" s="15">
        <v>5.66</v>
      </c>
      <c r="J1698" s="6" t="s">
        <v>36</v>
      </c>
      <c r="K1698" s="15">
        <v>592</v>
      </c>
      <c r="L1698" s="15" t="s">
        <v>647</v>
      </c>
      <c r="M1698" s="15" t="s">
        <v>424</v>
      </c>
      <c r="N1698" s="11" t="s">
        <v>1384</v>
      </c>
      <c r="O1698" s="11" t="s">
        <v>28</v>
      </c>
      <c r="P1698" s="11" t="s">
        <v>29</v>
      </c>
      <c r="Q1698" s="15">
        <v>95</v>
      </c>
      <c r="R1698" s="11" t="s">
        <v>3</v>
      </c>
      <c r="S1698" s="10">
        <v>91.908810844116005</v>
      </c>
      <c r="T1698" s="15">
        <v>80</v>
      </c>
      <c r="U1698" s="15">
        <v>0</v>
      </c>
      <c r="V1698" s="15">
        <v>0</v>
      </c>
      <c r="W1698" s="15">
        <v>0</v>
      </c>
      <c r="X1698" s="15">
        <f>IF(O1698='Udvaskning nøgletal'!$D$65,1,IF(O1698='Udvaskning nøgletal'!$D$66,2,IF(O1698='Udvaskning nøgletal'!$D$67,3,IF(O1698='Udvaskning nøgletal'!$D$68,2,""))))</f>
        <v>1</v>
      </c>
      <c r="Y1698" s="15">
        <f>LOOKUP(K1698,'Udvaskning nøgletal'!$C$12:$C$60,'Udvaskning nøgletal'!$H$12:$H$60)</f>
        <v>0</v>
      </c>
      <c r="Z1698" s="10">
        <f>IF(X1698=1,LOOKUP(K1698,'Udvaskning nøgletal'!$C$12:$C$60,'Udvaskning nøgletal'!$E$12:$E$60)+Markniveau!Y1698*Markniveau!S1698/100,IF(X1698=2,LOOKUP(K1698,'Udvaskning nøgletal'!$C$12:$C$60,'Udvaskning nøgletal'!$F$12:$F$60)+Markniveau!Y1698*Markniveau!S1698/100,IF(X1698=3,LOOKUP(K1698,'Udvaskning nøgletal'!$C$12:$C$60,'Udvaskning nøgletal'!G1708:G1756)+Markniveau!Y1698*Markniveau!S1698/100,"")))</f>
        <v>10</v>
      </c>
      <c r="AA1698" s="10">
        <f t="shared" si="266"/>
        <v>56.6</v>
      </c>
      <c r="AB1698" s="10">
        <f t="shared" si="265"/>
        <v>0.5</v>
      </c>
      <c r="AC1698" s="10">
        <f t="shared" si="267"/>
        <v>2.83</v>
      </c>
      <c r="AD1698" s="10">
        <f>IF(AND(Q1698&gt;0,Q1698&lt;30,K1698&lt;8),Markniveau!Z1698*'Udvaskning nøgletal'!$I$12/100,IF(AND(Q1698&gt;0,Q1698&lt;30,K1698=216),Markniveau!Z1698*'Udvaskning nøgletal'!$I$34/100,Markniveau!Z1698))</f>
        <v>10</v>
      </c>
      <c r="AE1698" s="10">
        <f t="shared" si="273"/>
        <v>56.6</v>
      </c>
      <c r="AF1698" s="10">
        <f t="shared" si="268"/>
        <v>0.5</v>
      </c>
      <c r="AG1698" s="10">
        <f t="shared" si="274"/>
        <v>2.83</v>
      </c>
      <c r="AH1698" s="10" t="str">
        <f>IF(AND(Q1698&gt;0,Q1698&lt;30,K1698=216),'Udvaskning nøgletal'!$C$42,IF(AND(Q1698&gt;0,Q1698&lt;30,K1698&gt;7,K1698&lt;17),'Udvaskning nøgletal'!$C$61,IF(AND(Q1698&gt;0,Q1698&lt;30,K1698&lt;7),'Udvaskning nøgletal'!$C$62,"")))</f>
        <v/>
      </c>
      <c r="AI1698" s="10">
        <f t="shared" si="270"/>
        <v>592</v>
      </c>
      <c r="AJ1698" s="10">
        <f>IF($X1698=1,LOOKUP(AI1698,'Udvaskning nøgletal'!$C$12:$C$62,'Udvaskning nøgletal'!$E$12:$E$62)+Markniveau!$Y1698*Markniveau!$S1698/100,IF($X1698=2,LOOKUP(AI1698,'Udvaskning nøgletal'!$C$12:$C$62,'Udvaskning nøgletal'!$F$12:$F$62)+Markniveau!$Y1698*Markniveau!$S1698/100,IF($X1698=3,LOOKUP(AI1698,'Udvaskning nøgletal'!$C$12:$C$62,'Udvaskning nøgletal'!Q1708:Q1758)+Markniveau!$Y1698*Markniveau!$S1698/100,"")))</f>
        <v>10</v>
      </c>
      <c r="AK1698" s="10">
        <f t="shared" si="269"/>
        <v>56.6</v>
      </c>
      <c r="AL1698" s="10">
        <f t="shared" si="271"/>
        <v>0.5</v>
      </c>
      <c r="AM1698" s="10">
        <f t="shared" si="272"/>
        <v>2.83</v>
      </c>
    </row>
    <row r="1699" spans="1:39" x14ac:dyDescent="0.25">
      <c r="A1699" s="15">
        <v>98481257</v>
      </c>
      <c r="B1699" s="15">
        <v>61.51</v>
      </c>
      <c r="C1699" s="15">
        <v>78526</v>
      </c>
      <c r="D1699" s="15">
        <v>28648</v>
      </c>
      <c r="E1699" s="15" t="s">
        <v>1244</v>
      </c>
      <c r="F1699" s="15">
        <v>2011</v>
      </c>
      <c r="G1699" s="15">
        <v>20110407</v>
      </c>
      <c r="H1699" s="15">
        <v>24564</v>
      </c>
      <c r="I1699" s="15">
        <v>2.46</v>
      </c>
      <c r="J1699" s="6" t="s">
        <v>1455</v>
      </c>
      <c r="K1699" s="15">
        <v>1</v>
      </c>
      <c r="L1699" s="15" t="s">
        <v>32</v>
      </c>
      <c r="M1699" s="15" t="s">
        <v>5</v>
      </c>
      <c r="N1699" s="11" t="s">
        <v>1384</v>
      </c>
      <c r="O1699" s="11" t="s">
        <v>28</v>
      </c>
      <c r="P1699" s="11" t="s">
        <v>29</v>
      </c>
      <c r="Q1699" s="15">
        <v>95</v>
      </c>
      <c r="R1699" s="11" t="s">
        <v>3</v>
      </c>
      <c r="S1699" s="10">
        <v>91.908810844116005</v>
      </c>
      <c r="T1699" s="15">
        <v>80</v>
      </c>
      <c r="U1699" s="15">
        <v>0</v>
      </c>
      <c r="V1699" s="15">
        <v>0</v>
      </c>
      <c r="W1699" s="15">
        <v>0</v>
      </c>
      <c r="X1699" s="15">
        <f>IF(O1699='Udvaskning nøgletal'!$D$65,1,IF(O1699='Udvaskning nøgletal'!$D$66,2,IF(O1699='Udvaskning nøgletal'!$D$67,3,IF(O1699='Udvaskning nøgletal'!$D$68,2,""))))</f>
        <v>1</v>
      </c>
      <c r="Y1699" s="15">
        <f>LOOKUP(K1699,'Udvaskning nøgletal'!$C$12:$C$60,'Udvaskning nøgletal'!$H$12:$H$60)</f>
        <v>5</v>
      </c>
      <c r="Z1699" s="10">
        <f>IF(X1699=1,LOOKUP(K1699,'Udvaskning nøgletal'!$C$12:$C$60,'Udvaskning nøgletal'!$E$12:$E$60)+Markniveau!Y1699*Markniveau!S1699/100,IF(X1699=2,LOOKUP(K1699,'Udvaskning nøgletal'!$C$12:$C$60,'Udvaskning nøgletal'!$F$12:$F$60)+Markniveau!Y1699*Markniveau!S1699/100,IF(X1699=3,LOOKUP(K1699,'Udvaskning nøgletal'!$C$12:$C$60,'Udvaskning nøgletal'!G1709:G1757)+Markniveau!Y1699*Markniveau!S1699/100,"")))</f>
        <v>69.255440542205804</v>
      </c>
      <c r="AA1699" s="10">
        <f t="shared" si="266"/>
        <v>170.36838373382628</v>
      </c>
      <c r="AB1699" s="10">
        <f t="shared" si="265"/>
        <v>3.4627720271102902</v>
      </c>
      <c r="AC1699" s="10">
        <f t="shared" si="267"/>
        <v>8.5184191866913146</v>
      </c>
      <c r="AD1699" s="10">
        <f>IF(AND(Q1699&gt;0,Q1699&lt;30,K1699&lt;8),Markniveau!Z1699*'Udvaskning nøgletal'!$I$12/100,IF(AND(Q1699&gt;0,Q1699&lt;30,K1699=216),Markniveau!Z1699*'Udvaskning nøgletal'!$I$34/100,Markniveau!Z1699))</f>
        <v>69.255440542205804</v>
      </c>
      <c r="AE1699" s="10">
        <f t="shared" si="273"/>
        <v>170.36838373382628</v>
      </c>
      <c r="AF1699" s="10">
        <f t="shared" si="268"/>
        <v>3.4627720271102902</v>
      </c>
      <c r="AG1699" s="10">
        <f t="shared" si="274"/>
        <v>8.5184191866913146</v>
      </c>
      <c r="AH1699" s="10" t="str">
        <f>IF(AND(Q1699&gt;0,Q1699&lt;30,K1699=216),'Udvaskning nøgletal'!$C$42,IF(AND(Q1699&gt;0,Q1699&lt;30,K1699&gt;7,K1699&lt;17),'Udvaskning nøgletal'!$C$61,IF(AND(Q1699&gt;0,Q1699&lt;30,K1699&lt;7),'Udvaskning nøgletal'!$C$62,"")))</f>
        <v/>
      </c>
      <c r="AI1699" s="10">
        <f t="shared" si="270"/>
        <v>1</v>
      </c>
      <c r="AJ1699" s="10">
        <f>IF($X1699=1,LOOKUP(AI1699,'Udvaskning nøgletal'!$C$12:$C$62,'Udvaskning nøgletal'!$E$12:$E$62)+Markniveau!$Y1699*Markniveau!$S1699/100,IF($X1699=2,LOOKUP(AI1699,'Udvaskning nøgletal'!$C$12:$C$62,'Udvaskning nøgletal'!$F$12:$F$62)+Markniveau!$Y1699*Markniveau!$S1699/100,IF($X1699=3,LOOKUP(AI1699,'Udvaskning nøgletal'!$C$12:$C$62,'Udvaskning nøgletal'!Q1709:Q1759)+Markniveau!$Y1699*Markniveau!$S1699/100,"")))</f>
        <v>69.255440542205804</v>
      </c>
      <c r="AK1699" s="10">
        <f t="shared" si="269"/>
        <v>170.36838373382628</v>
      </c>
      <c r="AL1699" s="10">
        <f t="shared" si="271"/>
        <v>3.4627720271102902</v>
      </c>
      <c r="AM1699" s="10">
        <f t="shared" si="272"/>
        <v>8.5184191866913146</v>
      </c>
    </row>
    <row r="1700" spans="1:39" x14ac:dyDescent="0.25">
      <c r="A1700" s="15">
        <v>98481257</v>
      </c>
      <c r="B1700" s="15">
        <v>61.51</v>
      </c>
      <c r="C1700" s="15">
        <v>92818</v>
      </c>
      <c r="D1700" s="15">
        <v>28648</v>
      </c>
      <c r="E1700" s="15" t="s">
        <v>1244</v>
      </c>
      <c r="F1700" s="15">
        <v>2011</v>
      </c>
      <c r="G1700" s="15">
        <v>20110407</v>
      </c>
      <c r="H1700" s="15">
        <v>75856</v>
      </c>
      <c r="I1700" s="15">
        <v>7.59</v>
      </c>
      <c r="J1700" s="6" t="s">
        <v>1458</v>
      </c>
      <c r="K1700" s="15">
        <v>15</v>
      </c>
      <c r="L1700" s="15" t="s">
        <v>362</v>
      </c>
      <c r="M1700" s="15" t="s">
        <v>5</v>
      </c>
      <c r="N1700" s="11" t="s">
        <v>1384</v>
      </c>
      <c r="O1700" s="11" t="s">
        <v>28</v>
      </c>
      <c r="P1700" s="11" t="s">
        <v>29</v>
      </c>
      <c r="Q1700" s="15">
        <v>1</v>
      </c>
      <c r="R1700" s="11" t="s">
        <v>11</v>
      </c>
      <c r="S1700" s="10">
        <v>91.908810844116005</v>
      </c>
      <c r="T1700" s="15">
        <v>80</v>
      </c>
      <c r="U1700" s="15">
        <v>0</v>
      </c>
      <c r="V1700" s="15">
        <v>0</v>
      </c>
      <c r="W1700" s="15">
        <v>0</v>
      </c>
      <c r="X1700" s="15">
        <f>IF(O1700='Udvaskning nøgletal'!$D$65,1,IF(O1700='Udvaskning nøgletal'!$D$66,2,IF(O1700='Udvaskning nøgletal'!$D$67,3,IF(O1700='Udvaskning nøgletal'!$D$68,2,""))))</f>
        <v>1</v>
      </c>
      <c r="Y1700" s="15">
        <f>LOOKUP(K1700,'Udvaskning nøgletal'!$C$12:$C$60,'Udvaskning nøgletal'!$H$12:$H$60)</f>
        <v>5</v>
      </c>
      <c r="Z1700" s="10">
        <f>IF(X1700=1,LOOKUP(K1700,'Udvaskning nøgletal'!$C$12:$C$60,'Udvaskning nøgletal'!$E$12:$E$60)+Markniveau!Y1700*Markniveau!S1700/100,IF(X1700=2,LOOKUP(K1700,'Udvaskning nøgletal'!$C$12:$C$60,'Udvaskning nøgletal'!$F$12:$F$60)+Markniveau!Y1700*Markniveau!S1700/100,IF(X1700=3,LOOKUP(K1700,'Udvaskning nøgletal'!$C$12:$C$60,'Udvaskning nøgletal'!G1710:G1758)+Markniveau!Y1700*Markniveau!S1700/100,"")))</f>
        <v>69.255440542205804</v>
      </c>
      <c r="AA1700" s="10">
        <f t="shared" si="266"/>
        <v>525.64879371534209</v>
      </c>
      <c r="AB1700" s="10">
        <f t="shared" si="265"/>
        <v>68.562886136783746</v>
      </c>
      <c r="AC1700" s="10">
        <f t="shared" si="267"/>
        <v>520.39230577818864</v>
      </c>
      <c r="AD1700" s="10">
        <f>IF(AND(Q1700&gt;0,Q1700&lt;30,K1700&lt;8),Markniveau!Z1700*'Udvaskning nøgletal'!$I$12/100,IF(AND(Q1700&gt;0,Q1700&lt;30,K1700=216),Markniveau!Z1700*'Udvaskning nøgletal'!$I$34/100,Markniveau!Z1700))</f>
        <v>69.255440542205804</v>
      </c>
      <c r="AE1700" s="10">
        <f t="shared" si="273"/>
        <v>525.64879371534209</v>
      </c>
      <c r="AF1700" s="10">
        <f t="shared" si="268"/>
        <v>68.562886136783746</v>
      </c>
      <c r="AG1700" s="10">
        <f t="shared" si="274"/>
        <v>520.39230577818864</v>
      </c>
      <c r="AH1700" s="10">
        <f>IF(AND(Q1700&gt;0,Q1700&lt;30,K1700=216),'Udvaskning nøgletal'!$C$42,IF(AND(Q1700&gt;0,Q1700&lt;30,K1700&gt;7,K1700&lt;17),'Udvaskning nøgletal'!$C$61,IF(AND(Q1700&gt;0,Q1700&lt;30,K1700&lt;7),'Udvaskning nøgletal'!$C$62,"")))</f>
        <v>1001</v>
      </c>
      <c r="AI1700" s="10">
        <f t="shared" si="270"/>
        <v>1001</v>
      </c>
      <c r="AJ1700" s="10">
        <f>IF($X1700=1,LOOKUP(AI1700,'Udvaskning nøgletal'!$C$12:$C$62,'Udvaskning nøgletal'!$E$12:$E$62)+Markniveau!$Y1700*Markniveau!$S1700/100,IF($X1700=2,LOOKUP(AI1700,'Udvaskning nøgletal'!$C$12:$C$62,'Udvaskning nøgletal'!$F$12:$F$62)+Markniveau!$Y1700*Markniveau!$S1700/100,IF($X1700=3,LOOKUP(AI1700,'Udvaskning nøgletal'!$C$12:$C$62,'Udvaskning nøgletal'!Q1710:Q1760)+Markniveau!$Y1700*Markniveau!$S1700/100,"")))</f>
        <v>35.0954405422058</v>
      </c>
      <c r="AK1700" s="10">
        <f t="shared" si="269"/>
        <v>266.37439371534202</v>
      </c>
      <c r="AL1700" s="10">
        <f t="shared" si="271"/>
        <v>34.744486136783742</v>
      </c>
      <c r="AM1700" s="10">
        <f t="shared" si="272"/>
        <v>263.71064977818861</v>
      </c>
    </row>
    <row r="1701" spans="1:39" x14ac:dyDescent="0.25">
      <c r="A1701" s="15">
        <v>98481257</v>
      </c>
      <c r="B1701" s="15">
        <v>61.51</v>
      </c>
      <c r="C1701" s="15">
        <v>550586</v>
      </c>
      <c r="D1701" s="15">
        <v>28648</v>
      </c>
      <c r="E1701" s="15" t="s">
        <v>1335</v>
      </c>
      <c r="F1701" s="15">
        <v>2011</v>
      </c>
      <c r="G1701" s="15">
        <v>20110330</v>
      </c>
      <c r="H1701" s="15">
        <v>66610</v>
      </c>
      <c r="I1701" s="15">
        <v>6.66</v>
      </c>
      <c r="J1701" s="6" t="s">
        <v>37</v>
      </c>
      <c r="K1701" s="15">
        <v>2</v>
      </c>
      <c r="L1701" s="15" t="s">
        <v>49</v>
      </c>
      <c r="M1701" s="15" t="s">
        <v>5</v>
      </c>
      <c r="N1701" s="11" t="s">
        <v>1384</v>
      </c>
      <c r="O1701" s="11" t="s">
        <v>28</v>
      </c>
      <c r="P1701" s="11" t="s">
        <v>29</v>
      </c>
      <c r="Q1701" s="15">
        <v>95</v>
      </c>
      <c r="R1701" s="11" t="s">
        <v>3</v>
      </c>
      <c r="S1701" s="10">
        <v>91.908810844116005</v>
      </c>
      <c r="T1701" s="15">
        <v>80</v>
      </c>
      <c r="U1701" s="15">
        <v>0</v>
      </c>
      <c r="V1701" s="15">
        <v>0</v>
      </c>
      <c r="W1701" s="15">
        <v>0</v>
      </c>
      <c r="X1701" s="15">
        <f>IF(O1701='Udvaskning nøgletal'!$D$65,1,IF(O1701='Udvaskning nøgletal'!$D$66,2,IF(O1701='Udvaskning nøgletal'!$D$67,3,IF(O1701='Udvaskning nøgletal'!$D$68,2,""))))</f>
        <v>1</v>
      </c>
      <c r="Y1701" s="15">
        <f>LOOKUP(K1701,'Udvaskning nøgletal'!$C$12:$C$60,'Udvaskning nøgletal'!$H$12:$H$60)</f>
        <v>5</v>
      </c>
      <c r="Z1701" s="10">
        <f>IF(X1701=1,LOOKUP(K1701,'Udvaskning nøgletal'!$C$12:$C$60,'Udvaskning nøgletal'!$E$12:$E$60)+Markniveau!Y1701*Markniveau!S1701/100,IF(X1701=2,LOOKUP(K1701,'Udvaskning nøgletal'!$C$12:$C$60,'Udvaskning nøgletal'!$F$12:$F$60)+Markniveau!Y1701*Markniveau!S1701/100,IF(X1701=3,LOOKUP(K1701,'Udvaskning nøgletal'!$C$12:$C$60,'Udvaskning nøgletal'!G1711:G1759)+Markniveau!Y1701*Markniveau!S1701/100,"")))</f>
        <v>69.255440542205804</v>
      </c>
      <c r="AA1701" s="10">
        <f t="shared" si="266"/>
        <v>461.24123401109068</v>
      </c>
      <c r="AB1701" s="10">
        <f t="shared" si="265"/>
        <v>3.4627720271102902</v>
      </c>
      <c r="AC1701" s="10">
        <f t="shared" si="267"/>
        <v>23.062061700554533</v>
      </c>
      <c r="AD1701" s="10">
        <f>IF(AND(Q1701&gt;0,Q1701&lt;30,K1701&lt;8),Markniveau!Z1701*'Udvaskning nøgletal'!$I$12/100,IF(AND(Q1701&gt;0,Q1701&lt;30,K1701=216),Markniveau!Z1701*'Udvaskning nøgletal'!$I$34/100,Markniveau!Z1701))</f>
        <v>69.255440542205804</v>
      </c>
      <c r="AE1701" s="10">
        <f t="shared" si="273"/>
        <v>461.24123401109068</v>
      </c>
      <c r="AF1701" s="10">
        <f t="shared" si="268"/>
        <v>3.4627720271102902</v>
      </c>
      <c r="AG1701" s="10">
        <f t="shared" si="274"/>
        <v>23.062061700554533</v>
      </c>
      <c r="AH1701" s="10" t="str">
        <f>IF(AND(Q1701&gt;0,Q1701&lt;30,K1701=216),'Udvaskning nøgletal'!$C$42,IF(AND(Q1701&gt;0,Q1701&lt;30,K1701&gt;7,K1701&lt;17),'Udvaskning nøgletal'!$C$61,IF(AND(Q1701&gt;0,Q1701&lt;30,K1701&lt;7),'Udvaskning nøgletal'!$C$62,"")))</f>
        <v/>
      </c>
      <c r="AI1701" s="10">
        <f t="shared" si="270"/>
        <v>2</v>
      </c>
      <c r="AJ1701" s="10">
        <f>IF($X1701=1,LOOKUP(AI1701,'Udvaskning nøgletal'!$C$12:$C$62,'Udvaskning nøgletal'!$E$12:$E$62)+Markniveau!$Y1701*Markniveau!$S1701/100,IF($X1701=2,LOOKUP(AI1701,'Udvaskning nøgletal'!$C$12:$C$62,'Udvaskning nøgletal'!$F$12:$F$62)+Markniveau!$Y1701*Markniveau!$S1701/100,IF($X1701=3,LOOKUP(AI1701,'Udvaskning nøgletal'!$C$12:$C$62,'Udvaskning nøgletal'!Q1711:Q1761)+Markniveau!$Y1701*Markniveau!$S1701/100,"")))</f>
        <v>69.255440542205804</v>
      </c>
      <c r="AK1701" s="10">
        <f t="shared" si="269"/>
        <v>461.24123401109068</v>
      </c>
      <c r="AL1701" s="10">
        <f t="shared" si="271"/>
        <v>3.4627720271102902</v>
      </c>
      <c r="AM1701" s="10">
        <f t="shared" si="272"/>
        <v>23.062061700554533</v>
      </c>
    </row>
    <row r="1702" spans="1:39" x14ac:dyDescent="0.25">
      <c r="A1702" s="15">
        <v>98481257</v>
      </c>
      <c r="B1702" s="15">
        <v>61.51</v>
      </c>
      <c r="C1702" s="15">
        <v>550588</v>
      </c>
      <c r="D1702" s="15">
        <v>28648</v>
      </c>
      <c r="E1702" s="15" t="s">
        <v>1244</v>
      </c>
      <c r="F1702" s="15">
        <v>2011</v>
      </c>
      <c r="G1702" s="15">
        <v>20110330</v>
      </c>
      <c r="H1702" s="15">
        <v>20468</v>
      </c>
      <c r="I1702" s="15">
        <v>2.0499999999999998</v>
      </c>
      <c r="J1702" s="6" t="s">
        <v>1409</v>
      </c>
      <c r="K1702" s="15">
        <v>11</v>
      </c>
      <c r="L1702" s="15" t="s">
        <v>102</v>
      </c>
      <c r="M1702" s="15" t="s">
        <v>5</v>
      </c>
      <c r="N1702" s="11" t="s">
        <v>1384</v>
      </c>
      <c r="O1702" s="11" t="s">
        <v>28</v>
      </c>
      <c r="P1702" s="11" t="s">
        <v>29</v>
      </c>
      <c r="Q1702" s="15">
        <v>1</v>
      </c>
      <c r="R1702" s="11" t="s">
        <v>11</v>
      </c>
      <c r="S1702" s="10">
        <v>91.908810844116005</v>
      </c>
      <c r="T1702" s="15">
        <v>80</v>
      </c>
      <c r="U1702" s="15">
        <v>0</v>
      </c>
      <c r="V1702" s="15">
        <v>0</v>
      </c>
      <c r="W1702" s="15">
        <v>0</v>
      </c>
      <c r="X1702" s="15">
        <f>IF(O1702='Udvaskning nøgletal'!$D$65,1,IF(O1702='Udvaskning nøgletal'!$D$66,2,IF(O1702='Udvaskning nøgletal'!$D$67,3,IF(O1702='Udvaskning nøgletal'!$D$68,2,""))))</f>
        <v>1</v>
      </c>
      <c r="Y1702" s="15">
        <f>LOOKUP(K1702,'Udvaskning nøgletal'!$C$12:$C$60,'Udvaskning nøgletal'!$H$12:$H$60)</f>
        <v>5</v>
      </c>
      <c r="Z1702" s="10">
        <f>IF(X1702=1,LOOKUP(K1702,'Udvaskning nøgletal'!$C$12:$C$60,'Udvaskning nøgletal'!$E$12:$E$60)+Markniveau!Y1702*Markniveau!S1702/100,IF(X1702=2,LOOKUP(K1702,'Udvaskning nøgletal'!$C$12:$C$60,'Udvaskning nøgletal'!$F$12:$F$60)+Markniveau!Y1702*Markniveau!S1702/100,IF(X1702=3,LOOKUP(K1702,'Udvaskning nøgletal'!$C$12:$C$60,'Udvaskning nøgletal'!G1712:G1760)+Markniveau!Y1702*Markniveau!S1702/100,"")))</f>
        <v>69.255440542205804</v>
      </c>
      <c r="AA1702" s="10">
        <f t="shared" si="266"/>
        <v>141.97365311152188</v>
      </c>
      <c r="AB1702" s="10">
        <f t="shared" si="265"/>
        <v>68.562886136783746</v>
      </c>
      <c r="AC1702" s="10">
        <f t="shared" si="267"/>
        <v>140.55391658040668</v>
      </c>
      <c r="AD1702" s="10">
        <f>IF(AND(Q1702&gt;0,Q1702&lt;30,K1702&lt;8),Markniveau!Z1702*'Udvaskning nøgletal'!$I$12/100,IF(AND(Q1702&gt;0,Q1702&lt;30,K1702=216),Markniveau!Z1702*'Udvaskning nøgletal'!$I$34/100,Markniveau!Z1702))</f>
        <v>69.255440542205804</v>
      </c>
      <c r="AE1702" s="10">
        <f t="shared" si="273"/>
        <v>141.97365311152188</v>
      </c>
      <c r="AF1702" s="10">
        <f t="shared" si="268"/>
        <v>68.562886136783746</v>
      </c>
      <c r="AG1702" s="10">
        <f t="shared" si="274"/>
        <v>140.55391658040668</v>
      </c>
      <c r="AH1702" s="10">
        <f>IF(AND(Q1702&gt;0,Q1702&lt;30,K1702=216),'Udvaskning nøgletal'!$C$42,IF(AND(Q1702&gt;0,Q1702&lt;30,K1702&gt;7,K1702&lt;17),'Udvaskning nøgletal'!$C$61,IF(AND(Q1702&gt;0,Q1702&lt;30,K1702&lt;7),'Udvaskning nøgletal'!$C$62,"")))</f>
        <v>1001</v>
      </c>
      <c r="AI1702" s="10">
        <f t="shared" si="270"/>
        <v>1001</v>
      </c>
      <c r="AJ1702" s="10">
        <f>IF($X1702=1,LOOKUP(AI1702,'Udvaskning nøgletal'!$C$12:$C$62,'Udvaskning nøgletal'!$E$12:$E$62)+Markniveau!$Y1702*Markniveau!$S1702/100,IF($X1702=2,LOOKUP(AI1702,'Udvaskning nøgletal'!$C$12:$C$62,'Udvaskning nøgletal'!$F$12:$F$62)+Markniveau!$Y1702*Markniveau!$S1702/100,IF($X1702=3,LOOKUP(AI1702,'Udvaskning nøgletal'!$C$12:$C$62,'Udvaskning nøgletal'!Q1712:Q1762)+Markniveau!$Y1702*Markniveau!$S1702/100,"")))</f>
        <v>35.0954405422058</v>
      </c>
      <c r="AK1702" s="10">
        <f t="shared" si="269"/>
        <v>71.945653111521878</v>
      </c>
      <c r="AL1702" s="10">
        <f t="shared" si="271"/>
        <v>34.744486136783742</v>
      </c>
      <c r="AM1702" s="10">
        <f t="shared" si="272"/>
        <v>71.226196580406665</v>
      </c>
    </row>
    <row r="1703" spans="1:39" x14ac:dyDescent="0.25">
      <c r="A1703" s="15">
        <v>98481257</v>
      </c>
      <c r="B1703" s="15">
        <v>61.51</v>
      </c>
      <c r="C1703" s="15">
        <v>550589</v>
      </c>
      <c r="D1703" s="15">
        <v>28648</v>
      </c>
      <c r="E1703" s="15" t="s">
        <v>1335</v>
      </c>
      <c r="F1703" s="15">
        <v>2011</v>
      </c>
      <c r="G1703" s="15">
        <v>20110330</v>
      </c>
      <c r="H1703" s="15">
        <v>30277</v>
      </c>
      <c r="I1703" s="15">
        <v>3.03</v>
      </c>
      <c r="J1703" s="6" t="s">
        <v>61</v>
      </c>
      <c r="K1703" s="15">
        <v>2</v>
      </c>
      <c r="L1703" s="15" t="s">
        <v>49</v>
      </c>
      <c r="M1703" s="15" t="s">
        <v>5</v>
      </c>
      <c r="N1703" s="11" t="s">
        <v>1384</v>
      </c>
      <c r="O1703" s="11" t="s">
        <v>28</v>
      </c>
      <c r="P1703" s="11" t="s">
        <v>29</v>
      </c>
      <c r="Q1703" s="15">
        <v>95</v>
      </c>
      <c r="R1703" s="11" t="s">
        <v>3</v>
      </c>
      <c r="S1703" s="10">
        <v>91.908810844116005</v>
      </c>
      <c r="T1703" s="15">
        <v>80</v>
      </c>
      <c r="U1703" s="15">
        <v>0</v>
      </c>
      <c r="V1703" s="15">
        <v>0</v>
      </c>
      <c r="W1703" s="15">
        <v>0</v>
      </c>
      <c r="X1703" s="15">
        <f>IF(O1703='Udvaskning nøgletal'!$D$65,1,IF(O1703='Udvaskning nøgletal'!$D$66,2,IF(O1703='Udvaskning nøgletal'!$D$67,3,IF(O1703='Udvaskning nøgletal'!$D$68,2,""))))</f>
        <v>1</v>
      </c>
      <c r="Y1703" s="15">
        <f>LOOKUP(K1703,'Udvaskning nøgletal'!$C$12:$C$60,'Udvaskning nøgletal'!$H$12:$H$60)</f>
        <v>5</v>
      </c>
      <c r="Z1703" s="10">
        <f>IF(X1703=1,LOOKUP(K1703,'Udvaskning nøgletal'!$C$12:$C$60,'Udvaskning nøgletal'!$E$12:$E$60)+Markniveau!Y1703*Markniveau!S1703/100,IF(X1703=2,LOOKUP(K1703,'Udvaskning nøgletal'!$C$12:$C$60,'Udvaskning nøgletal'!$F$12:$F$60)+Markniveau!Y1703*Markniveau!S1703/100,IF(X1703=3,LOOKUP(K1703,'Udvaskning nøgletal'!$C$12:$C$60,'Udvaskning nøgletal'!G1713:G1761)+Markniveau!Y1703*Markniveau!S1703/100,"")))</f>
        <v>69.255440542205804</v>
      </c>
      <c r="AA1703" s="10">
        <f t="shared" si="266"/>
        <v>209.84398484288357</v>
      </c>
      <c r="AB1703" s="10">
        <f t="shared" si="265"/>
        <v>3.4627720271102902</v>
      </c>
      <c r="AC1703" s="10">
        <f t="shared" si="267"/>
        <v>10.492199242144178</v>
      </c>
      <c r="AD1703" s="10">
        <f>IF(AND(Q1703&gt;0,Q1703&lt;30,K1703&lt;8),Markniveau!Z1703*'Udvaskning nøgletal'!$I$12/100,IF(AND(Q1703&gt;0,Q1703&lt;30,K1703=216),Markniveau!Z1703*'Udvaskning nøgletal'!$I$34/100,Markniveau!Z1703))</f>
        <v>69.255440542205804</v>
      </c>
      <c r="AE1703" s="10">
        <f t="shared" si="273"/>
        <v>209.84398484288357</v>
      </c>
      <c r="AF1703" s="10">
        <f t="shared" si="268"/>
        <v>3.4627720271102902</v>
      </c>
      <c r="AG1703" s="10">
        <f t="shared" si="274"/>
        <v>10.492199242144178</v>
      </c>
      <c r="AH1703" s="10" t="str">
        <f>IF(AND(Q1703&gt;0,Q1703&lt;30,K1703=216),'Udvaskning nøgletal'!$C$42,IF(AND(Q1703&gt;0,Q1703&lt;30,K1703&gt;7,K1703&lt;17),'Udvaskning nøgletal'!$C$61,IF(AND(Q1703&gt;0,Q1703&lt;30,K1703&lt;7),'Udvaskning nøgletal'!$C$62,"")))</f>
        <v/>
      </c>
      <c r="AI1703" s="10">
        <f t="shared" si="270"/>
        <v>2</v>
      </c>
      <c r="AJ1703" s="10">
        <f>IF($X1703=1,LOOKUP(AI1703,'Udvaskning nøgletal'!$C$12:$C$62,'Udvaskning nøgletal'!$E$12:$E$62)+Markniveau!$Y1703*Markniveau!$S1703/100,IF($X1703=2,LOOKUP(AI1703,'Udvaskning nøgletal'!$C$12:$C$62,'Udvaskning nøgletal'!$F$12:$F$62)+Markniveau!$Y1703*Markniveau!$S1703/100,IF($X1703=3,LOOKUP(AI1703,'Udvaskning nøgletal'!$C$12:$C$62,'Udvaskning nøgletal'!Q1713:Q1763)+Markniveau!$Y1703*Markniveau!$S1703/100,"")))</f>
        <v>69.255440542205804</v>
      </c>
      <c r="AK1703" s="10">
        <f t="shared" si="269"/>
        <v>209.84398484288357</v>
      </c>
      <c r="AL1703" s="10">
        <f t="shared" si="271"/>
        <v>3.4627720271102902</v>
      </c>
      <c r="AM1703" s="10">
        <f t="shared" si="272"/>
        <v>10.492199242144178</v>
      </c>
    </row>
    <row r="1704" spans="1:39" x14ac:dyDescent="0.25">
      <c r="A1704" s="15">
        <v>98481257</v>
      </c>
      <c r="B1704" s="15">
        <v>61.51</v>
      </c>
      <c r="C1704" s="15">
        <v>550590</v>
      </c>
      <c r="D1704" s="15">
        <v>28648</v>
      </c>
      <c r="E1704" s="15" t="s">
        <v>1336</v>
      </c>
      <c r="F1704" s="15">
        <v>2011</v>
      </c>
      <c r="G1704" s="15">
        <v>20110330</v>
      </c>
      <c r="H1704" s="15">
        <v>10197</v>
      </c>
      <c r="I1704" s="15">
        <v>1.02</v>
      </c>
      <c r="J1704" s="6" t="s">
        <v>35</v>
      </c>
      <c r="K1704" s="15">
        <v>1</v>
      </c>
      <c r="L1704" s="15" t="s">
        <v>32</v>
      </c>
      <c r="M1704" s="15" t="s">
        <v>5</v>
      </c>
      <c r="N1704" s="11" t="s">
        <v>1384</v>
      </c>
      <c r="O1704" s="11" t="s">
        <v>28</v>
      </c>
      <c r="P1704" s="11" t="s">
        <v>29</v>
      </c>
      <c r="Q1704" s="15">
        <v>95</v>
      </c>
      <c r="R1704" s="11" t="s">
        <v>3</v>
      </c>
      <c r="S1704" s="10">
        <v>91.908810844116005</v>
      </c>
      <c r="T1704" s="15">
        <v>80</v>
      </c>
      <c r="U1704" s="15">
        <v>0</v>
      </c>
      <c r="V1704" s="15">
        <v>0</v>
      </c>
      <c r="W1704" s="15">
        <v>0</v>
      </c>
      <c r="X1704" s="15">
        <f>IF(O1704='Udvaskning nøgletal'!$D$65,1,IF(O1704='Udvaskning nøgletal'!$D$66,2,IF(O1704='Udvaskning nøgletal'!$D$67,3,IF(O1704='Udvaskning nøgletal'!$D$68,2,""))))</f>
        <v>1</v>
      </c>
      <c r="Y1704" s="15">
        <f>LOOKUP(K1704,'Udvaskning nøgletal'!$C$12:$C$60,'Udvaskning nøgletal'!$H$12:$H$60)</f>
        <v>5</v>
      </c>
      <c r="Z1704" s="10">
        <f>IF(X1704=1,LOOKUP(K1704,'Udvaskning nøgletal'!$C$12:$C$60,'Udvaskning nøgletal'!$E$12:$E$60)+Markniveau!Y1704*Markniveau!S1704/100,IF(X1704=2,LOOKUP(K1704,'Udvaskning nøgletal'!$C$12:$C$60,'Udvaskning nøgletal'!$F$12:$F$60)+Markniveau!Y1704*Markniveau!S1704/100,IF(X1704=3,LOOKUP(K1704,'Udvaskning nøgletal'!$C$12:$C$60,'Udvaskning nøgletal'!G1714:G1762)+Markniveau!Y1704*Markniveau!S1704/100,"")))</f>
        <v>69.255440542205804</v>
      </c>
      <c r="AA1704" s="10">
        <f t="shared" si="266"/>
        <v>70.64054935304992</v>
      </c>
      <c r="AB1704" s="10">
        <f t="shared" si="265"/>
        <v>3.4627720271102902</v>
      </c>
      <c r="AC1704" s="10">
        <f t="shared" si="267"/>
        <v>3.5320274676524961</v>
      </c>
      <c r="AD1704" s="10">
        <f>IF(AND(Q1704&gt;0,Q1704&lt;30,K1704&lt;8),Markniveau!Z1704*'Udvaskning nøgletal'!$I$12/100,IF(AND(Q1704&gt;0,Q1704&lt;30,K1704=216),Markniveau!Z1704*'Udvaskning nøgletal'!$I$34/100,Markniveau!Z1704))</f>
        <v>69.255440542205804</v>
      </c>
      <c r="AE1704" s="10">
        <f t="shared" si="273"/>
        <v>70.64054935304992</v>
      </c>
      <c r="AF1704" s="10">
        <f t="shared" si="268"/>
        <v>3.4627720271102902</v>
      </c>
      <c r="AG1704" s="10">
        <f t="shared" si="274"/>
        <v>3.5320274676524961</v>
      </c>
      <c r="AH1704" s="10" t="str">
        <f>IF(AND(Q1704&gt;0,Q1704&lt;30,K1704=216),'Udvaskning nøgletal'!$C$42,IF(AND(Q1704&gt;0,Q1704&lt;30,K1704&gt;7,K1704&lt;17),'Udvaskning nøgletal'!$C$61,IF(AND(Q1704&gt;0,Q1704&lt;30,K1704&lt;7),'Udvaskning nøgletal'!$C$62,"")))</f>
        <v/>
      </c>
      <c r="AI1704" s="10">
        <f t="shared" si="270"/>
        <v>1</v>
      </c>
      <c r="AJ1704" s="10">
        <f>IF($X1704=1,LOOKUP(AI1704,'Udvaskning nøgletal'!$C$12:$C$62,'Udvaskning nøgletal'!$E$12:$E$62)+Markniveau!$Y1704*Markniveau!$S1704/100,IF($X1704=2,LOOKUP(AI1704,'Udvaskning nøgletal'!$C$12:$C$62,'Udvaskning nøgletal'!$F$12:$F$62)+Markniveau!$Y1704*Markniveau!$S1704/100,IF($X1704=3,LOOKUP(AI1704,'Udvaskning nøgletal'!$C$12:$C$62,'Udvaskning nøgletal'!Q1714:Q1764)+Markniveau!$Y1704*Markniveau!$S1704/100,"")))</f>
        <v>69.255440542205804</v>
      </c>
      <c r="AK1704" s="10">
        <f t="shared" si="269"/>
        <v>70.64054935304992</v>
      </c>
      <c r="AL1704" s="10">
        <f t="shared" si="271"/>
        <v>3.4627720271102902</v>
      </c>
      <c r="AM1704" s="10">
        <f t="shared" si="272"/>
        <v>3.5320274676524961</v>
      </c>
    </row>
    <row r="1705" spans="1:39" x14ac:dyDescent="0.25">
      <c r="A1705" s="15">
        <v>98481257</v>
      </c>
      <c r="B1705" s="15">
        <v>61.51</v>
      </c>
      <c r="C1705" s="15">
        <v>551070</v>
      </c>
      <c r="D1705" s="15">
        <v>28648</v>
      </c>
      <c r="E1705" s="15" t="s">
        <v>1337</v>
      </c>
      <c r="F1705" s="15">
        <v>2011</v>
      </c>
      <c r="G1705" s="15">
        <v>20110330</v>
      </c>
      <c r="H1705" s="15">
        <v>35237</v>
      </c>
      <c r="I1705" s="15">
        <v>3.52</v>
      </c>
      <c r="J1705" s="6" t="s">
        <v>1461</v>
      </c>
      <c r="K1705" s="15">
        <v>252</v>
      </c>
      <c r="L1705" s="15" t="s">
        <v>41</v>
      </c>
      <c r="M1705" s="15" t="s">
        <v>4</v>
      </c>
      <c r="N1705" s="11" t="s">
        <v>1384</v>
      </c>
      <c r="O1705" s="11" t="s">
        <v>28</v>
      </c>
      <c r="P1705" s="11" t="s">
        <v>29</v>
      </c>
      <c r="Q1705" s="15">
        <v>1</v>
      </c>
      <c r="R1705" s="11" t="s">
        <v>11</v>
      </c>
      <c r="S1705" s="10">
        <v>91.908810844116005</v>
      </c>
      <c r="T1705" s="15">
        <v>80</v>
      </c>
      <c r="U1705" s="15">
        <v>0</v>
      </c>
      <c r="V1705" s="15">
        <v>0</v>
      </c>
      <c r="W1705" s="15">
        <v>0</v>
      </c>
      <c r="X1705" s="15">
        <f>IF(O1705='Udvaskning nøgletal'!$D$65,1,IF(O1705='Udvaskning nøgletal'!$D$66,2,IF(O1705='Udvaskning nøgletal'!$D$67,3,IF(O1705='Udvaskning nøgletal'!$D$68,2,""))))</f>
        <v>1</v>
      </c>
      <c r="Y1705" s="15">
        <f>LOOKUP(K1705,'Udvaskning nøgletal'!$C$12:$C$60,'Udvaskning nøgletal'!$H$12:$H$60)</f>
        <v>0</v>
      </c>
      <c r="Z1705" s="10">
        <f>IF(X1705=1,LOOKUP(K1705,'Udvaskning nøgletal'!$C$12:$C$60,'Udvaskning nøgletal'!$E$12:$E$60)+Markniveau!Y1705*Markniveau!S1705/100,IF(X1705=2,LOOKUP(K1705,'Udvaskning nøgletal'!$C$12:$C$60,'Udvaskning nøgletal'!$F$12:$F$60)+Markniveau!Y1705*Markniveau!S1705/100,IF(X1705=3,LOOKUP(K1705,'Udvaskning nøgletal'!$C$12:$C$60,'Udvaskning nøgletal'!G1715:G1763)+Markniveau!Y1705*Markniveau!S1705/100,"")))</f>
        <v>21.2</v>
      </c>
      <c r="AA1705" s="10">
        <f t="shared" si="266"/>
        <v>74.623999999999995</v>
      </c>
      <c r="AB1705" s="10">
        <f t="shared" si="265"/>
        <v>20.987999999999996</v>
      </c>
      <c r="AC1705" s="10">
        <f t="shared" si="267"/>
        <v>73.877759999999981</v>
      </c>
      <c r="AD1705" s="10">
        <f>IF(AND(Q1705&gt;0,Q1705&lt;30,K1705&lt;8),Markniveau!Z1705*'Udvaskning nøgletal'!$I$12/100,IF(AND(Q1705&gt;0,Q1705&lt;30,K1705=216),Markniveau!Z1705*'Udvaskning nøgletal'!$I$34/100,Markniveau!Z1705))</f>
        <v>21.2</v>
      </c>
      <c r="AE1705" s="10">
        <f t="shared" si="273"/>
        <v>74.623999999999995</v>
      </c>
      <c r="AF1705" s="10">
        <f t="shared" si="268"/>
        <v>20.987999999999996</v>
      </c>
      <c r="AG1705" s="10">
        <f t="shared" si="274"/>
        <v>73.877759999999981</v>
      </c>
      <c r="AH1705" s="10" t="str">
        <f>IF(AND(Q1705&gt;0,Q1705&lt;30,K1705=216),'Udvaskning nøgletal'!$C$42,IF(AND(Q1705&gt;0,Q1705&lt;30,K1705&gt;7,K1705&lt;17),'Udvaskning nøgletal'!$C$61,IF(AND(Q1705&gt;0,Q1705&lt;30,K1705&lt;7),'Udvaskning nøgletal'!$C$62,"")))</f>
        <v/>
      </c>
      <c r="AI1705" s="10">
        <f t="shared" si="270"/>
        <v>252</v>
      </c>
      <c r="AJ1705" s="10">
        <f>IF($X1705=1,LOOKUP(AI1705,'Udvaskning nøgletal'!$C$12:$C$62,'Udvaskning nøgletal'!$E$12:$E$62)+Markniveau!$Y1705*Markniveau!$S1705/100,IF($X1705=2,LOOKUP(AI1705,'Udvaskning nøgletal'!$C$12:$C$62,'Udvaskning nøgletal'!$F$12:$F$62)+Markniveau!$Y1705*Markniveau!$S1705/100,IF($X1705=3,LOOKUP(AI1705,'Udvaskning nøgletal'!$C$12:$C$62,'Udvaskning nøgletal'!Q1715:Q1765)+Markniveau!$Y1705*Markniveau!$S1705/100,"")))</f>
        <v>21.2</v>
      </c>
      <c r="AK1705" s="10">
        <f t="shared" si="269"/>
        <v>74.623999999999995</v>
      </c>
      <c r="AL1705" s="10">
        <f t="shared" si="271"/>
        <v>20.987999999999996</v>
      </c>
      <c r="AM1705" s="10">
        <f t="shared" si="272"/>
        <v>73.877759999999981</v>
      </c>
    </row>
    <row r="1706" spans="1:39" x14ac:dyDescent="0.25">
      <c r="A1706" s="15">
        <v>98481257</v>
      </c>
      <c r="B1706" s="15">
        <v>61.51</v>
      </c>
      <c r="C1706" s="15">
        <v>551074</v>
      </c>
      <c r="D1706" s="15">
        <v>28648</v>
      </c>
      <c r="E1706" s="15" t="s">
        <v>1338</v>
      </c>
      <c r="F1706" s="15">
        <v>2011</v>
      </c>
      <c r="G1706" s="15">
        <v>20110330</v>
      </c>
      <c r="H1706" s="15">
        <v>22496</v>
      </c>
      <c r="I1706" s="15">
        <v>2.25</v>
      </c>
      <c r="J1706" s="6" t="s">
        <v>1339</v>
      </c>
      <c r="K1706" s="15">
        <v>15</v>
      </c>
      <c r="L1706" s="15" t="s">
        <v>362</v>
      </c>
      <c r="M1706" s="15" t="s">
        <v>5</v>
      </c>
      <c r="N1706" s="11" t="s">
        <v>1406</v>
      </c>
      <c r="O1706" s="11" t="s">
        <v>46</v>
      </c>
      <c r="P1706" s="11" t="s">
        <v>33</v>
      </c>
      <c r="Q1706" s="15">
        <v>0</v>
      </c>
      <c r="R1706" s="11" t="s">
        <v>1386</v>
      </c>
      <c r="S1706" s="10">
        <v>91.908810844116005</v>
      </c>
      <c r="T1706" s="15">
        <v>80</v>
      </c>
      <c r="U1706" s="15">
        <v>0</v>
      </c>
      <c r="V1706" s="15">
        <v>0</v>
      </c>
      <c r="W1706" s="15">
        <v>0</v>
      </c>
      <c r="X1706" s="15">
        <f>IF(O1706='Udvaskning nøgletal'!$D$65,1,IF(O1706='Udvaskning nøgletal'!$D$66,2,IF(O1706='Udvaskning nøgletal'!$D$67,3,IF(O1706='Udvaskning nøgletal'!$D$68,2,""))))</f>
        <v>2</v>
      </c>
      <c r="Y1706" s="15">
        <f>LOOKUP(K1706,'Udvaskning nøgletal'!$C$12:$C$60,'Udvaskning nøgletal'!$H$12:$H$60)</f>
        <v>5</v>
      </c>
      <c r="Z1706" s="10">
        <f>IF(X1706=1,LOOKUP(K1706,'Udvaskning nøgletal'!$C$12:$C$60,'Udvaskning nøgletal'!$E$12:$E$60)+Markniveau!Y1706*Markniveau!S1706/100,IF(X1706=2,LOOKUP(K1706,'Udvaskning nøgletal'!$C$12:$C$60,'Udvaskning nøgletal'!$F$12:$F$60)+Markniveau!Y1706*Markniveau!S1706/100,IF(X1706=3,LOOKUP(K1706,'Udvaskning nøgletal'!$C$12:$C$60,'Udvaskning nøgletal'!G1716:G1764)+Markniveau!Y1706*Markniveau!S1706/100,"")))</f>
        <v>55.475440542205803</v>
      </c>
      <c r="AA1706" s="10">
        <f t="shared" si="266"/>
        <v>124.81974121996305</v>
      </c>
      <c r="AB1706" s="10" t="str">
        <f t="shared" si="265"/>
        <v/>
      </c>
      <c r="AC1706" s="10" t="str">
        <f t="shared" si="267"/>
        <v/>
      </c>
      <c r="AD1706" s="10">
        <f>IF(AND(Q1706&gt;0,Q1706&lt;30,K1706&lt;8),Markniveau!Z1706*'Udvaskning nøgletal'!$I$12/100,IF(AND(Q1706&gt;0,Q1706&lt;30,K1706=216),Markniveau!Z1706*'Udvaskning nøgletal'!$I$34/100,Markniveau!Z1706))</f>
        <v>55.475440542205803</v>
      </c>
      <c r="AE1706" s="10">
        <f t="shared" si="273"/>
        <v>124.81974121996305</v>
      </c>
      <c r="AF1706" s="10" t="str">
        <f t="shared" si="268"/>
        <v/>
      </c>
      <c r="AG1706" s="10" t="str">
        <f t="shared" si="274"/>
        <v/>
      </c>
      <c r="AH1706" s="10" t="str">
        <f>IF(AND(Q1706&gt;0,Q1706&lt;30,K1706=216),'Udvaskning nøgletal'!$C$42,IF(AND(Q1706&gt;0,Q1706&lt;30,K1706&gt;7,K1706&lt;17),'Udvaskning nøgletal'!$C$61,IF(AND(Q1706&gt;0,Q1706&lt;30,K1706&lt;7),'Udvaskning nøgletal'!$C$62,"")))</f>
        <v/>
      </c>
      <c r="AI1706" s="10">
        <f t="shared" si="270"/>
        <v>15</v>
      </c>
      <c r="AJ1706" s="10">
        <f>IF($X1706=1,LOOKUP(AI1706,'Udvaskning nøgletal'!$C$12:$C$62,'Udvaskning nøgletal'!$E$12:$E$62)+Markniveau!$Y1706*Markniveau!$S1706/100,IF($X1706=2,LOOKUP(AI1706,'Udvaskning nøgletal'!$C$12:$C$62,'Udvaskning nøgletal'!$F$12:$F$62)+Markniveau!$Y1706*Markniveau!$S1706/100,IF($X1706=3,LOOKUP(AI1706,'Udvaskning nøgletal'!$C$12:$C$62,'Udvaskning nøgletal'!Q1716:Q1766)+Markniveau!$Y1706*Markniveau!$S1706/100,"")))</f>
        <v>55.475440542205803</v>
      </c>
      <c r="AK1706" s="10">
        <f t="shared" si="269"/>
        <v>124.81974121996305</v>
      </c>
      <c r="AL1706" s="10" t="str">
        <f t="shared" si="271"/>
        <v/>
      </c>
      <c r="AM1706" s="10" t="str">
        <f t="shared" si="272"/>
        <v/>
      </c>
    </row>
    <row r="1707" spans="1:39" x14ac:dyDescent="0.25">
      <c r="A1707" s="15">
        <v>98481257</v>
      </c>
      <c r="B1707" s="15">
        <v>61.51</v>
      </c>
      <c r="C1707" s="15">
        <v>551087</v>
      </c>
      <c r="D1707" s="15">
        <v>28648</v>
      </c>
      <c r="E1707" s="15" t="s">
        <v>1340</v>
      </c>
      <c r="F1707" s="15">
        <v>2011</v>
      </c>
      <c r="G1707" s="15">
        <v>20110330</v>
      </c>
      <c r="H1707" s="15">
        <v>9033</v>
      </c>
      <c r="I1707" s="15">
        <v>0.9</v>
      </c>
      <c r="J1707" s="6" t="s">
        <v>1532</v>
      </c>
      <c r="K1707" s="15">
        <v>15</v>
      </c>
      <c r="L1707" s="15" t="s">
        <v>362</v>
      </c>
      <c r="M1707" s="15" t="s">
        <v>5</v>
      </c>
      <c r="N1707" s="11" t="s">
        <v>1384</v>
      </c>
      <c r="O1707" s="11" t="s">
        <v>28</v>
      </c>
      <c r="P1707" s="11" t="s">
        <v>33</v>
      </c>
      <c r="Q1707" s="15">
        <v>0</v>
      </c>
      <c r="R1707" s="11" t="s">
        <v>1386</v>
      </c>
      <c r="S1707" s="10">
        <v>91.908810844116005</v>
      </c>
      <c r="T1707" s="15">
        <v>80</v>
      </c>
      <c r="U1707" s="15">
        <v>0</v>
      </c>
      <c r="V1707" s="15">
        <v>0</v>
      </c>
      <c r="W1707" s="15">
        <v>0</v>
      </c>
      <c r="X1707" s="15">
        <f>IF(O1707='Udvaskning nøgletal'!$D$65,1,IF(O1707='Udvaskning nøgletal'!$D$66,2,IF(O1707='Udvaskning nøgletal'!$D$67,3,IF(O1707='Udvaskning nøgletal'!$D$68,2,""))))</f>
        <v>1</v>
      </c>
      <c r="Y1707" s="15">
        <f>LOOKUP(K1707,'Udvaskning nøgletal'!$C$12:$C$60,'Udvaskning nøgletal'!$H$12:$H$60)</f>
        <v>5</v>
      </c>
      <c r="Z1707" s="10">
        <f>IF(X1707=1,LOOKUP(K1707,'Udvaskning nøgletal'!$C$12:$C$60,'Udvaskning nøgletal'!$E$12:$E$60)+Markniveau!Y1707*Markniveau!S1707/100,IF(X1707=2,LOOKUP(K1707,'Udvaskning nøgletal'!$C$12:$C$60,'Udvaskning nøgletal'!$F$12:$F$60)+Markniveau!Y1707*Markniveau!S1707/100,IF(X1707=3,LOOKUP(K1707,'Udvaskning nøgletal'!$C$12:$C$60,'Udvaskning nøgletal'!G1717:G1765)+Markniveau!Y1707*Markniveau!S1707/100,"")))</f>
        <v>69.255440542205804</v>
      </c>
      <c r="AA1707" s="10">
        <f t="shared" si="266"/>
        <v>62.329896487985224</v>
      </c>
      <c r="AB1707" s="10" t="str">
        <f t="shared" si="265"/>
        <v/>
      </c>
      <c r="AC1707" s="10" t="str">
        <f t="shared" si="267"/>
        <v/>
      </c>
      <c r="AD1707" s="10">
        <f>IF(AND(Q1707&gt;0,Q1707&lt;30,K1707&lt;8),Markniveau!Z1707*'Udvaskning nøgletal'!$I$12/100,IF(AND(Q1707&gt;0,Q1707&lt;30,K1707=216),Markniveau!Z1707*'Udvaskning nøgletal'!$I$34/100,Markniveau!Z1707))</f>
        <v>69.255440542205804</v>
      </c>
      <c r="AE1707" s="10">
        <f t="shared" si="273"/>
        <v>62.329896487985224</v>
      </c>
      <c r="AF1707" s="10" t="str">
        <f t="shared" si="268"/>
        <v/>
      </c>
      <c r="AG1707" s="10" t="str">
        <f t="shared" si="274"/>
        <v/>
      </c>
      <c r="AH1707" s="10" t="str">
        <f>IF(AND(Q1707&gt;0,Q1707&lt;30,K1707=216),'Udvaskning nøgletal'!$C$42,IF(AND(Q1707&gt;0,Q1707&lt;30,K1707&gt;7,K1707&lt;17),'Udvaskning nøgletal'!$C$61,IF(AND(Q1707&gt;0,Q1707&lt;30,K1707&lt;7),'Udvaskning nøgletal'!$C$62,"")))</f>
        <v/>
      </c>
      <c r="AI1707" s="10">
        <f t="shared" si="270"/>
        <v>15</v>
      </c>
      <c r="AJ1707" s="10">
        <f>IF($X1707=1,LOOKUP(AI1707,'Udvaskning nøgletal'!$C$12:$C$62,'Udvaskning nøgletal'!$E$12:$E$62)+Markniveau!$Y1707*Markniveau!$S1707/100,IF($X1707=2,LOOKUP(AI1707,'Udvaskning nøgletal'!$C$12:$C$62,'Udvaskning nøgletal'!$F$12:$F$62)+Markniveau!$Y1707*Markniveau!$S1707/100,IF($X1707=3,LOOKUP(AI1707,'Udvaskning nøgletal'!$C$12:$C$62,'Udvaskning nøgletal'!Q1717:Q1767)+Markniveau!$Y1707*Markniveau!$S1707/100,"")))</f>
        <v>69.255440542205804</v>
      </c>
      <c r="AK1707" s="10">
        <f t="shared" si="269"/>
        <v>62.329896487985224</v>
      </c>
      <c r="AL1707" s="10" t="str">
        <f t="shared" si="271"/>
        <v/>
      </c>
      <c r="AM1707" s="10" t="str">
        <f t="shared" si="272"/>
        <v/>
      </c>
    </row>
    <row r="1708" spans="1:39" x14ac:dyDescent="0.25">
      <c r="A1708" s="15">
        <v>98481257</v>
      </c>
      <c r="B1708" s="15">
        <v>61.51</v>
      </c>
      <c r="C1708" s="15">
        <v>551092</v>
      </c>
      <c r="D1708" s="15">
        <v>28648</v>
      </c>
      <c r="E1708" s="15" t="s">
        <v>1341</v>
      </c>
      <c r="F1708" s="15">
        <v>2011</v>
      </c>
      <c r="G1708" s="15">
        <v>20110330</v>
      </c>
      <c r="H1708" s="15">
        <v>41196</v>
      </c>
      <c r="I1708" s="15">
        <v>4.12</v>
      </c>
      <c r="J1708" s="6" t="s">
        <v>1533</v>
      </c>
      <c r="K1708" s="15">
        <v>1</v>
      </c>
      <c r="L1708" s="15" t="s">
        <v>32</v>
      </c>
      <c r="M1708" s="15" t="s">
        <v>5</v>
      </c>
      <c r="N1708" s="11" t="s">
        <v>1384</v>
      </c>
      <c r="O1708" s="11" t="s">
        <v>28</v>
      </c>
      <c r="P1708" s="11" t="s">
        <v>33</v>
      </c>
      <c r="Q1708" s="15">
        <v>0</v>
      </c>
      <c r="R1708" s="11" t="s">
        <v>1386</v>
      </c>
      <c r="S1708" s="10">
        <v>91.908810844116005</v>
      </c>
      <c r="T1708" s="15">
        <v>80</v>
      </c>
      <c r="U1708" s="15">
        <v>0</v>
      </c>
      <c r="V1708" s="15">
        <v>0</v>
      </c>
      <c r="W1708" s="15">
        <v>0</v>
      </c>
      <c r="X1708" s="15">
        <f>IF(O1708='Udvaskning nøgletal'!$D$65,1,IF(O1708='Udvaskning nøgletal'!$D$66,2,IF(O1708='Udvaskning nøgletal'!$D$67,3,IF(O1708='Udvaskning nøgletal'!$D$68,2,""))))</f>
        <v>1</v>
      </c>
      <c r="Y1708" s="15">
        <f>LOOKUP(K1708,'Udvaskning nøgletal'!$C$12:$C$60,'Udvaskning nøgletal'!$H$12:$H$60)</f>
        <v>5</v>
      </c>
      <c r="Z1708" s="10">
        <f>IF(X1708=1,LOOKUP(K1708,'Udvaskning nøgletal'!$C$12:$C$60,'Udvaskning nøgletal'!$E$12:$E$60)+Markniveau!Y1708*Markniveau!S1708/100,IF(X1708=2,LOOKUP(K1708,'Udvaskning nøgletal'!$C$12:$C$60,'Udvaskning nøgletal'!$F$12:$F$60)+Markniveau!Y1708*Markniveau!S1708/100,IF(X1708=3,LOOKUP(K1708,'Udvaskning nøgletal'!$C$12:$C$60,'Udvaskning nøgletal'!G1718:G1766)+Markniveau!Y1708*Markniveau!S1708/100,"")))</f>
        <v>69.255440542205804</v>
      </c>
      <c r="AA1708" s="10">
        <f t="shared" si="266"/>
        <v>285.33241503388791</v>
      </c>
      <c r="AB1708" s="10" t="str">
        <f t="shared" si="265"/>
        <v/>
      </c>
      <c r="AC1708" s="10" t="str">
        <f t="shared" si="267"/>
        <v/>
      </c>
      <c r="AD1708" s="10">
        <f>IF(AND(Q1708&gt;0,Q1708&lt;30,K1708&lt;8),Markniveau!Z1708*'Udvaskning nøgletal'!$I$12/100,IF(AND(Q1708&gt;0,Q1708&lt;30,K1708=216),Markniveau!Z1708*'Udvaskning nøgletal'!$I$34/100,Markniveau!Z1708))</f>
        <v>69.255440542205804</v>
      </c>
      <c r="AE1708" s="10">
        <f t="shared" si="273"/>
        <v>285.33241503388791</v>
      </c>
      <c r="AF1708" s="10" t="str">
        <f t="shared" si="268"/>
        <v/>
      </c>
      <c r="AG1708" s="10" t="str">
        <f t="shared" si="274"/>
        <v/>
      </c>
      <c r="AH1708" s="10" t="str">
        <f>IF(AND(Q1708&gt;0,Q1708&lt;30,K1708=216),'Udvaskning nøgletal'!$C$42,IF(AND(Q1708&gt;0,Q1708&lt;30,K1708&gt;7,K1708&lt;17),'Udvaskning nøgletal'!$C$61,IF(AND(Q1708&gt;0,Q1708&lt;30,K1708&lt;7),'Udvaskning nøgletal'!$C$62,"")))</f>
        <v/>
      </c>
      <c r="AI1708" s="10">
        <f t="shared" si="270"/>
        <v>1</v>
      </c>
      <c r="AJ1708" s="10">
        <f>IF($X1708=1,LOOKUP(AI1708,'Udvaskning nøgletal'!$C$12:$C$62,'Udvaskning nøgletal'!$E$12:$E$62)+Markniveau!$Y1708*Markniveau!$S1708/100,IF($X1708=2,LOOKUP(AI1708,'Udvaskning nøgletal'!$C$12:$C$62,'Udvaskning nøgletal'!$F$12:$F$62)+Markniveau!$Y1708*Markniveau!$S1708/100,IF($X1708=3,LOOKUP(AI1708,'Udvaskning nøgletal'!$C$12:$C$62,'Udvaskning nøgletal'!Q1718:Q1768)+Markniveau!$Y1708*Markniveau!$S1708/100,"")))</f>
        <v>69.255440542205804</v>
      </c>
      <c r="AK1708" s="10">
        <f t="shared" si="269"/>
        <v>285.33241503388791</v>
      </c>
      <c r="AL1708" s="10" t="str">
        <f t="shared" si="271"/>
        <v/>
      </c>
      <c r="AM1708" s="10" t="str">
        <f t="shared" si="272"/>
        <v/>
      </c>
    </row>
    <row r="1709" spans="1:39" x14ac:dyDescent="0.25">
      <c r="A1709" s="15">
        <v>98481257</v>
      </c>
      <c r="B1709" s="15">
        <v>61.51</v>
      </c>
      <c r="C1709" s="15">
        <v>551575</v>
      </c>
      <c r="D1709" s="15">
        <v>28648</v>
      </c>
      <c r="E1709" s="15" t="s">
        <v>1340</v>
      </c>
      <c r="F1709" s="15">
        <v>2011</v>
      </c>
      <c r="G1709" s="15">
        <v>20110330</v>
      </c>
      <c r="H1709" s="15">
        <v>66004</v>
      </c>
      <c r="I1709" s="15">
        <v>6.6</v>
      </c>
      <c r="J1709" s="6" t="s">
        <v>89</v>
      </c>
      <c r="K1709" s="15">
        <v>15</v>
      </c>
      <c r="L1709" s="15" t="s">
        <v>362</v>
      </c>
      <c r="M1709" s="15" t="s">
        <v>5</v>
      </c>
      <c r="N1709" s="11" t="s">
        <v>1384</v>
      </c>
      <c r="O1709" s="11" t="s">
        <v>28</v>
      </c>
      <c r="P1709" s="11" t="s">
        <v>33</v>
      </c>
      <c r="Q1709" s="15">
        <v>0</v>
      </c>
      <c r="R1709" s="11" t="s">
        <v>1386</v>
      </c>
      <c r="S1709" s="10">
        <v>91.908810844116005</v>
      </c>
      <c r="T1709" s="15">
        <v>80</v>
      </c>
      <c r="U1709" s="15">
        <v>0</v>
      </c>
      <c r="V1709" s="15">
        <v>0</v>
      </c>
      <c r="W1709" s="15">
        <v>0</v>
      </c>
      <c r="X1709" s="15">
        <f>IF(O1709='Udvaskning nøgletal'!$D$65,1,IF(O1709='Udvaskning nøgletal'!$D$66,2,IF(O1709='Udvaskning nøgletal'!$D$67,3,IF(O1709='Udvaskning nøgletal'!$D$68,2,""))))</f>
        <v>1</v>
      </c>
      <c r="Y1709" s="15">
        <f>LOOKUP(K1709,'Udvaskning nøgletal'!$C$12:$C$60,'Udvaskning nøgletal'!$H$12:$H$60)</f>
        <v>5</v>
      </c>
      <c r="Z1709" s="10">
        <f>IF(X1709=1,LOOKUP(K1709,'Udvaskning nøgletal'!$C$12:$C$60,'Udvaskning nøgletal'!$E$12:$E$60)+Markniveau!Y1709*Markniveau!S1709/100,IF(X1709=2,LOOKUP(K1709,'Udvaskning nøgletal'!$C$12:$C$60,'Udvaskning nøgletal'!$F$12:$F$60)+Markniveau!Y1709*Markniveau!S1709/100,IF(X1709=3,LOOKUP(K1709,'Udvaskning nøgletal'!$C$12:$C$60,'Udvaskning nøgletal'!G1719:G1767)+Markniveau!Y1709*Markniveau!S1709/100,"")))</f>
        <v>69.255440542205804</v>
      </c>
      <c r="AA1709" s="10">
        <f t="shared" si="266"/>
        <v>457.08590757855831</v>
      </c>
      <c r="AB1709" s="10" t="str">
        <f t="shared" si="265"/>
        <v/>
      </c>
      <c r="AC1709" s="10" t="str">
        <f t="shared" si="267"/>
        <v/>
      </c>
      <c r="AD1709" s="10">
        <f>IF(AND(Q1709&gt;0,Q1709&lt;30,K1709&lt;8),Markniveau!Z1709*'Udvaskning nøgletal'!$I$12/100,IF(AND(Q1709&gt;0,Q1709&lt;30,K1709=216),Markniveau!Z1709*'Udvaskning nøgletal'!$I$34/100,Markniveau!Z1709))</f>
        <v>69.255440542205804</v>
      </c>
      <c r="AE1709" s="10">
        <f t="shared" si="273"/>
        <v>457.08590757855831</v>
      </c>
      <c r="AF1709" s="10" t="str">
        <f t="shared" si="268"/>
        <v/>
      </c>
      <c r="AG1709" s="10" t="str">
        <f t="shared" si="274"/>
        <v/>
      </c>
      <c r="AH1709" s="10" t="str">
        <f>IF(AND(Q1709&gt;0,Q1709&lt;30,K1709=216),'Udvaskning nøgletal'!$C$42,IF(AND(Q1709&gt;0,Q1709&lt;30,K1709&gt;7,K1709&lt;17),'Udvaskning nøgletal'!$C$61,IF(AND(Q1709&gt;0,Q1709&lt;30,K1709&lt;7),'Udvaskning nøgletal'!$C$62,"")))</f>
        <v/>
      </c>
      <c r="AI1709" s="10">
        <f t="shared" si="270"/>
        <v>15</v>
      </c>
      <c r="AJ1709" s="10">
        <f>IF($X1709=1,LOOKUP(AI1709,'Udvaskning nøgletal'!$C$12:$C$62,'Udvaskning nøgletal'!$E$12:$E$62)+Markniveau!$Y1709*Markniveau!$S1709/100,IF($X1709=2,LOOKUP(AI1709,'Udvaskning nøgletal'!$C$12:$C$62,'Udvaskning nøgletal'!$F$12:$F$62)+Markniveau!$Y1709*Markniveau!$S1709/100,IF($X1709=3,LOOKUP(AI1709,'Udvaskning nøgletal'!$C$12:$C$62,'Udvaskning nøgletal'!Q1719:Q1769)+Markniveau!$Y1709*Markniveau!$S1709/100,"")))</f>
        <v>69.255440542205804</v>
      </c>
      <c r="AK1709" s="10">
        <f t="shared" si="269"/>
        <v>457.08590757855831</v>
      </c>
      <c r="AL1709" s="10" t="str">
        <f t="shared" si="271"/>
        <v/>
      </c>
      <c r="AM1709" s="10" t="str">
        <f t="shared" si="272"/>
        <v/>
      </c>
    </row>
    <row r="1710" spans="1:39" x14ac:dyDescent="0.25">
      <c r="A1710" s="15">
        <v>98481257</v>
      </c>
      <c r="B1710" s="15">
        <v>61.51</v>
      </c>
      <c r="C1710" s="15">
        <v>551576</v>
      </c>
      <c r="D1710" s="15">
        <v>28648</v>
      </c>
      <c r="E1710" s="15" t="s">
        <v>1342</v>
      </c>
      <c r="F1710" s="15">
        <v>2011</v>
      </c>
      <c r="G1710" s="15">
        <v>20110330</v>
      </c>
      <c r="H1710" s="15">
        <v>33938</v>
      </c>
      <c r="I1710" s="15">
        <v>3.39</v>
      </c>
      <c r="J1710" s="6" t="s">
        <v>1534</v>
      </c>
      <c r="K1710" s="15">
        <v>1</v>
      </c>
      <c r="L1710" s="15" t="s">
        <v>32</v>
      </c>
      <c r="M1710" s="15" t="s">
        <v>5</v>
      </c>
      <c r="N1710" s="11" t="s">
        <v>1384</v>
      </c>
      <c r="O1710" s="11" t="s">
        <v>28</v>
      </c>
      <c r="P1710" s="11" t="s">
        <v>33</v>
      </c>
      <c r="Q1710" s="15">
        <v>0</v>
      </c>
      <c r="R1710" s="11" t="s">
        <v>1386</v>
      </c>
      <c r="S1710" s="10">
        <v>91.908810844116005</v>
      </c>
      <c r="T1710" s="15">
        <v>80</v>
      </c>
      <c r="U1710" s="15">
        <v>0</v>
      </c>
      <c r="V1710" s="15">
        <v>0</v>
      </c>
      <c r="W1710" s="15">
        <v>0</v>
      </c>
      <c r="X1710" s="15">
        <f>IF(O1710='Udvaskning nøgletal'!$D$65,1,IF(O1710='Udvaskning nøgletal'!$D$66,2,IF(O1710='Udvaskning nøgletal'!$D$67,3,IF(O1710='Udvaskning nøgletal'!$D$68,2,""))))</f>
        <v>1</v>
      </c>
      <c r="Y1710" s="15">
        <f>LOOKUP(K1710,'Udvaskning nøgletal'!$C$12:$C$60,'Udvaskning nøgletal'!$H$12:$H$60)</f>
        <v>5</v>
      </c>
      <c r="Z1710" s="10">
        <f>IF(X1710=1,LOOKUP(K1710,'Udvaskning nøgletal'!$C$12:$C$60,'Udvaskning nøgletal'!$E$12:$E$60)+Markniveau!Y1710*Markniveau!S1710/100,IF(X1710=2,LOOKUP(K1710,'Udvaskning nøgletal'!$C$12:$C$60,'Udvaskning nøgletal'!$F$12:$F$60)+Markniveau!Y1710*Markniveau!S1710/100,IF(X1710=3,LOOKUP(K1710,'Udvaskning nøgletal'!$C$12:$C$60,'Udvaskning nøgletal'!G1720:G1768)+Markniveau!Y1710*Markniveau!S1710/100,"")))</f>
        <v>69.255440542205804</v>
      </c>
      <c r="AA1710" s="10">
        <f t="shared" si="266"/>
        <v>234.77594343807769</v>
      </c>
      <c r="AB1710" s="10" t="str">
        <f t="shared" si="265"/>
        <v/>
      </c>
      <c r="AC1710" s="10" t="str">
        <f t="shared" si="267"/>
        <v/>
      </c>
      <c r="AD1710" s="10">
        <f>IF(AND(Q1710&gt;0,Q1710&lt;30,K1710&lt;8),Markniveau!Z1710*'Udvaskning nøgletal'!$I$12/100,IF(AND(Q1710&gt;0,Q1710&lt;30,K1710=216),Markniveau!Z1710*'Udvaskning nøgletal'!$I$34/100,Markniveau!Z1710))</f>
        <v>69.255440542205804</v>
      </c>
      <c r="AE1710" s="10">
        <f t="shared" si="273"/>
        <v>234.77594343807769</v>
      </c>
      <c r="AF1710" s="10" t="str">
        <f t="shared" si="268"/>
        <v/>
      </c>
      <c r="AG1710" s="10" t="str">
        <f t="shared" si="274"/>
        <v/>
      </c>
      <c r="AH1710" s="10" t="str">
        <f>IF(AND(Q1710&gt;0,Q1710&lt;30,K1710=216),'Udvaskning nøgletal'!$C$42,IF(AND(Q1710&gt;0,Q1710&lt;30,K1710&gt;7,K1710&lt;17),'Udvaskning nøgletal'!$C$61,IF(AND(Q1710&gt;0,Q1710&lt;30,K1710&lt;7),'Udvaskning nøgletal'!$C$62,"")))</f>
        <v/>
      </c>
      <c r="AI1710" s="10">
        <f t="shared" si="270"/>
        <v>1</v>
      </c>
      <c r="AJ1710" s="10">
        <f>IF($X1710=1,LOOKUP(AI1710,'Udvaskning nøgletal'!$C$12:$C$62,'Udvaskning nøgletal'!$E$12:$E$62)+Markniveau!$Y1710*Markniveau!$S1710/100,IF($X1710=2,LOOKUP(AI1710,'Udvaskning nøgletal'!$C$12:$C$62,'Udvaskning nøgletal'!$F$12:$F$62)+Markniveau!$Y1710*Markniveau!$S1710/100,IF($X1710=3,LOOKUP(AI1710,'Udvaskning nøgletal'!$C$12:$C$62,'Udvaskning nøgletal'!Q1720:Q1770)+Markniveau!$Y1710*Markniveau!$S1710/100,"")))</f>
        <v>69.255440542205804</v>
      </c>
      <c r="AK1710" s="10">
        <f t="shared" si="269"/>
        <v>234.77594343807769</v>
      </c>
      <c r="AL1710" s="10" t="str">
        <f t="shared" si="271"/>
        <v/>
      </c>
      <c r="AM1710" s="10" t="str">
        <f t="shared" si="272"/>
        <v/>
      </c>
    </row>
    <row r="1711" spans="1:39" x14ac:dyDescent="0.25">
      <c r="A1711" s="15">
        <v>98481257</v>
      </c>
      <c r="B1711" s="15">
        <v>61.51</v>
      </c>
      <c r="C1711" s="15">
        <v>555333</v>
      </c>
      <c r="D1711" s="15">
        <v>28648</v>
      </c>
      <c r="E1711" s="15" t="s">
        <v>659</v>
      </c>
      <c r="F1711" s="15">
        <v>2011</v>
      </c>
      <c r="G1711" s="15">
        <v>20110330</v>
      </c>
      <c r="H1711" s="15">
        <v>102125</v>
      </c>
      <c r="I1711" s="15">
        <v>10.210000000000001</v>
      </c>
      <c r="J1711" s="6" t="s">
        <v>458</v>
      </c>
      <c r="K1711" s="15">
        <v>15</v>
      </c>
      <c r="L1711" s="15" t="s">
        <v>362</v>
      </c>
      <c r="M1711" s="15" t="s">
        <v>5</v>
      </c>
      <c r="N1711" s="11" t="s">
        <v>1384</v>
      </c>
      <c r="O1711" s="11" t="s">
        <v>28</v>
      </c>
      <c r="P1711" s="11" t="s">
        <v>29</v>
      </c>
      <c r="Q1711" s="15">
        <v>1</v>
      </c>
      <c r="R1711" s="11" t="s">
        <v>11</v>
      </c>
      <c r="S1711" s="10">
        <v>91.908810844116005</v>
      </c>
      <c r="T1711" s="15">
        <v>80</v>
      </c>
      <c r="U1711" s="15">
        <v>0</v>
      </c>
      <c r="V1711" s="15">
        <v>0</v>
      </c>
      <c r="W1711" s="15">
        <v>0</v>
      </c>
      <c r="X1711" s="15">
        <f>IF(O1711='Udvaskning nøgletal'!$D$65,1,IF(O1711='Udvaskning nøgletal'!$D$66,2,IF(O1711='Udvaskning nøgletal'!$D$67,3,IF(O1711='Udvaskning nøgletal'!$D$68,2,""))))</f>
        <v>1</v>
      </c>
      <c r="Y1711" s="15">
        <f>LOOKUP(K1711,'Udvaskning nøgletal'!$C$12:$C$60,'Udvaskning nøgletal'!$H$12:$H$60)</f>
        <v>5</v>
      </c>
      <c r="Z1711" s="10">
        <f>IF(X1711=1,LOOKUP(K1711,'Udvaskning nøgletal'!$C$12:$C$60,'Udvaskning nøgletal'!$E$12:$E$60)+Markniveau!Y1711*Markniveau!S1711/100,IF(X1711=2,LOOKUP(K1711,'Udvaskning nøgletal'!$C$12:$C$60,'Udvaskning nøgletal'!$F$12:$F$60)+Markniveau!Y1711*Markniveau!S1711/100,IF(X1711=3,LOOKUP(K1711,'Udvaskning nøgletal'!$C$12:$C$60,'Udvaskning nøgletal'!G1721:G1769)+Markniveau!Y1711*Markniveau!S1711/100,"")))</f>
        <v>69.255440542205804</v>
      </c>
      <c r="AA1711" s="10">
        <f t="shared" si="266"/>
        <v>707.09804793592127</v>
      </c>
      <c r="AB1711" s="10">
        <f t="shared" si="265"/>
        <v>68.562886136783746</v>
      </c>
      <c r="AC1711" s="10">
        <f t="shared" si="267"/>
        <v>700.02706745656212</v>
      </c>
      <c r="AD1711" s="10">
        <f>IF(AND(Q1711&gt;0,Q1711&lt;30,K1711&lt;8),Markniveau!Z1711*'Udvaskning nøgletal'!$I$12/100,IF(AND(Q1711&gt;0,Q1711&lt;30,K1711=216),Markniveau!Z1711*'Udvaskning nøgletal'!$I$34/100,Markniveau!Z1711))</f>
        <v>69.255440542205804</v>
      </c>
      <c r="AE1711" s="10">
        <f t="shared" si="273"/>
        <v>707.09804793592127</v>
      </c>
      <c r="AF1711" s="10">
        <f t="shared" si="268"/>
        <v>68.562886136783746</v>
      </c>
      <c r="AG1711" s="10">
        <f t="shared" si="274"/>
        <v>700.02706745656212</v>
      </c>
      <c r="AH1711" s="10">
        <f>IF(AND(Q1711&gt;0,Q1711&lt;30,K1711=216),'Udvaskning nøgletal'!$C$42,IF(AND(Q1711&gt;0,Q1711&lt;30,K1711&gt;7,K1711&lt;17),'Udvaskning nøgletal'!$C$61,IF(AND(Q1711&gt;0,Q1711&lt;30,K1711&lt;7),'Udvaskning nøgletal'!$C$62,"")))</f>
        <v>1001</v>
      </c>
      <c r="AI1711" s="10">
        <f t="shared" si="270"/>
        <v>1001</v>
      </c>
      <c r="AJ1711" s="10">
        <f>IF($X1711=1,LOOKUP(AI1711,'Udvaskning nøgletal'!$C$12:$C$62,'Udvaskning nøgletal'!$E$12:$E$62)+Markniveau!$Y1711*Markniveau!$S1711/100,IF($X1711=2,LOOKUP(AI1711,'Udvaskning nøgletal'!$C$12:$C$62,'Udvaskning nøgletal'!$F$12:$F$62)+Markniveau!$Y1711*Markniveau!$S1711/100,IF($X1711=3,LOOKUP(AI1711,'Udvaskning nøgletal'!$C$12:$C$62,'Udvaskning nøgletal'!Q1721:Q1771)+Markniveau!$Y1711*Markniveau!$S1711/100,"")))</f>
        <v>35.0954405422058</v>
      </c>
      <c r="AK1711" s="10">
        <f t="shared" si="269"/>
        <v>358.32444793592123</v>
      </c>
      <c r="AL1711" s="10">
        <f t="shared" si="271"/>
        <v>34.744486136783742</v>
      </c>
      <c r="AM1711" s="10">
        <f t="shared" si="272"/>
        <v>354.74120345656206</v>
      </c>
    </row>
    <row r="1712" spans="1:39" x14ac:dyDescent="0.25">
      <c r="A1712" s="15">
        <v>98481257</v>
      </c>
      <c r="B1712" s="15">
        <v>61.51</v>
      </c>
      <c r="C1712" s="15">
        <v>555334</v>
      </c>
      <c r="D1712" s="15">
        <v>28648</v>
      </c>
      <c r="E1712" s="15" t="s">
        <v>1343</v>
      </c>
      <c r="F1712" s="15">
        <v>2011</v>
      </c>
      <c r="G1712" s="15">
        <v>20110330</v>
      </c>
      <c r="H1712" s="15">
        <v>174877</v>
      </c>
      <c r="I1712" s="15">
        <v>17.489999999999998</v>
      </c>
      <c r="J1712" s="6" t="s">
        <v>97</v>
      </c>
      <c r="K1712" s="15">
        <v>152</v>
      </c>
      <c r="L1712" s="15" t="s">
        <v>333</v>
      </c>
      <c r="M1712" s="15" t="s">
        <v>5</v>
      </c>
      <c r="N1712" s="11" t="s">
        <v>1384</v>
      </c>
      <c r="O1712" s="11" t="s">
        <v>28</v>
      </c>
      <c r="P1712" s="11" t="s">
        <v>29</v>
      </c>
      <c r="Q1712" s="15">
        <v>95</v>
      </c>
      <c r="R1712" s="11" t="s">
        <v>3</v>
      </c>
      <c r="S1712" s="10">
        <v>91.908810844116005</v>
      </c>
      <c r="T1712" s="15">
        <v>80</v>
      </c>
      <c r="U1712" s="15">
        <v>0</v>
      </c>
      <c r="V1712" s="15">
        <v>0</v>
      </c>
      <c r="W1712" s="15">
        <v>0</v>
      </c>
      <c r="X1712" s="15">
        <f>IF(O1712='Udvaskning nøgletal'!$D$65,1,IF(O1712='Udvaskning nøgletal'!$D$66,2,IF(O1712='Udvaskning nøgletal'!$D$67,3,IF(O1712='Udvaskning nøgletal'!$D$68,2,""))))</f>
        <v>1</v>
      </c>
      <c r="Y1712" s="15">
        <f>LOOKUP(K1712,'Udvaskning nøgletal'!$C$12:$C$60,'Udvaskning nøgletal'!$H$12:$H$60)</f>
        <v>5</v>
      </c>
      <c r="Z1712" s="10">
        <f>IF(X1712=1,LOOKUP(K1712,'Udvaskning nøgletal'!$C$12:$C$60,'Udvaskning nøgletal'!$E$12:$E$60)+Markniveau!Y1712*Markniveau!S1712/100,IF(X1712=2,LOOKUP(K1712,'Udvaskning nøgletal'!$C$12:$C$60,'Udvaskning nøgletal'!$F$12:$F$60)+Markniveau!Y1712*Markniveau!S1712/100,IF(X1712=3,LOOKUP(K1712,'Udvaskning nøgletal'!$C$12:$C$60,'Udvaskning nøgletal'!G1722:G1770)+Markniveau!Y1712*Markniveau!S1712/100,"")))</f>
        <v>69.255440542205804</v>
      </c>
      <c r="AA1712" s="10">
        <f t="shared" si="266"/>
        <v>1211.2776550831793</v>
      </c>
      <c r="AB1712" s="10">
        <f t="shared" si="265"/>
        <v>3.4627720271102902</v>
      </c>
      <c r="AC1712" s="10">
        <f t="shared" si="267"/>
        <v>60.563882754158968</v>
      </c>
      <c r="AD1712" s="10">
        <f>IF(AND(Q1712&gt;0,Q1712&lt;30,K1712&lt;8),Markniveau!Z1712*'Udvaskning nøgletal'!$I$12/100,IF(AND(Q1712&gt;0,Q1712&lt;30,K1712=216),Markniveau!Z1712*'Udvaskning nøgletal'!$I$34/100,Markniveau!Z1712))</f>
        <v>69.255440542205804</v>
      </c>
      <c r="AE1712" s="10">
        <f t="shared" si="273"/>
        <v>1211.2776550831793</v>
      </c>
      <c r="AF1712" s="10">
        <f t="shared" si="268"/>
        <v>3.4627720271102902</v>
      </c>
      <c r="AG1712" s="10">
        <f t="shared" si="274"/>
        <v>60.563882754158968</v>
      </c>
      <c r="AH1712" s="10" t="str">
        <f>IF(AND(Q1712&gt;0,Q1712&lt;30,K1712=216),'Udvaskning nøgletal'!$C$42,IF(AND(Q1712&gt;0,Q1712&lt;30,K1712&gt;7,K1712&lt;17),'Udvaskning nøgletal'!$C$61,IF(AND(Q1712&gt;0,Q1712&lt;30,K1712&lt;7),'Udvaskning nøgletal'!$C$62,"")))</f>
        <v/>
      </c>
      <c r="AI1712" s="10">
        <f t="shared" si="270"/>
        <v>152</v>
      </c>
      <c r="AJ1712" s="10">
        <f>IF($X1712=1,LOOKUP(AI1712,'Udvaskning nøgletal'!$C$12:$C$62,'Udvaskning nøgletal'!$E$12:$E$62)+Markniveau!$Y1712*Markniveau!$S1712/100,IF($X1712=2,LOOKUP(AI1712,'Udvaskning nøgletal'!$C$12:$C$62,'Udvaskning nøgletal'!$F$12:$F$62)+Markniveau!$Y1712*Markniveau!$S1712/100,IF($X1712=3,LOOKUP(AI1712,'Udvaskning nøgletal'!$C$12:$C$62,'Udvaskning nøgletal'!Q1722:Q1772)+Markniveau!$Y1712*Markniveau!$S1712/100,"")))</f>
        <v>69.255440542205804</v>
      </c>
      <c r="AK1712" s="10">
        <f t="shared" si="269"/>
        <v>1211.2776550831793</v>
      </c>
      <c r="AL1712" s="10">
        <f t="shared" si="271"/>
        <v>3.4627720271102902</v>
      </c>
      <c r="AM1712" s="10">
        <f t="shared" si="272"/>
        <v>60.563882754158968</v>
      </c>
    </row>
    <row r="1713" spans="1:39" x14ac:dyDescent="0.25">
      <c r="A1713" s="15">
        <v>98481257</v>
      </c>
      <c r="B1713" s="15">
        <v>61.51</v>
      </c>
      <c r="C1713" s="15">
        <v>555338</v>
      </c>
      <c r="D1713" s="15">
        <v>28648</v>
      </c>
      <c r="E1713" s="15" t="s">
        <v>1243</v>
      </c>
      <c r="F1713" s="15">
        <v>2011</v>
      </c>
      <c r="G1713" s="15">
        <v>20110330</v>
      </c>
      <c r="H1713" s="15">
        <v>18169</v>
      </c>
      <c r="I1713" s="15">
        <v>1.82</v>
      </c>
      <c r="J1713" s="6" t="s">
        <v>1271</v>
      </c>
      <c r="K1713" s="15">
        <v>11</v>
      </c>
      <c r="L1713" s="15" t="s">
        <v>102</v>
      </c>
      <c r="M1713" s="15" t="s">
        <v>5</v>
      </c>
      <c r="N1713" s="11" t="s">
        <v>1384</v>
      </c>
      <c r="O1713" s="11" t="s">
        <v>28</v>
      </c>
      <c r="P1713" s="11" t="s">
        <v>29</v>
      </c>
      <c r="Q1713" s="15">
        <v>1</v>
      </c>
      <c r="R1713" s="11" t="s">
        <v>11</v>
      </c>
      <c r="S1713" s="10">
        <v>91.908810844116005</v>
      </c>
      <c r="T1713" s="15">
        <v>80</v>
      </c>
      <c r="U1713" s="15">
        <v>0</v>
      </c>
      <c r="V1713" s="15">
        <v>0</v>
      </c>
      <c r="W1713" s="15">
        <v>0</v>
      </c>
      <c r="X1713" s="15">
        <f>IF(O1713='Udvaskning nøgletal'!$D$65,1,IF(O1713='Udvaskning nøgletal'!$D$66,2,IF(O1713='Udvaskning nøgletal'!$D$67,3,IF(O1713='Udvaskning nøgletal'!$D$68,2,""))))</f>
        <v>1</v>
      </c>
      <c r="Y1713" s="15">
        <f>LOOKUP(K1713,'Udvaskning nøgletal'!$C$12:$C$60,'Udvaskning nøgletal'!$H$12:$H$60)</f>
        <v>5</v>
      </c>
      <c r="Z1713" s="10">
        <f>IF(X1713=1,LOOKUP(K1713,'Udvaskning nøgletal'!$C$12:$C$60,'Udvaskning nøgletal'!$E$12:$E$60)+Markniveau!Y1713*Markniveau!S1713/100,IF(X1713=2,LOOKUP(K1713,'Udvaskning nøgletal'!$C$12:$C$60,'Udvaskning nøgletal'!$F$12:$F$60)+Markniveau!Y1713*Markniveau!S1713/100,IF(X1713=3,LOOKUP(K1713,'Udvaskning nøgletal'!$C$12:$C$60,'Udvaskning nøgletal'!G1723:G1771)+Markniveau!Y1713*Markniveau!S1713/100,"")))</f>
        <v>69.255440542205804</v>
      </c>
      <c r="AA1713" s="10">
        <f t="shared" si="266"/>
        <v>126.04490178681456</v>
      </c>
      <c r="AB1713" s="10">
        <f t="shared" si="265"/>
        <v>68.562886136783746</v>
      </c>
      <c r="AC1713" s="10">
        <f t="shared" si="267"/>
        <v>124.78445276894642</v>
      </c>
      <c r="AD1713" s="10">
        <f>IF(AND(Q1713&gt;0,Q1713&lt;30,K1713&lt;8),Markniveau!Z1713*'Udvaskning nøgletal'!$I$12/100,IF(AND(Q1713&gt;0,Q1713&lt;30,K1713=216),Markniveau!Z1713*'Udvaskning nøgletal'!$I$34/100,Markniveau!Z1713))</f>
        <v>69.255440542205804</v>
      </c>
      <c r="AE1713" s="10">
        <f t="shared" si="273"/>
        <v>126.04490178681456</v>
      </c>
      <c r="AF1713" s="10">
        <f t="shared" si="268"/>
        <v>68.562886136783746</v>
      </c>
      <c r="AG1713" s="10">
        <f t="shared" si="274"/>
        <v>124.78445276894642</v>
      </c>
      <c r="AH1713" s="10">
        <f>IF(AND(Q1713&gt;0,Q1713&lt;30,K1713=216),'Udvaskning nøgletal'!$C$42,IF(AND(Q1713&gt;0,Q1713&lt;30,K1713&gt;7,K1713&lt;17),'Udvaskning nøgletal'!$C$61,IF(AND(Q1713&gt;0,Q1713&lt;30,K1713&lt;7),'Udvaskning nøgletal'!$C$62,"")))</f>
        <v>1001</v>
      </c>
      <c r="AI1713" s="10">
        <f t="shared" si="270"/>
        <v>1001</v>
      </c>
      <c r="AJ1713" s="10">
        <f>IF($X1713=1,LOOKUP(AI1713,'Udvaskning nøgletal'!$C$12:$C$62,'Udvaskning nøgletal'!$E$12:$E$62)+Markniveau!$Y1713*Markniveau!$S1713/100,IF($X1713=2,LOOKUP(AI1713,'Udvaskning nøgletal'!$C$12:$C$62,'Udvaskning nøgletal'!$F$12:$F$62)+Markniveau!$Y1713*Markniveau!$S1713/100,IF($X1713=3,LOOKUP(AI1713,'Udvaskning nøgletal'!$C$12:$C$62,'Udvaskning nøgletal'!Q1723:Q1773)+Markniveau!$Y1713*Markniveau!$S1713/100,"")))</f>
        <v>35.0954405422058</v>
      </c>
      <c r="AK1713" s="10">
        <f t="shared" si="269"/>
        <v>63.873701786814557</v>
      </c>
      <c r="AL1713" s="10">
        <f t="shared" si="271"/>
        <v>34.744486136783742</v>
      </c>
      <c r="AM1713" s="10">
        <f t="shared" si="272"/>
        <v>63.234964768946412</v>
      </c>
    </row>
    <row r="1714" spans="1:39" x14ac:dyDescent="0.25">
      <c r="A1714" s="15">
        <v>98481257</v>
      </c>
      <c r="B1714" s="15">
        <v>61.51</v>
      </c>
      <c r="C1714" s="15">
        <v>102</v>
      </c>
      <c r="D1714" s="15">
        <v>28648</v>
      </c>
      <c r="E1714" s="15" t="s">
        <v>381</v>
      </c>
      <c r="F1714" s="15">
        <v>2011</v>
      </c>
      <c r="G1714" s="15">
        <v>20110407</v>
      </c>
      <c r="H1714" s="15">
        <v>27368</v>
      </c>
      <c r="I1714" s="15">
        <v>2.74</v>
      </c>
      <c r="J1714" s="6" t="s">
        <v>1344</v>
      </c>
      <c r="K1714" s="15">
        <v>152</v>
      </c>
      <c r="L1714" s="15" t="s">
        <v>333</v>
      </c>
      <c r="M1714" s="15" t="s">
        <v>5</v>
      </c>
      <c r="N1714" s="11" t="s">
        <v>1384</v>
      </c>
      <c r="O1714" s="11" t="s">
        <v>28</v>
      </c>
      <c r="P1714" s="11" t="s">
        <v>33</v>
      </c>
      <c r="Q1714" s="15">
        <v>25</v>
      </c>
      <c r="R1714" s="11" t="s">
        <v>7</v>
      </c>
      <c r="S1714" s="10">
        <v>91.908810844116005</v>
      </c>
      <c r="T1714" s="15">
        <v>80</v>
      </c>
      <c r="U1714" s="15">
        <v>0</v>
      </c>
      <c r="V1714" s="15">
        <v>0</v>
      </c>
      <c r="W1714" s="15">
        <v>0</v>
      </c>
      <c r="X1714" s="15">
        <f>IF(O1714='Udvaskning nøgletal'!$D$65,1,IF(O1714='Udvaskning nøgletal'!$D$66,2,IF(O1714='Udvaskning nøgletal'!$D$67,3,IF(O1714='Udvaskning nøgletal'!$D$68,2,""))))</f>
        <v>1</v>
      </c>
      <c r="Y1714" s="15">
        <f>LOOKUP(K1714,'Udvaskning nøgletal'!$C$12:$C$60,'Udvaskning nøgletal'!$H$12:$H$60)</f>
        <v>5</v>
      </c>
      <c r="Z1714" s="10">
        <f>IF(X1714=1,LOOKUP(K1714,'Udvaskning nøgletal'!$C$12:$C$60,'Udvaskning nøgletal'!$E$12:$E$60)+Markniveau!Y1714*Markniveau!S1714/100,IF(X1714=2,LOOKUP(K1714,'Udvaskning nøgletal'!$C$12:$C$60,'Udvaskning nøgletal'!$F$12:$F$60)+Markniveau!Y1714*Markniveau!S1714/100,IF(X1714=3,LOOKUP(K1714,'Udvaskning nøgletal'!$C$12:$C$60,'Udvaskning nøgletal'!G1724:G1772)+Markniveau!Y1714*Markniveau!S1714/100,"")))</f>
        <v>69.255440542205804</v>
      </c>
      <c r="AA1714" s="10">
        <f t="shared" si="266"/>
        <v>189.75990708564393</v>
      </c>
      <c r="AB1714" s="10">
        <f t="shared" si="265"/>
        <v>51.94158040665436</v>
      </c>
      <c r="AC1714" s="10">
        <f t="shared" si="267"/>
        <v>142.31993031423295</v>
      </c>
      <c r="AD1714" s="10">
        <f>IF(AND(Q1714&gt;0,Q1714&lt;30,K1714&lt;8),Markniveau!Z1714*'Udvaskning nøgletal'!$I$12/100,IF(AND(Q1714&gt;0,Q1714&lt;30,K1714=216),Markniveau!Z1714*'Udvaskning nøgletal'!$I$34/100,Markniveau!Z1714))</f>
        <v>69.255440542205804</v>
      </c>
      <c r="AE1714" s="10">
        <f t="shared" si="273"/>
        <v>189.75990708564393</v>
      </c>
      <c r="AF1714" s="10">
        <f t="shared" si="268"/>
        <v>51.94158040665436</v>
      </c>
      <c r="AG1714" s="10">
        <f t="shared" si="274"/>
        <v>142.31993031423295</v>
      </c>
      <c r="AH1714" s="10" t="str">
        <f>IF(AND(Q1714&gt;0,Q1714&lt;30,K1714=216),'Udvaskning nøgletal'!$C$42,IF(AND(Q1714&gt;0,Q1714&lt;30,K1714&gt;7,K1714&lt;17),'Udvaskning nøgletal'!$C$61,IF(AND(Q1714&gt;0,Q1714&lt;30,K1714&lt;7),'Udvaskning nøgletal'!$C$62,"")))</f>
        <v/>
      </c>
      <c r="AI1714" s="10">
        <f t="shared" si="270"/>
        <v>152</v>
      </c>
      <c r="AJ1714" s="10">
        <f>IF($X1714=1,LOOKUP(AI1714,'Udvaskning nøgletal'!$C$12:$C$62,'Udvaskning nøgletal'!$E$12:$E$62)+Markniveau!$Y1714*Markniveau!$S1714/100,IF($X1714=2,LOOKUP(AI1714,'Udvaskning nøgletal'!$C$12:$C$62,'Udvaskning nøgletal'!$F$12:$F$62)+Markniveau!$Y1714*Markniveau!$S1714/100,IF($X1714=3,LOOKUP(AI1714,'Udvaskning nøgletal'!$C$12:$C$62,'Udvaskning nøgletal'!Q1724:Q1774)+Markniveau!$Y1714*Markniveau!$S1714/100,"")))</f>
        <v>69.255440542205804</v>
      </c>
      <c r="AK1714" s="10">
        <f t="shared" si="269"/>
        <v>189.75990708564393</v>
      </c>
      <c r="AL1714" s="10">
        <f t="shared" si="271"/>
        <v>51.94158040665436</v>
      </c>
      <c r="AM1714" s="10">
        <f t="shared" si="272"/>
        <v>142.31993031423295</v>
      </c>
    </row>
    <row r="1715" spans="1:39" x14ac:dyDescent="0.25">
      <c r="A1715" s="15">
        <v>98481257</v>
      </c>
      <c r="B1715" s="15">
        <v>61.51</v>
      </c>
      <c r="C1715" s="15">
        <v>22634</v>
      </c>
      <c r="D1715" s="15">
        <v>28648</v>
      </c>
      <c r="E1715" s="15" t="s">
        <v>1332</v>
      </c>
      <c r="F1715" s="15">
        <v>2011</v>
      </c>
      <c r="G1715" s="15">
        <v>20110407</v>
      </c>
      <c r="H1715" s="15">
        <v>26522</v>
      </c>
      <c r="I1715" s="15">
        <v>2.65</v>
      </c>
      <c r="J1715" s="6" t="s">
        <v>849</v>
      </c>
      <c r="K1715" s="15">
        <v>152</v>
      </c>
      <c r="L1715" s="15" t="s">
        <v>333</v>
      </c>
      <c r="M1715" s="15" t="s">
        <v>5</v>
      </c>
      <c r="N1715" s="11" t="s">
        <v>1406</v>
      </c>
      <c r="O1715" s="11" t="s">
        <v>46</v>
      </c>
      <c r="P1715" s="11" t="s">
        <v>33</v>
      </c>
      <c r="Q1715" s="15">
        <v>0</v>
      </c>
      <c r="R1715" s="11" t="s">
        <v>1386</v>
      </c>
      <c r="S1715" s="10">
        <v>91.908810844116005</v>
      </c>
      <c r="T1715" s="15">
        <v>80</v>
      </c>
      <c r="U1715" s="15">
        <v>0</v>
      </c>
      <c r="V1715" s="15">
        <v>0</v>
      </c>
      <c r="W1715" s="15">
        <v>0</v>
      </c>
      <c r="X1715" s="15">
        <f>IF(O1715='Udvaskning nøgletal'!$D$65,1,IF(O1715='Udvaskning nøgletal'!$D$66,2,IF(O1715='Udvaskning nøgletal'!$D$67,3,IF(O1715='Udvaskning nøgletal'!$D$68,2,""))))</f>
        <v>2</v>
      </c>
      <c r="Y1715" s="15">
        <f>LOOKUP(K1715,'Udvaskning nøgletal'!$C$12:$C$60,'Udvaskning nøgletal'!$H$12:$H$60)</f>
        <v>5</v>
      </c>
      <c r="Z1715" s="10">
        <f>IF(X1715=1,LOOKUP(K1715,'Udvaskning nøgletal'!$C$12:$C$60,'Udvaskning nøgletal'!$E$12:$E$60)+Markniveau!Y1715*Markniveau!S1715/100,IF(X1715=2,LOOKUP(K1715,'Udvaskning nøgletal'!$C$12:$C$60,'Udvaskning nøgletal'!$F$12:$F$60)+Markniveau!Y1715*Markniveau!S1715/100,IF(X1715=3,LOOKUP(K1715,'Udvaskning nøgletal'!$C$12:$C$60,'Udvaskning nøgletal'!G1725:G1773)+Markniveau!Y1715*Markniveau!S1715/100,"")))</f>
        <v>55.475440542205803</v>
      </c>
      <c r="AA1715" s="10">
        <f t="shared" si="266"/>
        <v>147.00991743684537</v>
      </c>
      <c r="AB1715" s="10" t="str">
        <f t="shared" si="265"/>
        <v/>
      </c>
      <c r="AC1715" s="10" t="str">
        <f t="shared" si="267"/>
        <v/>
      </c>
      <c r="AD1715" s="10">
        <f>IF(AND(Q1715&gt;0,Q1715&lt;30,K1715&lt;8),Markniveau!Z1715*'Udvaskning nøgletal'!$I$12/100,IF(AND(Q1715&gt;0,Q1715&lt;30,K1715=216),Markniveau!Z1715*'Udvaskning nøgletal'!$I$34/100,Markniveau!Z1715))</f>
        <v>55.475440542205803</v>
      </c>
      <c r="AE1715" s="10">
        <f t="shared" si="273"/>
        <v>147.00991743684537</v>
      </c>
      <c r="AF1715" s="10" t="str">
        <f t="shared" si="268"/>
        <v/>
      </c>
      <c r="AG1715" s="10" t="str">
        <f t="shared" si="274"/>
        <v/>
      </c>
      <c r="AH1715" s="10" t="str">
        <f>IF(AND(Q1715&gt;0,Q1715&lt;30,K1715=216),'Udvaskning nøgletal'!$C$42,IF(AND(Q1715&gt;0,Q1715&lt;30,K1715&gt;7,K1715&lt;17),'Udvaskning nøgletal'!$C$61,IF(AND(Q1715&gt;0,Q1715&lt;30,K1715&lt;7),'Udvaskning nøgletal'!$C$62,"")))</f>
        <v/>
      </c>
      <c r="AI1715" s="10">
        <f t="shared" si="270"/>
        <v>152</v>
      </c>
      <c r="AJ1715" s="10">
        <f>IF($X1715=1,LOOKUP(AI1715,'Udvaskning nøgletal'!$C$12:$C$62,'Udvaskning nøgletal'!$E$12:$E$62)+Markniveau!$Y1715*Markniveau!$S1715/100,IF($X1715=2,LOOKUP(AI1715,'Udvaskning nøgletal'!$C$12:$C$62,'Udvaskning nøgletal'!$F$12:$F$62)+Markniveau!$Y1715*Markniveau!$S1715/100,IF($X1715=3,LOOKUP(AI1715,'Udvaskning nøgletal'!$C$12:$C$62,'Udvaskning nøgletal'!Q1725:Q1775)+Markniveau!$Y1715*Markniveau!$S1715/100,"")))</f>
        <v>55.475440542205803</v>
      </c>
      <c r="AK1715" s="10">
        <f t="shared" si="269"/>
        <v>147.00991743684537</v>
      </c>
      <c r="AL1715" s="10" t="str">
        <f t="shared" si="271"/>
        <v/>
      </c>
      <c r="AM1715" s="10" t="str">
        <f t="shared" si="272"/>
        <v/>
      </c>
    </row>
    <row r="1716" spans="1:39" x14ac:dyDescent="0.25">
      <c r="A1716" s="15">
        <v>99478357</v>
      </c>
      <c r="B1716" s="15">
        <v>11.3</v>
      </c>
      <c r="C1716" s="15">
        <v>453647</v>
      </c>
      <c r="D1716" s="15">
        <v>15330</v>
      </c>
      <c r="E1716" s="15" t="s">
        <v>1345</v>
      </c>
      <c r="F1716" s="15">
        <v>2011</v>
      </c>
      <c r="G1716" s="15">
        <v>20110216</v>
      </c>
      <c r="H1716" s="15">
        <v>15551</v>
      </c>
      <c r="I1716" s="15">
        <v>1.56</v>
      </c>
      <c r="J1716" s="6" t="s">
        <v>1407</v>
      </c>
      <c r="K1716" s="15">
        <v>3</v>
      </c>
      <c r="L1716" s="15" t="s">
        <v>114</v>
      </c>
      <c r="M1716" s="15" t="s">
        <v>5</v>
      </c>
      <c r="N1716" s="11" t="s">
        <v>1390</v>
      </c>
      <c r="O1716" s="11" t="s">
        <v>42</v>
      </c>
      <c r="P1716" s="11" t="s">
        <v>33</v>
      </c>
      <c r="Q1716" s="15">
        <v>25</v>
      </c>
      <c r="R1716" s="11" t="s">
        <v>7</v>
      </c>
      <c r="S1716" s="10">
        <v>95.411406181976005</v>
      </c>
      <c r="T1716" s="15">
        <v>80</v>
      </c>
      <c r="U1716" s="15">
        <v>0</v>
      </c>
      <c r="V1716" s="15">
        <v>0</v>
      </c>
      <c r="W1716" s="15">
        <v>0</v>
      </c>
      <c r="X1716" s="15">
        <f>IF(O1716='Udvaskning nøgletal'!$D$65,1,IF(O1716='Udvaskning nøgletal'!$D$66,2,IF(O1716='Udvaskning nøgletal'!$D$67,3,IF(O1716='Udvaskning nøgletal'!$D$68,2,""))))</f>
        <v>2</v>
      </c>
      <c r="Y1716" s="15">
        <f>LOOKUP(K1716,'Udvaskning nøgletal'!$C$12:$C$60,'Udvaskning nøgletal'!$H$12:$H$60)</f>
        <v>5</v>
      </c>
      <c r="Z1716" s="10">
        <f>IF(X1716=1,LOOKUP(K1716,'Udvaskning nøgletal'!$C$12:$C$60,'Udvaskning nøgletal'!$E$12:$E$60)+Markniveau!Y1716*Markniveau!S1716/100,IF(X1716=2,LOOKUP(K1716,'Udvaskning nøgletal'!$C$12:$C$60,'Udvaskning nøgletal'!$F$12:$F$60)+Markniveau!Y1716*Markniveau!S1716/100,IF(X1716=3,LOOKUP(K1716,'Udvaskning nøgletal'!$C$12:$C$60,'Udvaskning nøgletal'!G1726:G1774)+Markniveau!Y1716*Markniveau!S1716/100,"")))</f>
        <v>55.650570309098804</v>
      </c>
      <c r="AA1716" s="10">
        <f t="shared" si="266"/>
        <v>86.814889682194135</v>
      </c>
      <c r="AB1716" s="10">
        <f t="shared" si="265"/>
        <v>41.737927731824101</v>
      </c>
      <c r="AC1716" s="10">
        <f t="shared" si="267"/>
        <v>65.111167261645605</v>
      </c>
      <c r="AD1716" s="10">
        <f>IF(AND(Q1716&gt;0,Q1716&lt;30,K1716&lt;8),Markniveau!Z1716*'Udvaskning nøgletal'!$I$12/100,IF(AND(Q1716&gt;0,Q1716&lt;30,K1716=216),Markniveau!Z1716*'Udvaskning nøgletal'!$I$34/100,Markniveau!Z1716))</f>
        <v>27.825285154549402</v>
      </c>
      <c r="AE1716" s="10">
        <f t="shared" si="273"/>
        <v>43.407444841097067</v>
      </c>
      <c r="AF1716" s="10">
        <f t="shared" si="268"/>
        <v>20.86896386591205</v>
      </c>
      <c r="AG1716" s="10">
        <f t="shared" si="274"/>
        <v>32.555583630822802</v>
      </c>
      <c r="AH1716" s="10">
        <f>IF(AND(Q1716&gt;0,Q1716&lt;30,K1716=216),'Udvaskning nøgletal'!$C$42,IF(AND(Q1716&gt;0,Q1716&lt;30,K1716&gt;7,K1716&lt;17),'Udvaskning nøgletal'!$C$61,IF(AND(Q1716&gt;0,Q1716&lt;30,K1716&lt;7),'Udvaskning nøgletal'!$C$62,"")))</f>
        <v>1002</v>
      </c>
      <c r="AI1716" s="10">
        <f t="shared" si="270"/>
        <v>1002</v>
      </c>
      <c r="AJ1716" s="10">
        <f>IF($X1716=1,LOOKUP(AI1716,'Udvaskning nøgletal'!$C$12:$C$62,'Udvaskning nøgletal'!$E$12:$E$62)+Markniveau!$Y1716*Markniveau!$S1716/100,IF($X1716=2,LOOKUP(AI1716,'Udvaskning nøgletal'!$C$12:$C$62,'Udvaskning nøgletal'!$F$12:$F$62)+Markniveau!$Y1716*Markniveau!$S1716/100,IF($X1716=3,LOOKUP(AI1716,'Udvaskning nøgletal'!$C$12:$C$62,'Udvaskning nøgletal'!Q1726:Q1776)+Markniveau!$Y1716*Markniveau!$S1716/100,"")))</f>
        <v>28.770570309098801</v>
      </c>
      <c r="AK1716" s="10">
        <f t="shared" si="269"/>
        <v>44.882089682194128</v>
      </c>
      <c r="AL1716" s="10">
        <f t="shared" si="271"/>
        <v>21.577927731824101</v>
      </c>
      <c r="AM1716" s="10">
        <f t="shared" si="272"/>
        <v>33.661567261645601</v>
      </c>
    </row>
    <row r="1717" spans="1:39" x14ac:dyDescent="0.25">
      <c r="A1717" s="15">
        <v>99478357</v>
      </c>
      <c r="B1717" s="15">
        <v>11.3</v>
      </c>
      <c r="C1717" s="15">
        <v>454157</v>
      </c>
      <c r="D1717" s="15">
        <v>15330</v>
      </c>
      <c r="E1717" s="15" t="s">
        <v>280</v>
      </c>
      <c r="F1717" s="15">
        <v>2011</v>
      </c>
      <c r="G1717" s="15">
        <v>20110216</v>
      </c>
      <c r="H1717" s="15">
        <v>16022</v>
      </c>
      <c r="I1717" s="15">
        <v>1.6</v>
      </c>
      <c r="J1717" s="6" t="s">
        <v>35</v>
      </c>
      <c r="K1717" s="15">
        <v>14</v>
      </c>
      <c r="L1717" s="15" t="s">
        <v>83</v>
      </c>
      <c r="M1717" s="15" t="s">
        <v>5</v>
      </c>
      <c r="N1717" s="11" t="s">
        <v>1384</v>
      </c>
      <c r="O1717" s="11" t="s">
        <v>28</v>
      </c>
      <c r="P1717" s="11" t="s">
        <v>33</v>
      </c>
      <c r="Q1717" s="15">
        <v>1</v>
      </c>
      <c r="R1717" s="11" t="s">
        <v>11</v>
      </c>
      <c r="S1717" s="10">
        <v>95.411406181976005</v>
      </c>
      <c r="T1717" s="15">
        <v>80</v>
      </c>
      <c r="U1717" s="15">
        <v>0</v>
      </c>
      <c r="V1717" s="15">
        <v>0</v>
      </c>
      <c r="W1717" s="15">
        <v>0</v>
      </c>
      <c r="X1717" s="15">
        <f>IF(O1717='Udvaskning nøgletal'!$D$65,1,IF(O1717='Udvaskning nøgletal'!$D$66,2,IF(O1717='Udvaskning nøgletal'!$D$67,3,IF(O1717='Udvaskning nøgletal'!$D$68,2,""))))</f>
        <v>1</v>
      </c>
      <c r="Y1717" s="15">
        <f>LOOKUP(K1717,'Udvaskning nøgletal'!$C$12:$C$60,'Udvaskning nøgletal'!$H$12:$H$60)</f>
        <v>5</v>
      </c>
      <c r="Z1717" s="10">
        <f>IF(X1717=1,LOOKUP(K1717,'Udvaskning nøgletal'!$C$12:$C$60,'Udvaskning nøgletal'!$E$12:$E$60)+Markniveau!Y1717*Markniveau!S1717/100,IF(X1717=2,LOOKUP(K1717,'Udvaskning nøgletal'!$C$12:$C$60,'Udvaskning nøgletal'!$F$12:$F$60)+Markniveau!Y1717*Markniveau!S1717/100,IF(X1717=3,LOOKUP(K1717,'Udvaskning nøgletal'!$C$12:$C$60,'Udvaskning nøgletal'!G1727:G1775)+Markniveau!Y1717*Markniveau!S1717/100,"")))</f>
        <v>69.430570309098798</v>
      </c>
      <c r="AA1717" s="10">
        <f t="shared" si="266"/>
        <v>111.08891249455809</v>
      </c>
      <c r="AB1717" s="10">
        <f t="shared" si="265"/>
        <v>68.736264606007808</v>
      </c>
      <c r="AC1717" s="10">
        <f t="shared" si="267"/>
        <v>109.9780233696125</v>
      </c>
      <c r="AD1717" s="10">
        <f>IF(AND(Q1717&gt;0,Q1717&lt;30,K1717&lt;8),Markniveau!Z1717*'Udvaskning nøgletal'!$I$12/100,IF(AND(Q1717&gt;0,Q1717&lt;30,K1717=216),Markniveau!Z1717*'Udvaskning nøgletal'!$I$34/100,Markniveau!Z1717))</f>
        <v>69.430570309098798</v>
      </c>
      <c r="AE1717" s="10">
        <f t="shared" si="273"/>
        <v>111.08891249455809</v>
      </c>
      <c r="AF1717" s="10">
        <f t="shared" si="268"/>
        <v>68.736264606007808</v>
      </c>
      <c r="AG1717" s="10">
        <f t="shared" si="274"/>
        <v>109.9780233696125</v>
      </c>
      <c r="AH1717" s="10">
        <f>IF(AND(Q1717&gt;0,Q1717&lt;30,K1717=216),'Udvaskning nøgletal'!$C$42,IF(AND(Q1717&gt;0,Q1717&lt;30,K1717&gt;7,K1717&lt;17),'Udvaskning nøgletal'!$C$61,IF(AND(Q1717&gt;0,Q1717&lt;30,K1717&lt;7),'Udvaskning nøgletal'!$C$62,"")))</f>
        <v>1001</v>
      </c>
      <c r="AI1717" s="10">
        <f t="shared" si="270"/>
        <v>1001</v>
      </c>
      <c r="AJ1717" s="10">
        <f>IF($X1717=1,LOOKUP(AI1717,'Udvaskning nøgletal'!$C$12:$C$62,'Udvaskning nøgletal'!$E$12:$E$62)+Markniveau!$Y1717*Markniveau!$S1717/100,IF($X1717=2,LOOKUP(AI1717,'Udvaskning nøgletal'!$C$12:$C$62,'Udvaskning nøgletal'!$F$12:$F$62)+Markniveau!$Y1717*Markniveau!$S1717/100,IF($X1717=3,LOOKUP(AI1717,'Udvaskning nøgletal'!$C$12:$C$62,'Udvaskning nøgletal'!Q1727:Q1777)+Markniveau!$Y1717*Markniveau!$S1717/100,"")))</f>
        <v>35.270570309098801</v>
      </c>
      <c r="AK1717" s="10">
        <f t="shared" si="269"/>
        <v>56.432912494558082</v>
      </c>
      <c r="AL1717" s="10">
        <f t="shared" si="271"/>
        <v>34.917864606007811</v>
      </c>
      <c r="AM1717" s="10">
        <f t="shared" si="272"/>
        <v>55.868583369612502</v>
      </c>
    </row>
    <row r="1718" spans="1:39" x14ac:dyDescent="0.25">
      <c r="A1718" s="15">
        <v>99478357</v>
      </c>
      <c r="B1718" s="15">
        <v>11.3</v>
      </c>
      <c r="C1718" s="15">
        <v>454159</v>
      </c>
      <c r="D1718" s="15">
        <v>15330</v>
      </c>
      <c r="E1718" s="15" t="s">
        <v>381</v>
      </c>
      <c r="F1718" s="15">
        <v>2011</v>
      </c>
      <c r="G1718" s="15">
        <v>20110216</v>
      </c>
      <c r="H1718" s="15">
        <v>37183</v>
      </c>
      <c r="I1718" s="15">
        <v>3.72</v>
      </c>
      <c r="J1718" s="6" t="s">
        <v>97</v>
      </c>
      <c r="K1718" s="15">
        <v>263</v>
      </c>
      <c r="L1718" s="15" t="s">
        <v>39</v>
      </c>
      <c r="M1718" s="15" t="s">
        <v>5</v>
      </c>
      <c r="N1718" s="11" t="s">
        <v>1384</v>
      </c>
      <c r="O1718" s="11" t="s">
        <v>28</v>
      </c>
      <c r="P1718" s="11" t="s">
        <v>33</v>
      </c>
      <c r="Q1718" s="15">
        <v>25</v>
      </c>
      <c r="R1718" s="11" t="s">
        <v>7</v>
      </c>
      <c r="S1718" s="10">
        <v>95.411406181976005</v>
      </c>
      <c r="T1718" s="15">
        <v>80</v>
      </c>
      <c r="U1718" s="15">
        <v>0</v>
      </c>
      <c r="V1718" s="15">
        <v>0</v>
      </c>
      <c r="W1718" s="15">
        <v>0</v>
      </c>
      <c r="X1718" s="15">
        <f>IF(O1718='Udvaskning nøgletal'!$D$65,1,IF(O1718='Udvaskning nøgletal'!$D$66,2,IF(O1718='Udvaskning nøgletal'!$D$67,3,IF(O1718='Udvaskning nøgletal'!$D$68,2,""))))</f>
        <v>1</v>
      </c>
      <c r="Y1718" s="15">
        <f>LOOKUP(K1718,'Udvaskning nøgletal'!$C$12:$C$60,'Udvaskning nøgletal'!$H$12:$H$60)</f>
        <v>0</v>
      </c>
      <c r="Z1718" s="10">
        <f>IF(X1718=1,LOOKUP(K1718,'Udvaskning nøgletal'!$C$12:$C$60,'Udvaskning nøgletal'!$E$12:$E$60)+Markniveau!Y1718*Markniveau!S1718/100,IF(X1718=2,LOOKUP(K1718,'Udvaskning nøgletal'!$C$12:$C$60,'Udvaskning nøgletal'!$F$12:$F$60)+Markniveau!Y1718*Markniveau!S1718/100,IF(X1718=3,LOOKUP(K1718,'Udvaskning nøgletal'!$C$12:$C$60,'Udvaskning nøgletal'!G1728:G1776)+Markniveau!Y1718*Markniveau!S1718/100,"")))</f>
        <v>33.723295792149436</v>
      </c>
      <c r="AA1718" s="10">
        <f t="shared" si="266"/>
        <v>125.45066034679591</v>
      </c>
      <c r="AB1718" s="10">
        <f t="shared" si="265"/>
        <v>25.292471844112079</v>
      </c>
      <c r="AC1718" s="10">
        <f t="shared" si="267"/>
        <v>94.087995260096932</v>
      </c>
      <c r="AD1718" s="10">
        <f>IF(AND(Q1718&gt;0,Q1718&lt;30,K1718&lt;8),Markniveau!Z1718*'Udvaskning nøgletal'!$I$12/100,IF(AND(Q1718&gt;0,Q1718&lt;30,K1718=216),Markniveau!Z1718*'Udvaskning nøgletal'!$I$34/100,Markniveau!Z1718))</f>
        <v>33.723295792149436</v>
      </c>
      <c r="AE1718" s="10">
        <f t="shared" si="273"/>
        <v>125.45066034679591</v>
      </c>
      <c r="AF1718" s="10">
        <f t="shared" si="268"/>
        <v>25.292471844112079</v>
      </c>
      <c r="AG1718" s="10">
        <f t="shared" si="274"/>
        <v>94.087995260096932</v>
      </c>
      <c r="AH1718" s="10" t="str">
        <f>IF(AND(Q1718&gt;0,Q1718&lt;30,K1718=216),'Udvaskning nøgletal'!$C$42,IF(AND(Q1718&gt;0,Q1718&lt;30,K1718&gt;7,K1718&lt;17),'Udvaskning nøgletal'!$C$61,IF(AND(Q1718&gt;0,Q1718&lt;30,K1718&lt;7),'Udvaskning nøgletal'!$C$62,"")))</f>
        <v/>
      </c>
      <c r="AI1718" s="10">
        <f t="shared" si="270"/>
        <v>263</v>
      </c>
      <c r="AJ1718" s="10">
        <f>IF($X1718=1,LOOKUP(AI1718,'Udvaskning nøgletal'!$C$12:$C$62,'Udvaskning nøgletal'!$E$12:$E$62)+Markniveau!$Y1718*Markniveau!$S1718/100,IF($X1718=2,LOOKUP(AI1718,'Udvaskning nøgletal'!$C$12:$C$62,'Udvaskning nøgletal'!$F$12:$F$62)+Markniveau!$Y1718*Markniveau!$S1718/100,IF($X1718=3,LOOKUP(AI1718,'Udvaskning nøgletal'!$C$12:$C$62,'Udvaskning nøgletal'!Q1728:Q1778)+Markniveau!$Y1718*Markniveau!$S1718/100,"")))</f>
        <v>33.723295792149436</v>
      </c>
      <c r="AK1718" s="10">
        <f t="shared" si="269"/>
        <v>125.45066034679591</v>
      </c>
      <c r="AL1718" s="10">
        <f t="shared" si="271"/>
        <v>25.292471844112079</v>
      </c>
      <c r="AM1718" s="10">
        <f t="shared" si="272"/>
        <v>94.087995260096932</v>
      </c>
    </row>
    <row r="1719" spans="1:39" x14ac:dyDescent="0.25">
      <c r="A1719" s="15">
        <v>99478357</v>
      </c>
      <c r="B1719" s="15">
        <v>11.3</v>
      </c>
      <c r="C1719" s="15">
        <v>454160</v>
      </c>
      <c r="D1719" s="15">
        <v>15330</v>
      </c>
      <c r="E1719" s="15" t="s">
        <v>1345</v>
      </c>
      <c r="F1719" s="15">
        <v>2011</v>
      </c>
      <c r="G1719" s="15">
        <v>20110216</v>
      </c>
      <c r="H1719" s="15">
        <v>7278</v>
      </c>
      <c r="I1719" s="15">
        <v>0.73</v>
      </c>
      <c r="J1719" s="6" t="s">
        <v>1402</v>
      </c>
      <c r="K1719" s="15">
        <v>252</v>
      </c>
      <c r="L1719" s="15" t="s">
        <v>41</v>
      </c>
      <c r="M1719" s="15" t="s">
        <v>4</v>
      </c>
      <c r="N1719" s="11" t="s">
        <v>1390</v>
      </c>
      <c r="O1719" s="11" t="s">
        <v>42</v>
      </c>
      <c r="P1719" s="11" t="s">
        <v>33</v>
      </c>
      <c r="Q1719" s="15">
        <v>25</v>
      </c>
      <c r="R1719" s="11" t="s">
        <v>7</v>
      </c>
      <c r="S1719" s="10">
        <v>95.411406181976005</v>
      </c>
      <c r="T1719" s="15">
        <v>80</v>
      </c>
      <c r="U1719" s="15">
        <v>0</v>
      </c>
      <c r="V1719" s="15">
        <v>0</v>
      </c>
      <c r="W1719" s="15">
        <v>0</v>
      </c>
      <c r="X1719" s="15">
        <f>IF(O1719='Udvaskning nøgletal'!$D$65,1,IF(O1719='Udvaskning nøgletal'!$D$66,2,IF(O1719='Udvaskning nøgletal'!$D$67,3,IF(O1719='Udvaskning nøgletal'!$D$68,2,""))))</f>
        <v>2</v>
      </c>
      <c r="Y1719" s="15">
        <f>LOOKUP(K1719,'Udvaskning nøgletal'!$C$12:$C$60,'Udvaskning nøgletal'!$H$12:$H$60)</f>
        <v>0</v>
      </c>
      <c r="Z1719" s="10">
        <f>IF(X1719=1,LOOKUP(K1719,'Udvaskning nøgletal'!$C$12:$C$60,'Udvaskning nøgletal'!$E$12:$E$60)+Markniveau!Y1719*Markniveau!S1719/100,IF(X1719=2,LOOKUP(K1719,'Udvaskning nøgletal'!$C$12:$C$60,'Udvaskning nøgletal'!$F$12:$F$60)+Markniveau!Y1719*Markniveau!S1719/100,IF(X1719=3,LOOKUP(K1719,'Udvaskning nøgletal'!$C$12:$C$60,'Udvaskning nøgletal'!G1729:G1777)+Markniveau!Y1719*Markniveau!S1719/100,"")))</f>
        <v>21.2</v>
      </c>
      <c r="AA1719" s="10">
        <f t="shared" si="266"/>
        <v>15.475999999999999</v>
      </c>
      <c r="AB1719" s="10">
        <f t="shared" si="265"/>
        <v>15.9</v>
      </c>
      <c r="AC1719" s="10">
        <f t="shared" si="267"/>
        <v>11.606999999999999</v>
      </c>
      <c r="AD1719" s="10">
        <f>IF(AND(Q1719&gt;0,Q1719&lt;30,K1719&lt;8),Markniveau!Z1719*'Udvaskning nøgletal'!$I$12/100,IF(AND(Q1719&gt;0,Q1719&lt;30,K1719=216),Markniveau!Z1719*'Udvaskning nøgletal'!$I$34/100,Markniveau!Z1719))</f>
        <v>21.2</v>
      </c>
      <c r="AE1719" s="10">
        <f t="shared" si="273"/>
        <v>15.475999999999999</v>
      </c>
      <c r="AF1719" s="10">
        <f t="shared" si="268"/>
        <v>15.9</v>
      </c>
      <c r="AG1719" s="10">
        <f t="shared" si="274"/>
        <v>11.606999999999999</v>
      </c>
      <c r="AH1719" s="10" t="str">
        <f>IF(AND(Q1719&gt;0,Q1719&lt;30,K1719=216),'Udvaskning nøgletal'!$C$42,IF(AND(Q1719&gt;0,Q1719&lt;30,K1719&gt;7,K1719&lt;17),'Udvaskning nøgletal'!$C$61,IF(AND(Q1719&gt;0,Q1719&lt;30,K1719&lt;7),'Udvaskning nøgletal'!$C$62,"")))</f>
        <v/>
      </c>
      <c r="AI1719" s="10">
        <f t="shared" si="270"/>
        <v>252</v>
      </c>
      <c r="AJ1719" s="10">
        <f>IF($X1719=1,LOOKUP(AI1719,'Udvaskning nøgletal'!$C$12:$C$62,'Udvaskning nøgletal'!$E$12:$E$62)+Markniveau!$Y1719*Markniveau!$S1719/100,IF($X1719=2,LOOKUP(AI1719,'Udvaskning nøgletal'!$C$12:$C$62,'Udvaskning nøgletal'!$F$12:$F$62)+Markniveau!$Y1719*Markniveau!$S1719/100,IF($X1719=3,LOOKUP(AI1719,'Udvaskning nøgletal'!$C$12:$C$62,'Udvaskning nøgletal'!Q1729:Q1779)+Markniveau!$Y1719*Markniveau!$S1719/100,"")))</f>
        <v>21.2</v>
      </c>
      <c r="AK1719" s="10">
        <f t="shared" si="269"/>
        <v>15.475999999999999</v>
      </c>
      <c r="AL1719" s="10">
        <f t="shared" si="271"/>
        <v>15.9</v>
      </c>
      <c r="AM1719" s="10">
        <f t="shared" si="272"/>
        <v>11.606999999999999</v>
      </c>
    </row>
    <row r="1720" spans="1:39" x14ac:dyDescent="0.25">
      <c r="A1720" s="15">
        <v>99478357</v>
      </c>
      <c r="B1720" s="15">
        <v>11.3</v>
      </c>
      <c r="C1720" s="15">
        <v>454161</v>
      </c>
      <c r="D1720" s="15">
        <v>15330</v>
      </c>
      <c r="E1720" s="15" t="s">
        <v>381</v>
      </c>
      <c r="F1720" s="15">
        <v>2011</v>
      </c>
      <c r="G1720" s="15">
        <v>20110216</v>
      </c>
      <c r="H1720" s="15">
        <v>50717</v>
      </c>
      <c r="I1720" s="15">
        <v>5.07</v>
      </c>
      <c r="J1720" s="6" t="s">
        <v>36</v>
      </c>
      <c r="K1720" s="15">
        <v>14</v>
      </c>
      <c r="L1720" s="15" t="s">
        <v>83</v>
      </c>
      <c r="M1720" s="15" t="s">
        <v>5</v>
      </c>
      <c r="N1720" s="11" t="s">
        <v>1384</v>
      </c>
      <c r="O1720" s="11" t="s">
        <v>28</v>
      </c>
      <c r="P1720" s="11" t="s">
        <v>29</v>
      </c>
      <c r="Q1720" s="15">
        <v>95</v>
      </c>
      <c r="R1720" s="11" t="s">
        <v>3</v>
      </c>
      <c r="S1720" s="10">
        <v>95.411406181976005</v>
      </c>
      <c r="T1720" s="15">
        <v>80</v>
      </c>
      <c r="U1720" s="15">
        <v>0</v>
      </c>
      <c r="V1720" s="15">
        <v>0</v>
      </c>
      <c r="W1720" s="15">
        <v>0</v>
      </c>
      <c r="X1720" s="15">
        <f>IF(O1720='Udvaskning nøgletal'!$D$65,1,IF(O1720='Udvaskning nøgletal'!$D$66,2,IF(O1720='Udvaskning nøgletal'!$D$67,3,IF(O1720='Udvaskning nøgletal'!$D$68,2,""))))</f>
        <v>1</v>
      </c>
      <c r="Y1720" s="15">
        <f>LOOKUP(K1720,'Udvaskning nøgletal'!$C$12:$C$60,'Udvaskning nøgletal'!$H$12:$H$60)</f>
        <v>5</v>
      </c>
      <c r="Z1720" s="10">
        <f>IF(X1720=1,LOOKUP(K1720,'Udvaskning nøgletal'!$C$12:$C$60,'Udvaskning nøgletal'!$E$12:$E$60)+Markniveau!Y1720*Markniveau!S1720/100,IF(X1720=2,LOOKUP(K1720,'Udvaskning nøgletal'!$C$12:$C$60,'Udvaskning nøgletal'!$F$12:$F$60)+Markniveau!Y1720*Markniveau!S1720/100,IF(X1720=3,LOOKUP(K1720,'Udvaskning nøgletal'!$C$12:$C$60,'Udvaskning nøgletal'!G1730:G1778)+Markniveau!Y1720*Markniveau!S1720/100,"")))</f>
        <v>69.430570309098798</v>
      </c>
      <c r="AA1720" s="10">
        <f t="shared" si="266"/>
        <v>352.01299146713092</v>
      </c>
      <c r="AB1720" s="10">
        <f t="shared" si="265"/>
        <v>3.4715285154549402</v>
      </c>
      <c r="AC1720" s="10">
        <f t="shared" si="267"/>
        <v>17.600649573356549</v>
      </c>
      <c r="AD1720" s="10">
        <f>IF(AND(Q1720&gt;0,Q1720&lt;30,K1720&lt;8),Markniveau!Z1720*'Udvaskning nøgletal'!$I$12/100,IF(AND(Q1720&gt;0,Q1720&lt;30,K1720=216),Markniveau!Z1720*'Udvaskning nøgletal'!$I$34/100,Markniveau!Z1720))</f>
        <v>69.430570309098798</v>
      </c>
      <c r="AE1720" s="10">
        <f t="shared" si="273"/>
        <v>352.01299146713092</v>
      </c>
      <c r="AF1720" s="10">
        <f t="shared" si="268"/>
        <v>3.4715285154549402</v>
      </c>
      <c r="AG1720" s="10">
        <f t="shared" si="274"/>
        <v>17.600649573356549</v>
      </c>
      <c r="AH1720" s="10" t="str">
        <f>IF(AND(Q1720&gt;0,Q1720&lt;30,K1720=216),'Udvaskning nøgletal'!$C$42,IF(AND(Q1720&gt;0,Q1720&lt;30,K1720&gt;7,K1720&lt;17),'Udvaskning nøgletal'!$C$61,IF(AND(Q1720&gt;0,Q1720&lt;30,K1720&lt;7),'Udvaskning nøgletal'!$C$62,"")))</f>
        <v/>
      </c>
      <c r="AI1720" s="10">
        <f t="shared" si="270"/>
        <v>14</v>
      </c>
      <c r="AJ1720" s="10">
        <f>IF($X1720=1,LOOKUP(AI1720,'Udvaskning nøgletal'!$C$12:$C$62,'Udvaskning nøgletal'!$E$12:$E$62)+Markniveau!$Y1720*Markniveau!$S1720/100,IF($X1720=2,LOOKUP(AI1720,'Udvaskning nøgletal'!$C$12:$C$62,'Udvaskning nøgletal'!$F$12:$F$62)+Markniveau!$Y1720*Markniveau!$S1720/100,IF($X1720=3,LOOKUP(AI1720,'Udvaskning nøgletal'!$C$12:$C$62,'Udvaskning nøgletal'!Q1730:Q1780)+Markniveau!$Y1720*Markniveau!$S1720/100,"")))</f>
        <v>69.430570309098798</v>
      </c>
      <c r="AK1720" s="10">
        <f t="shared" si="269"/>
        <v>352.01299146713092</v>
      </c>
      <c r="AL1720" s="10">
        <f t="shared" si="271"/>
        <v>3.4715285154549402</v>
      </c>
      <c r="AM1720" s="10">
        <f t="shared" si="272"/>
        <v>17.600649573356549</v>
      </c>
    </row>
    <row r="1721" spans="1:39" x14ac:dyDescent="0.25">
      <c r="A1721" s="15">
        <v>99478357</v>
      </c>
      <c r="B1721" s="15">
        <v>11.3</v>
      </c>
      <c r="C1721" s="15">
        <v>306549</v>
      </c>
      <c r="D1721" s="15">
        <v>15330</v>
      </c>
      <c r="E1721" s="15" t="s">
        <v>381</v>
      </c>
      <c r="F1721" s="15">
        <v>2011</v>
      </c>
      <c r="G1721" s="15">
        <v>20110216</v>
      </c>
      <c r="H1721" s="15">
        <v>47883</v>
      </c>
      <c r="I1721" s="15">
        <v>4.79</v>
      </c>
      <c r="J1721" s="6" t="s">
        <v>34</v>
      </c>
      <c r="K1721" s="15">
        <v>2</v>
      </c>
      <c r="L1721" s="15" t="s">
        <v>49</v>
      </c>
      <c r="M1721" s="15" t="s">
        <v>5</v>
      </c>
      <c r="N1721" s="11" t="s">
        <v>1384</v>
      </c>
      <c r="O1721" s="11" t="s">
        <v>28</v>
      </c>
      <c r="P1721" s="11" t="s">
        <v>33</v>
      </c>
      <c r="Q1721" s="15">
        <v>90</v>
      </c>
      <c r="R1721" s="11" t="s">
        <v>8</v>
      </c>
      <c r="S1721" s="10">
        <v>95.411406181976005</v>
      </c>
      <c r="T1721" s="15">
        <v>80</v>
      </c>
      <c r="U1721" s="15">
        <v>0</v>
      </c>
      <c r="V1721" s="15">
        <v>0</v>
      </c>
      <c r="W1721" s="15">
        <v>0</v>
      </c>
      <c r="X1721" s="15">
        <f>IF(O1721='Udvaskning nøgletal'!$D$65,1,IF(O1721='Udvaskning nøgletal'!$D$66,2,IF(O1721='Udvaskning nøgletal'!$D$67,3,IF(O1721='Udvaskning nøgletal'!$D$68,2,""))))</f>
        <v>1</v>
      </c>
      <c r="Y1721" s="15">
        <f>LOOKUP(K1721,'Udvaskning nøgletal'!$C$12:$C$60,'Udvaskning nøgletal'!$H$12:$H$60)</f>
        <v>5</v>
      </c>
      <c r="Z1721" s="10">
        <f>IF(X1721=1,LOOKUP(K1721,'Udvaskning nøgletal'!$C$12:$C$60,'Udvaskning nøgletal'!$E$12:$E$60)+Markniveau!Y1721*Markniveau!S1721/100,IF(X1721=2,LOOKUP(K1721,'Udvaskning nøgletal'!$C$12:$C$60,'Udvaskning nøgletal'!$F$12:$F$60)+Markniveau!Y1721*Markniveau!S1721/100,IF(X1721=3,LOOKUP(K1721,'Udvaskning nøgletal'!$C$12:$C$60,'Udvaskning nøgletal'!G1731:G1779)+Markniveau!Y1721*Markniveau!S1721/100,"")))</f>
        <v>69.430570309098798</v>
      </c>
      <c r="AA1721" s="10">
        <f t="shared" si="266"/>
        <v>332.57243178058326</v>
      </c>
      <c r="AB1721" s="10">
        <f t="shared" si="265"/>
        <v>6.9430570309098805</v>
      </c>
      <c r="AC1721" s="10">
        <f t="shared" si="267"/>
        <v>33.257243178058324</v>
      </c>
      <c r="AD1721" s="10">
        <f>IF(AND(Q1721&gt;0,Q1721&lt;30,K1721&lt;8),Markniveau!Z1721*'Udvaskning nøgletal'!$I$12/100,IF(AND(Q1721&gt;0,Q1721&lt;30,K1721=216),Markniveau!Z1721*'Udvaskning nøgletal'!$I$34/100,Markniveau!Z1721))</f>
        <v>69.430570309098798</v>
      </c>
      <c r="AE1721" s="10">
        <f t="shared" si="273"/>
        <v>332.57243178058326</v>
      </c>
      <c r="AF1721" s="10">
        <f t="shared" si="268"/>
        <v>6.9430570309098805</v>
      </c>
      <c r="AG1721" s="10">
        <f t="shared" si="274"/>
        <v>33.257243178058324</v>
      </c>
      <c r="AH1721" s="10" t="str">
        <f>IF(AND(Q1721&gt;0,Q1721&lt;30,K1721=216),'Udvaskning nøgletal'!$C$42,IF(AND(Q1721&gt;0,Q1721&lt;30,K1721&gt;7,K1721&lt;17),'Udvaskning nøgletal'!$C$61,IF(AND(Q1721&gt;0,Q1721&lt;30,K1721&lt;7),'Udvaskning nøgletal'!$C$62,"")))</f>
        <v/>
      </c>
      <c r="AI1721" s="10">
        <f t="shared" si="270"/>
        <v>2</v>
      </c>
      <c r="AJ1721" s="10">
        <f>IF($X1721=1,LOOKUP(AI1721,'Udvaskning nøgletal'!$C$12:$C$62,'Udvaskning nøgletal'!$E$12:$E$62)+Markniveau!$Y1721*Markniveau!$S1721/100,IF($X1721=2,LOOKUP(AI1721,'Udvaskning nøgletal'!$C$12:$C$62,'Udvaskning nøgletal'!$F$12:$F$62)+Markniveau!$Y1721*Markniveau!$S1721/100,IF($X1721=3,LOOKUP(AI1721,'Udvaskning nøgletal'!$C$12:$C$62,'Udvaskning nøgletal'!Q1731:Q1781)+Markniveau!$Y1721*Markniveau!$S1721/100,"")))</f>
        <v>69.430570309098798</v>
      </c>
      <c r="AK1721" s="10">
        <f t="shared" si="269"/>
        <v>332.57243178058326</v>
      </c>
      <c r="AL1721" s="10">
        <f t="shared" si="271"/>
        <v>6.9430570309098805</v>
      </c>
      <c r="AM1721" s="10">
        <f t="shared" si="272"/>
        <v>33.257243178058324</v>
      </c>
    </row>
    <row r="1722" spans="1:39" x14ac:dyDescent="0.25">
      <c r="A1722" s="15">
        <v>99478357</v>
      </c>
      <c r="B1722" s="15">
        <v>11.3</v>
      </c>
      <c r="C1722" s="15">
        <v>306554</v>
      </c>
      <c r="D1722" s="15">
        <v>15330</v>
      </c>
      <c r="E1722" s="15" t="s">
        <v>381</v>
      </c>
      <c r="F1722" s="15">
        <v>2011</v>
      </c>
      <c r="G1722" s="15">
        <v>20110216</v>
      </c>
      <c r="H1722" s="15">
        <v>62271</v>
      </c>
      <c r="I1722" s="15">
        <v>6.23</v>
      </c>
      <c r="J1722" s="6" t="s">
        <v>31</v>
      </c>
      <c r="K1722" s="15">
        <v>2</v>
      </c>
      <c r="L1722" s="15" t="s">
        <v>49</v>
      </c>
      <c r="M1722" s="15" t="s">
        <v>5</v>
      </c>
      <c r="N1722" s="11" t="s">
        <v>1384</v>
      </c>
      <c r="O1722" s="11" t="s">
        <v>28</v>
      </c>
      <c r="P1722" s="11" t="s">
        <v>29</v>
      </c>
      <c r="Q1722" s="15">
        <v>90</v>
      </c>
      <c r="R1722" s="11" t="s">
        <v>8</v>
      </c>
      <c r="S1722" s="10">
        <v>95.411406181976005</v>
      </c>
      <c r="T1722" s="15">
        <v>80</v>
      </c>
      <c r="U1722" s="15">
        <v>0</v>
      </c>
      <c r="V1722" s="15">
        <v>0</v>
      </c>
      <c r="W1722" s="15">
        <v>0</v>
      </c>
      <c r="X1722" s="15">
        <f>IF(O1722='Udvaskning nøgletal'!$D$65,1,IF(O1722='Udvaskning nøgletal'!$D$66,2,IF(O1722='Udvaskning nøgletal'!$D$67,3,IF(O1722='Udvaskning nøgletal'!$D$68,2,""))))</f>
        <v>1</v>
      </c>
      <c r="Y1722" s="15">
        <f>LOOKUP(K1722,'Udvaskning nøgletal'!$C$12:$C$60,'Udvaskning nøgletal'!$H$12:$H$60)</f>
        <v>5</v>
      </c>
      <c r="Z1722" s="10">
        <f>IF(X1722=1,LOOKUP(K1722,'Udvaskning nøgletal'!$C$12:$C$60,'Udvaskning nøgletal'!$E$12:$E$60)+Markniveau!Y1722*Markniveau!S1722/100,IF(X1722=2,LOOKUP(K1722,'Udvaskning nøgletal'!$C$12:$C$60,'Udvaskning nøgletal'!$F$12:$F$60)+Markniveau!Y1722*Markniveau!S1722/100,IF(X1722=3,LOOKUP(K1722,'Udvaskning nøgletal'!$C$12:$C$60,'Udvaskning nøgletal'!G1732:G1780)+Markniveau!Y1722*Markniveau!S1722/100,"")))</f>
        <v>69.430570309098798</v>
      </c>
      <c r="AA1722" s="10">
        <f t="shared" si="266"/>
        <v>432.55245302568557</v>
      </c>
      <c r="AB1722" s="10">
        <f t="shared" si="265"/>
        <v>6.9430570309098805</v>
      </c>
      <c r="AC1722" s="10">
        <f t="shared" si="267"/>
        <v>43.255245302568561</v>
      </c>
      <c r="AD1722" s="10">
        <f>IF(AND(Q1722&gt;0,Q1722&lt;30,K1722&lt;8),Markniveau!Z1722*'Udvaskning nøgletal'!$I$12/100,IF(AND(Q1722&gt;0,Q1722&lt;30,K1722=216),Markniveau!Z1722*'Udvaskning nøgletal'!$I$34/100,Markniveau!Z1722))</f>
        <v>69.430570309098798</v>
      </c>
      <c r="AE1722" s="10">
        <f t="shared" si="273"/>
        <v>432.55245302568557</v>
      </c>
      <c r="AF1722" s="10">
        <f t="shared" si="268"/>
        <v>6.9430570309098805</v>
      </c>
      <c r="AG1722" s="10">
        <f t="shared" si="274"/>
        <v>43.255245302568561</v>
      </c>
      <c r="AH1722" s="10" t="str">
        <f>IF(AND(Q1722&gt;0,Q1722&lt;30,K1722=216),'Udvaskning nøgletal'!$C$42,IF(AND(Q1722&gt;0,Q1722&lt;30,K1722&gt;7,K1722&lt;17),'Udvaskning nøgletal'!$C$61,IF(AND(Q1722&gt;0,Q1722&lt;30,K1722&lt;7),'Udvaskning nøgletal'!$C$62,"")))</f>
        <v/>
      </c>
      <c r="AI1722" s="10">
        <f t="shared" si="270"/>
        <v>2</v>
      </c>
      <c r="AJ1722" s="10">
        <f>IF($X1722=1,LOOKUP(AI1722,'Udvaskning nøgletal'!$C$12:$C$62,'Udvaskning nøgletal'!$E$12:$E$62)+Markniveau!$Y1722*Markniveau!$S1722/100,IF($X1722=2,LOOKUP(AI1722,'Udvaskning nøgletal'!$C$12:$C$62,'Udvaskning nøgletal'!$F$12:$F$62)+Markniveau!$Y1722*Markniveau!$S1722/100,IF($X1722=3,LOOKUP(AI1722,'Udvaskning nøgletal'!$C$12:$C$62,'Udvaskning nøgletal'!Q1732:Q1782)+Markniveau!$Y1722*Markniveau!$S1722/100,"")))</f>
        <v>69.430570309098798</v>
      </c>
      <c r="AK1722" s="10">
        <f t="shared" si="269"/>
        <v>432.55245302568557</v>
      </c>
      <c r="AL1722" s="10">
        <f t="shared" si="271"/>
        <v>6.9430570309098805</v>
      </c>
      <c r="AM1722" s="10">
        <f t="shared" si="272"/>
        <v>43.255245302568561</v>
      </c>
    </row>
    <row r="1723" spans="1:39" x14ac:dyDescent="0.25">
      <c r="A1723" s="15">
        <v>99534168</v>
      </c>
      <c r="B1723" s="15">
        <v>7.75</v>
      </c>
      <c r="C1723" s="15">
        <v>311644</v>
      </c>
      <c r="D1723" s="15">
        <v>60674</v>
      </c>
      <c r="E1723" s="15" t="s">
        <v>188</v>
      </c>
      <c r="F1723" s="15">
        <v>2011</v>
      </c>
      <c r="G1723" s="15">
        <v>20110427</v>
      </c>
      <c r="H1723" s="15">
        <v>39100</v>
      </c>
      <c r="I1723" s="15">
        <v>3.91</v>
      </c>
      <c r="J1723" s="6" t="s">
        <v>61</v>
      </c>
      <c r="K1723" s="15">
        <v>1</v>
      </c>
      <c r="L1723" s="15" t="s">
        <v>32</v>
      </c>
      <c r="M1723" s="15" t="s">
        <v>5</v>
      </c>
      <c r="N1723" s="11" t="s">
        <v>1406</v>
      </c>
      <c r="O1723" s="11" t="s">
        <v>46</v>
      </c>
      <c r="P1723" s="11" t="s">
        <v>29</v>
      </c>
      <c r="Q1723" s="15">
        <v>95</v>
      </c>
      <c r="R1723" s="11" t="s">
        <v>3</v>
      </c>
      <c r="S1723" s="10">
        <v>10.549677419355</v>
      </c>
      <c r="T1723" s="15">
        <v>80</v>
      </c>
      <c r="U1723" s="15">
        <v>0</v>
      </c>
      <c r="V1723" s="15">
        <v>0</v>
      </c>
      <c r="W1723" s="15">
        <v>0</v>
      </c>
      <c r="X1723" s="15">
        <f>IF(O1723='Udvaskning nøgletal'!$D$65,1,IF(O1723='Udvaskning nøgletal'!$D$66,2,IF(O1723='Udvaskning nøgletal'!$D$67,3,IF(O1723='Udvaskning nøgletal'!$D$68,2,""))))</f>
        <v>2</v>
      </c>
      <c r="Y1723" s="15">
        <f>LOOKUP(K1723,'Udvaskning nøgletal'!$C$12:$C$60,'Udvaskning nøgletal'!$H$12:$H$60)</f>
        <v>5</v>
      </c>
      <c r="Z1723" s="10">
        <f>IF(X1723=1,LOOKUP(K1723,'Udvaskning nøgletal'!$C$12:$C$60,'Udvaskning nøgletal'!$E$12:$E$60)+Markniveau!Y1723*Markniveau!S1723/100,IF(X1723=2,LOOKUP(K1723,'Udvaskning nøgletal'!$C$12:$C$60,'Udvaskning nøgletal'!$F$12:$F$60)+Markniveau!Y1723*Markniveau!S1723/100,IF(X1723=3,LOOKUP(K1723,'Udvaskning nøgletal'!$C$12:$C$60,'Udvaskning nøgletal'!G1733:G1781)+Markniveau!Y1723*Markniveau!S1723/100,"")))</f>
        <v>51.407483870967752</v>
      </c>
      <c r="AA1723" s="10">
        <f t="shared" si="266"/>
        <v>201.00326193548392</v>
      </c>
      <c r="AB1723" s="10">
        <f t="shared" si="265"/>
        <v>2.5703741935483877</v>
      </c>
      <c r="AC1723" s="10">
        <f t="shared" si="267"/>
        <v>10.050163096774197</v>
      </c>
      <c r="AD1723" s="10">
        <f>IF(AND(Q1723&gt;0,Q1723&lt;30,K1723&lt;8),Markniveau!Z1723*'Udvaskning nøgletal'!$I$12/100,IF(AND(Q1723&gt;0,Q1723&lt;30,K1723=216),Markniveau!Z1723*'Udvaskning nøgletal'!$I$34/100,Markniveau!Z1723))</f>
        <v>51.407483870967752</v>
      </c>
      <c r="AE1723" s="10">
        <f t="shared" si="273"/>
        <v>201.00326193548392</v>
      </c>
      <c r="AF1723" s="10">
        <f t="shared" si="268"/>
        <v>2.5703741935483877</v>
      </c>
      <c r="AG1723" s="10">
        <f t="shared" si="274"/>
        <v>10.050163096774197</v>
      </c>
      <c r="AH1723" s="10" t="str">
        <f>IF(AND(Q1723&gt;0,Q1723&lt;30,K1723=216),'Udvaskning nøgletal'!$C$42,IF(AND(Q1723&gt;0,Q1723&lt;30,K1723&gt;7,K1723&lt;17),'Udvaskning nøgletal'!$C$61,IF(AND(Q1723&gt;0,Q1723&lt;30,K1723&lt;7),'Udvaskning nøgletal'!$C$62,"")))</f>
        <v/>
      </c>
      <c r="AI1723" s="10">
        <f t="shared" si="270"/>
        <v>1</v>
      </c>
      <c r="AJ1723" s="10">
        <f>IF($X1723=1,LOOKUP(AI1723,'Udvaskning nøgletal'!$C$12:$C$62,'Udvaskning nøgletal'!$E$12:$E$62)+Markniveau!$Y1723*Markniveau!$S1723/100,IF($X1723=2,LOOKUP(AI1723,'Udvaskning nøgletal'!$C$12:$C$62,'Udvaskning nøgletal'!$F$12:$F$62)+Markniveau!$Y1723*Markniveau!$S1723/100,IF($X1723=3,LOOKUP(AI1723,'Udvaskning nøgletal'!$C$12:$C$62,'Udvaskning nøgletal'!Q1733:Q1783)+Markniveau!$Y1723*Markniveau!$S1723/100,"")))</f>
        <v>51.407483870967752</v>
      </c>
      <c r="AK1723" s="10">
        <f t="shared" si="269"/>
        <v>201.00326193548392</v>
      </c>
      <c r="AL1723" s="10">
        <f t="shared" si="271"/>
        <v>2.5703741935483877</v>
      </c>
      <c r="AM1723" s="10">
        <f t="shared" si="272"/>
        <v>10.050163096774197</v>
      </c>
    </row>
    <row r="1724" spans="1:39" x14ac:dyDescent="0.25">
      <c r="A1724" s="15">
        <v>99534168</v>
      </c>
      <c r="B1724" s="15">
        <v>7.75</v>
      </c>
      <c r="C1724" s="15">
        <v>225824</v>
      </c>
      <c r="D1724" s="15">
        <v>60674</v>
      </c>
      <c r="E1724" s="15" t="s">
        <v>188</v>
      </c>
      <c r="F1724" s="15">
        <v>2011</v>
      </c>
      <c r="G1724" s="15">
        <v>20110427</v>
      </c>
      <c r="H1724" s="15">
        <v>34139</v>
      </c>
      <c r="I1724" s="15">
        <v>3.41</v>
      </c>
      <c r="J1724" s="6" t="s">
        <v>97</v>
      </c>
      <c r="K1724" s="15">
        <v>1</v>
      </c>
      <c r="L1724" s="15" t="s">
        <v>32</v>
      </c>
      <c r="M1724" s="15" t="s">
        <v>5</v>
      </c>
      <c r="N1724" s="11" t="s">
        <v>1406</v>
      </c>
      <c r="O1724" s="11" t="s">
        <v>46</v>
      </c>
      <c r="P1724" s="11" t="s">
        <v>29</v>
      </c>
      <c r="Q1724" s="15">
        <v>95</v>
      </c>
      <c r="R1724" s="11" t="s">
        <v>3</v>
      </c>
      <c r="S1724" s="10">
        <v>10.549677419355</v>
      </c>
      <c r="T1724" s="15">
        <v>80</v>
      </c>
      <c r="U1724" s="15">
        <v>0</v>
      </c>
      <c r="V1724" s="15">
        <v>0</v>
      </c>
      <c r="W1724" s="15">
        <v>0</v>
      </c>
      <c r="X1724" s="15">
        <f>IF(O1724='Udvaskning nøgletal'!$D$65,1,IF(O1724='Udvaskning nøgletal'!$D$66,2,IF(O1724='Udvaskning nøgletal'!$D$67,3,IF(O1724='Udvaskning nøgletal'!$D$68,2,""))))</f>
        <v>2</v>
      </c>
      <c r="Y1724" s="15">
        <f>LOOKUP(K1724,'Udvaskning nøgletal'!$C$12:$C$60,'Udvaskning nøgletal'!$H$12:$H$60)</f>
        <v>5</v>
      </c>
      <c r="Z1724" s="10">
        <f>IF(X1724=1,LOOKUP(K1724,'Udvaskning nøgletal'!$C$12:$C$60,'Udvaskning nøgletal'!$E$12:$E$60)+Markniveau!Y1724*Markniveau!S1724/100,IF(X1724=2,LOOKUP(K1724,'Udvaskning nøgletal'!$C$12:$C$60,'Udvaskning nøgletal'!$F$12:$F$60)+Markniveau!Y1724*Markniveau!S1724/100,IF(X1724=3,LOOKUP(K1724,'Udvaskning nøgletal'!$C$12:$C$60,'Udvaskning nøgletal'!G1734:G1782)+Markniveau!Y1724*Markniveau!S1724/100,"")))</f>
        <v>51.407483870967752</v>
      </c>
      <c r="AA1724" s="10">
        <f t="shared" si="266"/>
        <v>175.29952000000003</v>
      </c>
      <c r="AB1724" s="10">
        <f t="shared" si="265"/>
        <v>2.5703741935483877</v>
      </c>
      <c r="AC1724" s="10">
        <f t="shared" si="267"/>
        <v>8.7649760000000025</v>
      </c>
      <c r="AD1724" s="10">
        <f>IF(AND(Q1724&gt;0,Q1724&lt;30,K1724&lt;8),Markniveau!Z1724*'Udvaskning nøgletal'!$I$12/100,IF(AND(Q1724&gt;0,Q1724&lt;30,K1724=216),Markniveau!Z1724*'Udvaskning nøgletal'!$I$34/100,Markniveau!Z1724))</f>
        <v>51.407483870967752</v>
      </c>
      <c r="AE1724" s="10">
        <f t="shared" si="273"/>
        <v>175.29952000000003</v>
      </c>
      <c r="AF1724" s="10">
        <f t="shared" si="268"/>
        <v>2.5703741935483877</v>
      </c>
      <c r="AG1724" s="10">
        <f t="shared" si="274"/>
        <v>8.7649760000000025</v>
      </c>
      <c r="AH1724" s="10" t="str">
        <f>IF(AND(Q1724&gt;0,Q1724&lt;30,K1724=216),'Udvaskning nøgletal'!$C$42,IF(AND(Q1724&gt;0,Q1724&lt;30,K1724&gt;7,K1724&lt;17),'Udvaskning nøgletal'!$C$61,IF(AND(Q1724&gt;0,Q1724&lt;30,K1724&lt;7),'Udvaskning nøgletal'!$C$62,"")))</f>
        <v/>
      </c>
      <c r="AI1724" s="10">
        <f t="shared" si="270"/>
        <v>1</v>
      </c>
      <c r="AJ1724" s="10">
        <f>IF($X1724=1,LOOKUP(AI1724,'Udvaskning nøgletal'!$C$12:$C$62,'Udvaskning nøgletal'!$E$12:$E$62)+Markniveau!$Y1724*Markniveau!$S1724/100,IF($X1724=2,LOOKUP(AI1724,'Udvaskning nøgletal'!$C$12:$C$62,'Udvaskning nøgletal'!$F$12:$F$62)+Markniveau!$Y1724*Markniveau!$S1724/100,IF($X1724=3,LOOKUP(AI1724,'Udvaskning nøgletal'!$C$12:$C$62,'Udvaskning nøgletal'!Q1734:Q1784)+Markniveau!$Y1724*Markniveau!$S1724/100,"")))</f>
        <v>51.407483870967752</v>
      </c>
      <c r="AK1724" s="10">
        <f t="shared" si="269"/>
        <v>175.29952000000003</v>
      </c>
      <c r="AL1724" s="10">
        <f t="shared" si="271"/>
        <v>2.5703741935483877</v>
      </c>
      <c r="AM1724" s="10">
        <f t="shared" si="272"/>
        <v>8.7649760000000025</v>
      </c>
    </row>
    <row r="1725" spans="1:39" x14ac:dyDescent="0.25">
      <c r="A1725" s="15">
        <v>99534168</v>
      </c>
      <c r="B1725" s="15">
        <v>7.75</v>
      </c>
      <c r="C1725" s="15">
        <v>256802</v>
      </c>
      <c r="D1725" s="15">
        <v>60674</v>
      </c>
      <c r="E1725" s="15" t="s">
        <v>188</v>
      </c>
      <c r="F1725" s="15">
        <v>2011</v>
      </c>
      <c r="G1725" s="15">
        <v>20110427</v>
      </c>
      <c r="H1725" s="15">
        <v>4263</v>
      </c>
      <c r="I1725" s="15">
        <v>0.43</v>
      </c>
      <c r="J1725" s="6" t="s">
        <v>31</v>
      </c>
      <c r="K1725" s="15">
        <v>263</v>
      </c>
      <c r="L1725" s="15" t="s">
        <v>39</v>
      </c>
      <c r="M1725" s="15" t="s">
        <v>5</v>
      </c>
      <c r="N1725" s="11" t="s">
        <v>1406</v>
      </c>
      <c r="O1725" s="11" t="s">
        <v>46</v>
      </c>
      <c r="P1725" s="11" t="s">
        <v>29</v>
      </c>
      <c r="Q1725" s="15">
        <v>95</v>
      </c>
      <c r="R1725" s="11" t="s">
        <v>3</v>
      </c>
      <c r="S1725" s="10">
        <v>10.549677419355</v>
      </c>
      <c r="T1725" s="15">
        <v>80</v>
      </c>
      <c r="U1725" s="15">
        <v>0</v>
      </c>
      <c r="V1725" s="15">
        <v>0</v>
      </c>
      <c r="W1725" s="15">
        <v>0</v>
      </c>
      <c r="X1725" s="15">
        <f>IF(O1725='Udvaskning nøgletal'!$D$65,1,IF(O1725='Udvaskning nøgletal'!$D$66,2,IF(O1725='Udvaskning nøgletal'!$D$67,3,IF(O1725='Udvaskning nøgletal'!$D$68,2,""))))</f>
        <v>2</v>
      </c>
      <c r="Y1725" s="15">
        <f>LOOKUP(K1725,'Udvaskning nøgletal'!$C$12:$C$60,'Udvaskning nøgletal'!$H$12:$H$60)</f>
        <v>0</v>
      </c>
      <c r="Z1725" s="10">
        <f>IF(X1725=1,LOOKUP(K1725,'Udvaskning nøgletal'!$C$12:$C$60,'Udvaskning nøgletal'!$E$12:$E$60)+Markniveau!Y1725*Markniveau!S1725/100,IF(X1725=2,LOOKUP(K1725,'Udvaskning nøgletal'!$C$12:$C$60,'Udvaskning nøgletal'!$F$12:$F$60)+Markniveau!Y1725*Markniveau!S1725/100,IF(X1725=3,LOOKUP(K1725,'Udvaskning nøgletal'!$C$12:$C$60,'Udvaskning nøgletal'!G1735:G1783)+Markniveau!Y1725*Markniveau!S1725/100,"")))</f>
        <v>27.331185321443094</v>
      </c>
      <c r="AA1725" s="10">
        <f t="shared" si="266"/>
        <v>11.75240968822053</v>
      </c>
      <c r="AB1725" s="10">
        <f t="shared" si="265"/>
        <v>1.3665592660721546</v>
      </c>
      <c r="AC1725" s="10">
        <f t="shared" si="267"/>
        <v>0.58762048441102643</v>
      </c>
      <c r="AD1725" s="10">
        <f>IF(AND(Q1725&gt;0,Q1725&lt;30,K1725&lt;8),Markniveau!Z1725*'Udvaskning nøgletal'!$I$12/100,IF(AND(Q1725&gt;0,Q1725&lt;30,K1725=216),Markniveau!Z1725*'Udvaskning nøgletal'!$I$34/100,Markniveau!Z1725))</f>
        <v>27.331185321443094</v>
      </c>
      <c r="AE1725" s="10">
        <f t="shared" si="273"/>
        <v>11.75240968822053</v>
      </c>
      <c r="AF1725" s="10">
        <f t="shared" si="268"/>
        <v>1.3665592660721546</v>
      </c>
      <c r="AG1725" s="10">
        <f t="shared" si="274"/>
        <v>0.58762048441102643</v>
      </c>
      <c r="AH1725" s="10" t="str">
        <f>IF(AND(Q1725&gt;0,Q1725&lt;30,K1725=216),'Udvaskning nøgletal'!$C$42,IF(AND(Q1725&gt;0,Q1725&lt;30,K1725&gt;7,K1725&lt;17),'Udvaskning nøgletal'!$C$61,IF(AND(Q1725&gt;0,Q1725&lt;30,K1725&lt;7),'Udvaskning nøgletal'!$C$62,"")))</f>
        <v/>
      </c>
      <c r="AI1725" s="10">
        <f t="shared" si="270"/>
        <v>263</v>
      </c>
      <c r="AJ1725" s="10">
        <f>IF($X1725=1,LOOKUP(AI1725,'Udvaskning nøgletal'!$C$12:$C$62,'Udvaskning nøgletal'!$E$12:$E$62)+Markniveau!$Y1725*Markniveau!$S1725/100,IF($X1725=2,LOOKUP(AI1725,'Udvaskning nøgletal'!$C$12:$C$62,'Udvaskning nøgletal'!$F$12:$F$62)+Markniveau!$Y1725*Markniveau!$S1725/100,IF($X1725=3,LOOKUP(AI1725,'Udvaskning nøgletal'!$C$12:$C$62,'Udvaskning nøgletal'!Q1735:Q1785)+Markniveau!$Y1725*Markniveau!$S1725/100,"")))</f>
        <v>27.331185321443094</v>
      </c>
      <c r="AK1725" s="10">
        <f t="shared" si="269"/>
        <v>11.75240968822053</v>
      </c>
      <c r="AL1725" s="10">
        <f t="shared" si="271"/>
        <v>1.3665592660721546</v>
      </c>
      <c r="AM1725" s="10">
        <f t="shared" si="272"/>
        <v>0.58762048441102643</v>
      </c>
    </row>
    <row r="1726" spans="1:39" x14ac:dyDescent="0.25">
      <c r="A1726" s="15">
        <v>99614854</v>
      </c>
      <c r="B1726" s="15">
        <v>8.3699999999999992</v>
      </c>
      <c r="C1726" s="15">
        <v>577421</v>
      </c>
      <c r="D1726" s="15">
        <v>113214</v>
      </c>
      <c r="E1726" s="15" t="s">
        <v>1346</v>
      </c>
      <c r="F1726" s="15">
        <v>2011</v>
      </c>
      <c r="G1726" s="15">
        <v>20110317</v>
      </c>
      <c r="H1726" s="15">
        <v>14534</v>
      </c>
      <c r="I1726" s="15">
        <v>1.45</v>
      </c>
      <c r="J1726" s="6" t="s">
        <v>34</v>
      </c>
      <c r="K1726" s="15">
        <v>263</v>
      </c>
      <c r="L1726" s="15" t="s">
        <v>39</v>
      </c>
      <c r="M1726" s="15" t="s">
        <v>5</v>
      </c>
      <c r="N1726" s="11" t="s">
        <v>1406</v>
      </c>
      <c r="O1726" s="11" t="s">
        <v>46</v>
      </c>
      <c r="P1726" s="11" t="s">
        <v>29</v>
      </c>
      <c r="Q1726" s="15">
        <v>95</v>
      </c>
      <c r="R1726" s="11" t="s">
        <v>3</v>
      </c>
      <c r="S1726" s="10">
        <v>0</v>
      </c>
      <c r="T1726" s="15">
        <v>80</v>
      </c>
      <c r="U1726" s="15">
        <v>0</v>
      </c>
      <c r="V1726" s="15">
        <v>0</v>
      </c>
      <c r="W1726" s="15">
        <v>0</v>
      </c>
      <c r="X1726" s="15">
        <f>IF(O1726='Udvaskning nøgletal'!$D$65,1,IF(O1726='Udvaskning nøgletal'!$D$66,2,IF(O1726='Udvaskning nøgletal'!$D$67,3,IF(O1726='Udvaskning nøgletal'!$D$68,2,""))))</f>
        <v>2</v>
      </c>
      <c r="Y1726" s="15">
        <f>LOOKUP(K1726,'Udvaskning nøgletal'!$C$12:$C$60,'Udvaskning nøgletal'!$H$12:$H$60)</f>
        <v>0</v>
      </c>
      <c r="Z1726" s="10">
        <f>IF(X1726=1,LOOKUP(K1726,'Udvaskning nøgletal'!$C$12:$C$60,'Udvaskning nøgletal'!$E$12:$E$60)+Markniveau!Y1726*Markniveau!S1726/100,IF(X1726=2,LOOKUP(K1726,'Udvaskning nøgletal'!$C$12:$C$60,'Udvaskning nøgletal'!$F$12:$F$60)+Markniveau!Y1726*Markniveau!S1726/100,IF(X1726=3,LOOKUP(K1726,'Udvaskning nøgletal'!$C$12:$C$60,'Udvaskning nøgletal'!G1736:G1784)+Markniveau!Y1726*Markniveau!S1726/100,"")))</f>
        <v>27.331185321443094</v>
      </c>
      <c r="AA1726" s="10">
        <f t="shared" si="266"/>
        <v>39.630218716092486</v>
      </c>
      <c r="AB1726" s="10">
        <f t="shared" si="265"/>
        <v>1.3665592660721546</v>
      </c>
      <c r="AC1726" s="10">
        <f t="shared" si="267"/>
        <v>1.9815109358046241</v>
      </c>
      <c r="AD1726" s="10">
        <f>IF(AND(Q1726&gt;0,Q1726&lt;30,K1726&lt;8),Markniveau!Z1726*'Udvaskning nøgletal'!$I$12/100,IF(AND(Q1726&gt;0,Q1726&lt;30,K1726=216),Markniveau!Z1726*'Udvaskning nøgletal'!$I$34/100,Markniveau!Z1726))</f>
        <v>27.331185321443094</v>
      </c>
      <c r="AE1726" s="10">
        <f t="shared" si="273"/>
        <v>39.630218716092486</v>
      </c>
      <c r="AF1726" s="10">
        <f t="shared" si="268"/>
        <v>1.3665592660721546</v>
      </c>
      <c r="AG1726" s="10">
        <f t="shared" si="274"/>
        <v>1.9815109358046241</v>
      </c>
      <c r="AH1726" s="10" t="str">
        <f>IF(AND(Q1726&gt;0,Q1726&lt;30,K1726=216),'Udvaskning nøgletal'!$C$42,IF(AND(Q1726&gt;0,Q1726&lt;30,K1726&gt;7,K1726&lt;17),'Udvaskning nøgletal'!$C$61,IF(AND(Q1726&gt;0,Q1726&lt;30,K1726&lt;7),'Udvaskning nøgletal'!$C$62,"")))</f>
        <v/>
      </c>
      <c r="AI1726" s="10">
        <f t="shared" si="270"/>
        <v>263</v>
      </c>
      <c r="AJ1726" s="10">
        <f>IF($X1726=1,LOOKUP(AI1726,'Udvaskning nøgletal'!$C$12:$C$62,'Udvaskning nøgletal'!$E$12:$E$62)+Markniveau!$Y1726*Markniveau!$S1726/100,IF($X1726=2,LOOKUP(AI1726,'Udvaskning nøgletal'!$C$12:$C$62,'Udvaskning nøgletal'!$F$12:$F$62)+Markniveau!$Y1726*Markniveau!$S1726/100,IF($X1726=3,LOOKUP(AI1726,'Udvaskning nøgletal'!$C$12:$C$62,'Udvaskning nøgletal'!Q1736:Q1786)+Markniveau!$Y1726*Markniveau!$S1726/100,"")))</f>
        <v>27.331185321443094</v>
      </c>
      <c r="AK1726" s="10">
        <f t="shared" si="269"/>
        <v>39.630218716092486</v>
      </c>
      <c r="AL1726" s="10">
        <f t="shared" si="271"/>
        <v>1.3665592660721546</v>
      </c>
      <c r="AM1726" s="10">
        <f t="shared" si="272"/>
        <v>1.9815109358046241</v>
      </c>
    </row>
    <row r="1727" spans="1:39" x14ac:dyDescent="0.25">
      <c r="A1727" s="15">
        <v>99614854</v>
      </c>
      <c r="B1727" s="15">
        <v>8.3699999999999992</v>
      </c>
      <c r="C1727" s="15">
        <v>577422</v>
      </c>
      <c r="D1727" s="15">
        <v>113214</v>
      </c>
      <c r="E1727" s="15" t="s">
        <v>1347</v>
      </c>
      <c r="F1727" s="15">
        <v>2011</v>
      </c>
      <c r="G1727" s="15">
        <v>20110317</v>
      </c>
      <c r="H1727" s="15">
        <v>6242</v>
      </c>
      <c r="I1727" s="15">
        <v>0.62</v>
      </c>
      <c r="J1727" s="6" t="s">
        <v>1398</v>
      </c>
      <c r="K1727" s="15">
        <v>902</v>
      </c>
      <c r="L1727" s="15" t="s">
        <v>160</v>
      </c>
      <c r="M1727" s="15" t="s">
        <v>81</v>
      </c>
      <c r="N1727" s="11" t="s">
        <v>1406</v>
      </c>
      <c r="O1727" s="11" t="s">
        <v>46</v>
      </c>
      <c r="P1727" s="11" t="s">
        <v>29</v>
      </c>
      <c r="Q1727" s="15">
        <v>2</v>
      </c>
      <c r="R1727" s="11" t="s">
        <v>11</v>
      </c>
      <c r="S1727" s="10">
        <v>0</v>
      </c>
      <c r="T1727" s="15">
        <v>80</v>
      </c>
      <c r="U1727" s="15">
        <v>0</v>
      </c>
      <c r="V1727" s="15">
        <v>0</v>
      </c>
      <c r="W1727" s="15">
        <v>0</v>
      </c>
      <c r="X1727" s="15">
        <f>IF(O1727='Udvaskning nøgletal'!$D$65,1,IF(O1727='Udvaskning nøgletal'!$D$66,2,IF(O1727='Udvaskning nøgletal'!$D$67,3,IF(O1727='Udvaskning nøgletal'!$D$68,2,""))))</f>
        <v>2</v>
      </c>
      <c r="Y1727" s="15">
        <f>LOOKUP(K1727,'Udvaskning nøgletal'!$C$12:$C$60,'Udvaskning nøgletal'!$H$12:$H$60)</f>
        <v>0</v>
      </c>
      <c r="Z1727" s="10">
        <f>IF(X1727=1,LOOKUP(K1727,'Udvaskning nøgletal'!$C$12:$C$60,'Udvaskning nøgletal'!$E$12:$E$60)+Markniveau!Y1727*Markniveau!S1727/100,IF(X1727=2,LOOKUP(K1727,'Udvaskning nøgletal'!$C$12:$C$60,'Udvaskning nøgletal'!$F$12:$F$60)+Markniveau!Y1727*Markniveau!S1727/100,IF(X1727=3,LOOKUP(K1727,'Udvaskning nøgletal'!$C$12:$C$60,'Udvaskning nøgletal'!G1737:G1785)+Markniveau!Y1727*Markniveau!S1727/100,"")))</f>
        <v>10</v>
      </c>
      <c r="AA1727" s="10">
        <f t="shared" si="266"/>
        <v>6.2</v>
      </c>
      <c r="AB1727" s="10">
        <f t="shared" si="265"/>
        <v>9.8000000000000007</v>
      </c>
      <c r="AC1727" s="10">
        <f t="shared" si="267"/>
        <v>6.0760000000000005</v>
      </c>
      <c r="AD1727" s="10">
        <f>IF(AND(Q1727&gt;0,Q1727&lt;30,K1727&lt;8),Markniveau!Z1727*'Udvaskning nøgletal'!$I$12/100,IF(AND(Q1727&gt;0,Q1727&lt;30,K1727=216),Markniveau!Z1727*'Udvaskning nøgletal'!$I$34/100,Markniveau!Z1727))</f>
        <v>10</v>
      </c>
      <c r="AE1727" s="10">
        <f t="shared" si="273"/>
        <v>6.2</v>
      </c>
      <c r="AF1727" s="10">
        <f t="shared" si="268"/>
        <v>9.8000000000000007</v>
      </c>
      <c r="AG1727" s="10">
        <f t="shared" si="274"/>
        <v>6.0760000000000005</v>
      </c>
      <c r="AH1727" s="10" t="str">
        <f>IF(AND(Q1727&gt;0,Q1727&lt;30,K1727=216),'Udvaskning nøgletal'!$C$42,IF(AND(Q1727&gt;0,Q1727&lt;30,K1727&gt;7,K1727&lt;17),'Udvaskning nøgletal'!$C$61,IF(AND(Q1727&gt;0,Q1727&lt;30,K1727&lt;7),'Udvaskning nøgletal'!$C$62,"")))</f>
        <v/>
      </c>
      <c r="AI1727" s="10">
        <f t="shared" si="270"/>
        <v>902</v>
      </c>
      <c r="AJ1727" s="10">
        <f>IF($X1727=1,LOOKUP(AI1727,'Udvaskning nøgletal'!$C$12:$C$62,'Udvaskning nøgletal'!$E$12:$E$62)+Markniveau!$Y1727*Markniveau!$S1727/100,IF($X1727=2,LOOKUP(AI1727,'Udvaskning nøgletal'!$C$12:$C$62,'Udvaskning nøgletal'!$F$12:$F$62)+Markniveau!$Y1727*Markniveau!$S1727/100,IF($X1727=3,LOOKUP(AI1727,'Udvaskning nøgletal'!$C$12:$C$62,'Udvaskning nøgletal'!Q1737:Q1787)+Markniveau!$Y1727*Markniveau!$S1727/100,"")))</f>
        <v>10</v>
      </c>
      <c r="AK1727" s="10">
        <f t="shared" si="269"/>
        <v>6.2</v>
      </c>
      <c r="AL1727" s="10">
        <f t="shared" si="271"/>
        <v>9.8000000000000007</v>
      </c>
      <c r="AM1727" s="10">
        <f t="shared" si="272"/>
        <v>6.0760000000000005</v>
      </c>
    </row>
    <row r="1728" spans="1:39" x14ac:dyDescent="0.25">
      <c r="A1728" s="15">
        <v>99614854</v>
      </c>
      <c r="B1728" s="15">
        <v>8.3699999999999992</v>
      </c>
      <c r="C1728" s="15">
        <v>577932</v>
      </c>
      <c r="D1728" s="15">
        <v>113214</v>
      </c>
      <c r="E1728" s="15" t="s">
        <v>800</v>
      </c>
      <c r="F1728" s="15">
        <v>2011</v>
      </c>
      <c r="G1728" s="15">
        <v>20110317</v>
      </c>
      <c r="H1728" s="15">
        <v>12593</v>
      </c>
      <c r="I1728" s="15">
        <v>1.26</v>
      </c>
      <c r="J1728" s="6" t="s">
        <v>1455</v>
      </c>
      <c r="K1728" s="15">
        <v>902</v>
      </c>
      <c r="L1728" s="15" t="s">
        <v>160</v>
      </c>
      <c r="M1728" s="15" t="s">
        <v>81</v>
      </c>
      <c r="N1728" s="11" t="s">
        <v>1406</v>
      </c>
      <c r="O1728" s="11" t="s">
        <v>46</v>
      </c>
      <c r="P1728" s="11" t="s">
        <v>29</v>
      </c>
      <c r="Q1728" s="15">
        <v>2</v>
      </c>
      <c r="R1728" s="11" t="s">
        <v>11</v>
      </c>
      <c r="S1728" s="10">
        <v>0</v>
      </c>
      <c r="T1728" s="15">
        <v>80</v>
      </c>
      <c r="U1728" s="15">
        <v>0</v>
      </c>
      <c r="V1728" s="15">
        <v>0</v>
      </c>
      <c r="W1728" s="15">
        <v>0</v>
      </c>
      <c r="X1728" s="15">
        <f>IF(O1728='Udvaskning nøgletal'!$D$65,1,IF(O1728='Udvaskning nøgletal'!$D$66,2,IF(O1728='Udvaskning nøgletal'!$D$67,3,IF(O1728='Udvaskning nøgletal'!$D$68,2,""))))</f>
        <v>2</v>
      </c>
      <c r="Y1728" s="15">
        <f>LOOKUP(K1728,'Udvaskning nøgletal'!$C$12:$C$60,'Udvaskning nøgletal'!$H$12:$H$60)</f>
        <v>0</v>
      </c>
      <c r="Z1728" s="10">
        <f>IF(X1728=1,LOOKUP(K1728,'Udvaskning nøgletal'!$C$12:$C$60,'Udvaskning nøgletal'!$E$12:$E$60)+Markniveau!Y1728*Markniveau!S1728/100,IF(X1728=2,LOOKUP(K1728,'Udvaskning nøgletal'!$C$12:$C$60,'Udvaskning nøgletal'!$F$12:$F$60)+Markniveau!Y1728*Markniveau!S1728/100,IF(X1728=3,LOOKUP(K1728,'Udvaskning nøgletal'!$C$12:$C$60,'Udvaskning nøgletal'!G1738:G1786)+Markniveau!Y1728*Markniveau!S1728/100,"")))</f>
        <v>10</v>
      </c>
      <c r="AA1728" s="10">
        <f t="shared" si="266"/>
        <v>12.6</v>
      </c>
      <c r="AB1728" s="10">
        <f t="shared" si="265"/>
        <v>9.8000000000000007</v>
      </c>
      <c r="AC1728" s="10">
        <f t="shared" si="267"/>
        <v>12.348000000000001</v>
      </c>
      <c r="AD1728" s="10">
        <f>IF(AND(Q1728&gt;0,Q1728&lt;30,K1728&lt;8),Markniveau!Z1728*'Udvaskning nøgletal'!$I$12/100,IF(AND(Q1728&gt;0,Q1728&lt;30,K1728=216),Markniveau!Z1728*'Udvaskning nøgletal'!$I$34/100,Markniveau!Z1728))</f>
        <v>10</v>
      </c>
      <c r="AE1728" s="10">
        <f t="shared" si="273"/>
        <v>12.6</v>
      </c>
      <c r="AF1728" s="10">
        <f t="shared" si="268"/>
        <v>9.8000000000000007</v>
      </c>
      <c r="AG1728" s="10">
        <f t="shared" si="274"/>
        <v>12.348000000000001</v>
      </c>
      <c r="AH1728" s="10" t="str">
        <f>IF(AND(Q1728&gt;0,Q1728&lt;30,K1728=216),'Udvaskning nøgletal'!$C$42,IF(AND(Q1728&gt;0,Q1728&lt;30,K1728&gt;7,K1728&lt;17),'Udvaskning nøgletal'!$C$61,IF(AND(Q1728&gt;0,Q1728&lt;30,K1728&lt;7),'Udvaskning nøgletal'!$C$62,"")))</f>
        <v/>
      </c>
      <c r="AI1728" s="10">
        <f t="shared" si="270"/>
        <v>902</v>
      </c>
      <c r="AJ1728" s="10">
        <f>IF($X1728=1,LOOKUP(AI1728,'Udvaskning nøgletal'!$C$12:$C$62,'Udvaskning nøgletal'!$E$12:$E$62)+Markniveau!$Y1728*Markniveau!$S1728/100,IF($X1728=2,LOOKUP(AI1728,'Udvaskning nøgletal'!$C$12:$C$62,'Udvaskning nøgletal'!$F$12:$F$62)+Markniveau!$Y1728*Markniveau!$S1728/100,IF($X1728=3,LOOKUP(AI1728,'Udvaskning nøgletal'!$C$12:$C$62,'Udvaskning nøgletal'!Q1738:Q1788)+Markniveau!$Y1728*Markniveau!$S1728/100,"")))</f>
        <v>10</v>
      </c>
      <c r="AK1728" s="10">
        <f t="shared" si="269"/>
        <v>12.6</v>
      </c>
      <c r="AL1728" s="10">
        <f t="shared" si="271"/>
        <v>9.8000000000000007</v>
      </c>
      <c r="AM1728" s="10">
        <f t="shared" si="272"/>
        <v>12.348000000000001</v>
      </c>
    </row>
    <row r="1729" spans="1:39" x14ac:dyDescent="0.25">
      <c r="A1729" s="15">
        <v>99614854</v>
      </c>
      <c r="B1729" s="15">
        <v>8.3699999999999992</v>
      </c>
      <c r="C1729" s="15">
        <v>577933</v>
      </c>
      <c r="D1729" s="15">
        <v>113214</v>
      </c>
      <c r="E1729" s="15" t="s">
        <v>800</v>
      </c>
      <c r="F1729" s="15">
        <v>2011</v>
      </c>
      <c r="G1729" s="15">
        <v>20110317</v>
      </c>
      <c r="H1729" s="15">
        <v>19991</v>
      </c>
      <c r="I1729" s="15">
        <v>2</v>
      </c>
      <c r="J1729" s="6" t="s">
        <v>97</v>
      </c>
      <c r="K1729" s="15">
        <v>252</v>
      </c>
      <c r="L1729" s="15" t="s">
        <v>41</v>
      </c>
      <c r="M1729" s="15" t="s">
        <v>4</v>
      </c>
      <c r="N1729" s="11" t="s">
        <v>1406</v>
      </c>
      <c r="O1729" s="11" t="s">
        <v>46</v>
      </c>
      <c r="P1729" s="11" t="s">
        <v>29</v>
      </c>
      <c r="Q1729" s="15">
        <v>2</v>
      </c>
      <c r="R1729" s="11" t="s">
        <v>11</v>
      </c>
      <c r="S1729" s="10">
        <v>0</v>
      </c>
      <c r="T1729" s="15">
        <v>80</v>
      </c>
      <c r="U1729" s="15">
        <v>0</v>
      </c>
      <c r="V1729" s="15">
        <v>0</v>
      </c>
      <c r="W1729" s="15">
        <v>0</v>
      </c>
      <c r="X1729" s="15">
        <f>IF(O1729='Udvaskning nøgletal'!$D$65,1,IF(O1729='Udvaskning nøgletal'!$D$66,2,IF(O1729='Udvaskning nøgletal'!$D$67,3,IF(O1729='Udvaskning nøgletal'!$D$68,2,""))))</f>
        <v>2</v>
      </c>
      <c r="Y1729" s="15">
        <f>LOOKUP(K1729,'Udvaskning nøgletal'!$C$12:$C$60,'Udvaskning nøgletal'!$H$12:$H$60)</f>
        <v>0</v>
      </c>
      <c r="Z1729" s="10">
        <f>IF(X1729=1,LOOKUP(K1729,'Udvaskning nøgletal'!$C$12:$C$60,'Udvaskning nøgletal'!$E$12:$E$60)+Markniveau!Y1729*Markniveau!S1729/100,IF(X1729=2,LOOKUP(K1729,'Udvaskning nøgletal'!$C$12:$C$60,'Udvaskning nøgletal'!$F$12:$F$60)+Markniveau!Y1729*Markniveau!S1729/100,IF(X1729=3,LOOKUP(K1729,'Udvaskning nøgletal'!$C$12:$C$60,'Udvaskning nøgletal'!G1739:G1787)+Markniveau!Y1729*Markniveau!S1729/100,"")))</f>
        <v>21.2</v>
      </c>
      <c r="AA1729" s="10">
        <f t="shared" si="266"/>
        <v>42.4</v>
      </c>
      <c r="AB1729" s="10">
        <f t="shared" si="265"/>
        <v>20.776</v>
      </c>
      <c r="AC1729" s="10">
        <f t="shared" si="267"/>
        <v>41.552</v>
      </c>
      <c r="AD1729" s="10">
        <f>IF(AND(Q1729&gt;0,Q1729&lt;30,K1729&lt;8),Markniveau!Z1729*'Udvaskning nøgletal'!$I$12/100,IF(AND(Q1729&gt;0,Q1729&lt;30,K1729=216),Markniveau!Z1729*'Udvaskning nøgletal'!$I$34/100,Markniveau!Z1729))</f>
        <v>21.2</v>
      </c>
      <c r="AE1729" s="10">
        <f t="shared" si="273"/>
        <v>42.4</v>
      </c>
      <c r="AF1729" s="10">
        <f t="shared" si="268"/>
        <v>20.776</v>
      </c>
      <c r="AG1729" s="10">
        <f t="shared" si="274"/>
        <v>41.552</v>
      </c>
      <c r="AH1729" s="10" t="str">
        <f>IF(AND(Q1729&gt;0,Q1729&lt;30,K1729=216),'Udvaskning nøgletal'!$C$42,IF(AND(Q1729&gt;0,Q1729&lt;30,K1729&gt;7,K1729&lt;17),'Udvaskning nøgletal'!$C$61,IF(AND(Q1729&gt;0,Q1729&lt;30,K1729&lt;7),'Udvaskning nøgletal'!$C$62,"")))</f>
        <v/>
      </c>
      <c r="AI1729" s="10">
        <f t="shared" si="270"/>
        <v>252</v>
      </c>
      <c r="AJ1729" s="10">
        <f>IF($X1729=1,LOOKUP(AI1729,'Udvaskning nøgletal'!$C$12:$C$62,'Udvaskning nøgletal'!$E$12:$E$62)+Markniveau!$Y1729*Markniveau!$S1729/100,IF($X1729=2,LOOKUP(AI1729,'Udvaskning nøgletal'!$C$12:$C$62,'Udvaskning nøgletal'!$F$12:$F$62)+Markniveau!$Y1729*Markniveau!$S1729/100,IF($X1729=3,LOOKUP(AI1729,'Udvaskning nøgletal'!$C$12:$C$62,'Udvaskning nøgletal'!Q1739:Q1789)+Markniveau!$Y1729*Markniveau!$S1729/100,"")))</f>
        <v>21.2</v>
      </c>
      <c r="AK1729" s="10">
        <f t="shared" si="269"/>
        <v>42.4</v>
      </c>
      <c r="AL1729" s="10">
        <f t="shared" si="271"/>
        <v>20.776</v>
      </c>
      <c r="AM1729" s="10">
        <f t="shared" si="272"/>
        <v>41.552</v>
      </c>
    </row>
    <row r="1730" spans="1:39" x14ac:dyDescent="0.25">
      <c r="A1730" s="15">
        <v>99614854</v>
      </c>
      <c r="B1730" s="15">
        <v>8.3699999999999992</v>
      </c>
      <c r="C1730" s="15">
        <v>577934</v>
      </c>
      <c r="D1730" s="15">
        <v>113214</v>
      </c>
      <c r="E1730" s="15" t="s">
        <v>1347</v>
      </c>
      <c r="F1730" s="15">
        <v>2011</v>
      </c>
      <c r="G1730" s="15">
        <v>20110317</v>
      </c>
      <c r="H1730" s="15">
        <v>12122</v>
      </c>
      <c r="I1730" s="15">
        <v>1.21</v>
      </c>
      <c r="J1730" s="6" t="s">
        <v>37</v>
      </c>
      <c r="K1730" s="15">
        <v>252</v>
      </c>
      <c r="L1730" s="15" t="s">
        <v>41</v>
      </c>
      <c r="M1730" s="15" t="s">
        <v>4</v>
      </c>
      <c r="N1730" s="11" t="s">
        <v>1406</v>
      </c>
      <c r="O1730" s="11" t="s">
        <v>46</v>
      </c>
      <c r="P1730" s="11" t="s">
        <v>29</v>
      </c>
      <c r="Q1730" s="15">
        <v>2</v>
      </c>
      <c r="R1730" s="11" t="s">
        <v>11</v>
      </c>
      <c r="S1730" s="10">
        <v>0</v>
      </c>
      <c r="T1730" s="15">
        <v>80</v>
      </c>
      <c r="U1730" s="15">
        <v>0</v>
      </c>
      <c r="V1730" s="15">
        <v>0</v>
      </c>
      <c r="W1730" s="15">
        <v>0</v>
      </c>
      <c r="X1730" s="15">
        <f>IF(O1730='Udvaskning nøgletal'!$D$65,1,IF(O1730='Udvaskning nøgletal'!$D$66,2,IF(O1730='Udvaskning nøgletal'!$D$67,3,IF(O1730='Udvaskning nøgletal'!$D$68,2,""))))</f>
        <v>2</v>
      </c>
      <c r="Y1730" s="15">
        <f>LOOKUP(K1730,'Udvaskning nøgletal'!$C$12:$C$60,'Udvaskning nøgletal'!$H$12:$H$60)</f>
        <v>0</v>
      </c>
      <c r="Z1730" s="10">
        <f>IF(X1730=1,LOOKUP(K1730,'Udvaskning nøgletal'!$C$12:$C$60,'Udvaskning nøgletal'!$E$12:$E$60)+Markniveau!Y1730*Markniveau!S1730/100,IF(X1730=2,LOOKUP(K1730,'Udvaskning nøgletal'!$C$12:$C$60,'Udvaskning nøgletal'!$F$12:$F$60)+Markniveau!Y1730*Markniveau!S1730/100,IF(X1730=3,LOOKUP(K1730,'Udvaskning nøgletal'!$C$12:$C$60,'Udvaskning nøgletal'!G1740:G1788)+Markniveau!Y1730*Markniveau!S1730/100,"")))</f>
        <v>21.2</v>
      </c>
      <c r="AA1730" s="10">
        <f t="shared" si="266"/>
        <v>25.651999999999997</v>
      </c>
      <c r="AB1730" s="10">
        <f t="shared" ref="AB1730:AB1731" si="275">IF(Q1730&gt;0,(100-Q1730)*Z1730/100,"")</f>
        <v>20.776</v>
      </c>
      <c r="AC1730" s="10">
        <f t="shared" si="267"/>
        <v>25.138959999999997</v>
      </c>
      <c r="AD1730" s="10">
        <f>IF(AND(Q1730&gt;0,Q1730&lt;30,K1730&lt;8),Markniveau!Z1730*'Udvaskning nøgletal'!$I$12/100,IF(AND(Q1730&gt;0,Q1730&lt;30,K1730=216),Markniveau!Z1730*'Udvaskning nøgletal'!$I$34/100,Markniveau!Z1730))</f>
        <v>21.2</v>
      </c>
      <c r="AE1730" s="10">
        <f t="shared" si="273"/>
        <v>25.651999999999997</v>
      </c>
      <c r="AF1730" s="10">
        <f t="shared" si="268"/>
        <v>20.776</v>
      </c>
      <c r="AG1730" s="10">
        <f t="shared" si="274"/>
        <v>25.138959999999997</v>
      </c>
      <c r="AH1730" s="10" t="str">
        <f>IF(AND(Q1730&gt;0,Q1730&lt;30,K1730=216),'Udvaskning nøgletal'!$C$42,IF(AND(Q1730&gt;0,Q1730&lt;30,K1730&gt;7,K1730&lt;17),'Udvaskning nøgletal'!$C$61,IF(AND(Q1730&gt;0,Q1730&lt;30,K1730&lt;7),'Udvaskning nøgletal'!$C$62,"")))</f>
        <v/>
      </c>
      <c r="AI1730" s="10">
        <f t="shared" si="270"/>
        <v>252</v>
      </c>
      <c r="AJ1730" s="10">
        <f>IF($X1730=1,LOOKUP(AI1730,'Udvaskning nøgletal'!$C$12:$C$62,'Udvaskning nøgletal'!$E$12:$E$62)+Markniveau!$Y1730*Markniveau!$S1730/100,IF($X1730=2,LOOKUP(AI1730,'Udvaskning nøgletal'!$C$12:$C$62,'Udvaskning nøgletal'!$F$12:$F$62)+Markniveau!$Y1730*Markniveau!$S1730/100,IF($X1730=3,LOOKUP(AI1730,'Udvaskning nøgletal'!$C$12:$C$62,'Udvaskning nøgletal'!Q1740:Q1790)+Markniveau!$Y1730*Markniveau!$S1730/100,"")))</f>
        <v>21.2</v>
      </c>
      <c r="AK1730" s="10">
        <f t="shared" si="269"/>
        <v>25.651999999999997</v>
      </c>
      <c r="AL1730" s="10">
        <f t="shared" si="271"/>
        <v>20.776</v>
      </c>
      <c r="AM1730" s="10">
        <f t="shared" si="272"/>
        <v>25.138959999999997</v>
      </c>
    </row>
    <row r="1731" spans="1:39" x14ac:dyDescent="0.25">
      <c r="A1731" s="15">
        <v>99614854</v>
      </c>
      <c r="B1731" s="15">
        <v>8.3699999999999992</v>
      </c>
      <c r="C1731" s="15">
        <v>577419</v>
      </c>
      <c r="D1731" s="15">
        <v>113214</v>
      </c>
      <c r="E1731" s="15" t="s">
        <v>1348</v>
      </c>
      <c r="F1731" s="15">
        <v>2011</v>
      </c>
      <c r="G1731" s="15">
        <v>20110317</v>
      </c>
      <c r="H1731" s="15">
        <v>13448</v>
      </c>
      <c r="I1731" s="15">
        <v>1.34</v>
      </c>
      <c r="J1731" s="6" t="s">
        <v>61</v>
      </c>
      <c r="K1731" s="15">
        <v>210</v>
      </c>
      <c r="L1731" s="15" t="s">
        <v>262</v>
      </c>
      <c r="M1731" s="15" t="s">
        <v>5</v>
      </c>
      <c r="N1731" s="11" t="s">
        <v>1406</v>
      </c>
      <c r="O1731" s="11" t="s">
        <v>46</v>
      </c>
      <c r="P1731" s="11" t="s">
        <v>29</v>
      </c>
      <c r="Q1731" s="15">
        <v>2</v>
      </c>
      <c r="R1731" s="11" t="s">
        <v>11</v>
      </c>
      <c r="S1731" s="10">
        <v>0</v>
      </c>
      <c r="T1731" s="15">
        <v>80</v>
      </c>
      <c r="U1731" s="15">
        <v>0</v>
      </c>
      <c r="V1731" s="15">
        <v>0</v>
      </c>
      <c r="W1731" s="15">
        <v>0</v>
      </c>
      <c r="X1731" s="15">
        <f>IF(O1731='Udvaskning nøgletal'!$D$65,1,IF(O1731='Udvaskning nøgletal'!$D$66,2,IF(O1731='Udvaskning nøgletal'!$D$67,3,IF(O1731='Udvaskning nøgletal'!$D$68,2,""))))</f>
        <v>2</v>
      </c>
      <c r="Y1731" s="15">
        <f>LOOKUP(K1731,'Udvaskning nøgletal'!$C$12:$C$60,'Udvaskning nøgletal'!$H$12:$H$60)</f>
        <v>0</v>
      </c>
      <c r="Z1731" s="10">
        <f>IF(X1731=1,LOOKUP(K1731,'Udvaskning nøgletal'!$C$12:$C$60,'Udvaskning nøgletal'!$E$12:$E$60)+Markniveau!Y1731*Markniveau!S1731/100,IF(X1731=2,LOOKUP(K1731,'Udvaskning nøgletal'!$C$12:$C$60,'Udvaskning nøgletal'!$F$12:$F$60)+Markniveau!Y1731*Markniveau!S1731/100,IF(X1731=3,LOOKUP(K1731,'Udvaskning nøgletal'!$C$12:$C$60,'Udvaskning nøgletal'!G1741:G1789)+Markniveau!Y1731*Markniveau!S1731/100,"")))</f>
        <v>31.161328188970323</v>
      </c>
      <c r="AA1731" s="10">
        <f t="shared" ref="AA1731:AA1732" si="276">Z1731*I1731</f>
        <v>41.756179773220232</v>
      </c>
      <c r="AB1731" s="10">
        <f t="shared" si="275"/>
        <v>30.538101625190915</v>
      </c>
      <c r="AC1731" s="10">
        <f t="shared" ref="AC1731" si="277">IF(Q1731&gt;0,AB1731*I1731,"")</f>
        <v>40.92105617775583</v>
      </c>
      <c r="AD1731" s="10">
        <f>IF(AND(Q1731&gt;0,Q1731&lt;30,K1731&lt;8),Markniveau!Z1731*'Udvaskning nøgletal'!$I$12/100,IF(AND(Q1731&gt;0,Q1731&lt;30,K1731=216),Markniveau!Z1731*'Udvaskning nøgletal'!$I$34/100,Markniveau!Z1731))</f>
        <v>31.161328188970323</v>
      </c>
      <c r="AE1731" s="10">
        <f t="shared" si="273"/>
        <v>41.756179773220232</v>
      </c>
      <c r="AF1731" s="10">
        <f t="shared" ref="AF1731:AF1732" si="278">IF($Q1731&gt;0,(100-$Q1731)*$AD1731/100,"")</f>
        <v>30.538101625190915</v>
      </c>
      <c r="AG1731" s="10">
        <f t="shared" si="274"/>
        <v>40.92105617775583</v>
      </c>
      <c r="AH1731" s="10" t="str">
        <f>IF(AND(Q1731&gt;0,Q1731&lt;30,K1731=216),'Udvaskning nøgletal'!$C$42,IF(AND(Q1731&gt;0,Q1731&lt;30,K1731&gt;7,K1731&lt;17),'Udvaskning nøgletal'!$C$61,IF(AND(Q1731&gt;0,Q1731&lt;30,K1731&lt;7),'Udvaskning nøgletal'!$C$62,"")))</f>
        <v/>
      </c>
      <c r="AI1731" s="10">
        <f t="shared" si="270"/>
        <v>210</v>
      </c>
      <c r="AJ1731" s="10">
        <f>IF($X1731=1,LOOKUP(AI1731,'Udvaskning nøgletal'!$C$12:$C$62,'Udvaskning nøgletal'!$E$12:$E$62)+Markniveau!$Y1731*Markniveau!$S1731/100,IF($X1731=2,LOOKUP(AI1731,'Udvaskning nøgletal'!$C$12:$C$62,'Udvaskning nøgletal'!$F$12:$F$62)+Markniveau!$Y1731*Markniveau!$S1731/100,IF($X1731=3,LOOKUP(AI1731,'Udvaskning nøgletal'!$C$12:$C$62,'Udvaskning nøgletal'!Q1741:Q1791)+Markniveau!$Y1731*Markniveau!$S1731/100,"")))</f>
        <v>31.161328188970323</v>
      </c>
      <c r="AK1731" s="10">
        <f t="shared" ref="AK1731:AK1732" si="279">AJ1731*$I1731</f>
        <v>41.756179773220232</v>
      </c>
      <c r="AL1731" s="10">
        <f t="shared" si="271"/>
        <v>30.538101625190915</v>
      </c>
      <c r="AM1731" s="10">
        <f t="shared" si="272"/>
        <v>40.92105617775583</v>
      </c>
    </row>
    <row r="1732" spans="1:39" x14ac:dyDescent="0.25">
      <c r="A1732" s="15">
        <v>99614854</v>
      </c>
      <c r="B1732" s="15">
        <v>8.3699999999999992</v>
      </c>
      <c r="C1732" s="15">
        <v>577420</v>
      </c>
      <c r="D1732" s="15">
        <v>113214</v>
      </c>
      <c r="E1732" s="15" t="s">
        <v>1348</v>
      </c>
      <c r="F1732" s="15">
        <v>2011</v>
      </c>
      <c r="G1732" s="15">
        <v>20110317</v>
      </c>
      <c r="H1732" s="15">
        <v>4910</v>
      </c>
      <c r="I1732" s="15">
        <v>0.49</v>
      </c>
      <c r="J1732" s="6" t="s">
        <v>1402</v>
      </c>
      <c r="K1732" s="15">
        <v>252</v>
      </c>
      <c r="L1732" s="15" t="s">
        <v>41</v>
      </c>
      <c r="M1732" s="15" t="s">
        <v>4</v>
      </c>
      <c r="N1732" s="11" t="s">
        <v>1406</v>
      </c>
      <c r="O1732" s="11" t="s">
        <v>46</v>
      </c>
      <c r="P1732" s="11" t="s">
        <v>29</v>
      </c>
      <c r="Q1732" s="15">
        <v>2</v>
      </c>
      <c r="R1732" s="11" t="s">
        <v>11</v>
      </c>
      <c r="S1732" s="10">
        <v>0</v>
      </c>
      <c r="T1732" s="15">
        <v>80</v>
      </c>
      <c r="U1732" s="15">
        <v>0</v>
      </c>
      <c r="V1732" s="15">
        <v>0</v>
      </c>
      <c r="W1732" s="15">
        <v>0</v>
      </c>
      <c r="X1732" s="15">
        <f>IF(O1732='Udvaskning nøgletal'!$D$65,1,IF(O1732='Udvaskning nøgletal'!$D$66,2,IF(O1732='Udvaskning nøgletal'!$D$67,3,IF(O1732='Udvaskning nøgletal'!$D$68,2,""))))</f>
        <v>2</v>
      </c>
      <c r="Y1732" s="15">
        <f>LOOKUP(K1732,'Udvaskning nøgletal'!$C$12:$C$60,'Udvaskning nøgletal'!$H$12:$H$60)</f>
        <v>0</v>
      </c>
      <c r="Z1732" s="10">
        <f>IF(X1732=1,LOOKUP(K1732,'Udvaskning nøgletal'!$C$12:$C$60,'Udvaskning nøgletal'!$E$12:$E$60)+Markniveau!Y1732*Markniveau!S1732/100,IF(X1732=2,LOOKUP(K1732,'Udvaskning nøgletal'!$C$12:$C$60,'Udvaskning nøgletal'!$F$12:$F$60)+Markniveau!Y1732*Markniveau!S1732/100,IF(X1732=3,LOOKUP(K1732,'Udvaskning nøgletal'!$C$12:$C$60,'Udvaskning nøgletal'!G1742:G1790)+Markniveau!Y1732*Markniveau!S1732/100,"")))</f>
        <v>21.2</v>
      </c>
      <c r="AA1732" s="10">
        <f t="shared" si="276"/>
        <v>10.388</v>
      </c>
      <c r="AB1732" s="10">
        <f>IF(Q1732&gt;0,(100-Q1732)*Z1732/100,"")</f>
        <v>20.776</v>
      </c>
      <c r="AC1732" s="10">
        <f>IF(Q1732&gt;0,AB1732*I1732,"")</f>
        <v>10.18024</v>
      </c>
      <c r="AD1732" s="10">
        <f>IF(AND(Q1732&gt;0,Q1732&lt;30,K1732&lt;8),Markniveau!Z1732*'Udvaskning nøgletal'!$I$12/100,IF(AND(Q1732&gt;0,Q1732&lt;30,K1732=216),Markniveau!Z1732*'Udvaskning nøgletal'!$I$34/100,Markniveau!Z1732))</f>
        <v>21.2</v>
      </c>
      <c r="AE1732" s="10">
        <f t="shared" si="273"/>
        <v>10.388</v>
      </c>
      <c r="AF1732" s="10">
        <f t="shared" si="278"/>
        <v>20.776</v>
      </c>
      <c r="AG1732" s="10">
        <f t="shared" si="274"/>
        <v>10.18024</v>
      </c>
      <c r="AH1732" s="10" t="str">
        <f>IF(AND(Q1732&gt;0,Q1732&lt;30,K1732=216),'Udvaskning nøgletal'!$C$42,IF(AND(Q1732&gt;0,Q1732&lt;30,K1732&gt;7,K1732&lt;17),'Udvaskning nøgletal'!$C$61,IF(AND(Q1732&gt;0,Q1732&lt;30,K1732&lt;7),'Udvaskning nøgletal'!$C$62,"")))</f>
        <v/>
      </c>
      <c r="AI1732" s="10">
        <f t="shared" si="270"/>
        <v>252</v>
      </c>
      <c r="AJ1732" s="10">
        <f>IF($X1732=1,LOOKUP(AI1732,'Udvaskning nøgletal'!$C$12:$C$62,'Udvaskning nøgletal'!$E$12:$E$62)+Markniveau!$Y1732*Markniveau!$S1732/100,IF($X1732=2,LOOKUP(AI1732,'Udvaskning nøgletal'!$C$12:$C$62,'Udvaskning nøgletal'!$F$12:$F$62)+Markniveau!$Y1732*Markniveau!$S1732/100,IF($X1732=3,LOOKUP(AI1732,'Udvaskning nøgletal'!$C$12:$C$62,'Udvaskning nøgletal'!Q1742:Q1792)+Markniveau!$Y1732*Markniveau!$S1732/100,"")))</f>
        <v>21.2</v>
      </c>
      <c r="AK1732" s="10">
        <f t="shared" si="279"/>
        <v>10.388</v>
      </c>
      <c r="AL1732" s="10">
        <f t="shared" si="271"/>
        <v>20.776</v>
      </c>
      <c r="AM1732" s="10">
        <f t="shared" si="272"/>
        <v>10.18024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
  <sheetViews>
    <sheetView workbookViewId="0">
      <selection activeCell="A2" sqref="A1:V93"/>
    </sheetView>
  </sheetViews>
  <sheetFormatPr defaultRowHeight="15" x14ac:dyDescent="0.25"/>
  <cols>
    <col min="22" max="22" width="9.140625" style="1"/>
  </cols>
  <sheetData>
    <row r="1" spans="1:22" s="3" customFormat="1" ht="93.75" customHeight="1" x14ac:dyDescent="0.25">
      <c r="A1" s="7" t="s">
        <v>12</v>
      </c>
      <c r="B1" s="7" t="s">
        <v>1350</v>
      </c>
      <c r="C1" s="7" t="s">
        <v>1351</v>
      </c>
      <c r="D1" s="7" t="s">
        <v>1352</v>
      </c>
      <c r="E1" s="7" t="s">
        <v>1353</v>
      </c>
      <c r="F1" s="7" t="s">
        <v>1354</v>
      </c>
      <c r="G1" s="7" t="s">
        <v>1355</v>
      </c>
      <c r="H1" s="7" t="s">
        <v>1356</v>
      </c>
      <c r="I1" s="7" t="s">
        <v>1357</v>
      </c>
      <c r="J1" s="7" t="s">
        <v>1358</v>
      </c>
      <c r="K1" s="7" t="s">
        <v>1359</v>
      </c>
      <c r="L1" s="7" t="s">
        <v>1360</v>
      </c>
      <c r="M1" s="7" t="s">
        <v>1361</v>
      </c>
      <c r="N1" s="7" t="s">
        <v>1362</v>
      </c>
      <c r="O1" s="7" t="s">
        <v>1363</v>
      </c>
      <c r="P1" s="7" t="s">
        <v>1364</v>
      </c>
      <c r="Q1" s="7" t="s">
        <v>1365</v>
      </c>
      <c r="R1" s="7" t="s">
        <v>1366</v>
      </c>
      <c r="S1" s="7" t="s">
        <v>1367</v>
      </c>
      <c r="T1" s="7" t="s">
        <v>1368</v>
      </c>
      <c r="U1" s="7" t="s">
        <v>1369</v>
      </c>
      <c r="V1" s="9" t="s">
        <v>1370</v>
      </c>
    </row>
    <row r="2" spans="1:22" x14ac:dyDescent="0.25">
      <c r="A2" s="15">
        <v>10225531</v>
      </c>
      <c r="B2" s="15">
        <v>9.4600000000000009</v>
      </c>
      <c r="C2" s="15">
        <v>35.57</v>
      </c>
      <c r="D2" s="15">
        <v>30.69</v>
      </c>
      <c r="E2" s="15">
        <v>738.29</v>
      </c>
      <c r="F2" s="15">
        <v>0</v>
      </c>
      <c r="G2" s="15">
        <v>0</v>
      </c>
      <c r="H2" s="15">
        <v>405.99</v>
      </c>
      <c r="I2" s="15">
        <v>3310</v>
      </c>
      <c r="J2" s="15">
        <v>0</v>
      </c>
      <c r="K2" s="15">
        <v>3591.77</v>
      </c>
      <c r="L2" s="15">
        <v>3565.74</v>
      </c>
      <c r="M2" s="15">
        <v>30.05</v>
      </c>
      <c r="N2" s="15">
        <v>2.38</v>
      </c>
      <c r="O2" s="15">
        <v>7.91</v>
      </c>
      <c r="P2" s="15">
        <v>0</v>
      </c>
      <c r="Q2" s="15">
        <v>0</v>
      </c>
      <c r="R2" s="15">
        <v>0</v>
      </c>
      <c r="S2" s="15">
        <v>0</v>
      </c>
      <c r="T2" s="15">
        <v>7.91</v>
      </c>
      <c r="U2" s="15">
        <v>0.14000000000000001</v>
      </c>
    </row>
    <row r="3" spans="1:22" x14ac:dyDescent="0.25">
      <c r="A3" s="15">
        <v>10799686</v>
      </c>
      <c r="B3" s="15">
        <v>9.76</v>
      </c>
      <c r="C3" s="15">
        <v>161.72</v>
      </c>
      <c r="D3" s="15">
        <v>161.72</v>
      </c>
      <c r="E3" s="15">
        <v>22378.720000000001</v>
      </c>
      <c r="F3" s="15">
        <v>0</v>
      </c>
      <c r="G3" s="15">
        <v>1930.79</v>
      </c>
      <c r="H3" s="15">
        <v>19183.63</v>
      </c>
      <c r="I3" s="15">
        <v>0</v>
      </c>
      <c r="J3" s="15">
        <v>0</v>
      </c>
      <c r="K3" s="15">
        <v>26766.87</v>
      </c>
      <c r="L3" s="15">
        <v>13130.6</v>
      </c>
      <c r="M3" s="15">
        <v>64.67</v>
      </c>
      <c r="N3" s="15">
        <v>20.100000000000001</v>
      </c>
      <c r="O3" s="15">
        <v>232.43</v>
      </c>
      <c r="P3" s="15">
        <v>0</v>
      </c>
      <c r="Q3" s="15">
        <v>0</v>
      </c>
      <c r="R3" s="15">
        <v>0</v>
      </c>
      <c r="S3" s="15">
        <v>1.3</v>
      </c>
      <c r="T3" s="15">
        <v>233.73</v>
      </c>
      <c r="U3" s="15">
        <v>1.23</v>
      </c>
    </row>
    <row r="4" spans="1:22" x14ac:dyDescent="0.25">
      <c r="A4" s="15">
        <v>11852491</v>
      </c>
      <c r="B4" s="15">
        <v>59.66</v>
      </c>
      <c r="C4" s="15">
        <v>58.49</v>
      </c>
      <c r="D4" s="15">
        <v>58.49</v>
      </c>
      <c r="E4" s="15">
        <v>5399.17</v>
      </c>
      <c r="F4" s="15">
        <v>0</v>
      </c>
      <c r="G4" s="15">
        <v>0</v>
      </c>
      <c r="H4" s="15">
        <v>5761.17</v>
      </c>
      <c r="I4" s="15">
        <v>5339</v>
      </c>
      <c r="J4" s="15">
        <v>0</v>
      </c>
      <c r="K4" s="15">
        <v>8286.31</v>
      </c>
      <c r="L4" s="15">
        <v>8247.7999999999993</v>
      </c>
      <c r="M4" s="15">
        <v>37.520000000000003</v>
      </c>
      <c r="N4" s="15">
        <v>6.38</v>
      </c>
      <c r="O4" s="15">
        <v>52.86</v>
      </c>
      <c r="P4" s="15">
        <v>0</v>
      </c>
      <c r="Q4" s="15">
        <v>0</v>
      </c>
      <c r="R4" s="15">
        <v>0</v>
      </c>
      <c r="S4" s="15">
        <v>0.87</v>
      </c>
      <c r="T4" s="15">
        <v>53.73</v>
      </c>
      <c r="U4" s="15">
        <v>0.98</v>
      </c>
    </row>
    <row r="5" spans="1:22" x14ac:dyDescent="0.25">
      <c r="A5" s="15">
        <v>12729839</v>
      </c>
      <c r="B5" s="15">
        <v>49.58</v>
      </c>
      <c r="C5" s="15">
        <v>51.75</v>
      </c>
      <c r="D5" s="15">
        <v>51.45</v>
      </c>
      <c r="E5" s="15">
        <v>21.1</v>
      </c>
      <c r="F5" s="15">
        <v>6720.89</v>
      </c>
      <c r="G5" s="15">
        <v>0</v>
      </c>
      <c r="H5" s="15">
        <v>6740.99</v>
      </c>
      <c r="I5" s="15">
        <v>1226</v>
      </c>
      <c r="J5" s="15">
        <v>0</v>
      </c>
      <c r="K5" s="15">
        <v>5996.67</v>
      </c>
      <c r="L5" s="15">
        <v>5939.7</v>
      </c>
      <c r="M5" s="15">
        <v>51.45</v>
      </c>
      <c r="N5" s="15">
        <v>7.26</v>
      </c>
      <c r="O5" s="15">
        <v>0</v>
      </c>
      <c r="P5" s="15">
        <v>0</v>
      </c>
      <c r="Q5" s="15">
        <v>0</v>
      </c>
      <c r="R5" s="15">
        <v>0</v>
      </c>
      <c r="S5" s="15">
        <v>0.21</v>
      </c>
      <c r="T5" s="15">
        <v>0.21</v>
      </c>
      <c r="U5" s="15">
        <v>1.34</v>
      </c>
    </row>
    <row r="6" spans="1:22" x14ac:dyDescent="0.25">
      <c r="A6" s="15">
        <v>13014671</v>
      </c>
      <c r="B6" s="15">
        <v>24.83</v>
      </c>
      <c r="C6" s="15">
        <v>185.99</v>
      </c>
      <c r="D6" s="15">
        <v>167.5</v>
      </c>
      <c r="E6" s="15">
        <v>23177.66</v>
      </c>
      <c r="F6" s="15">
        <v>2442.96</v>
      </c>
      <c r="G6" s="15">
        <v>258.39999999999998</v>
      </c>
      <c r="H6" s="15">
        <v>26915.77</v>
      </c>
      <c r="I6" s="15">
        <v>8431.0400000000009</v>
      </c>
      <c r="J6" s="15">
        <v>0</v>
      </c>
      <c r="K6" s="15">
        <v>26613.7</v>
      </c>
      <c r="L6" s="15">
        <v>25656.49</v>
      </c>
      <c r="M6" s="15">
        <v>122.8</v>
      </c>
      <c r="N6" s="15">
        <v>17.72</v>
      </c>
      <c r="O6" s="15">
        <v>233.97</v>
      </c>
      <c r="P6" s="15">
        <v>0</v>
      </c>
      <c r="Q6" s="15">
        <v>0</v>
      </c>
      <c r="R6" s="15">
        <v>0</v>
      </c>
      <c r="S6" s="15">
        <v>0</v>
      </c>
      <c r="T6" s="15">
        <v>233.97</v>
      </c>
      <c r="U6" s="15">
        <v>1.64</v>
      </c>
    </row>
    <row r="7" spans="1:22" x14ac:dyDescent="0.25">
      <c r="A7" s="15">
        <v>13029237</v>
      </c>
      <c r="B7" s="15">
        <v>8.42</v>
      </c>
      <c r="C7" s="15">
        <v>8.34</v>
      </c>
      <c r="D7" s="15">
        <v>8.17</v>
      </c>
      <c r="E7" s="15">
        <v>0</v>
      </c>
      <c r="F7" s="15">
        <v>0</v>
      </c>
      <c r="G7" s="15">
        <v>0</v>
      </c>
      <c r="H7" s="15">
        <v>0</v>
      </c>
      <c r="I7" s="15">
        <v>971</v>
      </c>
      <c r="J7" s="15">
        <v>0</v>
      </c>
      <c r="K7" s="15">
        <v>1266.69</v>
      </c>
      <c r="L7" s="15">
        <v>971</v>
      </c>
      <c r="M7" s="15">
        <v>0</v>
      </c>
      <c r="N7" s="15">
        <v>0</v>
      </c>
      <c r="O7" s="15">
        <v>0</v>
      </c>
      <c r="P7" s="15">
        <v>0</v>
      </c>
      <c r="Q7" s="15">
        <v>0</v>
      </c>
      <c r="R7" s="15">
        <v>0</v>
      </c>
      <c r="S7" s="15">
        <v>0</v>
      </c>
      <c r="T7" s="15">
        <v>0</v>
      </c>
      <c r="U7" s="15">
        <v>0</v>
      </c>
    </row>
    <row r="8" spans="1:22" x14ac:dyDescent="0.25">
      <c r="A8" s="15">
        <v>13285233</v>
      </c>
      <c r="B8" s="15">
        <v>4.84</v>
      </c>
      <c r="C8" s="15">
        <v>7.52</v>
      </c>
      <c r="D8" s="15">
        <v>7.52</v>
      </c>
      <c r="E8" s="15">
        <v>1269.8399999999999</v>
      </c>
      <c r="F8" s="15">
        <v>0</v>
      </c>
      <c r="G8" s="15">
        <v>0</v>
      </c>
      <c r="H8" s="15">
        <v>1270.74</v>
      </c>
      <c r="I8" s="15">
        <v>371</v>
      </c>
      <c r="J8" s="15">
        <v>0</v>
      </c>
      <c r="K8" s="15">
        <v>1199</v>
      </c>
      <c r="L8" s="15">
        <v>942.95</v>
      </c>
      <c r="M8" s="15">
        <v>0</v>
      </c>
      <c r="N8" s="15">
        <v>0</v>
      </c>
      <c r="O8" s="15">
        <v>12.01</v>
      </c>
      <c r="P8" s="15">
        <v>0</v>
      </c>
      <c r="Q8" s="15">
        <v>0</v>
      </c>
      <c r="R8" s="15">
        <v>0</v>
      </c>
      <c r="S8" s="15">
        <v>0</v>
      </c>
      <c r="T8" s="15">
        <v>12.01</v>
      </c>
      <c r="U8" s="15">
        <v>1.6</v>
      </c>
    </row>
    <row r="9" spans="1:22" x14ac:dyDescent="0.25">
      <c r="A9" s="15">
        <v>13291993</v>
      </c>
      <c r="B9" s="15">
        <v>9.8000000000000007</v>
      </c>
      <c r="C9" s="15">
        <v>9.74</v>
      </c>
      <c r="D9" s="15">
        <v>9.74</v>
      </c>
      <c r="E9" s="15">
        <v>32.51</v>
      </c>
      <c r="F9" s="15">
        <v>0</v>
      </c>
      <c r="G9" s="15">
        <v>0</v>
      </c>
      <c r="H9" s="15">
        <v>25.51</v>
      </c>
      <c r="I9" s="15">
        <v>126</v>
      </c>
      <c r="J9" s="15">
        <v>0</v>
      </c>
      <c r="K9" s="15">
        <v>1038.8</v>
      </c>
      <c r="L9" s="15">
        <v>142.9</v>
      </c>
      <c r="M9" s="15">
        <v>1.8</v>
      </c>
      <c r="N9" s="15">
        <v>0</v>
      </c>
      <c r="O9" s="15">
        <v>0</v>
      </c>
      <c r="P9" s="15">
        <v>0.43</v>
      </c>
      <c r="Q9" s="15">
        <v>0</v>
      </c>
      <c r="R9" s="15">
        <v>0</v>
      </c>
      <c r="S9" s="15">
        <v>0</v>
      </c>
      <c r="T9" s="15">
        <v>0.43</v>
      </c>
      <c r="U9" s="15">
        <v>0.04</v>
      </c>
    </row>
    <row r="10" spans="1:22" x14ac:dyDescent="0.25">
      <c r="A10" s="15">
        <v>13452601</v>
      </c>
      <c r="B10" s="15">
        <v>6.84</v>
      </c>
      <c r="C10" s="15">
        <v>118.09</v>
      </c>
      <c r="D10" s="15">
        <v>100.85</v>
      </c>
      <c r="E10" s="15">
        <v>2119.25</v>
      </c>
      <c r="F10" s="15">
        <v>10106</v>
      </c>
      <c r="G10" s="15">
        <v>3321</v>
      </c>
      <c r="H10" s="15">
        <v>9053.7999999999993</v>
      </c>
      <c r="I10" s="15">
        <v>3490</v>
      </c>
      <c r="J10" s="15">
        <v>0</v>
      </c>
      <c r="K10" s="15">
        <v>11991.16</v>
      </c>
      <c r="L10" s="15">
        <v>9469.7000000000007</v>
      </c>
      <c r="M10" s="15">
        <v>82.95</v>
      </c>
      <c r="N10" s="15">
        <v>11.28</v>
      </c>
      <c r="O10" s="15">
        <v>18.97</v>
      </c>
      <c r="P10" s="15">
        <v>0</v>
      </c>
      <c r="Q10" s="15">
        <v>0</v>
      </c>
      <c r="R10" s="15">
        <v>0</v>
      </c>
      <c r="S10" s="15">
        <v>1.03</v>
      </c>
      <c r="T10" s="15">
        <v>20</v>
      </c>
      <c r="U10" s="15">
        <v>0.94</v>
      </c>
    </row>
    <row r="11" spans="1:22" x14ac:dyDescent="0.25">
      <c r="A11" s="15">
        <v>13759006</v>
      </c>
      <c r="B11" s="15">
        <v>17.079999999999998</v>
      </c>
      <c r="C11" s="15">
        <v>96.65</v>
      </c>
      <c r="D11" s="15">
        <v>88.72</v>
      </c>
      <c r="E11" s="15">
        <v>52834.400000000001</v>
      </c>
      <c r="F11" s="15">
        <v>0</v>
      </c>
      <c r="G11" s="15">
        <v>45395.95</v>
      </c>
      <c r="H11" s="15">
        <v>6401.45</v>
      </c>
      <c r="I11" s="15">
        <v>9717</v>
      </c>
      <c r="J11" s="15">
        <v>0</v>
      </c>
      <c r="K11" s="15">
        <v>12600.09</v>
      </c>
      <c r="L11" s="15">
        <v>12597.45</v>
      </c>
      <c r="M11" s="15">
        <v>86.83</v>
      </c>
      <c r="N11" s="15">
        <v>0</v>
      </c>
      <c r="O11" s="15">
        <v>0</v>
      </c>
      <c r="P11" s="15">
        <v>84.12</v>
      </c>
      <c r="Q11" s="15">
        <v>471.12</v>
      </c>
      <c r="R11" s="15">
        <v>0</v>
      </c>
      <c r="S11" s="15">
        <v>0</v>
      </c>
      <c r="T11" s="15">
        <v>555.24</v>
      </c>
      <c r="U11" s="15">
        <v>1.25</v>
      </c>
    </row>
    <row r="12" spans="1:22" x14ac:dyDescent="0.25">
      <c r="A12" s="15">
        <v>14265473</v>
      </c>
      <c r="B12" s="15">
        <v>11.69</v>
      </c>
      <c r="C12" s="15">
        <v>106.17</v>
      </c>
      <c r="D12" s="15">
        <v>55.39</v>
      </c>
      <c r="E12" s="15">
        <v>30554.5</v>
      </c>
      <c r="F12" s="15">
        <v>0</v>
      </c>
      <c r="G12" s="15">
        <v>5768.3</v>
      </c>
      <c r="H12" s="15">
        <v>2665.05</v>
      </c>
      <c r="I12" s="15">
        <v>0</v>
      </c>
      <c r="J12" s="15">
        <v>0</v>
      </c>
      <c r="K12" s="15">
        <v>11863.2</v>
      </c>
      <c r="L12" s="15">
        <v>1199.7</v>
      </c>
      <c r="M12" s="15">
        <v>0</v>
      </c>
      <c r="N12" s="15">
        <v>0</v>
      </c>
      <c r="O12" s="15">
        <v>0</v>
      </c>
      <c r="P12" s="15">
        <v>0</v>
      </c>
      <c r="Q12" s="15">
        <v>0</v>
      </c>
      <c r="R12" s="15">
        <v>300.44</v>
      </c>
      <c r="S12" s="15">
        <v>0</v>
      </c>
      <c r="T12" s="15">
        <v>300.44</v>
      </c>
      <c r="U12" s="15">
        <v>0.47</v>
      </c>
    </row>
    <row r="13" spans="1:22" x14ac:dyDescent="0.25">
      <c r="A13" s="15">
        <v>14278885</v>
      </c>
      <c r="B13" s="15">
        <v>30.92</v>
      </c>
      <c r="C13" s="15">
        <v>82.4</v>
      </c>
      <c r="D13" s="15">
        <v>82.4</v>
      </c>
      <c r="E13" s="15">
        <v>12333.9</v>
      </c>
      <c r="F13" s="15">
        <v>0</v>
      </c>
      <c r="G13" s="15">
        <v>738</v>
      </c>
      <c r="H13" s="15">
        <v>10925.9</v>
      </c>
      <c r="I13" s="15">
        <v>1260</v>
      </c>
      <c r="J13" s="15">
        <v>0</v>
      </c>
      <c r="K13" s="15">
        <v>9455.67</v>
      </c>
      <c r="L13" s="15">
        <v>9455.25</v>
      </c>
      <c r="M13" s="15">
        <v>82.1</v>
      </c>
      <c r="N13" s="15">
        <v>11.49</v>
      </c>
      <c r="O13" s="15">
        <v>0</v>
      </c>
      <c r="P13" s="15">
        <v>127.11</v>
      </c>
      <c r="Q13" s="15">
        <v>0</v>
      </c>
      <c r="R13" s="15">
        <v>0</v>
      </c>
      <c r="S13" s="15">
        <v>0.69</v>
      </c>
      <c r="T13" s="15">
        <v>127.8</v>
      </c>
      <c r="U13" s="15">
        <v>1.38</v>
      </c>
    </row>
    <row r="14" spans="1:22" x14ac:dyDescent="0.25">
      <c r="A14" s="15">
        <v>14551387</v>
      </c>
      <c r="B14" s="15">
        <v>18.850000000000001</v>
      </c>
      <c r="C14" s="15">
        <v>121.11</v>
      </c>
      <c r="D14" s="15">
        <v>114.54</v>
      </c>
      <c r="E14" s="15">
        <v>3882.04</v>
      </c>
      <c r="F14" s="15">
        <v>10355.02</v>
      </c>
      <c r="G14" s="15">
        <v>0</v>
      </c>
      <c r="H14" s="15">
        <v>13246.06</v>
      </c>
      <c r="I14" s="15">
        <v>7852</v>
      </c>
      <c r="J14" s="15">
        <v>0</v>
      </c>
      <c r="K14" s="15">
        <v>16360.93</v>
      </c>
      <c r="L14" s="15">
        <v>16358.85</v>
      </c>
      <c r="M14" s="15">
        <v>76.81</v>
      </c>
      <c r="N14" s="15">
        <v>10.4</v>
      </c>
      <c r="O14" s="15">
        <v>35.96</v>
      </c>
      <c r="P14" s="15">
        <v>0</v>
      </c>
      <c r="Q14" s="15">
        <v>0</v>
      </c>
      <c r="R14" s="15">
        <v>0</v>
      </c>
      <c r="S14" s="15">
        <v>0</v>
      </c>
      <c r="T14" s="15">
        <v>35.96</v>
      </c>
      <c r="U14" s="15">
        <v>1.1499999999999999</v>
      </c>
    </row>
    <row r="15" spans="1:22" ht="14.45" x14ac:dyDescent="0.3">
      <c r="A15" s="15">
        <v>14571094</v>
      </c>
      <c r="B15" s="15">
        <v>115.72</v>
      </c>
      <c r="C15" s="15">
        <v>251.09</v>
      </c>
      <c r="D15" s="15">
        <v>251.09</v>
      </c>
      <c r="E15" s="15">
        <v>17350.64</v>
      </c>
      <c r="F15" s="15">
        <v>17115</v>
      </c>
      <c r="G15" s="15">
        <v>199.36</v>
      </c>
      <c r="H15" s="15">
        <v>34602.81</v>
      </c>
      <c r="I15" s="15">
        <v>0</v>
      </c>
      <c r="J15" s="15">
        <v>0</v>
      </c>
      <c r="K15" s="15">
        <v>42819.82</v>
      </c>
      <c r="L15" s="15">
        <v>22863.15</v>
      </c>
      <c r="M15" s="15">
        <v>83.02</v>
      </c>
      <c r="N15" s="15">
        <v>22.66</v>
      </c>
      <c r="O15" s="15">
        <v>172.27</v>
      </c>
      <c r="P15" s="15">
        <v>0</v>
      </c>
      <c r="Q15" s="15">
        <v>0</v>
      </c>
      <c r="R15" s="15">
        <v>0</v>
      </c>
      <c r="S15" s="15">
        <v>0</v>
      </c>
      <c r="T15" s="15">
        <v>172.27</v>
      </c>
      <c r="U15" s="15">
        <v>1.38</v>
      </c>
    </row>
    <row r="16" spans="1:22" ht="14.45" x14ac:dyDescent="0.3">
      <c r="A16" s="15">
        <v>15378506</v>
      </c>
      <c r="B16" s="15">
        <v>7.14</v>
      </c>
      <c r="C16" s="15">
        <v>28.52</v>
      </c>
      <c r="D16" s="15">
        <v>28.52</v>
      </c>
      <c r="E16" s="15">
        <v>0</v>
      </c>
      <c r="F16" s="15">
        <v>2043.35</v>
      </c>
      <c r="G16" s="15">
        <v>0</v>
      </c>
      <c r="H16" s="15">
        <v>2042.35</v>
      </c>
      <c r="I16" s="15">
        <v>2329</v>
      </c>
      <c r="J16" s="15">
        <v>0</v>
      </c>
      <c r="K16" s="15">
        <v>3832.54</v>
      </c>
      <c r="L16" s="15">
        <v>3759.8</v>
      </c>
      <c r="M16" s="15">
        <v>28.02</v>
      </c>
      <c r="N16" s="15">
        <v>2.42</v>
      </c>
      <c r="O16" s="15">
        <v>0</v>
      </c>
      <c r="P16" s="15">
        <v>0</v>
      </c>
      <c r="Q16" s="15">
        <v>0</v>
      </c>
      <c r="R16" s="15">
        <v>0</v>
      </c>
      <c r="S16" s="15">
        <v>0</v>
      </c>
      <c r="T16" s="15">
        <v>0</v>
      </c>
      <c r="U16" s="15">
        <v>0.71</v>
      </c>
    </row>
    <row r="17" spans="1:22" ht="14.45" x14ac:dyDescent="0.3">
      <c r="A17" s="15">
        <v>16032646</v>
      </c>
      <c r="B17" s="15">
        <v>70.69</v>
      </c>
      <c r="C17" s="15">
        <v>84.2</v>
      </c>
      <c r="D17" s="15">
        <v>84.2</v>
      </c>
      <c r="E17" s="15">
        <v>18187.03</v>
      </c>
      <c r="F17" s="15">
        <v>0</v>
      </c>
      <c r="G17" s="15">
        <v>4409</v>
      </c>
      <c r="H17" s="15">
        <v>13646.03</v>
      </c>
      <c r="I17" s="15">
        <v>7554</v>
      </c>
      <c r="J17" s="15">
        <v>0</v>
      </c>
      <c r="K17" s="15">
        <v>16287.74</v>
      </c>
      <c r="L17" s="15">
        <v>16284.45</v>
      </c>
      <c r="M17" s="15">
        <v>19.72</v>
      </c>
      <c r="N17" s="15">
        <v>2.78</v>
      </c>
      <c r="O17" s="15">
        <v>193.28</v>
      </c>
      <c r="P17" s="15">
        <v>0</v>
      </c>
      <c r="Q17" s="15">
        <v>0</v>
      </c>
      <c r="R17" s="15">
        <v>0</v>
      </c>
      <c r="S17" s="15">
        <v>0</v>
      </c>
      <c r="T17" s="15">
        <v>193.28</v>
      </c>
      <c r="U17" s="15">
        <v>1.7</v>
      </c>
      <c r="V17" s="1" t="s">
        <v>1349</v>
      </c>
    </row>
    <row r="18" spans="1:22" ht="14.45" x14ac:dyDescent="0.3">
      <c r="A18" s="15">
        <v>16523895</v>
      </c>
      <c r="B18" s="15">
        <v>20.350000000000001</v>
      </c>
      <c r="C18" s="15">
        <v>19.95</v>
      </c>
      <c r="D18" s="15">
        <v>18.75</v>
      </c>
      <c r="E18" s="15">
        <v>104.4</v>
      </c>
      <c r="F18" s="15">
        <v>4214</v>
      </c>
      <c r="G18" s="15">
        <v>0</v>
      </c>
      <c r="H18" s="15">
        <v>4156.3999999999996</v>
      </c>
      <c r="I18" s="15">
        <v>8</v>
      </c>
      <c r="J18" s="15">
        <v>0</v>
      </c>
      <c r="K18" s="15">
        <v>2897.5</v>
      </c>
      <c r="L18" s="15">
        <v>2892.45</v>
      </c>
      <c r="M18" s="15">
        <v>18.75</v>
      </c>
      <c r="N18" s="15">
        <v>3.3</v>
      </c>
      <c r="O18" s="15">
        <v>0</v>
      </c>
      <c r="P18" s="15">
        <v>0</v>
      </c>
      <c r="Q18" s="15">
        <v>0</v>
      </c>
      <c r="R18" s="15">
        <v>0</v>
      </c>
      <c r="S18" s="15">
        <v>1.03</v>
      </c>
      <c r="T18" s="15">
        <v>1.03</v>
      </c>
      <c r="U18" s="15">
        <v>2.2599999999999998</v>
      </c>
      <c r="V18" s="1" t="s">
        <v>1349</v>
      </c>
    </row>
    <row r="19" spans="1:22" ht="14.45" x14ac:dyDescent="0.3">
      <c r="A19" s="15">
        <v>16543349</v>
      </c>
      <c r="B19" s="15">
        <v>3.26</v>
      </c>
      <c r="C19" s="15">
        <v>36.799999999999997</v>
      </c>
      <c r="D19" s="15">
        <v>36.799999999999997</v>
      </c>
      <c r="E19" s="15">
        <v>2736.51</v>
      </c>
      <c r="F19" s="15">
        <v>0</v>
      </c>
      <c r="G19" s="15">
        <v>0</v>
      </c>
      <c r="H19" s="15">
        <v>2961.51</v>
      </c>
      <c r="I19" s="15">
        <v>4842</v>
      </c>
      <c r="J19" s="15">
        <v>0</v>
      </c>
      <c r="K19" s="15">
        <v>7241.6</v>
      </c>
      <c r="L19" s="15">
        <v>6173.55</v>
      </c>
      <c r="M19" s="15">
        <v>20</v>
      </c>
      <c r="N19" s="15">
        <v>3</v>
      </c>
      <c r="O19" s="15">
        <v>26.35</v>
      </c>
      <c r="P19" s="15">
        <v>0</v>
      </c>
      <c r="Q19" s="15">
        <v>0</v>
      </c>
      <c r="R19" s="15">
        <v>0</v>
      </c>
      <c r="S19" s="15">
        <v>0</v>
      </c>
      <c r="T19" s="15">
        <v>26.35</v>
      </c>
      <c r="U19" s="15">
        <v>0.78</v>
      </c>
    </row>
    <row r="20" spans="1:22" ht="14.45" x14ac:dyDescent="0.3">
      <c r="A20" s="15">
        <v>16560243</v>
      </c>
      <c r="B20" s="15">
        <v>7.16</v>
      </c>
      <c r="C20" s="15">
        <v>51.65</v>
      </c>
      <c r="D20" s="15">
        <v>51.65</v>
      </c>
      <c r="E20" s="15">
        <v>0</v>
      </c>
      <c r="F20" s="15">
        <v>4318.6499999999996</v>
      </c>
      <c r="G20" s="15">
        <v>0</v>
      </c>
      <c r="H20" s="15">
        <v>4318.6499999999996</v>
      </c>
      <c r="I20" s="15">
        <v>4050</v>
      </c>
      <c r="J20" s="15">
        <v>0</v>
      </c>
      <c r="K20" s="15">
        <v>7258.46</v>
      </c>
      <c r="L20" s="15">
        <v>7073.3</v>
      </c>
      <c r="M20" s="15">
        <v>42.46</v>
      </c>
      <c r="N20" s="15">
        <v>0</v>
      </c>
      <c r="O20" s="15">
        <v>0</v>
      </c>
      <c r="P20" s="15">
        <v>0</v>
      </c>
      <c r="Q20" s="15">
        <v>0</v>
      </c>
      <c r="R20" s="15">
        <v>0</v>
      </c>
      <c r="S20" s="15">
        <v>0</v>
      </c>
      <c r="T20" s="15">
        <v>0</v>
      </c>
      <c r="U20" s="15">
        <v>0.84</v>
      </c>
    </row>
    <row r="21" spans="1:22" ht="14.45" x14ac:dyDescent="0.3">
      <c r="A21" s="15">
        <v>16839442</v>
      </c>
      <c r="B21" s="15">
        <v>1.73</v>
      </c>
      <c r="C21" s="15">
        <v>25.5</v>
      </c>
      <c r="D21" s="15">
        <v>25.5</v>
      </c>
      <c r="E21" s="15">
        <v>0</v>
      </c>
      <c r="F21" s="15">
        <v>2124</v>
      </c>
      <c r="G21" s="15">
        <v>0</v>
      </c>
      <c r="H21" s="15">
        <v>2125</v>
      </c>
      <c r="I21" s="15">
        <v>1990</v>
      </c>
      <c r="J21" s="15">
        <v>0</v>
      </c>
      <c r="K21" s="15">
        <v>3512.49</v>
      </c>
      <c r="L21" s="15">
        <v>3477.5</v>
      </c>
      <c r="M21" s="15">
        <v>25.5</v>
      </c>
      <c r="N21" s="15">
        <v>5.31</v>
      </c>
      <c r="O21" s="15">
        <v>0</v>
      </c>
      <c r="P21" s="15">
        <v>0</v>
      </c>
      <c r="Q21" s="15">
        <v>0</v>
      </c>
      <c r="R21" s="15">
        <v>0</v>
      </c>
      <c r="S21" s="15">
        <v>0</v>
      </c>
      <c r="T21" s="15">
        <v>0</v>
      </c>
      <c r="U21" s="15">
        <v>0.91</v>
      </c>
    </row>
    <row r="22" spans="1:22" ht="14.45" x14ac:dyDescent="0.3">
      <c r="A22" s="15">
        <v>17200275</v>
      </c>
      <c r="B22" s="15">
        <v>8.42</v>
      </c>
      <c r="C22" s="15">
        <v>8.19</v>
      </c>
      <c r="D22" s="15">
        <v>8.19</v>
      </c>
      <c r="E22" s="15">
        <v>2082.0700000000002</v>
      </c>
      <c r="F22" s="15">
        <v>0</v>
      </c>
      <c r="G22" s="15">
        <v>577.33000000000004</v>
      </c>
      <c r="H22" s="15">
        <v>1547.74</v>
      </c>
      <c r="I22" s="15">
        <v>1133</v>
      </c>
      <c r="J22" s="15">
        <v>0</v>
      </c>
      <c r="K22" s="15">
        <v>1973.79</v>
      </c>
      <c r="L22" s="15">
        <v>1889.6</v>
      </c>
      <c r="M22" s="15">
        <v>8.19</v>
      </c>
      <c r="N22" s="15">
        <v>0</v>
      </c>
      <c r="O22" s="15">
        <v>17.47</v>
      </c>
      <c r="P22" s="15">
        <v>0</v>
      </c>
      <c r="Q22" s="15">
        <v>2.2599999999999998</v>
      </c>
      <c r="R22" s="15">
        <v>0</v>
      </c>
      <c r="S22" s="15">
        <v>0</v>
      </c>
      <c r="T22" s="15">
        <v>19.73</v>
      </c>
      <c r="U22" s="15">
        <v>1.69</v>
      </c>
    </row>
    <row r="23" spans="1:22" ht="14.45" x14ac:dyDescent="0.3">
      <c r="A23" s="15">
        <v>17987682</v>
      </c>
      <c r="B23" s="15">
        <v>102.85</v>
      </c>
      <c r="C23" s="15">
        <v>157.04</v>
      </c>
      <c r="D23" s="15">
        <v>157.04</v>
      </c>
      <c r="E23" s="15">
        <v>37368.160000000003</v>
      </c>
      <c r="F23" s="15">
        <v>0</v>
      </c>
      <c r="G23" s="15">
        <v>3567.75</v>
      </c>
      <c r="H23" s="15">
        <v>32369.95</v>
      </c>
      <c r="I23" s="15">
        <v>14550.7</v>
      </c>
      <c r="J23" s="15">
        <v>0</v>
      </c>
      <c r="K23" s="15">
        <v>37045.040000000001</v>
      </c>
      <c r="L23" s="15">
        <v>36843.5</v>
      </c>
      <c r="M23" s="15">
        <v>58.61</v>
      </c>
      <c r="N23" s="15">
        <v>0</v>
      </c>
      <c r="O23" s="15">
        <v>414.18</v>
      </c>
      <c r="P23" s="15">
        <v>0</v>
      </c>
      <c r="Q23" s="15">
        <v>0</v>
      </c>
      <c r="R23" s="15">
        <v>0</v>
      </c>
      <c r="S23" s="15">
        <v>0</v>
      </c>
      <c r="T23" s="15">
        <v>414.18</v>
      </c>
      <c r="U23" s="15">
        <v>2.2999999999999998</v>
      </c>
      <c r="V23" s="1" t="s">
        <v>1349</v>
      </c>
    </row>
    <row r="24" spans="1:22" ht="14.45" x14ac:dyDescent="0.3">
      <c r="A24" s="15">
        <v>18249308</v>
      </c>
      <c r="B24" s="15">
        <v>15.66</v>
      </c>
      <c r="C24" s="15">
        <v>20.79</v>
      </c>
      <c r="D24" s="15">
        <v>18.09</v>
      </c>
      <c r="E24" s="15">
        <v>131.1</v>
      </c>
      <c r="F24" s="15">
        <v>0</v>
      </c>
      <c r="G24" s="15">
        <v>0</v>
      </c>
      <c r="H24" s="15">
        <v>0.1</v>
      </c>
      <c r="I24" s="15">
        <v>1854</v>
      </c>
      <c r="J24" s="15">
        <v>0</v>
      </c>
      <c r="K24" s="15">
        <v>1993.95</v>
      </c>
      <c r="L24" s="15">
        <v>1854</v>
      </c>
      <c r="M24" s="15">
        <v>17.29</v>
      </c>
      <c r="N24" s="15">
        <v>0</v>
      </c>
      <c r="O24" s="15">
        <v>0</v>
      </c>
      <c r="P24" s="15">
        <v>0</v>
      </c>
      <c r="Q24" s="15">
        <v>0</v>
      </c>
      <c r="R24" s="15">
        <v>0</v>
      </c>
      <c r="S24" s="15">
        <v>1.3</v>
      </c>
      <c r="T24" s="15">
        <v>1.3</v>
      </c>
      <c r="U24" s="15">
        <v>0</v>
      </c>
    </row>
    <row r="25" spans="1:22" ht="14.45" x14ac:dyDescent="0.3">
      <c r="A25" s="15">
        <v>18249340</v>
      </c>
      <c r="B25" s="15">
        <v>10.55</v>
      </c>
      <c r="C25" s="15">
        <v>8.8000000000000007</v>
      </c>
      <c r="D25" s="15">
        <v>1.1000000000000001</v>
      </c>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row>
    <row r="26" spans="1:22" ht="14.45" x14ac:dyDescent="0.3">
      <c r="A26" s="15">
        <v>18265788</v>
      </c>
      <c r="B26" s="15">
        <v>5.05</v>
      </c>
      <c r="C26" s="15">
        <v>204.52</v>
      </c>
      <c r="D26" s="15">
        <v>203.91</v>
      </c>
      <c r="E26" s="15">
        <v>29234.46</v>
      </c>
      <c r="F26" s="15">
        <v>1183</v>
      </c>
      <c r="G26" s="15">
        <v>4621.08</v>
      </c>
      <c r="H26" s="15">
        <v>28451.95</v>
      </c>
      <c r="I26" s="15">
        <v>0</v>
      </c>
      <c r="J26" s="15">
        <v>0</v>
      </c>
      <c r="K26" s="15">
        <v>39926.21</v>
      </c>
      <c r="L26" s="15">
        <v>19405.7</v>
      </c>
      <c r="M26" s="15">
        <v>20.2</v>
      </c>
      <c r="N26" s="15">
        <v>0</v>
      </c>
      <c r="O26" s="15">
        <v>296.77</v>
      </c>
      <c r="P26" s="15">
        <v>0</v>
      </c>
      <c r="Q26" s="15">
        <v>0</v>
      </c>
      <c r="R26" s="15">
        <v>0</v>
      </c>
      <c r="S26" s="15">
        <v>0</v>
      </c>
      <c r="T26" s="15">
        <v>296.77</v>
      </c>
      <c r="U26" s="15">
        <v>1.41</v>
      </c>
    </row>
    <row r="27" spans="1:22" ht="14.45" x14ac:dyDescent="0.3">
      <c r="A27" s="15">
        <v>18299674</v>
      </c>
      <c r="B27" s="15">
        <v>57.74</v>
      </c>
      <c r="C27" s="15">
        <v>174.87</v>
      </c>
      <c r="D27" s="15">
        <v>164.52</v>
      </c>
      <c r="E27" s="15">
        <v>20507.52</v>
      </c>
      <c r="F27" s="15">
        <v>0</v>
      </c>
      <c r="G27" s="15">
        <v>0</v>
      </c>
      <c r="H27" s="15">
        <v>19039.82</v>
      </c>
      <c r="I27" s="15">
        <v>0</v>
      </c>
      <c r="J27" s="15">
        <v>0</v>
      </c>
      <c r="K27" s="15">
        <v>26450.26</v>
      </c>
      <c r="L27" s="15">
        <v>13006.75</v>
      </c>
      <c r="M27" s="15">
        <v>70.02</v>
      </c>
      <c r="N27" s="15">
        <v>15.97</v>
      </c>
      <c r="O27" s="15">
        <v>210.03</v>
      </c>
      <c r="P27" s="15">
        <v>0</v>
      </c>
      <c r="Q27" s="15">
        <v>0</v>
      </c>
      <c r="R27" s="15">
        <v>0</v>
      </c>
      <c r="S27" s="15">
        <v>0.69</v>
      </c>
      <c r="T27" s="15">
        <v>210.72</v>
      </c>
      <c r="U27" s="15">
        <v>1.18</v>
      </c>
    </row>
    <row r="28" spans="1:22" ht="14.45" x14ac:dyDescent="0.3">
      <c r="A28" s="15">
        <v>18462230</v>
      </c>
      <c r="B28" s="15">
        <v>5.58</v>
      </c>
      <c r="C28" s="15">
        <v>5.8</v>
      </c>
      <c r="D28" s="15">
        <v>5.8</v>
      </c>
      <c r="E28" s="15">
        <v>926.83</v>
      </c>
      <c r="F28" s="15">
        <v>0</v>
      </c>
      <c r="G28" s="15">
        <v>0</v>
      </c>
      <c r="H28" s="15">
        <v>917.73</v>
      </c>
      <c r="I28" s="15">
        <v>749</v>
      </c>
      <c r="J28" s="15">
        <v>0</v>
      </c>
      <c r="K28" s="15">
        <v>1489.4</v>
      </c>
      <c r="L28" s="15">
        <v>1162.0999999999999</v>
      </c>
      <c r="M28" s="15">
        <v>2</v>
      </c>
      <c r="N28" s="15">
        <v>0</v>
      </c>
      <c r="O28" s="15">
        <v>8.84</v>
      </c>
      <c r="P28" s="15">
        <v>0</v>
      </c>
      <c r="Q28" s="15">
        <v>0</v>
      </c>
      <c r="R28" s="15">
        <v>0</v>
      </c>
      <c r="S28" s="15">
        <v>0</v>
      </c>
      <c r="T28" s="15">
        <v>8.84</v>
      </c>
      <c r="U28" s="15">
        <v>1.51</v>
      </c>
    </row>
    <row r="29" spans="1:22" ht="14.45" x14ac:dyDescent="0.3">
      <c r="A29" s="15">
        <v>19117537</v>
      </c>
      <c r="B29" s="15">
        <v>61.66</v>
      </c>
      <c r="C29" s="15">
        <v>60.14</v>
      </c>
      <c r="D29" s="15">
        <v>60.14</v>
      </c>
      <c r="E29" s="15">
        <v>1227.8599999999999</v>
      </c>
      <c r="F29" s="15">
        <v>6240.4</v>
      </c>
      <c r="G29" s="15">
        <v>0</v>
      </c>
      <c r="H29" s="15">
        <v>7254.67</v>
      </c>
      <c r="I29" s="15">
        <v>2403</v>
      </c>
      <c r="J29" s="15">
        <v>0</v>
      </c>
      <c r="K29" s="15">
        <v>7544.35</v>
      </c>
      <c r="L29" s="15">
        <v>7535.36</v>
      </c>
      <c r="M29" s="15">
        <v>55.64</v>
      </c>
      <c r="N29" s="15">
        <v>10.45</v>
      </c>
      <c r="O29" s="15">
        <v>12.56</v>
      </c>
      <c r="P29" s="15">
        <v>0</v>
      </c>
      <c r="Q29" s="15">
        <v>0</v>
      </c>
      <c r="R29" s="15">
        <v>0</v>
      </c>
      <c r="S29" s="15">
        <v>0.43</v>
      </c>
      <c r="T29" s="15">
        <v>12.99</v>
      </c>
      <c r="U29" s="15">
        <v>1.27</v>
      </c>
    </row>
    <row r="30" spans="1:22" ht="14.45" x14ac:dyDescent="0.3">
      <c r="A30" s="15">
        <v>19153606</v>
      </c>
      <c r="B30" s="15">
        <v>39.89</v>
      </c>
      <c r="C30" s="15">
        <v>43.16</v>
      </c>
      <c r="D30" s="15">
        <v>43.16</v>
      </c>
      <c r="E30" s="15">
        <v>8700.02</v>
      </c>
      <c r="F30" s="15">
        <v>0</v>
      </c>
      <c r="G30" s="15">
        <v>2565.9699999999998</v>
      </c>
      <c r="H30" s="15">
        <v>6108.05</v>
      </c>
      <c r="I30" s="15">
        <v>0</v>
      </c>
      <c r="J30" s="15">
        <v>0</v>
      </c>
      <c r="K30" s="15">
        <v>5912.88</v>
      </c>
      <c r="L30" s="15">
        <v>2751.3</v>
      </c>
      <c r="M30" s="15">
        <v>32.56</v>
      </c>
      <c r="N30" s="15">
        <v>0.74</v>
      </c>
      <c r="O30" s="15">
        <v>0</v>
      </c>
      <c r="P30" s="15">
        <v>0</v>
      </c>
      <c r="Q30" s="15">
        <v>87.68</v>
      </c>
      <c r="R30" s="15">
        <v>0</v>
      </c>
      <c r="S30" s="15">
        <v>0</v>
      </c>
      <c r="T30" s="15">
        <v>87.68</v>
      </c>
      <c r="U30" s="15">
        <v>1.4</v>
      </c>
    </row>
    <row r="31" spans="1:22" ht="14.45" x14ac:dyDescent="0.3">
      <c r="A31" s="15">
        <v>19401545</v>
      </c>
      <c r="B31" s="15">
        <v>7.58</v>
      </c>
      <c r="C31" s="15">
        <v>205.5</v>
      </c>
      <c r="D31" s="15">
        <v>190.23</v>
      </c>
      <c r="E31" s="15">
        <v>33202.35</v>
      </c>
      <c r="F31" s="15">
        <v>2941</v>
      </c>
      <c r="G31" s="15">
        <v>2989.2</v>
      </c>
      <c r="H31" s="15">
        <v>31309.46</v>
      </c>
      <c r="I31" s="15">
        <v>9942</v>
      </c>
      <c r="J31" s="15">
        <v>0</v>
      </c>
      <c r="K31" s="15">
        <v>31241.46</v>
      </c>
      <c r="L31" s="15">
        <v>30782.05</v>
      </c>
      <c r="M31" s="15">
        <v>146.4</v>
      </c>
      <c r="N31" s="15">
        <v>20.5</v>
      </c>
      <c r="O31" s="15">
        <v>337.79</v>
      </c>
      <c r="P31" s="15">
        <v>0</v>
      </c>
      <c r="Q31" s="15">
        <v>0</v>
      </c>
      <c r="R31" s="15">
        <v>0</v>
      </c>
      <c r="S31" s="15">
        <v>0</v>
      </c>
      <c r="T31" s="15">
        <v>337.79</v>
      </c>
      <c r="U31" s="15">
        <v>1.7</v>
      </c>
      <c r="V31" s="1" t="s">
        <v>1349</v>
      </c>
    </row>
    <row r="32" spans="1:22" ht="14.45" x14ac:dyDescent="0.3">
      <c r="A32" s="15">
        <v>19446387</v>
      </c>
      <c r="B32" s="15">
        <v>24.06</v>
      </c>
      <c r="C32" s="15">
        <v>23.83</v>
      </c>
      <c r="D32" s="15">
        <v>22.36</v>
      </c>
      <c r="E32" s="15">
        <v>0</v>
      </c>
      <c r="F32" s="15">
        <v>2500</v>
      </c>
      <c r="G32" s="15">
        <v>0</v>
      </c>
      <c r="H32" s="15">
        <v>2500</v>
      </c>
      <c r="I32" s="15">
        <v>1384</v>
      </c>
      <c r="J32" s="15">
        <v>0</v>
      </c>
      <c r="K32" s="15">
        <v>3112</v>
      </c>
      <c r="L32" s="15">
        <v>3134</v>
      </c>
      <c r="M32" s="15">
        <v>23.83</v>
      </c>
      <c r="N32" s="15">
        <v>0</v>
      </c>
      <c r="O32" s="15">
        <v>18</v>
      </c>
      <c r="P32" s="15">
        <v>0</v>
      </c>
      <c r="Q32" s="15">
        <v>0</v>
      </c>
      <c r="R32" s="15">
        <v>0</v>
      </c>
      <c r="S32" s="15">
        <v>0</v>
      </c>
      <c r="T32" s="15">
        <v>18</v>
      </c>
      <c r="U32" s="15">
        <v>0.81</v>
      </c>
    </row>
    <row r="33" spans="1:22" ht="14.45" x14ac:dyDescent="0.3">
      <c r="A33" s="15">
        <v>20332751</v>
      </c>
      <c r="B33" s="15">
        <v>9.74</v>
      </c>
      <c r="C33" s="15">
        <v>9.58</v>
      </c>
      <c r="D33" s="15">
        <v>9.4499999999999993</v>
      </c>
      <c r="E33" s="15">
        <v>0</v>
      </c>
      <c r="F33" s="15">
        <v>0</v>
      </c>
      <c r="G33" s="15">
        <v>0</v>
      </c>
      <c r="H33" s="15">
        <v>0</v>
      </c>
      <c r="I33" s="15">
        <v>1215</v>
      </c>
      <c r="J33" s="15">
        <v>0</v>
      </c>
      <c r="K33" s="15">
        <v>1206</v>
      </c>
      <c r="L33" s="15">
        <v>1215</v>
      </c>
      <c r="M33" s="15">
        <v>9.58</v>
      </c>
      <c r="N33" s="15">
        <v>0</v>
      </c>
      <c r="O33" s="15">
        <v>0</v>
      </c>
      <c r="P33" s="15">
        <v>0</v>
      </c>
      <c r="Q33" s="15">
        <v>0</v>
      </c>
      <c r="R33" s="15">
        <v>0</v>
      </c>
      <c r="S33" s="15">
        <v>0</v>
      </c>
      <c r="T33" s="15">
        <v>0</v>
      </c>
      <c r="U33" s="15">
        <v>0</v>
      </c>
    </row>
    <row r="34" spans="1:22" ht="14.45" x14ac:dyDescent="0.3">
      <c r="A34" s="15">
        <v>21162493</v>
      </c>
      <c r="B34" s="15">
        <v>14.07</v>
      </c>
      <c r="C34" s="15">
        <v>135.66</v>
      </c>
      <c r="D34" s="15">
        <v>131.22</v>
      </c>
      <c r="E34" s="15">
        <v>31175.16</v>
      </c>
      <c r="F34" s="15">
        <v>0</v>
      </c>
      <c r="G34" s="15">
        <v>1760</v>
      </c>
      <c r="H34" s="15">
        <v>27552.04</v>
      </c>
      <c r="I34" s="15">
        <v>8516</v>
      </c>
      <c r="J34" s="15">
        <v>0</v>
      </c>
      <c r="K34" s="15">
        <v>30279.9</v>
      </c>
      <c r="L34" s="15">
        <v>27500.45</v>
      </c>
      <c r="M34" s="15">
        <v>56.54</v>
      </c>
      <c r="N34" s="15">
        <v>17.79</v>
      </c>
      <c r="O34" s="15">
        <v>326.92</v>
      </c>
      <c r="P34" s="15">
        <v>0</v>
      </c>
      <c r="Q34" s="15">
        <v>0</v>
      </c>
      <c r="R34" s="15">
        <v>0</v>
      </c>
      <c r="S34" s="15">
        <v>0</v>
      </c>
      <c r="T34" s="15">
        <v>326.92</v>
      </c>
      <c r="U34" s="15">
        <v>2.2200000000000002</v>
      </c>
      <c r="V34" s="1" t="s">
        <v>1349</v>
      </c>
    </row>
    <row r="35" spans="1:22" ht="14.45" x14ac:dyDescent="0.3">
      <c r="A35" s="15">
        <v>21750670</v>
      </c>
      <c r="B35" s="15">
        <v>124.88</v>
      </c>
      <c r="C35" s="15">
        <v>232.96</v>
      </c>
      <c r="D35" s="15">
        <v>232.96</v>
      </c>
      <c r="E35" s="15">
        <v>22202.83</v>
      </c>
      <c r="F35" s="15">
        <v>2745</v>
      </c>
      <c r="G35" s="15">
        <v>0</v>
      </c>
      <c r="H35" s="15">
        <v>24394.83</v>
      </c>
      <c r="I35" s="15">
        <v>12567</v>
      </c>
      <c r="J35" s="15">
        <v>0</v>
      </c>
      <c r="K35" s="15">
        <v>30862.47</v>
      </c>
      <c r="L35" s="15">
        <v>30860.25</v>
      </c>
      <c r="M35" s="15">
        <v>231.88</v>
      </c>
      <c r="N35" s="15">
        <v>34.159999999999997</v>
      </c>
      <c r="O35" s="15">
        <v>0</v>
      </c>
      <c r="P35" s="15">
        <v>233.55</v>
      </c>
      <c r="Q35" s="15">
        <v>0</v>
      </c>
      <c r="R35" s="15">
        <v>0</v>
      </c>
      <c r="S35" s="15">
        <v>0</v>
      </c>
      <c r="T35" s="15">
        <v>233.55</v>
      </c>
      <c r="U35" s="15">
        <v>1.1000000000000001</v>
      </c>
    </row>
    <row r="36" spans="1:22" ht="14.45" x14ac:dyDescent="0.3">
      <c r="A36" s="15">
        <v>25302133</v>
      </c>
      <c r="B36" s="15">
        <v>139.84</v>
      </c>
      <c r="C36" s="15">
        <v>289.44</v>
      </c>
      <c r="D36" s="15">
        <v>289.44</v>
      </c>
      <c r="E36" s="15">
        <v>39497.79</v>
      </c>
      <c r="F36" s="15">
        <v>0</v>
      </c>
      <c r="G36" s="15">
        <v>4290.5200000000004</v>
      </c>
      <c r="H36" s="15">
        <v>35324.269999999997</v>
      </c>
      <c r="I36" s="15">
        <v>12235.55</v>
      </c>
      <c r="J36" s="15">
        <v>0</v>
      </c>
      <c r="K36" s="15">
        <v>38759</v>
      </c>
      <c r="L36" s="15">
        <v>38711.040000000001</v>
      </c>
      <c r="M36" s="15">
        <v>289.44</v>
      </c>
      <c r="N36" s="15">
        <v>61.64</v>
      </c>
      <c r="O36" s="15">
        <v>0</v>
      </c>
      <c r="P36" s="15">
        <v>441.99</v>
      </c>
      <c r="Q36" s="15">
        <v>0</v>
      </c>
      <c r="R36" s="15">
        <v>0</v>
      </c>
      <c r="S36" s="15">
        <v>0</v>
      </c>
      <c r="T36" s="15">
        <v>441.99</v>
      </c>
      <c r="U36" s="15">
        <v>1.37</v>
      </c>
    </row>
    <row r="37" spans="1:22" x14ac:dyDescent="0.25">
      <c r="A37" s="15">
        <v>25930827</v>
      </c>
      <c r="B37" s="15">
        <v>44.24</v>
      </c>
      <c r="C37" s="15">
        <v>329.54</v>
      </c>
      <c r="D37" s="15">
        <v>325.77</v>
      </c>
      <c r="E37" s="15">
        <v>0</v>
      </c>
      <c r="F37" s="15">
        <v>54129.66</v>
      </c>
      <c r="G37" s="15">
        <v>0</v>
      </c>
      <c r="H37" s="15">
        <v>53686.96</v>
      </c>
      <c r="I37" s="15">
        <v>13500</v>
      </c>
      <c r="J37" s="15">
        <v>0</v>
      </c>
      <c r="K37" s="15">
        <v>47746.45</v>
      </c>
      <c r="L37" s="15">
        <v>47698.79</v>
      </c>
      <c r="M37" s="15">
        <v>313.37</v>
      </c>
      <c r="N37" s="15">
        <v>81.23</v>
      </c>
      <c r="O37" s="15">
        <v>0</v>
      </c>
      <c r="P37" s="15">
        <v>0</v>
      </c>
      <c r="Q37" s="15">
        <v>0</v>
      </c>
      <c r="R37" s="15">
        <v>0</v>
      </c>
      <c r="S37" s="15">
        <v>0</v>
      </c>
      <c r="T37" s="15">
        <v>0</v>
      </c>
      <c r="U37" s="15">
        <v>1.7</v>
      </c>
    </row>
    <row r="38" spans="1:22" x14ac:dyDescent="0.25">
      <c r="A38" s="15">
        <v>26019788</v>
      </c>
      <c r="B38" s="15">
        <v>52</v>
      </c>
      <c r="C38" s="15">
        <v>61.71</v>
      </c>
      <c r="D38" s="15">
        <v>59.61</v>
      </c>
      <c r="E38" s="15">
        <v>9362.85</v>
      </c>
      <c r="F38" s="15">
        <v>0</v>
      </c>
      <c r="G38" s="15">
        <v>0</v>
      </c>
      <c r="H38" s="15">
        <v>10095.17</v>
      </c>
      <c r="I38" s="15">
        <v>3672.7</v>
      </c>
      <c r="J38" s="15">
        <v>0</v>
      </c>
      <c r="K38" s="15">
        <v>10290.219999999999</v>
      </c>
      <c r="L38" s="15">
        <v>10246.25</v>
      </c>
      <c r="M38" s="15">
        <v>32.26</v>
      </c>
      <c r="N38" s="15">
        <v>7.01</v>
      </c>
      <c r="O38" s="15">
        <v>90.98</v>
      </c>
      <c r="P38" s="15">
        <v>0</v>
      </c>
      <c r="Q38" s="15">
        <v>0</v>
      </c>
      <c r="R38" s="15">
        <v>0</v>
      </c>
      <c r="S38" s="15">
        <v>0</v>
      </c>
      <c r="T38" s="15">
        <v>90.98</v>
      </c>
      <c r="U38" s="15">
        <v>1.65</v>
      </c>
    </row>
    <row r="39" spans="1:22" x14ac:dyDescent="0.25">
      <c r="A39" s="15">
        <v>26025516</v>
      </c>
      <c r="B39" s="15">
        <v>11.56</v>
      </c>
      <c r="C39" s="15">
        <v>16.47</v>
      </c>
      <c r="D39" s="15">
        <v>16.47</v>
      </c>
      <c r="E39" s="15">
        <v>2741.1</v>
      </c>
      <c r="F39" s="15">
        <v>0</v>
      </c>
      <c r="G39" s="15">
        <v>1213.26</v>
      </c>
      <c r="H39" s="15">
        <v>1997.84</v>
      </c>
      <c r="I39" s="15">
        <v>0</v>
      </c>
      <c r="J39" s="15">
        <v>0</v>
      </c>
      <c r="K39" s="15">
        <v>1992.27</v>
      </c>
      <c r="L39" s="15">
        <v>898.65</v>
      </c>
      <c r="M39" s="15">
        <v>10.77</v>
      </c>
      <c r="N39" s="15">
        <v>2.3199999999999998</v>
      </c>
      <c r="O39" s="15">
        <v>0</v>
      </c>
      <c r="P39" s="15">
        <v>0</v>
      </c>
      <c r="Q39" s="15">
        <v>31.69</v>
      </c>
      <c r="R39" s="15">
        <v>0</v>
      </c>
      <c r="S39" s="15">
        <v>0</v>
      </c>
      <c r="T39" s="15">
        <v>31.69</v>
      </c>
      <c r="U39" s="15">
        <v>1.38</v>
      </c>
    </row>
    <row r="40" spans="1:22" x14ac:dyDescent="0.25">
      <c r="A40" s="15">
        <v>26261945</v>
      </c>
      <c r="B40" s="15">
        <v>9.73</v>
      </c>
      <c r="C40" s="15">
        <v>9.41</v>
      </c>
      <c r="D40" s="15">
        <v>9.41</v>
      </c>
      <c r="E40" s="15">
        <v>0</v>
      </c>
      <c r="F40" s="15">
        <v>1157.05</v>
      </c>
      <c r="G40" s="15">
        <v>0</v>
      </c>
      <c r="H40" s="15">
        <v>1158.05</v>
      </c>
      <c r="I40" s="15">
        <v>273</v>
      </c>
      <c r="J40" s="15">
        <v>0</v>
      </c>
      <c r="K40" s="15">
        <v>1185.6600000000001</v>
      </c>
      <c r="L40" s="15">
        <v>1083.5999999999999</v>
      </c>
      <c r="M40" s="15">
        <v>9.41</v>
      </c>
      <c r="N40" s="15">
        <v>0</v>
      </c>
      <c r="O40" s="15">
        <v>0</v>
      </c>
      <c r="P40" s="15">
        <v>0</v>
      </c>
      <c r="Q40" s="15">
        <v>0</v>
      </c>
      <c r="R40" s="15">
        <v>0</v>
      </c>
      <c r="S40" s="15">
        <v>0</v>
      </c>
      <c r="T40" s="15">
        <v>0</v>
      </c>
      <c r="U40" s="15">
        <v>1.26</v>
      </c>
    </row>
    <row r="41" spans="1:22" x14ac:dyDescent="0.25">
      <c r="A41" s="15">
        <v>27059147</v>
      </c>
      <c r="B41" s="15">
        <v>19.489999999999998</v>
      </c>
      <c r="C41" s="15">
        <v>19.600000000000001</v>
      </c>
      <c r="D41" s="15">
        <v>19.600000000000001</v>
      </c>
      <c r="E41" s="15">
        <v>1182.99</v>
      </c>
      <c r="F41" s="15">
        <v>0</v>
      </c>
      <c r="G41" s="15">
        <v>0</v>
      </c>
      <c r="H41" s="15">
        <v>1266.99</v>
      </c>
      <c r="I41" s="15">
        <v>2255.9</v>
      </c>
      <c r="J41" s="15">
        <v>0</v>
      </c>
      <c r="K41" s="15">
        <v>2915.51</v>
      </c>
      <c r="L41" s="15">
        <v>2932.48</v>
      </c>
      <c r="M41" s="15">
        <v>15.61</v>
      </c>
      <c r="N41" s="15">
        <v>0</v>
      </c>
      <c r="O41" s="15">
        <v>11.96</v>
      </c>
      <c r="P41" s="15">
        <v>0</v>
      </c>
      <c r="Q41" s="15">
        <v>0</v>
      </c>
      <c r="R41" s="15">
        <v>0</v>
      </c>
      <c r="S41" s="15">
        <v>0</v>
      </c>
      <c r="T41" s="15">
        <v>11.96</v>
      </c>
      <c r="U41" s="15">
        <v>0.65</v>
      </c>
    </row>
    <row r="42" spans="1:22" x14ac:dyDescent="0.25">
      <c r="A42" s="15">
        <v>27180264</v>
      </c>
      <c r="B42" s="15">
        <v>30.21</v>
      </c>
      <c r="C42" s="15">
        <v>108.83</v>
      </c>
      <c r="D42" s="15">
        <v>108.83</v>
      </c>
      <c r="E42" s="15">
        <v>22355.13</v>
      </c>
      <c r="F42" s="15">
        <v>0</v>
      </c>
      <c r="G42" s="15">
        <v>4238</v>
      </c>
      <c r="H42" s="15">
        <v>22032.18</v>
      </c>
      <c r="I42" s="15">
        <v>5224</v>
      </c>
      <c r="J42" s="15">
        <v>0</v>
      </c>
      <c r="K42" s="15">
        <v>18935.41</v>
      </c>
      <c r="L42" s="15">
        <v>18809.150000000001</v>
      </c>
      <c r="M42" s="15">
        <v>83.03</v>
      </c>
      <c r="N42" s="15">
        <v>18.14</v>
      </c>
      <c r="O42" s="15">
        <v>224.89</v>
      </c>
      <c r="P42" s="15">
        <v>0</v>
      </c>
      <c r="Q42" s="15">
        <v>0</v>
      </c>
      <c r="R42" s="15">
        <v>0</v>
      </c>
      <c r="S42" s="15">
        <v>0</v>
      </c>
      <c r="T42" s="15">
        <v>224.89</v>
      </c>
      <c r="U42" s="15">
        <v>2.0299999999999998</v>
      </c>
      <c r="V42" s="1" t="s">
        <v>1349</v>
      </c>
    </row>
    <row r="43" spans="1:22" x14ac:dyDescent="0.25">
      <c r="A43" s="15">
        <v>27428010</v>
      </c>
      <c r="B43" s="15">
        <v>188.84</v>
      </c>
      <c r="C43" s="15">
        <v>237.32</v>
      </c>
      <c r="D43" s="15">
        <v>232.22</v>
      </c>
      <c r="E43" s="15">
        <v>0</v>
      </c>
      <c r="F43" s="15">
        <v>33051.4</v>
      </c>
      <c r="G43" s="15">
        <v>0</v>
      </c>
      <c r="H43" s="15">
        <v>33026.400000000001</v>
      </c>
      <c r="I43" s="15">
        <v>21507.08</v>
      </c>
      <c r="J43" s="15">
        <v>0</v>
      </c>
      <c r="K43" s="15">
        <v>46720.5</v>
      </c>
      <c r="L43" s="15">
        <v>43642.03</v>
      </c>
      <c r="M43" s="15">
        <v>187.79</v>
      </c>
      <c r="N43" s="15">
        <v>26.32</v>
      </c>
      <c r="O43" s="15">
        <v>0</v>
      </c>
      <c r="P43" s="15">
        <v>0</v>
      </c>
      <c r="Q43" s="15">
        <v>0</v>
      </c>
      <c r="R43" s="15">
        <v>0</v>
      </c>
      <c r="S43" s="15">
        <v>0</v>
      </c>
      <c r="T43" s="15">
        <v>0</v>
      </c>
      <c r="U43" s="15">
        <v>1.38</v>
      </c>
      <c r="V43" s="1" t="s">
        <v>1349</v>
      </c>
    </row>
    <row r="44" spans="1:22" x14ac:dyDescent="0.25">
      <c r="A44" s="15">
        <v>27542336</v>
      </c>
      <c r="B44" s="15">
        <v>25.4</v>
      </c>
      <c r="C44" s="15">
        <v>41.64</v>
      </c>
      <c r="D44" s="15">
        <v>40.340000000000003</v>
      </c>
      <c r="E44" s="15">
        <v>6433.68</v>
      </c>
      <c r="F44" s="15">
        <v>0</v>
      </c>
      <c r="G44" s="15">
        <v>0</v>
      </c>
      <c r="H44" s="15">
        <v>6965.68</v>
      </c>
      <c r="I44" s="15">
        <v>3632</v>
      </c>
      <c r="J44" s="15">
        <v>0</v>
      </c>
      <c r="K44" s="15">
        <v>6866.52</v>
      </c>
      <c r="L44" s="15">
        <v>6766.7</v>
      </c>
      <c r="M44" s="15">
        <v>22.34</v>
      </c>
      <c r="N44" s="15">
        <v>3.5</v>
      </c>
      <c r="O44" s="15">
        <v>61.87</v>
      </c>
      <c r="P44" s="15">
        <v>0</v>
      </c>
      <c r="Q44" s="15">
        <v>0</v>
      </c>
      <c r="R44" s="15">
        <v>0</v>
      </c>
      <c r="S44" s="15">
        <v>0</v>
      </c>
      <c r="T44" s="15">
        <v>61.87</v>
      </c>
      <c r="U44" s="15">
        <v>1.67</v>
      </c>
    </row>
    <row r="45" spans="1:22" x14ac:dyDescent="0.25">
      <c r="A45" s="15">
        <v>27798330</v>
      </c>
      <c r="B45" s="15">
        <v>41.92</v>
      </c>
      <c r="C45" s="15">
        <v>321.57</v>
      </c>
      <c r="D45" s="15">
        <v>320.66000000000003</v>
      </c>
      <c r="E45" s="15">
        <v>54063.76</v>
      </c>
      <c r="F45" s="15">
        <v>0</v>
      </c>
      <c r="G45" s="15">
        <v>6215.52</v>
      </c>
      <c r="H45" s="15">
        <v>47507.29</v>
      </c>
      <c r="I45" s="15">
        <v>34028</v>
      </c>
      <c r="J45" s="15">
        <v>0</v>
      </c>
      <c r="K45" s="15">
        <v>65008.639999999999</v>
      </c>
      <c r="L45" s="15">
        <v>64697.8</v>
      </c>
      <c r="M45" s="15">
        <v>158.6</v>
      </c>
      <c r="N45" s="15">
        <v>37.090000000000003</v>
      </c>
      <c r="O45" s="15">
        <v>584.53</v>
      </c>
      <c r="P45" s="15">
        <v>0</v>
      </c>
      <c r="Q45" s="15">
        <v>0</v>
      </c>
      <c r="R45" s="15">
        <v>0</v>
      </c>
      <c r="S45" s="15">
        <v>0</v>
      </c>
      <c r="T45" s="15">
        <v>584.53</v>
      </c>
      <c r="U45" s="15">
        <v>1.6</v>
      </c>
    </row>
    <row r="46" spans="1:22" x14ac:dyDescent="0.25">
      <c r="A46" s="15">
        <v>27837719</v>
      </c>
      <c r="B46" s="15">
        <v>9.75</v>
      </c>
      <c r="C46" s="15">
        <v>9.6999999999999993</v>
      </c>
      <c r="D46" s="15">
        <v>9.6999999999999993</v>
      </c>
      <c r="E46" s="15">
        <v>252.5</v>
      </c>
      <c r="F46" s="15">
        <v>0</v>
      </c>
      <c r="G46" s="15">
        <v>0</v>
      </c>
      <c r="H46" s="15">
        <v>254.5</v>
      </c>
      <c r="I46" s="15">
        <v>864</v>
      </c>
      <c r="J46" s="15">
        <v>0</v>
      </c>
      <c r="K46" s="15">
        <v>1160.6600000000001</v>
      </c>
      <c r="L46" s="15">
        <v>978.75</v>
      </c>
      <c r="M46" s="15">
        <v>0</v>
      </c>
      <c r="N46" s="15">
        <v>0</v>
      </c>
      <c r="O46" s="15">
        <v>0</v>
      </c>
      <c r="P46" s="15">
        <v>0</v>
      </c>
      <c r="Q46" s="15">
        <v>0</v>
      </c>
      <c r="R46" s="15">
        <v>0</v>
      </c>
      <c r="S46" s="15">
        <v>2.5</v>
      </c>
      <c r="T46" s="15">
        <v>2.5</v>
      </c>
      <c r="U46" s="15">
        <v>0.26</v>
      </c>
    </row>
    <row r="47" spans="1:22" x14ac:dyDescent="0.25">
      <c r="A47" s="15">
        <v>28048777</v>
      </c>
      <c r="B47" s="15">
        <v>2.2999999999999998</v>
      </c>
      <c r="C47" s="15">
        <v>7.15</v>
      </c>
      <c r="D47" s="15">
        <v>5.48</v>
      </c>
      <c r="E47" s="15">
        <v>0</v>
      </c>
      <c r="F47" s="15">
        <v>0</v>
      </c>
      <c r="G47" s="15">
        <v>0</v>
      </c>
      <c r="H47" s="15">
        <v>0</v>
      </c>
      <c r="I47" s="15">
        <v>14</v>
      </c>
      <c r="J47" s="15">
        <v>0</v>
      </c>
      <c r="K47" s="15">
        <v>442</v>
      </c>
      <c r="L47" s="15">
        <v>14</v>
      </c>
      <c r="M47" s="15">
        <v>0</v>
      </c>
      <c r="N47" s="15">
        <v>0</v>
      </c>
      <c r="O47" s="15">
        <v>0</v>
      </c>
      <c r="P47" s="15">
        <v>0</v>
      </c>
      <c r="Q47" s="15">
        <v>0</v>
      </c>
      <c r="R47" s="15">
        <v>0</v>
      </c>
      <c r="S47" s="15">
        <v>0</v>
      </c>
      <c r="T47" s="15">
        <v>0</v>
      </c>
      <c r="U47" s="15">
        <v>0</v>
      </c>
    </row>
    <row r="48" spans="1:22" x14ac:dyDescent="0.25">
      <c r="A48" s="15">
        <v>28333919</v>
      </c>
      <c r="B48" s="15">
        <v>17.91</v>
      </c>
      <c r="C48" s="15">
        <v>28.26</v>
      </c>
      <c r="D48" s="15">
        <v>27.51</v>
      </c>
      <c r="E48" s="15">
        <v>0</v>
      </c>
      <c r="F48" s="15">
        <v>0</v>
      </c>
      <c r="G48" s="15">
        <v>0</v>
      </c>
      <c r="H48" s="15">
        <v>0</v>
      </c>
      <c r="I48" s="15">
        <v>1911</v>
      </c>
      <c r="J48" s="15">
        <v>2724.2</v>
      </c>
      <c r="K48" s="15">
        <v>3159.69</v>
      </c>
      <c r="L48" s="15">
        <v>3137.25</v>
      </c>
      <c r="M48" s="15">
        <v>27.51</v>
      </c>
      <c r="N48" s="15">
        <v>1.77</v>
      </c>
      <c r="O48" s="15">
        <v>0</v>
      </c>
      <c r="P48" s="15">
        <v>0</v>
      </c>
      <c r="Q48" s="15">
        <v>0</v>
      </c>
      <c r="R48" s="15">
        <v>0</v>
      </c>
      <c r="S48" s="15">
        <v>0</v>
      </c>
      <c r="T48" s="15">
        <v>0</v>
      </c>
      <c r="U48" s="15">
        <v>0</v>
      </c>
    </row>
    <row r="49" spans="1:22" x14ac:dyDescent="0.25">
      <c r="A49" s="15">
        <v>28540744</v>
      </c>
      <c r="B49" s="15">
        <v>90.4</v>
      </c>
      <c r="C49" s="15">
        <v>546.11</v>
      </c>
      <c r="D49" s="15">
        <v>541.58000000000004</v>
      </c>
      <c r="E49" s="15">
        <v>0</v>
      </c>
      <c r="F49" s="15">
        <v>86783.64</v>
      </c>
      <c r="G49" s="15">
        <v>0</v>
      </c>
      <c r="H49" s="15">
        <v>86823.79</v>
      </c>
      <c r="I49" s="15">
        <v>31450</v>
      </c>
      <c r="J49" s="15">
        <v>0</v>
      </c>
      <c r="K49" s="15">
        <v>89320.91</v>
      </c>
      <c r="L49" s="15">
        <v>89192.03</v>
      </c>
      <c r="M49" s="15">
        <v>390.16</v>
      </c>
      <c r="N49" s="15">
        <v>0</v>
      </c>
      <c r="O49" s="15">
        <v>0</v>
      </c>
      <c r="P49" s="15">
        <v>0</v>
      </c>
      <c r="Q49" s="15">
        <v>0</v>
      </c>
      <c r="R49" s="15">
        <v>0</v>
      </c>
      <c r="S49" s="15">
        <v>0</v>
      </c>
      <c r="T49" s="15">
        <v>0</v>
      </c>
      <c r="U49" s="15">
        <v>1.68</v>
      </c>
    </row>
    <row r="50" spans="1:22" x14ac:dyDescent="0.25">
      <c r="A50" s="15">
        <v>29110727</v>
      </c>
      <c r="B50" s="15">
        <v>8.56</v>
      </c>
      <c r="C50" s="15">
        <v>8.41</v>
      </c>
      <c r="D50" s="15">
        <v>8.41</v>
      </c>
      <c r="E50" s="15">
        <v>170.74</v>
      </c>
      <c r="F50" s="15">
        <v>953.55</v>
      </c>
      <c r="G50" s="15">
        <v>0</v>
      </c>
      <c r="H50" s="15">
        <v>1143.29</v>
      </c>
      <c r="I50" s="15">
        <v>419.3</v>
      </c>
      <c r="J50" s="15">
        <v>0</v>
      </c>
      <c r="K50" s="15">
        <v>1207.6500000000001</v>
      </c>
      <c r="L50" s="15">
        <v>1181.22</v>
      </c>
      <c r="M50" s="15">
        <v>0</v>
      </c>
      <c r="N50" s="15">
        <v>0</v>
      </c>
      <c r="O50" s="15">
        <v>0</v>
      </c>
      <c r="P50" s="15">
        <v>0.17</v>
      </c>
      <c r="Q50" s="15">
        <v>0</v>
      </c>
      <c r="R50" s="15">
        <v>0.86</v>
      </c>
      <c r="S50" s="15">
        <v>0.7</v>
      </c>
      <c r="T50" s="15">
        <v>1.73</v>
      </c>
      <c r="U50" s="15">
        <v>1.39</v>
      </c>
    </row>
    <row r="51" spans="1:22" x14ac:dyDescent="0.25">
      <c r="A51" s="15">
        <v>30840305</v>
      </c>
      <c r="B51" s="15">
        <v>7.73</v>
      </c>
      <c r="C51" s="15">
        <v>5.63</v>
      </c>
      <c r="D51" s="15">
        <v>4.7</v>
      </c>
      <c r="E51" s="15">
        <v>0</v>
      </c>
      <c r="F51" s="15">
        <v>0</v>
      </c>
      <c r="G51" s="15">
        <v>0</v>
      </c>
      <c r="H51" s="15">
        <v>0</v>
      </c>
      <c r="I51" s="15">
        <v>615.79999999999995</v>
      </c>
      <c r="J51" s="15">
        <v>0</v>
      </c>
      <c r="K51" s="15">
        <v>592.20000000000005</v>
      </c>
      <c r="L51" s="15">
        <v>615.79999999999995</v>
      </c>
      <c r="M51" s="15">
        <v>4.7</v>
      </c>
      <c r="N51" s="15">
        <v>0</v>
      </c>
      <c r="O51" s="15">
        <v>0</v>
      </c>
      <c r="P51" s="15">
        <v>0</v>
      </c>
      <c r="Q51" s="15">
        <v>0</v>
      </c>
      <c r="R51" s="15">
        <v>0</v>
      </c>
      <c r="S51" s="15">
        <v>0</v>
      </c>
      <c r="T51" s="15">
        <v>0</v>
      </c>
      <c r="U51" s="15">
        <v>0</v>
      </c>
    </row>
    <row r="52" spans="1:22" x14ac:dyDescent="0.25">
      <c r="A52" s="15">
        <v>30941500</v>
      </c>
      <c r="B52" s="15">
        <v>2.83</v>
      </c>
      <c r="C52" s="15">
        <v>2.75</v>
      </c>
      <c r="D52" s="15">
        <v>2.75</v>
      </c>
      <c r="E52" s="15">
        <v>222.12</v>
      </c>
      <c r="F52" s="15">
        <v>0</v>
      </c>
      <c r="G52" s="15">
        <v>0</v>
      </c>
      <c r="H52" s="15">
        <v>222.12</v>
      </c>
      <c r="I52" s="15">
        <v>155</v>
      </c>
      <c r="J52" s="15">
        <v>0</v>
      </c>
      <c r="K52" s="15">
        <v>737.43</v>
      </c>
      <c r="L52" s="15">
        <v>254.9</v>
      </c>
      <c r="M52" s="15">
        <v>0</v>
      </c>
      <c r="N52" s="15">
        <v>0</v>
      </c>
      <c r="O52" s="15">
        <v>0</v>
      </c>
      <c r="P52" s="15">
        <v>0</v>
      </c>
      <c r="Q52" s="15">
        <v>0.06</v>
      </c>
      <c r="R52" s="15">
        <v>0</v>
      </c>
      <c r="S52" s="15">
        <v>2.16</v>
      </c>
      <c r="T52" s="15">
        <v>2.2200000000000002</v>
      </c>
      <c r="U52" s="15">
        <v>0.81</v>
      </c>
    </row>
    <row r="53" spans="1:22" x14ac:dyDescent="0.25">
      <c r="A53" s="15">
        <v>31220203</v>
      </c>
      <c r="B53" s="15">
        <v>0.77</v>
      </c>
      <c r="C53" s="15">
        <v>2.76</v>
      </c>
      <c r="D53" s="15">
        <v>2.76</v>
      </c>
      <c r="E53" s="15">
        <v>0</v>
      </c>
      <c r="F53" s="15">
        <v>0</v>
      </c>
      <c r="G53" s="15">
        <v>0</v>
      </c>
      <c r="H53" s="15">
        <v>0</v>
      </c>
      <c r="I53" s="15">
        <v>0</v>
      </c>
      <c r="J53" s="15">
        <v>0</v>
      </c>
      <c r="K53" s="15">
        <v>480.57</v>
      </c>
      <c r="L53" s="15">
        <v>0</v>
      </c>
      <c r="M53" s="15">
        <v>2.37</v>
      </c>
      <c r="N53" s="15">
        <v>0</v>
      </c>
      <c r="O53" s="15">
        <v>0</v>
      </c>
      <c r="P53" s="15">
        <v>0</v>
      </c>
      <c r="Q53" s="15">
        <v>0</v>
      </c>
      <c r="R53" s="15">
        <v>0</v>
      </c>
      <c r="S53" s="15">
        <v>0</v>
      </c>
      <c r="T53" s="15">
        <v>0</v>
      </c>
      <c r="U53" s="15">
        <v>0</v>
      </c>
    </row>
    <row r="54" spans="1:22" x14ac:dyDescent="0.25">
      <c r="A54" s="15">
        <v>31385881</v>
      </c>
      <c r="B54" s="15">
        <v>8.73</v>
      </c>
      <c r="C54" s="15">
        <v>10.97</v>
      </c>
      <c r="D54" s="15">
        <v>10.97</v>
      </c>
      <c r="E54" s="15">
        <v>2363.33</v>
      </c>
      <c r="F54" s="15">
        <v>0</v>
      </c>
      <c r="G54" s="15">
        <v>0</v>
      </c>
      <c r="H54" s="15">
        <v>1592.33</v>
      </c>
      <c r="I54" s="15">
        <v>615</v>
      </c>
      <c r="J54" s="15">
        <v>0</v>
      </c>
      <c r="K54" s="15">
        <v>1331.53</v>
      </c>
      <c r="L54" s="15">
        <v>1331.4</v>
      </c>
      <c r="M54" s="15">
        <v>0</v>
      </c>
      <c r="N54" s="15">
        <v>0</v>
      </c>
      <c r="O54" s="15">
        <v>21.9</v>
      </c>
      <c r="P54" s="15">
        <v>0</v>
      </c>
      <c r="Q54" s="15">
        <v>0</v>
      </c>
      <c r="R54" s="15">
        <v>0.71</v>
      </c>
      <c r="S54" s="15">
        <v>0</v>
      </c>
      <c r="T54" s="15">
        <v>22.61</v>
      </c>
      <c r="U54" s="15">
        <v>1.36</v>
      </c>
    </row>
    <row r="55" spans="1:22" x14ac:dyDescent="0.25">
      <c r="A55" s="15">
        <v>32565859</v>
      </c>
      <c r="B55" s="15">
        <v>3.78</v>
      </c>
      <c r="C55" s="15">
        <v>3.96</v>
      </c>
      <c r="D55" s="15">
        <v>3.96</v>
      </c>
      <c r="E55" s="15">
        <v>359.02</v>
      </c>
      <c r="F55" s="15">
        <v>0</v>
      </c>
      <c r="G55" s="15">
        <v>0</v>
      </c>
      <c r="H55" s="15">
        <v>394.02</v>
      </c>
      <c r="I55" s="15">
        <v>406</v>
      </c>
      <c r="J55" s="15">
        <v>0</v>
      </c>
      <c r="K55" s="15">
        <v>571.46</v>
      </c>
      <c r="L55" s="15">
        <v>568.45000000000005</v>
      </c>
      <c r="M55" s="15">
        <v>0</v>
      </c>
      <c r="N55" s="15">
        <v>0</v>
      </c>
      <c r="O55" s="15">
        <v>1.06</v>
      </c>
      <c r="P55" s="15">
        <v>0</v>
      </c>
      <c r="Q55" s="15">
        <v>0</v>
      </c>
      <c r="R55" s="15">
        <v>0</v>
      </c>
      <c r="S55" s="15">
        <v>2.4300000000000002</v>
      </c>
      <c r="T55" s="15">
        <v>3.49</v>
      </c>
      <c r="U55" s="15">
        <v>0.97</v>
      </c>
    </row>
    <row r="56" spans="1:22" x14ac:dyDescent="0.25">
      <c r="A56" s="15">
        <v>32756883</v>
      </c>
      <c r="B56" s="15">
        <v>1.38</v>
      </c>
      <c r="C56" s="15">
        <v>19</v>
      </c>
      <c r="D56" s="15">
        <v>19</v>
      </c>
      <c r="E56" s="15">
        <v>877.04</v>
      </c>
      <c r="F56" s="15">
        <v>462.48</v>
      </c>
      <c r="G56" s="15">
        <v>0</v>
      </c>
      <c r="H56" s="15">
        <v>1123.52</v>
      </c>
      <c r="I56" s="15">
        <v>1604</v>
      </c>
      <c r="J56" s="15">
        <v>0</v>
      </c>
      <c r="K56" s="15">
        <v>2443.5</v>
      </c>
      <c r="L56" s="15">
        <v>2352</v>
      </c>
      <c r="M56" s="15">
        <v>15.9</v>
      </c>
      <c r="N56" s="15">
        <v>2.6</v>
      </c>
      <c r="O56" s="15">
        <v>5.19</v>
      </c>
      <c r="P56" s="15">
        <v>4.17</v>
      </c>
      <c r="Q56" s="15">
        <v>0</v>
      </c>
      <c r="R56" s="15">
        <v>0</v>
      </c>
      <c r="S56" s="15">
        <v>0</v>
      </c>
      <c r="T56" s="15">
        <v>9.36</v>
      </c>
      <c r="U56" s="15">
        <v>0.63</v>
      </c>
    </row>
    <row r="57" spans="1:22" x14ac:dyDescent="0.25">
      <c r="A57" s="15">
        <v>32812864</v>
      </c>
      <c r="B57" s="15">
        <v>16.32</v>
      </c>
      <c r="C57" s="15">
        <v>341.93</v>
      </c>
      <c r="D57" s="15">
        <v>340.73</v>
      </c>
      <c r="E57" s="15">
        <v>0</v>
      </c>
      <c r="F57" s="15">
        <v>72315.17</v>
      </c>
      <c r="G57" s="15">
        <v>0</v>
      </c>
      <c r="H57" s="15">
        <v>72315.17</v>
      </c>
      <c r="I57" s="15">
        <v>23181</v>
      </c>
      <c r="J57" s="15">
        <v>0</v>
      </c>
      <c r="K57" s="15">
        <v>65654.399999999994</v>
      </c>
      <c r="L57" s="15">
        <v>65647.3</v>
      </c>
      <c r="M57" s="15">
        <v>236.5</v>
      </c>
      <c r="N57" s="15">
        <v>27.17</v>
      </c>
      <c r="O57" s="15">
        <v>0</v>
      </c>
      <c r="P57" s="15">
        <v>0</v>
      </c>
      <c r="Q57" s="15">
        <v>0</v>
      </c>
      <c r="R57" s="15">
        <v>0</v>
      </c>
      <c r="S57" s="15">
        <v>0</v>
      </c>
      <c r="T57" s="15">
        <v>0</v>
      </c>
      <c r="U57" s="15">
        <v>2.1800000000000002</v>
      </c>
      <c r="V57" s="1" t="s">
        <v>1349</v>
      </c>
    </row>
    <row r="58" spans="1:22" x14ac:dyDescent="0.25">
      <c r="A58" s="15">
        <v>35557628</v>
      </c>
      <c r="B58" s="15">
        <v>9.15</v>
      </c>
      <c r="C58" s="15">
        <v>1024.31</v>
      </c>
      <c r="D58" s="15">
        <v>1006.69</v>
      </c>
      <c r="E58" s="15">
        <v>0</v>
      </c>
      <c r="F58" s="15">
        <v>103570.63</v>
      </c>
      <c r="G58" s="15">
        <v>2236</v>
      </c>
      <c r="H58" s="15">
        <v>95140.63</v>
      </c>
      <c r="I58" s="15">
        <v>63744</v>
      </c>
      <c r="J58" s="15">
        <v>0</v>
      </c>
      <c r="K58" s="15">
        <v>130549.54</v>
      </c>
      <c r="L58" s="15">
        <v>130097.01</v>
      </c>
      <c r="M58" s="15">
        <v>445.96</v>
      </c>
      <c r="N58" s="15">
        <v>64.37</v>
      </c>
      <c r="O58" s="15">
        <v>0</v>
      </c>
      <c r="P58" s="15">
        <v>0</v>
      </c>
      <c r="Q58" s="15">
        <v>0</v>
      </c>
      <c r="R58" s="15">
        <v>0</v>
      </c>
      <c r="S58" s="15">
        <v>0</v>
      </c>
      <c r="T58" s="15">
        <v>0</v>
      </c>
      <c r="U58" s="15">
        <v>1</v>
      </c>
    </row>
    <row r="59" spans="1:22" x14ac:dyDescent="0.25">
      <c r="A59" s="15">
        <v>42746568</v>
      </c>
      <c r="B59" s="15">
        <v>8.6199999999999992</v>
      </c>
      <c r="C59" s="15">
        <v>30.59</v>
      </c>
      <c r="D59" s="15">
        <v>19.760000000000002</v>
      </c>
      <c r="E59" s="15">
        <v>3020.49</v>
      </c>
      <c r="F59" s="15">
        <v>0</v>
      </c>
      <c r="G59" s="15">
        <v>0</v>
      </c>
      <c r="H59" s="15">
        <v>2524.4899999999998</v>
      </c>
      <c r="I59" s="15">
        <v>529</v>
      </c>
      <c r="J59" s="15">
        <v>0</v>
      </c>
      <c r="K59" s="15">
        <v>2072.52</v>
      </c>
      <c r="L59" s="15">
        <v>1665.25</v>
      </c>
      <c r="M59" s="15">
        <v>4.0999999999999996</v>
      </c>
      <c r="N59" s="15">
        <v>0</v>
      </c>
      <c r="O59" s="15">
        <v>17.28</v>
      </c>
      <c r="P59" s="15">
        <v>0</v>
      </c>
      <c r="Q59" s="15">
        <v>0</v>
      </c>
      <c r="R59" s="15">
        <v>11.43</v>
      </c>
      <c r="S59" s="15">
        <v>0</v>
      </c>
      <c r="T59" s="15">
        <v>28.71</v>
      </c>
      <c r="U59" s="15">
        <v>1.21</v>
      </c>
    </row>
    <row r="60" spans="1:22" x14ac:dyDescent="0.25">
      <c r="A60" s="15">
        <v>42792314</v>
      </c>
      <c r="B60" s="15">
        <v>59.02</v>
      </c>
      <c r="C60" s="15">
        <v>59.6</v>
      </c>
      <c r="D60" s="15">
        <v>51.81</v>
      </c>
      <c r="E60" s="15">
        <v>3500.98</v>
      </c>
      <c r="F60" s="15">
        <v>3211.28</v>
      </c>
      <c r="G60" s="15">
        <v>0</v>
      </c>
      <c r="H60" s="15">
        <v>5502.9</v>
      </c>
      <c r="I60" s="15">
        <v>5581</v>
      </c>
      <c r="J60" s="15">
        <v>0</v>
      </c>
      <c r="K60" s="15">
        <v>8711.7800000000007</v>
      </c>
      <c r="L60" s="15">
        <v>8709.65</v>
      </c>
      <c r="M60" s="15">
        <v>41.5</v>
      </c>
      <c r="N60" s="15">
        <v>7.9</v>
      </c>
      <c r="O60" s="15">
        <v>34.18</v>
      </c>
      <c r="P60" s="15">
        <v>0</v>
      </c>
      <c r="Q60" s="15">
        <v>0</v>
      </c>
      <c r="R60" s="15">
        <v>0</v>
      </c>
      <c r="S60" s="15">
        <v>0</v>
      </c>
      <c r="T60" s="15">
        <v>34.18</v>
      </c>
      <c r="U60" s="15">
        <v>0.99</v>
      </c>
    </row>
    <row r="61" spans="1:22" x14ac:dyDescent="0.25">
      <c r="A61" s="15">
        <v>46500350</v>
      </c>
      <c r="B61" s="15">
        <v>48.44</v>
      </c>
      <c r="C61" s="15">
        <v>58.78</v>
      </c>
      <c r="D61" s="15">
        <v>53.11</v>
      </c>
      <c r="E61" s="15">
        <v>0</v>
      </c>
      <c r="F61" s="15">
        <v>0</v>
      </c>
      <c r="G61" s="15">
        <v>0</v>
      </c>
      <c r="H61" s="15">
        <v>0</v>
      </c>
      <c r="I61" s="15">
        <v>3544</v>
      </c>
      <c r="J61" s="15">
        <v>0</v>
      </c>
      <c r="K61" s="15">
        <v>3983.25</v>
      </c>
      <c r="L61" s="15">
        <v>3544</v>
      </c>
      <c r="M61" s="15">
        <v>0</v>
      </c>
      <c r="N61" s="15">
        <v>0</v>
      </c>
      <c r="O61" s="15">
        <v>0</v>
      </c>
      <c r="P61" s="15">
        <v>0</v>
      </c>
      <c r="Q61" s="15">
        <v>0</v>
      </c>
      <c r="R61" s="15">
        <v>0</v>
      </c>
      <c r="S61" s="15">
        <v>0</v>
      </c>
      <c r="T61" s="15">
        <v>0</v>
      </c>
      <c r="U61" s="15">
        <v>0</v>
      </c>
    </row>
    <row r="62" spans="1:22" x14ac:dyDescent="0.25">
      <c r="A62" s="15">
        <v>46981456</v>
      </c>
      <c r="B62" s="15">
        <v>5.44</v>
      </c>
      <c r="C62" s="15">
        <v>12.2</v>
      </c>
      <c r="D62" s="15">
        <v>12.2</v>
      </c>
      <c r="E62" s="15">
        <v>1919.2</v>
      </c>
      <c r="F62" s="15">
        <v>0</v>
      </c>
      <c r="G62" s="15">
        <v>0</v>
      </c>
      <c r="H62" s="15">
        <v>2041.2</v>
      </c>
      <c r="I62" s="15">
        <v>1633</v>
      </c>
      <c r="J62" s="15">
        <v>0</v>
      </c>
      <c r="K62" s="15">
        <v>2556.4</v>
      </c>
      <c r="L62" s="15">
        <v>2551.4499999999998</v>
      </c>
      <c r="M62" s="15">
        <v>6.6</v>
      </c>
      <c r="N62" s="15">
        <v>0</v>
      </c>
      <c r="O62" s="15">
        <v>17.989999999999998</v>
      </c>
      <c r="P62" s="15">
        <v>0</v>
      </c>
      <c r="Q62" s="15">
        <v>0</v>
      </c>
      <c r="R62" s="15">
        <v>0</v>
      </c>
      <c r="S62" s="15">
        <v>0</v>
      </c>
      <c r="T62" s="15">
        <v>17.989999999999998</v>
      </c>
      <c r="U62" s="15">
        <v>1.57</v>
      </c>
    </row>
    <row r="63" spans="1:22" x14ac:dyDescent="0.25">
      <c r="A63" s="15">
        <v>48880010</v>
      </c>
      <c r="B63" s="15">
        <v>31.32</v>
      </c>
      <c r="C63" s="15">
        <v>30.91</v>
      </c>
      <c r="D63" s="15">
        <v>30.91</v>
      </c>
      <c r="E63" s="15">
        <v>1990.8</v>
      </c>
      <c r="F63" s="15">
        <v>0</v>
      </c>
      <c r="G63" s="15">
        <v>0</v>
      </c>
      <c r="H63" s="15">
        <v>1992.8</v>
      </c>
      <c r="I63" s="15">
        <v>1323</v>
      </c>
      <c r="J63" s="15">
        <v>0</v>
      </c>
      <c r="K63" s="15">
        <v>3235.65</v>
      </c>
      <c r="L63" s="15">
        <v>2219.4</v>
      </c>
      <c r="M63" s="15">
        <v>6.95</v>
      </c>
      <c r="N63" s="15">
        <v>0</v>
      </c>
      <c r="O63" s="15">
        <v>0</v>
      </c>
      <c r="P63" s="15">
        <v>0</v>
      </c>
      <c r="Q63" s="15">
        <v>0</v>
      </c>
      <c r="R63" s="15">
        <v>0</v>
      </c>
      <c r="S63" s="15">
        <v>19.79</v>
      </c>
      <c r="T63" s="15">
        <v>19.79</v>
      </c>
      <c r="U63" s="15">
        <v>0.64</v>
      </c>
    </row>
    <row r="64" spans="1:22" x14ac:dyDescent="0.25">
      <c r="A64" s="15">
        <v>49299915</v>
      </c>
      <c r="B64" s="15">
        <v>17.62</v>
      </c>
      <c r="C64" s="15">
        <v>17.3</v>
      </c>
      <c r="D64" s="15">
        <v>11.7</v>
      </c>
      <c r="E64" s="15">
        <v>0</v>
      </c>
      <c r="F64" s="15">
        <v>144.65</v>
      </c>
      <c r="G64" s="15">
        <v>0</v>
      </c>
      <c r="H64" s="15">
        <v>144.65</v>
      </c>
      <c r="I64" s="15">
        <v>1054</v>
      </c>
      <c r="J64" s="15">
        <v>0</v>
      </c>
      <c r="K64" s="15">
        <v>1170</v>
      </c>
      <c r="L64" s="15">
        <v>1155.5</v>
      </c>
      <c r="M64" s="15">
        <v>0</v>
      </c>
      <c r="N64" s="15">
        <v>0</v>
      </c>
      <c r="O64" s="15">
        <v>0</v>
      </c>
      <c r="P64" s="15">
        <v>0</v>
      </c>
      <c r="Q64" s="15">
        <v>0</v>
      </c>
      <c r="R64" s="15">
        <v>0</v>
      </c>
      <c r="S64" s="15">
        <v>0</v>
      </c>
      <c r="T64" s="15">
        <v>0</v>
      </c>
      <c r="U64" s="15">
        <v>0.13</v>
      </c>
    </row>
    <row r="65" spans="1:22" x14ac:dyDescent="0.25">
      <c r="A65" s="15">
        <v>51310810</v>
      </c>
      <c r="B65" s="15">
        <v>10.25</v>
      </c>
      <c r="C65" s="15">
        <v>11.85</v>
      </c>
      <c r="D65" s="15">
        <v>11.85</v>
      </c>
      <c r="E65" s="15">
        <v>0</v>
      </c>
      <c r="F65" s="15">
        <v>0</v>
      </c>
      <c r="G65" s="15">
        <v>0</v>
      </c>
      <c r="H65" s="15">
        <v>1871.9</v>
      </c>
      <c r="I65" s="15">
        <v>653</v>
      </c>
      <c r="J65" s="15">
        <v>0</v>
      </c>
      <c r="K65" s="15">
        <v>1825</v>
      </c>
      <c r="L65" s="15">
        <v>1817.05</v>
      </c>
      <c r="M65" s="15">
        <v>8.1999999999999993</v>
      </c>
      <c r="N65" s="15">
        <v>0.9</v>
      </c>
      <c r="O65" s="15">
        <v>0</v>
      </c>
      <c r="P65" s="15">
        <v>0</v>
      </c>
      <c r="Q65" s="15">
        <v>0</v>
      </c>
      <c r="R65" s="15">
        <v>0</v>
      </c>
      <c r="S65" s="15">
        <v>0</v>
      </c>
      <c r="T65" s="15">
        <v>0</v>
      </c>
      <c r="U65" s="15">
        <v>1.61</v>
      </c>
      <c r="V65" s="1" t="s">
        <v>1349</v>
      </c>
    </row>
    <row r="66" spans="1:22" x14ac:dyDescent="0.25">
      <c r="A66" s="15">
        <v>60867216</v>
      </c>
      <c r="B66" s="15">
        <v>76.42</v>
      </c>
      <c r="C66" s="15">
        <v>83.16</v>
      </c>
      <c r="D66" s="15">
        <v>83.16</v>
      </c>
      <c r="E66" s="15">
        <v>0</v>
      </c>
      <c r="F66" s="15">
        <v>4169.3</v>
      </c>
      <c r="G66" s="15">
        <v>0</v>
      </c>
      <c r="H66" s="15">
        <v>4168.3</v>
      </c>
      <c r="I66" s="15">
        <v>5606</v>
      </c>
      <c r="J66" s="15">
        <v>0</v>
      </c>
      <c r="K66" s="15">
        <v>8738.1200000000008</v>
      </c>
      <c r="L66" s="15">
        <v>8732</v>
      </c>
      <c r="M66" s="15">
        <v>83.16</v>
      </c>
      <c r="N66" s="15">
        <v>12</v>
      </c>
      <c r="O66" s="15">
        <v>0</v>
      </c>
      <c r="P66" s="15">
        <v>0</v>
      </c>
      <c r="Q66" s="15">
        <v>0</v>
      </c>
      <c r="R66" s="15">
        <v>0</v>
      </c>
      <c r="S66" s="15">
        <v>0</v>
      </c>
      <c r="T66" s="15">
        <v>0</v>
      </c>
      <c r="U66" s="15">
        <v>0.52</v>
      </c>
    </row>
    <row r="67" spans="1:22" x14ac:dyDescent="0.25">
      <c r="A67" s="15">
        <v>60997810</v>
      </c>
      <c r="B67" s="15">
        <v>18.88</v>
      </c>
      <c r="C67" s="15">
        <v>24.8</v>
      </c>
      <c r="D67" s="15">
        <v>24.8</v>
      </c>
      <c r="E67" s="15">
        <v>752.27</v>
      </c>
      <c r="F67" s="15">
        <v>0</v>
      </c>
      <c r="G67" s="15">
        <v>0</v>
      </c>
      <c r="H67" s="15">
        <v>519.27</v>
      </c>
      <c r="I67" s="15">
        <v>2721</v>
      </c>
      <c r="J67" s="15">
        <v>0</v>
      </c>
      <c r="K67" s="15">
        <v>3082.6</v>
      </c>
      <c r="L67" s="15">
        <v>3080.1</v>
      </c>
      <c r="M67" s="15">
        <v>24.8</v>
      </c>
      <c r="N67" s="15">
        <v>0</v>
      </c>
      <c r="O67" s="15">
        <v>8.19</v>
      </c>
      <c r="P67" s="15">
        <v>0</v>
      </c>
      <c r="Q67" s="15">
        <v>0</v>
      </c>
      <c r="R67" s="15">
        <v>0</v>
      </c>
      <c r="S67" s="15">
        <v>0</v>
      </c>
      <c r="T67" s="15">
        <v>8.19</v>
      </c>
      <c r="U67" s="15">
        <v>0.24</v>
      </c>
    </row>
    <row r="68" spans="1:22" x14ac:dyDescent="0.25">
      <c r="A68" s="15">
        <v>64488414</v>
      </c>
      <c r="B68" s="15">
        <v>20.73</v>
      </c>
      <c r="C68" s="15">
        <v>151.34</v>
      </c>
      <c r="D68" s="15">
        <v>151.34</v>
      </c>
      <c r="E68" s="15">
        <v>20420.82</v>
      </c>
      <c r="F68" s="15">
        <v>0</v>
      </c>
      <c r="G68" s="15">
        <v>0</v>
      </c>
      <c r="H68" s="15">
        <v>20802.349999999999</v>
      </c>
      <c r="I68" s="15">
        <v>8012</v>
      </c>
      <c r="J68" s="15">
        <v>0</v>
      </c>
      <c r="K68" s="15">
        <v>22296.74</v>
      </c>
      <c r="L68" s="15">
        <v>21819.35</v>
      </c>
      <c r="M68" s="15">
        <v>120.31</v>
      </c>
      <c r="N68" s="15">
        <v>19.52</v>
      </c>
      <c r="O68" s="15">
        <v>221.81</v>
      </c>
      <c r="P68" s="15">
        <v>0</v>
      </c>
      <c r="Q68" s="15">
        <v>0</v>
      </c>
      <c r="R68" s="15">
        <v>0</v>
      </c>
      <c r="S68" s="15">
        <v>0</v>
      </c>
      <c r="T68" s="15">
        <v>221.81</v>
      </c>
      <c r="U68" s="15">
        <v>1.49</v>
      </c>
    </row>
    <row r="69" spans="1:22" x14ac:dyDescent="0.25">
      <c r="A69" s="15">
        <v>64882228</v>
      </c>
      <c r="B69" s="15">
        <v>8.15</v>
      </c>
      <c r="C69" s="15">
        <v>37.200000000000003</v>
      </c>
      <c r="D69" s="15">
        <v>37.200000000000003</v>
      </c>
      <c r="E69" s="15">
        <v>23190</v>
      </c>
      <c r="F69" s="15">
        <v>0</v>
      </c>
      <c r="G69" s="15">
        <v>13331.76</v>
      </c>
      <c r="H69" s="15">
        <v>4321.24</v>
      </c>
      <c r="I69" s="15">
        <v>2242</v>
      </c>
      <c r="J69" s="15">
        <v>0</v>
      </c>
      <c r="K69" s="15">
        <v>5509.55</v>
      </c>
      <c r="L69" s="15">
        <v>5482.75</v>
      </c>
      <c r="M69" s="15">
        <v>35.450000000000003</v>
      </c>
      <c r="N69" s="15">
        <v>5</v>
      </c>
      <c r="O69" s="15">
        <v>0</v>
      </c>
      <c r="P69" s="15">
        <v>239.14</v>
      </c>
      <c r="Q69" s="15">
        <v>0</v>
      </c>
      <c r="R69" s="15">
        <v>0</v>
      </c>
      <c r="S69" s="15">
        <v>0</v>
      </c>
      <c r="T69" s="15">
        <v>239.14</v>
      </c>
      <c r="U69" s="15">
        <v>1.17</v>
      </c>
    </row>
    <row r="70" spans="1:22" x14ac:dyDescent="0.25">
      <c r="A70" s="15">
        <v>65255618</v>
      </c>
      <c r="B70" s="15">
        <v>12.78</v>
      </c>
      <c r="C70" s="15">
        <v>39.04</v>
      </c>
      <c r="D70" s="15">
        <v>39.04</v>
      </c>
      <c r="E70" s="15">
        <v>0</v>
      </c>
      <c r="F70" s="15">
        <v>2236</v>
      </c>
      <c r="G70" s="15">
        <v>0</v>
      </c>
      <c r="H70" s="15">
        <v>5090</v>
      </c>
      <c r="I70" s="15">
        <v>764</v>
      </c>
      <c r="J70" s="15">
        <v>0</v>
      </c>
      <c r="K70" s="15">
        <v>4661.72</v>
      </c>
      <c r="L70" s="15">
        <v>4581.5</v>
      </c>
      <c r="M70" s="15">
        <v>39.04</v>
      </c>
      <c r="N70" s="15">
        <v>2</v>
      </c>
      <c r="O70" s="15">
        <v>0</v>
      </c>
      <c r="P70" s="15">
        <v>0</v>
      </c>
      <c r="Q70" s="15">
        <v>0</v>
      </c>
      <c r="R70" s="15">
        <v>0</v>
      </c>
      <c r="S70" s="15">
        <v>0</v>
      </c>
      <c r="T70" s="15">
        <v>0</v>
      </c>
      <c r="U70" s="15">
        <v>1.34</v>
      </c>
    </row>
    <row r="71" spans="1:22" x14ac:dyDescent="0.25">
      <c r="A71" s="15">
        <v>72101928</v>
      </c>
      <c r="B71" s="15">
        <v>14.55</v>
      </c>
      <c r="C71" s="15">
        <v>28.89</v>
      </c>
      <c r="D71" s="15">
        <v>28.39</v>
      </c>
      <c r="E71" s="15">
        <v>0</v>
      </c>
      <c r="F71" s="15">
        <v>1960</v>
      </c>
      <c r="G71" s="15">
        <v>0</v>
      </c>
      <c r="H71" s="15">
        <v>1996</v>
      </c>
      <c r="I71" s="15">
        <v>2574</v>
      </c>
      <c r="J71" s="15">
        <v>0</v>
      </c>
      <c r="K71" s="15">
        <v>3960.29</v>
      </c>
      <c r="L71" s="15">
        <v>3970.5</v>
      </c>
      <c r="M71" s="15">
        <v>28.39</v>
      </c>
      <c r="N71" s="15">
        <v>0</v>
      </c>
      <c r="O71" s="15">
        <v>0</v>
      </c>
      <c r="P71" s="15">
        <v>0</v>
      </c>
      <c r="Q71" s="15">
        <v>0</v>
      </c>
      <c r="R71" s="15">
        <v>0</v>
      </c>
      <c r="S71" s="15">
        <v>0</v>
      </c>
      <c r="T71" s="15">
        <v>0</v>
      </c>
      <c r="U71" s="15">
        <v>0.72</v>
      </c>
    </row>
    <row r="72" spans="1:22" x14ac:dyDescent="0.25">
      <c r="A72" s="15">
        <v>72112512</v>
      </c>
      <c r="B72" s="15">
        <v>3.33</v>
      </c>
      <c r="C72" s="15">
        <v>3.56</v>
      </c>
      <c r="D72" s="15">
        <v>3.56</v>
      </c>
      <c r="E72" s="15">
        <v>520.55999999999995</v>
      </c>
      <c r="F72" s="15">
        <v>0</v>
      </c>
      <c r="G72" s="15">
        <v>0</v>
      </c>
      <c r="H72" s="15">
        <v>578.55999999999995</v>
      </c>
      <c r="I72" s="15">
        <v>454</v>
      </c>
      <c r="J72" s="15">
        <v>0</v>
      </c>
      <c r="K72" s="15">
        <v>790</v>
      </c>
      <c r="L72" s="15">
        <v>762.05</v>
      </c>
      <c r="M72" s="15">
        <v>0</v>
      </c>
      <c r="N72" s="15">
        <v>0</v>
      </c>
      <c r="O72" s="15">
        <v>5.08</v>
      </c>
      <c r="P72" s="15">
        <v>0</v>
      </c>
      <c r="Q72" s="15">
        <v>0</v>
      </c>
      <c r="R72" s="15">
        <v>0</v>
      </c>
      <c r="S72" s="15">
        <v>0</v>
      </c>
      <c r="T72" s="15">
        <v>5.08</v>
      </c>
      <c r="U72" s="15">
        <v>1.59</v>
      </c>
    </row>
    <row r="73" spans="1:22" x14ac:dyDescent="0.25">
      <c r="A73" s="15">
        <v>72487214</v>
      </c>
      <c r="B73" s="15">
        <v>339.74</v>
      </c>
      <c r="C73" s="15">
        <v>491.6</v>
      </c>
      <c r="D73" s="15">
        <v>489.37</v>
      </c>
      <c r="E73" s="15">
        <v>0</v>
      </c>
      <c r="F73" s="15">
        <v>125525.51</v>
      </c>
      <c r="G73" s="15">
        <v>0</v>
      </c>
      <c r="H73" s="15">
        <v>101169.51</v>
      </c>
      <c r="I73" s="15">
        <v>14637</v>
      </c>
      <c r="J73" s="15">
        <v>0</v>
      </c>
      <c r="K73" s="15">
        <v>82560.210000000006</v>
      </c>
      <c r="L73" s="15">
        <v>82501.66</v>
      </c>
      <c r="M73" s="15">
        <v>480.87</v>
      </c>
      <c r="N73" s="15">
        <v>68.55</v>
      </c>
      <c r="O73" s="15">
        <v>0</v>
      </c>
      <c r="P73" s="15">
        <v>0</v>
      </c>
      <c r="Q73" s="15">
        <v>0</v>
      </c>
      <c r="R73" s="15">
        <v>0</v>
      </c>
      <c r="S73" s="15">
        <v>0</v>
      </c>
      <c r="T73" s="15">
        <v>0</v>
      </c>
      <c r="U73" s="15">
        <v>2.27</v>
      </c>
      <c r="V73" s="1" t="s">
        <v>1349</v>
      </c>
    </row>
    <row r="74" spans="1:22" x14ac:dyDescent="0.25">
      <c r="A74" s="15">
        <v>72827015</v>
      </c>
      <c r="B74" s="15">
        <v>32.01</v>
      </c>
      <c r="C74" s="15">
        <v>30.7</v>
      </c>
      <c r="D74" s="15">
        <v>30.7</v>
      </c>
      <c r="E74" s="15">
        <v>2222.7800000000002</v>
      </c>
      <c r="F74" s="15">
        <v>1729.6</v>
      </c>
      <c r="G74" s="15">
        <v>0</v>
      </c>
      <c r="H74" s="15">
        <v>3966.38</v>
      </c>
      <c r="I74" s="15">
        <v>2197</v>
      </c>
      <c r="J74" s="15">
        <v>0</v>
      </c>
      <c r="K74" s="15">
        <v>5064.3</v>
      </c>
      <c r="L74" s="15">
        <v>4413.45</v>
      </c>
      <c r="M74" s="15">
        <v>20.399999999999999</v>
      </c>
      <c r="N74" s="15">
        <v>2</v>
      </c>
      <c r="O74" s="15">
        <v>20.3</v>
      </c>
      <c r="P74" s="15">
        <v>0</v>
      </c>
      <c r="Q74" s="15">
        <v>0</v>
      </c>
      <c r="R74" s="15">
        <v>0</v>
      </c>
      <c r="S74" s="15">
        <v>0.69</v>
      </c>
      <c r="T74" s="15">
        <v>20.99</v>
      </c>
      <c r="U74" s="15">
        <v>1.26</v>
      </c>
    </row>
    <row r="75" spans="1:22" x14ac:dyDescent="0.25">
      <c r="A75" s="15">
        <v>74082815</v>
      </c>
      <c r="B75" s="15">
        <v>34.72</v>
      </c>
      <c r="C75" s="15">
        <v>34.229999999999997</v>
      </c>
      <c r="D75" s="15">
        <v>33.28</v>
      </c>
      <c r="E75" s="15">
        <v>0</v>
      </c>
      <c r="F75" s="15">
        <v>2331</v>
      </c>
      <c r="G75" s="15">
        <v>0</v>
      </c>
      <c r="H75" s="15">
        <v>2330</v>
      </c>
      <c r="I75" s="15">
        <v>3341</v>
      </c>
      <c r="J75" s="15">
        <v>0</v>
      </c>
      <c r="K75" s="15">
        <v>4981.4799999999996</v>
      </c>
      <c r="L75" s="15">
        <v>4972</v>
      </c>
      <c r="M75" s="15">
        <v>33.28</v>
      </c>
      <c r="N75" s="15">
        <v>4.22</v>
      </c>
      <c r="O75" s="15">
        <v>0</v>
      </c>
      <c r="P75" s="15">
        <v>0</v>
      </c>
      <c r="Q75" s="15">
        <v>0</v>
      </c>
      <c r="R75" s="15">
        <v>0</v>
      </c>
      <c r="S75" s="15">
        <v>0</v>
      </c>
      <c r="T75" s="15">
        <v>0</v>
      </c>
      <c r="U75" s="15">
        <v>0.64</v>
      </c>
    </row>
    <row r="76" spans="1:22" x14ac:dyDescent="0.25">
      <c r="A76" s="15">
        <v>78591951</v>
      </c>
      <c r="B76" s="15">
        <v>11.24</v>
      </c>
      <c r="C76" s="15">
        <v>11.23</v>
      </c>
      <c r="D76" s="15">
        <v>11.23</v>
      </c>
      <c r="E76" s="15">
        <v>0</v>
      </c>
      <c r="F76" s="15">
        <v>920</v>
      </c>
      <c r="G76" s="15">
        <v>0</v>
      </c>
      <c r="H76" s="15">
        <v>912</v>
      </c>
      <c r="I76" s="15">
        <v>840</v>
      </c>
      <c r="J76" s="15">
        <v>0</v>
      </c>
      <c r="K76" s="15">
        <v>1549.74</v>
      </c>
      <c r="L76" s="15">
        <v>1478.4</v>
      </c>
      <c r="M76" s="15">
        <v>11.23</v>
      </c>
      <c r="N76" s="15">
        <v>0</v>
      </c>
      <c r="O76" s="15">
        <v>0</v>
      </c>
      <c r="P76" s="15">
        <v>0</v>
      </c>
      <c r="Q76" s="15">
        <v>0</v>
      </c>
      <c r="R76" s="15">
        <v>0</v>
      </c>
      <c r="S76" s="15">
        <v>0</v>
      </c>
      <c r="T76" s="15">
        <v>0</v>
      </c>
      <c r="U76" s="15">
        <v>0.83</v>
      </c>
    </row>
    <row r="77" spans="1:22" x14ac:dyDescent="0.25">
      <c r="A77" s="15">
        <v>78857919</v>
      </c>
      <c r="B77" s="15">
        <v>82.92</v>
      </c>
      <c r="C77" s="15">
        <v>87.16</v>
      </c>
      <c r="D77" s="15">
        <v>87.16</v>
      </c>
      <c r="E77" s="15">
        <v>21930.26</v>
      </c>
      <c r="F77" s="15">
        <v>0</v>
      </c>
      <c r="G77" s="15">
        <v>1374.08</v>
      </c>
      <c r="H77" s="15">
        <v>18500.18</v>
      </c>
      <c r="I77" s="15">
        <v>4914</v>
      </c>
      <c r="J77" s="15">
        <v>0</v>
      </c>
      <c r="K77" s="15">
        <v>17775.46</v>
      </c>
      <c r="L77" s="15">
        <v>17724.5</v>
      </c>
      <c r="M77" s="15">
        <v>33.67</v>
      </c>
      <c r="N77" s="15">
        <v>9.77</v>
      </c>
      <c r="O77" s="15">
        <v>233.72</v>
      </c>
      <c r="P77" s="15">
        <v>0</v>
      </c>
      <c r="Q77" s="15">
        <v>0</v>
      </c>
      <c r="R77" s="15">
        <v>0</v>
      </c>
      <c r="S77" s="15">
        <v>0</v>
      </c>
      <c r="T77" s="15">
        <v>233.72</v>
      </c>
      <c r="U77" s="15">
        <v>2.2799999999999998</v>
      </c>
      <c r="V77" s="1" t="s">
        <v>1349</v>
      </c>
    </row>
    <row r="78" spans="1:22" x14ac:dyDescent="0.25">
      <c r="A78" s="15">
        <v>79051152</v>
      </c>
      <c r="B78" s="15">
        <v>22.92</v>
      </c>
      <c r="C78" s="15">
        <v>26.95</v>
      </c>
      <c r="D78" s="15">
        <v>26.95</v>
      </c>
      <c r="E78" s="15">
        <v>3952</v>
      </c>
      <c r="F78" s="15">
        <v>0</v>
      </c>
      <c r="G78" s="15">
        <v>2383.71</v>
      </c>
      <c r="H78" s="15">
        <v>2989.29</v>
      </c>
      <c r="I78" s="15">
        <v>996</v>
      </c>
      <c r="J78" s="15">
        <v>0</v>
      </c>
      <c r="K78" s="15">
        <v>3107.1</v>
      </c>
      <c r="L78" s="15">
        <v>2938.85</v>
      </c>
      <c r="M78" s="15">
        <v>15.85</v>
      </c>
      <c r="N78" s="15">
        <v>0</v>
      </c>
      <c r="O78" s="15">
        <v>0</v>
      </c>
      <c r="P78" s="15">
        <v>0</v>
      </c>
      <c r="Q78" s="15">
        <v>43.29</v>
      </c>
      <c r="R78" s="15">
        <v>0</v>
      </c>
      <c r="S78" s="15">
        <v>0</v>
      </c>
      <c r="T78" s="15">
        <v>43.29</v>
      </c>
      <c r="U78" s="15">
        <v>1.2</v>
      </c>
    </row>
    <row r="79" spans="1:22" x14ac:dyDescent="0.25">
      <c r="A79" s="15">
        <v>79580759</v>
      </c>
      <c r="B79" s="15">
        <v>12.39</v>
      </c>
      <c r="C79" s="15">
        <v>23.65</v>
      </c>
      <c r="D79" s="15">
        <v>23.65</v>
      </c>
      <c r="E79" s="15">
        <v>0</v>
      </c>
      <c r="F79" s="15">
        <v>0</v>
      </c>
      <c r="G79" s="15">
        <v>0</v>
      </c>
      <c r="H79" s="15">
        <v>0</v>
      </c>
      <c r="I79" s="15">
        <v>2108</v>
      </c>
      <c r="J79" s="15">
        <v>509</v>
      </c>
      <c r="K79" s="15">
        <v>2441.25</v>
      </c>
      <c r="L79" s="15">
        <v>2337.5</v>
      </c>
      <c r="M79" s="15">
        <v>23.65</v>
      </c>
      <c r="N79" s="15">
        <v>0</v>
      </c>
      <c r="O79" s="15">
        <v>0</v>
      </c>
      <c r="P79" s="15">
        <v>0</v>
      </c>
      <c r="Q79" s="15">
        <v>0</v>
      </c>
      <c r="R79" s="15">
        <v>0</v>
      </c>
      <c r="S79" s="15">
        <v>0</v>
      </c>
      <c r="T79" s="15">
        <v>0</v>
      </c>
      <c r="U79" s="15">
        <v>0</v>
      </c>
    </row>
    <row r="80" spans="1:22" x14ac:dyDescent="0.25">
      <c r="A80" s="15">
        <v>79622559</v>
      </c>
      <c r="B80" s="15">
        <v>24.93</v>
      </c>
      <c r="C80" s="15">
        <v>29.81</v>
      </c>
      <c r="D80" s="15">
        <v>29.81</v>
      </c>
      <c r="E80" s="15">
        <v>2077.61</v>
      </c>
      <c r="F80" s="15">
        <v>0</v>
      </c>
      <c r="G80" s="15">
        <v>0</v>
      </c>
      <c r="H80" s="15">
        <v>1916.58</v>
      </c>
      <c r="I80" s="15">
        <v>1803</v>
      </c>
      <c r="J80" s="15">
        <v>0</v>
      </c>
      <c r="K80" s="15">
        <v>3814.44</v>
      </c>
      <c r="L80" s="15">
        <v>3100.13</v>
      </c>
      <c r="M80" s="15">
        <v>22.9</v>
      </c>
      <c r="N80" s="15">
        <v>3.16</v>
      </c>
      <c r="O80" s="15">
        <v>20.99</v>
      </c>
      <c r="P80" s="15">
        <v>0</v>
      </c>
      <c r="Q80" s="15">
        <v>0</v>
      </c>
      <c r="R80" s="15">
        <v>0</v>
      </c>
      <c r="S80" s="15">
        <v>0</v>
      </c>
      <c r="T80" s="15">
        <v>20.99</v>
      </c>
      <c r="U80" s="15">
        <v>0.65</v>
      </c>
    </row>
    <row r="81" spans="1:22" x14ac:dyDescent="0.25">
      <c r="A81" s="15">
        <v>83514116</v>
      </c>
      <c r="B81" s="15">
        <v>13.02</v>
      </c>
      <c r="C81" s="15">
        <v>12.1</v>
      </c>
      <c r="D81" s="15">
        <v>12.1</v>
      </c>
      <c r="E81" s="15">
        <v>1972.76</v>
      </c>
      <c r="F81" s="15">
        <v>1080</v>
      </c>
      <c r="G81" s="15">
        <v>0</v>
      </c>
      <c r="H81" s="15">
        <v>2863.76</v>
      </c>
      <c r="I81" s="15">
        <v>0</v>
      </c>
      <c r="J81" s="15">
        <v>0</v>
      </c>
      <c r="K81" s="15">
        <v>2419.6999999999998</v>
      </c>
      <c r="L81" s="15">
        <v>1613.4</v>
      </c>
      <c r="M81" s="15">
        <v>0</v>
      </c>
      <c r="N81" s="15">
        <v>0</v>
      </c>
      <c r="O81" s="15">
        <v>18.16</v>
      </c>
      <c r="P81" s="15">
        <v>0</v>
      </c>
      <c r="Q81" s="15">
        <v>0</v>
      </c>
      <c r="R81" s="15">
        <v>0</v>
      </c>
      <c r="S81" s="15">
        <v>0</v>
      </c>
      <c r="T81" s="15">
        <v>18.16</v>
      </c>
      <c r="U81" s="15">
        <v>2.27</v>
      </c>
      <c r="V81" s="1" t="s">
        <v>1349</v>
      </c>
    </row>
    <row r="82" spans="1:22" x14ac:dyDescent="0.25">
      <c r="A82" s="15">
        <v>84696714</v>
      </c>
      <c r="B82" s="15">
        <v>28.76</v>
      </c>
      <c r="C82" s="15">
        <v>33.93</v>
      </c>
      <c r="D82" s="15">
        <v>33.93</v>
      </c>
      <c r="E82" s="15">
        <v>0</v>
      </c>
      <c r="F82" s="15">
        <v>2989.2</v>
      </c>
      <c r="G82" s="15">
        <v>0</v>
      </c>
      <c r="H82" s="15">
        <v>2989.2</v>
      </c>
      <c r="I82" s="15">
        <v>2343</v>
      </c>
      <c r="J82" s="15">
        <v>0</v>
      </c>
      <c r="K82" s="15">
        <v>4437.7299999999996</v>
      </c>
      <c r="L82" s="15">
        <v>4436</v>
      </c>
      <c r="M82" s="15">
        <v>30.63</v>
      </c>
      <c r="N82" s="15">
        <v>4.3499999999999996</v>
      </c>
      <c r="O82" s="15">
        <v>0</v>
      </c>
      <c r="P82" s="15">
        <v>0</v>
      </c>
      <c r="Q82" s="15">
        <v>0</v>
      </c>
      <c r="R82" s="15">
        <v>0</v>
      </c>
      <c r="S82" s="15">
        <v>0</v>
      </c>
      <c r="T82" s="15">
        <v>0</v>
      </c>
      <c r="U82" s="15">
        <v>0.91</v>
      </c>
    </row>
    <row r="83" spans="1:22" x14ac:dyDescent="0.25">
      <c r="A83" s="15">
        <v>85173014</v>
      </c>
      <c r="B83" s="15">
        <v>3.03</v>
      </c>
      <c r="C83" s="15">
        <v>6</v>
      </c>
      <c r="D83" s="15">
        <v>6</v>
      </c>
      <c r="E83" s="15">
        <v>510.24</v>
      </c>
      <c r="F83" s="15">
        <v>0</v>
      </c>
      <c r="G83" s="15">
        <v>0</v>
      </c>
      <c r="H83" s="15">
        <v>538.24</v>
      </c>
      <c r="I83" s="15">
        <v>478</v>
      </c>
      <c r="J83" s="15">
        <v>0</v>
      </c>
      <c r="K83" s="15">
        <v>927</v>
      </c>
      <c r="L83" s="15">
        <v>828.35</v>
      </c>
      <c r="M83" s="15">
        <v>6</v>
      </c>
      <c r="N83" s="15">
        <v>0</v>
      </c>
      <c r="O83" s="15">
        <v>0.28000000000000003</v>
      </c>
      <c r="P83" s="15">
        <v>6.47</v>
      </c>
      <c r="Q83" s="15">
        <v>0</v>
      </c>
      <c r="R83" s="15">
        <v>0</v>
      </c>
      <c r="S83" s="15">
        <v>0</v>
      </c>
      <c r="T83" s="15">
        <v>6.75</v>
      </c>
      <c r="U83" s="15">
        <v>1.17</v>
      </c>
    </row>
    <row r="84" spans="1:22" x14ac:dyDescent="0.25">
      <c r="A84" s="15">
        <v>87840859</v>
      </c>
      <c r="B84" s="15">
        <v>37.72</v>
      </c>
      <c r="C84" s="15">
        <v>81.180000000000007</v>
      </c>
      <c r="D84" s="15">
        <v>81.180000000000007</v>
      </c>
      <c r="E84" s="15">
        <v>11867.42</v>
      </c>
      <c r="F84" s="15">
        <v>0</v>
      </c>
      <c r="G84" s="15">
        <v>0</v>
      </c>
      <c r="H84" s="15">
        <v>11832.07</v>
      </c>
      <c r="I84" s="15">
        <v>4428</v>
      </c>
      <c r="J84" s="15">
        <v>0</v>
      </c>
      <c r="K84" s="15">
        <v>12482.99</v>
      </c>
      <c r="L84" s="15">
        <v>12436.2</v>
      </c>
      <c r="M84" s="15">
        <v>48.18</v>
      </c>
      <c r="N84" s="15">
        <v>8.77</v>
      </c>
      <c r="O84" s="15">
        <v>117.82</v>
      </c>
      <c r="P84" s="15">
        <v>0</v>
      </c>
      <c r="Q84" s="15">
        <v>0</v>
      </c>
      <c r="R84" s="15">
        <v>0</v>
      </c>
      <c r="S84" s="15">
        <v>0</v>
      </c>
      <c r="T84" s="15">
        <v>117.82</v>
      </c>
      <c r="U84" s="15">
        <v>1.45</v>
      </c>
    </row>
    <row r="85" spans="1:22" x14ac:dyDescent="0.25">
      <c r="A85" s="15">
        <v>88207114</v>
      </c>
      <c r="B85" s="15">
        <v>1.82</v>
      </c>
      <c r="C85" s="15">
        <v>70.7</v>
      </c>
      <c r="D85" s="15">
        <v>70.7</v>
      </c>
      <c r="E85" s="15">
        <v>8855.2999999999993</v>
      </c>
      <c r="F85" s="15">
        <v>0</v>
      </c>
      <c r="G85" s="15">
        <v>3393</v>
      </c>
      <c r="H85" s="15">
        <v>5462.3</v>
      </c>
      <c r="I85" s="15">
        <v>5962</v>
      </c>
      <c r="J85" s="15">
        <v>0</v>
      </c>
      <c r="K85" s="15">
        <v>8990</v>
      </c>
      <c r="L85" s="15">
        <v>8420.19</v>
      </c>
      <c r="M85" s="15">
        <v>70.7</v>
      </c>
      <c r="N85" s="15">
        <v>10</v>
      </c>
      <c r="O85" s="15">
        <v>0</v>
      </c>
      <c r="P85" s="15">
        <v>0</v>
      </c>
      <c r="Q85" s="15">
        <v>0</v>
      </c>
      <c r="R85" s="15">
        <v>0</v>
      </c>
      <c r="S85" s="15">
        <v>0</v>
      </c>
      <c r="T85" s="15">
        <v>0</v>
      </c>
      <c r="U85" s="15">
        <v>1.23</v>
      </c>
    </row>
    <row r="86" spans="1:22" x14ac:dyDescent="0.25">
      <c r="A86" s="15">
        <v>88256352</v>
      </c>
      <c r="B86" s="15">
        <v>38.130000000000003</v>
      </c>
      <c r="C86" s="15">
        <v>40</v>
      </c>
      <c r="D86" s="15">
        <v>40</v>
      </c>
      <c r="E86" s="15">
        <v>3491.35</v>
      </c>
      <c r="F86" s="15">
        <v>2566</v>
      </c>
      <c r="G86" s="15">
        <v>0</v>
      </c>
      <c r="H86" s="15">
        <v>5896.35</v>
      </c>
      <c r="I86" s="15">
        <v>2791</v>
      </c>
      <c r="J86" s="15">
        <v>0</v>
      </c>
      <c r="K86" s="15">
        <v>6449.44</v>
      </c>
      <c r="L86" s="15">
        <v>6387.9</v>
      </c>
      <c r="M86" s="15">
        <v>28.88</v>
      </c>
      <c r="N86" s="15">
        <v>3.75</v>
      </c>
      <c r="O86" s="15">
        <v>36.69</v>
      </c>
      <c r="P86" s="15">
        <v>0</v>
      </c>
      <c r="Q86" s="15">
        <v>0</v>
      </c>
      <c r="R86" s="15">
        <v>0</v>
      </c>
      <c r="S86" s="15">
        <v>0</v>
      </c>
      <c r="T86" s="15">
        <v>36.69</v>
      </c>
      <c r="U86" s="15">
        <v>1.55</v>
      </c>
    </row>
    <row r="87" spans="1:22" x14ac:dyDescent="0.25">
      <c r="A87" s="15">
        <v>98331859</v>
      </c>
      <c r="B87" s="15">
        <v>3.67</v>
      </c>
      <c r="C87" s="15">
        <v>9.1999999999999993</v>
      </c>
      <c r="D87" s="15">
        <v>9.1999999999999993</v>
      </c>
      <c r="E87" s="15">
        <v>0</v>
      </c>
      <c r="F87" s="15">
        <v>0</v>
      </c>
      <c r="G87" s="15">
        <v>0</v>
      </c>
      <c r="H87" s="15">
        <v>0</v>
      </c>
      <c r="I87" s="15">
        <v>1458</v>
      </c>
      <c r="J87" s="15">
        <v>0</v>
      </c>
      <c r="K87" s="15">
        <v>1580</v>
      </c>
      <c r="L87" s="15">
        <v>1458</v>
      </c>
      <c r="M87" s="15">
        <v>9.1999999999999993</v>
      </c>
      <c r="N87" s="15">
        <v>0</v>
      </c>
      <c r="O87" s="15">
        <v>0</v>
      </c>
      <c r="P87" s="15">
        <v>0</v>
      </c>
      <c r="Q87" s="15">
        <v>0</v>
      </c>
      <c r="R87" s="15">
        <v>0</v>
      </c>
      <c r="S87" s="15">
        <v>0</v>
      </c>
      <c r="T87" s="15">
        <v>0</v>
      </c>
      <c r="U87" s="15">
        <v>0</v>
      </c>
    </row>
    <row r="88" spans="1:22" x14ac:dyDescent="0.25">
      <c r="A88" s="15">
        <v>98333053</v>
      </c>
      <c r="B88" s="15">
        <v>288.98</v>
      </c>
      <c r="C88" s="15">
        <v>352.73</v>
      </c>
      <c r="D88" s="15">
        <v>332.23</v>
      </c>
      <c r="E88" s="15">
        <v>46837.8</v>
      </c>
      <c r="F88" s="15">
        <v>6587.85</v>
      </c>
      <c r="G88" s="15">
        <v>2324</v>
      </c>
      <c r="H88" s="15">
        <v>42688.45</v>
      </c>
      <c r="I88" s="15">
        <v>24147</v>
      </c>
      <c r="J88" s="15">
        <v>0</v>
      </c>
      <c r="K88" s="15">
        <v>53399.31</v>
      </c>
      <c r="L88" s="15">
        <v>53373.599999999999</v>
      </c>
      <c r="M88" s="15">
        <v>258.92</v>
      </c>
      <c r="N88" s="15">
        <v>35.78</v>
      </c>
      <c r="O88" s="15">
        <v>496.42</v>
      </c>
      <c r="P88" s="15">
        <v>0</v>
      </c>
      <c r="Q88" s="15">
        <v>0</v>
      </c>
      <c r="R88" s="15">
        <v>0</v>
      </c>
      <c r="S88" s="15">
        <v>0</v>
      </c>
      <c r="T88" s="15">
        <v>496.42</v>
      </c>
      <c r="U88" s="15">
        <v>1.39</v>
      </c>
    </row>
    <row r="89" spans="1:22" x14ac:dyDescent="0.25">
      <c r="A89" s="15">
        <v>98400257</v>
      </c>
      <c r="B89" s="15">
        <v>33.81</v>
      </c>
      <c r="C89" s="15">
        <v>40.549999999999997</v>
      </c>
      <c r="D89" s="15">
        <v>33.65</v>
      </c>
      <c r="E89" s="15">
        <v>0</v>
      </c>
      <c r="F89" s="15">
        <v>1652</v>
      </c>
      <c r="G89" s="15">
        <v>0</v>
      </c>
      <c r="H89" s="15">
        <v>1672</v>
      </c>
      <c r="I89" s="15">
        <v>3025</v>
      </c>
      <c r="J89" s="15">
        <v>0</v>
      </c>
      <c r="K89" s="15">
        <v>4378.0200000000004</v>
      </c>
      <c r="L89" s="15">
        <v>4279.75</v>
      </c>
      <c r="M89" s="15">
        <v>26.65</v>
      </c>
      <c r="N89" s="15">
        <v>4</v>
      </c>
      <c r="O89" s="15">
        <v>0</v>
      </c>
      <c r="P89" s="15">
        <v>0</v>
      </c>
      <c r="Q89" s="15">
        <v>0</v>
      </c>
      <c r="R89" s="15">
        <v>0</v>
      </c>
      <c r="S89" s="15">
        <v>0</v>
      </c>
      <c r="T89" s="15">
        <v>0</v>
      </c>
      <c r="U89" s="15">
        <v>0.55000000000000004</v>
      </c>
    </row>
    <row r="90" spans="1:22" x14ac:dyDescent="0.25">
      <c r="A90" s="15">
        <v>98481257</v>
      </c>
      <c r="B90" s="15">
        <v>61.51</v>
      </c>
      <c r="C90" s="15">
        <v>89.97</v>
      </c>
      <c r="D90" s="15">
        <v>89.97</v>
      </c>
      <c r="E90" s="15">
        <v>0</v>
      </c>
      <c r="F90" s="15">
        <v>7633</v>
      </c>
      <c r="G90" s="15">
        <v>0</v>
      </c>
      <c r="H90" s="15">
        <v>7740</v>
      </c>
      <c r="I90" s="15">
        <v>4413</v>
      </c>
      <c r="J90" s="15">
        <v>0</v>
      </c>
      <c r="K90" s="15">
        <v>11099.16</v>
      </c>
      <c r="L90" s="15">
        <v>9484.75</v>
      </c>
      <c r="M90" s="15">
        <v>52.84</v>
      </c>
      <c r="N90" s="15">
        <v>7.62</v>
      </c>
      <c r="O90" s="15">
        <v>0</v>
      </c>
      <c r="P90" s="15">
        <v>0</v>
      </c>
      <c r="Q90" s="15">
        <v>0</v>
      </c>
      <c r="R90" s="15">
        <v>0</v>
      </c>
      <c r="S90" s="15">
        <v>0</v>
      </c>
      <c r="T90" s="15">
        <v>0</v>
      </c>
      <c r="U90" s="15">
        <v>0.89</v>
      </c>
    </row>
    <row r="91" spans="1:22" x14ac:dyDescent="0.25">
      <c r="A91" s="15">
        <v>99478357</v>
      </c>
      <c r="B91" s="15">
        <v>11.3</v>
      </c>
      <c r="C91" s="15">
        <v>23.63</v>
      </c>
      <c r="D91" s="15">
        <v>23.63</v>
      </c>
      <c r="E91" s="15">
        <v>0</v>
      </c>
      <c r="F91" s="15">
        <v>2250</v>
      </c>
      <c r="G91" s="15">
        <v>0</v>
      </c>
      <c r="H91" s="15">
        <v>2250</v>
      </c>
      <c r="I91" s="15">
        <v>1391</v>
      </c>
      <c r="J91" s="15">
        <v>0</v>
      </c>
      <c r="K91" s="15">
        <v>3240.25</v>
      </c>
      <c r="L91" s="15">
        <v>2966</v>
      </c>
      <c r="M91" s="15">
        <v>19.16</v>
      </c>
      <c r="N91" s="15">
        <v>0</v>
      </c>
      <c r="O91" s="15">
        <v>0</v>
      </c>
      <c r="P91" s="15">
        <v>0</v>
      </c>
      <c r="Q91" s="15">
        <v>0</v>
      </c>
      <c r="R91" s="15">
        <v>0</v>
      </c>
      <c r="S91" s="15">
        <v>0</v>
      </c>
      <c r="T91" s="15">
        <v>0</v>
      </c>
      <c r="U91" s="15">
        <v>0.97</v>
      </c>
    </row>
    <row r="92" spans="1:22" x14ac:dyDescent="0.25">
      <c r="A92" s="15">
        <v>99534168</v>
      </c>
      <c r="B92" s="15">
        <v>7.75</v>
      </c>
      <c r="C92" s="15">
        <v>7.53</v>
      </c>
      <c r="D92" s="15">
        <v>7.53</v>
      </c>
      <c r="E92" s="15">
        <v>80.760000000000005</v>
      </c>
      <c r="F92" s="15">
        <v>0</v>
      </c>
      <c r="G92" s="15">
        <v>0</v>
      </c>
      <c r="H92" s="15">
        <v>81.760000000000005</v>
      </c>
      <c r="I92" s="15">
        <v>791</v>
      </c>
      <c r="J92" s="15">
        <v>0</v>
      </c>
      <c r="K92" s="15">
        <v>845.9</v>
      </c>
      <c r="L92" s="15">
        <v>844.3</v>
      </c>
      <c r="M92" s="15">
        <v>0</v>
      </c>
      <c r="N92" s="15">
        <v>0</v>
      </c>
      <c r="O92" s="15">
        <v>0.49</v>
      </c>
      <c r="P92" s="15">
        <v>0</v>
      </c>
      <c r="Q92" s="15">
        <v>0</v>
      </c>
      <c r="R92" s="15">
        <v>0</v>
      </c>
      <c r="S92" s="15">
        <v>0.34</v>
      </c>
      <c r="T92" s="15">
        <v>0.83</v>
      </c>
      <c r="U92" s="15">
        <v>0.11</v>
      </c>
    </row>
    <row r="93" spans="1:22" x14ac:dyDescent="0.25">
      <c r="A93" s="15">
        <v>99614854</v>
      </c>
      <c r="B93" s="15">
        <v>8.3699999999999992</v>
      </c>
      <c r="C93" s="15">
        <v>6.2</v>
      </c>
      <c r="D93" s="15">
        <v>6.2</v>
      </c>
      <c r="E93" s="15">
        <v>313.2</v>
      </c>
      <c r="F93" s="15">
        <v>0</v>
      </c>
      <c r="G93" s="15">
        <v>116.34</v>
      </c>
      <c r="H93" s="15">
        <v>196.86</v>
      </c>
      <c r="I93" s="15">
        <v>793.6</v>
      </c>
      <c r="J93" s="15">
        <v>0</v>
      </c>
      <c r="K93" s="15">
        <v>1188.3</v>
      </c>
      <c r="L93" s="15">
        <v>882.25</v>
      </c>
      <c r="M93" s="15">
        <v>1.35</v>
      </c>
      <c r="N93" s="15">
        <v>0</v>
      </c>
      <c r="O93" s="15">
        <v>0</v>
      </c>
      <c r="P93" s="15">
        <v>0</v>
      </c>
      <c r="Q93" s="15">
        <v>0</v>
      </c>
      <c r="R93" s="15">
        <v>0</v>
      </c>
      <c r="S93" s="15">
        <v>3.1</v>
      </c>
      <c r="T93" s="15">
        <v>3.1</v>
      </c>
      <c r="U93" s="15">
        <v>0.31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F114"/>
  <sheetViews>
    <sheetView tabSelected="1" topLeftCell="B109" workbookViewId="0">
      <selection activeCell="D131" sqref="D131"/>
    </sheetView>
  </sheetViews>
  <sheetFormatPr defaultRowHeight="15" x14ac:dyDescent="0.25"/>
  <cols>
    <col min="2" max="2" width="28.140625" customWidth="1"/>
    <col min="3" max="3" width="9" bestFit="1" customWidth="1"/>
    <col min="4" max="4" width="10.42578125" bestFit="1" customWidth="1"/>
    <col min="5" max="5" width="9.42578125" style="15" bestFit="1" customWidth="1"/>
    <col min="6" max="6" width="10" style="15" bestFit="1" customWidth="1"/>
    <col min="7" max="7" width="8.85546875" style="15"/>
  </cols>
  <sheetData>
    <row r="1" spans="2:35" ht="21" x14ac:dyDescent="0.35">
      <c r="B1" s="53" t="s">
        <v>1663</v>
      </c>
      <c r="N1" s="7" t="s">
        <v>12</v>
      </c>
    </row>
    <row r="3" spans="2:35" ht="14.45" x14ac:dyDescent="0.3">
      <c r="B3" t="s">
        <v>1542</v>
      </c>
    </row>
    <row r="4" spans="2:35" ht="75" x14ac:dyDescent="0.25">
      <c r="N4" s="7" t="s">
        <v>12</v>
      </c>
      <c r="O4" s="7" t="s">
        <v>1350</v>
      </c>
      <c r="P4" s="7" t="s">
        <v>1351</v>
      </c>
      <c r="Q4" s="7" t="s">
        <v>1352</v>
      </c>
      <c r="R4" s="7" t="s">
        <v>1353</v>
      </c>
      <c r="S4" s="7" t="s">
        <v>1354</v>
      </c>
      <c r="T4" s="7" t="s">
        <v>1355</v>
      </c>
      <c r="U4" s="7" t="s">
        <v>1356</v>
      </c>
      <c r="V4" s="7" t="s">
        <v>1357</v>
      </c>
      <c r="W4" s="7" t="s">
        <v>1358</v>
      </c>
      <c r="X4" s="7" t="s">
        <v>1359</v>
      </c>
      <c r="Y4" s="7" t="s">
        <v>1360</v>
      </c>
      <c r="Z4" s="7" t="s">
        <v>1361</v>
      </c>
      <c r="AA4" s="7" t="s">
        <v>1362</v>
      </c>
      <c r="AB4" s="7" t="s">
        <v>1363</v>
      </c>
      <c r="AC4" s="7" t="s">
        <v>1364</v>
      </c>
      <c r="AD4" s="7" t="s">
        <v>1365</v>
      </c>
      <c r="AE4" s="7" t="s">
        <v>1366</v>
      </c>
      <c r="AF4" s="7" t="s">
        <v>1367</v>
      </c>
      <c r="AG4" s="7" t="s">
        <v>1368</v>
      </c>
      <c r="AH4" s="7" t="s">
        <v>1369</v>
      </c>
      <c r="AI4" s="9" t="s">
        <v>1370</v>
      </c>
    </row>
    <row r="5" spans="2:35" s="17" customFormat="1" ht="75" x14ac:dyDescent="0.25">
      <c r="B5" s="18"/>
      <c r="C5" s="18" t="s">
        <v>1543</v>
      </c>
      <c r="D5" s="18" t="s">
        <v>1548</v>
      </c>
      <c r="E5" s="18" t="s">
        <v>1552</v>
      </c>
      <c r="F5" s="18" t="s">
        <v>1553</v>
      </c>
      <c r="G5" s="18"/>
      <c r="H5" s="18" t="s">
        <v>1544</v>
      </c>
      <c r="I5" s="18" t="s">
        <v>1545</v>
      </c>
      <c r="J5" s="18" t="s">
        <v>1546</v>
      </c>
      <c r="K5" s="18" t="s">
        <v>1547</v>
      </c>
      <c r="L5" s="18" t="s">
        <v>1554</v>
      </c>
    </row>
    <row r="6" spans="2:35" ht="14.45" x14ac:dyDescent="0.3">
      <c r="B6" s="19" t="s">
        <v>1549</v>
      </c>
      <c r="C6" s="20">
        <f>DCOUNT(GHI,N4,N4:N6)</f>
        <v>92</v>
      </c>
      <c r="D6" s="21">
        <f>DSUM(GHI,O4,O4:O6)</f>
        <v>3152.6400000000008</v>
      </c>
      <c r="E6" s="21">
        <f>DSUM(GHI,P4,P4:P6)</f>
        <v>8376.83</v>
      </c>
      <c r="F6" s="21">
        <f>DSUM(GHI,Q4,Q4:Q6)</f>
        <v>8125.7499999999982</v>
      </c>
      <c r="G6" s="21"/>
      <c r="H6" s="21">
        <f>DSUM(GHI,AG4,Q4:Q6)</f>
        <v>7006.2999999999975</v>
      </c>
      <c r="I6" s="21">
        <f>DSUM(GHI,AB4,R4:R6)</f>
        <v>4880.3499999999985</v>
      </c>
      <c r="J6" s="21">
        <f>DSUM(GHI,AC4,S4:S6)</f>
        <v>1137.1499999999999</v>
      </c>
      <c r="K6" s="22">
        <f>DSUM(GHI,AD4,T4:T6)+DSUM(GHI,AE4,T4:T6)+DSUM(GHI,AF4,T4:T6)</f>
        <v>988.8</v>
      </c>
      <c r="L6" s="28">
        <f>DSUM(GHI,$U4,U4:U6)/DSUM(GHI,Q4,U4:U6)</f>
        <v>133.83551549087784</v>
      </c>
      <c r="M6" s="22">
        <f>DSUM(GHI,$U4,V4:V6)</f>
        <v>1087513.9400000004</v>
      </c>
      <c r="N6" s="17">
        <f>DCOUNT(GHI,N4,$N$1:$N$2)</f>
        <v>92</v>
      </c>
      <c r="O6" s="27">
        <f t="shared" ref="O6:AI6" si="0">DSUM(GHI,O4,$N$1:$N$2)</f>
        <v>3152.6400000000008</v>
      </c>
      <c r="P6" s="27">
        <f t="shared" si="0"/>
        <v>8376.83</v>
      </c>
      <c r="Q6" s="27">
        <f t="shared" si="0"/>
        <v>8125.7499999999982</v>
      </c>
      <c r="R6" s="27">
        <f t="shared" si="0"/>
        <v>679186.97000000009</v>
      </c>
      <c r="S6" s="27">
        <f t="shared" si="0"/>
        <v>594458.24</v>
      </c>
      <c r="T6" s="27">
        <f t="shared" si="0"/>
        <v>119218.32</v>
      </c>
      <c r="U6" s="27">
        <f t="shared" si="0"/>
        <v>1087513.9400000004</v>
      </c>
      <c r="V6" s="27">
        <f t="shared" si="0"/>
        <v>458033.67</v>
      </c>
      <c r="W6" s="27">
        <f t="shared" si="0"/>
        <v>3233.2</v>
      </c>
      <c r="X6" s="27">
        <f t="shared" si="0"/>
        <v>1283315.8400000001</v>
      </c>
      <c r="Y6" s="27">
        <f t="shared" si="0"/>
        <v>1175966.7200000002</v>
      </c>
      <c r="Z6" s="27">
        <f t="shared" si="0"/>
        <v>5445.7699999999986</v>
      </c>
      <c r="AA6" s="27">
        <f t="shared" si="0"/>
        <v>768.53999999999985</v>
      </c>
      <c r="AB6" s="27">
        <f t="shared" si="0"/>
        <v>4880.3499999999985</v>
      </c>
      <c r="AC6" s="27">
        <f t="shared" si="0"/>
        <v>1137.1499999999999</v>
      </c>
      <c r="AD6" s="27">
        <f t="shared" si="0"/>
        <v>636.09999999999991</v>
      </c>
      <c r="AE6" s="27">
        <f t="shared" si="0"/>
        <v>313.44</v>
      </c>
      <c r="AF6" s="27">
        <f t="shared" si="0"/>
        <v>39.26</v>
      </c>
      <c r="AG6" s="27">
        <f t="shared" si="0"/>
        <v>7006.2999999999975</v>
      </c>
      <c r="AH6" s="27">
        <f t="shared" si="0"/>
        <v>97.45</v>
      </c>
      <c r="AI6" s="27">
        <f t="shared" si="0"/>
        <v>0</v>
      </c>
    </row>
    <row r="7" spans="2:35" ht="14.45" x14ac:dyDescent="0.3">
      <c r="B7" s="23" t="s">
        <v>1550</v>
      </c>
      <c r="C7" s="24" t="s">
        <v>1551</v>
      </c>
      <c r="D7" s="25">
        <f>D6</f>
        <v>3152.6400000000008</v>
      </c>
      <c r="E7" s="25">
        <f>D7</f>
        <v>3152.6400000000008</v>
      </c>
      <c r="F7" s="25">
        <f>F6/E6*E7</f>
        <v>3058.1454416527495</v>
      </c>
      <c r="G7" s="25"/>
      <c r="H7" s="25">
        <f>H6*$D$6/$E$6</f>
        <v>2636.837757481052</v>
      </c>
      <c r="I7" s="25">
        <f t="shared" ref="I7:K7" si="1">I6*$D$6/$E$6</f>
        <v>1836.7313917078418</v>
      </c>
      <c r="J7" s="25">
        <f t="shared" si="1"/>
        <v>427.9691214934528</v>
      </c>
      <c r="K7" s="26">
        <f t="shared" si="1"/>
        <v>372.13724427975745</v>
      </c>
      <c r="L7" s="28">
        <f>L6</f>
        <v>133.83551549087784</v>
      </c>
      <c r="T7" s="10"/>
    </row>
    <row r="10" spans="2:35" ht="45" x14ac:dyDescent="0.25">
      <c r="B10" s="29" t="s">
        <v>0</v>
      </c>
      <c r="C10" s="29" t="s">
        <v>5</v>
      </c>
      <c r="D10" s="40" t="s">
        <v>1559</v>
      </c>
      <c r="E10" s="41" t="s">
        <v>1549</v>
      </c>
      <c r="F10" s="29" t="s">
        <v>1560</v>
      </c>
      <c r="G10"/>
      <c r="M10" s="7" t="s">
        <v>12</v>
      </c>
      <c r="N10" s="7" t="s">
        <v>1371</v>
      </c>
      <c r="O10" s="7" t="s">
        <v>14</v>
      </c>
      <c r="P10" s="7" t="s">
        <v>15</v>
      </c>
      <c r="Q10" s="7" t="s">
        <v>16</v>
      </c>
      <c r="R10" s="7" t="s">
        <v>17</v>
      </c>
      <c r="S10" s="7" t="s">
        <v>18</v>
      </c>
      <c r="T10" s="7" t="s">
        <v>19</v>
      </c>
      <c r="U10" s="7" t="s">
        <v>1372</v>
      </c>
      <c r="V10" s="9" t="s">
        <v>20</v>
      </c>
      <c r="W10" s="7" t="s">
        <v>21</v>
      </c>
      <c r="X10" s="7" t="s">
        <v>1373</v>
      </c>
      <c r="Y10" s="7" t="s">
        <v>1</v>
      </c>
      <c r="Z10" s="7" t="s">
        <v>22</v>
      </c>
      <c r="AA10" s="7" t="s">
        <v>1374</v>
      </c>
      <c r="AB10" s="7" t="s">
        <v>23</v>
      </c>
      <c r="AC10" s="7" t="s">
        <v>24</v>
      </c>
      <c r="AD10" s="7" t="s">
        <v>24</v>
      </c>
      <c r="AE10" s="9" t="s">
        <v>0</v>
      </c>
      <c r="AF10" s="12" t="s">
        <v>1375</v>
      </c>
      <c r="AG10" s="7" t="s">
        <v>1376</v>
      </c>
    </row>
    <row r="11" spans="2:35" ht="14.45" x14ac:dyDescent="0.3">
      <c r="B11" s="30" t="s">
        <v>11</v>
      </c>
      <c r="C11" s="34">
        <v>347.05</v>
      </c>
      <c r="D11" s="35">
        <v>24.45</v>
      </c>
      <c r="E11" s="36">
        <f>C11+D11</f>
        <v>371.5</v>
      </c>
      <c r="F11" s="35">
        <f>E11/$E$18*100</f>
        <v>13.164515694654108</v>
      </c>
      <c r="G11"/>
      <c r="N11" t="s">
        <v>1561</v>
      </c>
    </row>
    <row r="12" spans="2:35" ht="14.45" x14ac:dyDescent="0.3">
      <c r="B12" s="31" t="s">
        <v>7</v>
      </c>
      <c r="C12" s="34">
        <v>129.91999999999999</v>
      </c>
      <c r="D12" s="35">
        <v>2.17</v>
      </c>
      <c r="E12" s="36">
        <f t="shared" ref="E12:E17" si="2">C12+D12</f>
        <v>132.08999999999997</v>
      </c>
      <c r="F12" s="35">
        <f t="shared" ref="F12:F17" si="3">E12/$E$18*100</f>
        <v>4.6807560648906081</v>
      </c>
      <c r="G12"/>
    </row>
    <row r="13" spans="2:35" ht="14.45" x14ac:dyDescent="0.3">
      <c r="B13" s="31" t="s">
        <v>6</v>
      </c>
      <c r="C13" s="34">
        <v>81.33</v>
      </c>
      <c r="D13" s="35">
        <v>9.0500000000000007</v>
      </c>
      <c r="E13" s="36">
        <f t="shared" si="2"/>
        <v>90.38</v>
      </c>
      <c r="F13" s="35">
        <f t="shared" si="3"/>
        <v>3.2027158236415567</v>
      </c>
      <c r="G13"/>
    </row>
    <row r="14" spans="2:35" ht="14.45" x14ac:dyDescent="0.3">
      <c r="B14" s="31" t="s">
        <v>9</v>
      </c>
      <c r="C14" s="34">
        <v>0</v>
      </c>
      <c r="D14" s="35">
        <v>2.36</v>
      </c>
      <c r="E14" s="36">
        <f t="shared" si="2"/>
        <v>2.36</v>
      </c>
      <c r="F14" s="35">
        <f t="shared" si="3"/>
        <v>8.3629224870481009E-2</v>
      </c>
      <c r="G14"/>
    </row>
    <row r="15" spans="2:35" ht="14.45" x14ac:dyDescent="0.3">
      <c r="B15" s="31" t="s">
        <v>10</v>
      </c>
      <c r="C15" s="34">
        <v>0</v>
      </c>
      <c r="D15" s="35">
        <v>6.48</v>
      </c>
      <c r="E15" s="36">
        <f t="shared" si="2"/>
        <v>6.48</v>
      </c>
      <c r="F15" s="35">
        <f t="shared" si="3"/>
        <v>0.22962600727149024</v>
      </c>
      <c r="G15"/>
      <c r="N15">
        <f>SUM(N19:N51)</f>
        <v>1972.8700000000006</v>
      </c>
      <c r="O15" s="15">
        <f t="shared" ref="O15:Z15" si="4">SUM(O19:O51)</f>
        <v>259.61</v>
      </c>
      <c r="P15" s="15">
        <f t="shared" si="4"/>
        <v>0</v>
      </c>
      <c r="Q15" s="15">
        <f t="shared" si="4"/>
        <v>43.08</v>
      </c>
      <c r="R15" s="15">
        <f t="shared" si="4"/>
        <v>88.22</v>
      </c>
      <c r="S15" s="15">
        <f t="shared" si="4"/>
        <v>0</v>
      </c>
      <c r="T15" s="15">
        <f t="shared" si="4"/>
        <v>0</v>
      </c>
      <c r="U15" s="15">
        <f t="shared" si="4"/>
        <v>0</v>
      </c>
      <c r="V15" s="15">
        <f t="shared" si="4"/>
        <v>0.69</v>
      </c>
      <c r="W15" s="15">
        <f t="shared" si="4"/>
        <v>97.76</v>
      </c>
      <c r="X15" s="15">
        <f t="shared" si="4"/>
        <v>1372.5200000000002</v>
      </c>
      <c r="Y15" s="15">
        <f t="shared" si="4"/>
        <v>1861.88</v>
      </c>
      <c r="Z15" s="15">
        <f t="shared" si="4"/>
        <v>3384.94</v>
      </c>
    </row>
    <row r="16" spans="2:35" ht="14.45" x14ac:dyDescent="0.3">
      <c r="B16" s="31" t="s">
        <v>8</v>
      </c>
      <c r="C16" s="34">
        <v>106.48</v>
      </c>
      <c r="D16" s="35"/>
      <c r="E16" s="36">
        <f t="shared" si="2"/>
        <v>106.48</v>
      </c>
      <c r="F16" s="35">
        <f t="shared" si="3"/>
        <v>3.773237230596957</v>
      </c>
      <c r="G16"/>
    </row>
    <row r="17" spans="2:84" ht="14.45" x14ac:dyDescent="0.3">
      <c r="B17" s="32" t="s">
        <v>3</v>
      </c>
      <c r="C17" s="37">
        <v>2049.88</v>
      </c>
      <c r="D17" s="38">
        <v>62.81</v>
      </c>
      <c r="E17" s="39">
        <f t="shared" si="2"/>
        <v>2112.69</v>
      </c>
      <c r="F17" s="38">
        <f t="shared" si="3"/>
        <v>74.865519954074799</v>
      </c>
      <c r="G17"/>
    </row>
    <row r="18" spans="2:84" ht="43.15" x14ac:dyDescent="0.3">
      <c r="B18" s="33"/>
      <c r="C18" s="42">
        <f t="shared" ref="C18:D18" si="5">SUM(C11:C17)</f>
        <v>2714.6600000000003</v>
      </c>
      <c r="D18" s="43">
        <f t="shared" si="5"/>
        <v>107.32000000000001</v>
      </c>
      <c r="E18" s="39">
        <f>SUM(E11:E17)</f>
        <v>2821.98</v>
      </c>
      <c r="F18" s="38">
        <f>SUM(F11:F17)</f>
        <v>100</v>
      </c>
      <c r="M18" s="44" t="s">
        <v>12</v>
      </c>
      <c r="N18" s="44" t="s">
        <v>1371</v>
      </c>
      <c r="O18" s="45" t="s">
        <v>11</v>
      </c>
      <c r="P18" s="46" t="s">
        <v>1558</v>
      </c>
      <c r="Q18" s="46" t="s">
        <v>7</v>
      </c>
      <c r="R18" s="29" t="s">
        <v>6</v>
      </c>
      <c r="S18" s="29" t="s">
        <v>9</v>
      </c>
      <c r="T18" s="29" t="s">
        <v>1556</v>
      </c>
      <c r="U18" s="29" t="s">
        <v>1557</v>
      </c>
      <c r="V18" s="29" t="s">
        <v>10</v>
      </c>
      <c r="W18" s="29" t="s">
        <v>8</v>
      </c>
      <c r="X18" s="29" t="s">
        <v>3</v>
      </c>
      <c r="Y18" s="47" t="s">
        <v>1549</v>
      </c>
      <c r="Z18" s="47" t="s">
        <v>1580</v>
      </c>
      <c r="AA18" s="47"/>
      <c r="AB18" s="47"/>
      <c r="AC18" s="47"/>
      <c r="AD18" s="47"/>
      <c r="AE18" s="7" t="s">
        <v>12</v>
      </c>
      <c r="AF18" s="7" t="s">
        <v>23</v>
      </c>
      <c r="AG18" s="7" t="s">
        <v>24</v>
      </c>
      <c r="AH18" s="7" t="s">
        <v>24</v>
      </c>
      <c r="AJ18" s="7" t="s">
        <v>12</v>
      </c>
      <c r="AK18" s="7" t="s">
        <v>23</v>
      </c>
      <c r="AL18" s="7" t="s">
        <v>24</v>
      </c>
      <c r="AM18" s="7" t="s">
        <v>24</v>
      </c>
      <c r="AO18" s="7" t="s">
        <v>12</v>
      </c>
      <c r="AP18" s="7" t="s">
        <v>23</v>
      </c>
      <c r="AQ18" s="7" t="s">
        <v>24</v>
      </c>
      <c r="AR18" s="7" t="s">
        <v>24</v>
      </c>
      <c r="AT18" s="7" t="s">
        <v>12</v>
      </c>
      <c r="AU18" s="7" t="s">
        <v>23</v>
      </c>
      <c r="AV18" s="7" t="s">
        <v>24</v>
      </c>
      <c r="AW18" s="7" t="s">
        <v>24</v>
      </c>
      <c r="AY18" s="7" t="s">
        <v>12</v>
      </c>
      <c r="AZ18" s="7" t="s">
        <v>23</v>
      </c>
      <c r="BA18" s="7" t="s">
        <v>24</v>
      </c>
      <c r="BB18" s="7" t="s">
        <v>24</v>
      </c>
      <c r="BD18" s="7" t="s">
        <v>12</v>
      </c>
      <c r="BE18" s="7" t="s">
        <v>23</v>
      </c>
      <c r="BF18" s="7" t="s">
        <v>24</v>
      </c>
      <c r="BG18" s="7" t="s">
        <v>24</v>
      </c>
      <c r="BI18" s="7" t="s">
        <v>12</v>
      </c>
      <c r="BJ18" s="7" t="s">
        <v>23</v>
      </c>
      <c r="BK18" s="7" t="s">
        <v>24</v>
      </c>
      <c r="BL18" s="7" t="s">
        <v>24</v>
      </c>
      <c r="BN18" s="7" t="s">
        <v>12</v>
      </c>
      <c r="BO18" s="7" t="s">
        <v>23</v>
      </c>
      <c r="BP18" s="7" t="s">
        <v>24</v>
      </c>
      <c r="BQ18" s="7" t="s">
        <v>24</v>
      </c>
      <c r="BS18" s="7" t="s">
        <v>12</v>
      </c>
      <c r="BT18" s="7" t="s">
        <v>23</v>
      </c>
      <c r="BU18" s="7" t="s">
        <v>24</v>
      </c>
      <c r="BV18" s="7" t="s">
        <v>24</v>
      </c>
      <c r="BX18" s="7" t="s">
        <v>12</v>
      </c>
      <c r="BY18" s="7" t="s">
        <v>23</v>
      </c>
      <c r="BZ18" s="7" t="s">
        <v>24</v>
      </c>
      <c r="CA18" s="7" t="s">
        <v>24</v>
      </c>
      <c r="CC18" s="7" t="s">
        <v>12</v>
      </c>
      <c r="CD18" s="7" t="s">
        <v>23</v>
      </c>
      <c r="CE18" s="7" t="s">
        <v>24</v>
      </c>
      <c r="CF18" s="7" t="s">
        <v>24</v>
      </c>
    </row>
    <row r="19" spans="2:84" ht="14.45" x14ac:dyDescent="0.3">
      <c r="L19" s="10">
        <f>O19/N19*100</f>
        <v>20.280214281509391</v>
      </c>
      <c r="M19" s="15">
        <v>72487214</v>
      </c>
      <c r="N19" s="10">
        <v>339.74</v>
      </c>
      <c r="O19" s="10">
        <f>DSUM(Mark,$U$10,AE18:AH19)</f>
        <v>68.900000000000006</v>
      </c>
      <c r="P19" s="10">
        <f>DSUM(Mark,$U$10,AJ18:AM19)</f>
        <v>0</v>
      </c>
      <c r="Q19" s="10">
        <f>DSUM(Mark,$U$10,AO18:AR19)</f>
        <v>4.3899999999999997</v>
      </c>
      <c r="R19" s="10">
        <f>DSUM(Mark,$U$10,AT18:AW19)</f>
        <v>67.210000000000008</v>
      </c>
      <c r="S19" s="10">
        <f>DSUM(Mark,$U$10,AY18:BB19)</f>
        <v>0</v>
      </c>
      <c r="T19" s="10">
        <f>DSUM(Mark,$U$10,BD18:BG19)</f>
        <v>0</v>
      </c>
      <c r="U19" s="10">
        <f>DSUM(Mark,$U$10,BI18:BL19)</f>
        <v>0</v>
      </c>
      <c r="V19" s="10">
        <f>DSUM(Mark,$U$10,BN18:BQ19)</f>
        <v>0</v>
      </c>
      <c r="W19" s="10">
        <f>DSUM(Mark,$U$10,BS18:BV19)</f>
        <v>0</v>
      </c>
      <c r="X19" s="10">
        <f>DSUM(Mark,$U$10,BX18:CA19)</f>
        <v>199.24000000000004</v>
      </c>
      <c r="Y19" s="10">
        <f>SUM(O19:X19)</f>
        <v>339.74</v>
      </c>
      <c r="Z19" s="10">
        <f>DSUM(Mark,$U$10,CC18:CF19)</f>
        <v>495.54999999999995</v>
      </c>
      <c r="AA19" s="15"/>
      <c r="AB19" s="15"/>
      <c r="AC19" s="15"/>
      <c r="AD19" s="15"/>
      <c r="AE19" s="15">
        <f>$M19</f>
        <v>72487214</v>
      </c>
      <c r="AF19" s="11" t="s">
        <v>29</v>
      </c>
      <c r="AG19" t="s">
        <v>1555</v>
      </c>
      <c r="AH19" t="s">
        <v>1562</v>
      </c>
      <c r="AJ19" s="15">
        <f>$M19</f>
        <v>72487214</v>
      </c>
      <c r="AK19" s="11" t="s">
        <v>29</v>
      </c>
      <c r="AL19" s="15" t="s">
        <v>1563</v>
      </c>
      <c r="AM19" s="15" t="s">
        <v>1564</v>
      </c>
      <c r="AO19" s="15">
        <f>$M19</f>
        <v>72487214</v>
      </c>
      <c r="AP19" s="11" t="s">
        <v>29</v>
      </c>
      <c r="AQ19" s="15" t="s">
        <v>1565</v>
      </c>
      <c r="AR19" s="15" t="s">
        <v>1566</v>
      </c>
      <c r="AT19" s="15">
        <f>$M19</f>
        <v>72487214</v>
      </c>
      <c r="AU19" s="11" t="s">
        <v>29</v>
      </c>
      <c r="AV19" s="15" t="s">
        <v>1567</v>
      </c>
      <c r="AW19" s="15" t="s">
        <v>1568</v>
      </c>
      <c r="AY19" s="15">
        <f>$M19</f>
        <v>72487214</v>
      </c>
      <c r="AZ19" s="11" t="s">
        <v>29</v>
      </c>
      <c r="BA19" s="15" t="s">
        <v>1569</v>
      </c>
      <c r="BB19" s="15" t="s">
        <v>1570</v>
      </c>
      <c r="BD19" s="15">
        <f>$M19</f>
        <v>72487214</v>
      </c>
      <c r="BE19" s="11" t="s">
        <v>29</v>
      </c>
      <c r="BF19" s="15" t="s">
        <v>1561</v>
      </c>
      <c r="BG19" s="15" t="s">
        <v>1571</v>
      </c>
      <c r="BI19" s="15">
        <f>$M19</f>
        <v>72487214</v>
      </c>
      <c r="BJ19" s="11" t="s">
        <v>29</v>
      </c>
      <c r="BK19" s="15" t="s">
        <v>1572</v>
      </c>
      <c r="BL19" s="15" t="s">
        <v>1573</v>
      </c>
      <c r="BN19" s="15">
        <f>$M19</f>
        <v>72487214</v>
      </c>
      <c r="BO19" s="11" t="s">
        <v>29</v>
      </c>
      <c r="BP19" s="15" t="s">
        <v>1574</v>
      </c>
      <c r="BQ19" s="15" t="s">
        <v>1575</v>
      </c>
      <c r="BS19" s="15">
        <f>$M19</f>
        <v>72487214</v>
      </c>
      <c r="BT19" s="11" t="s">
        <v>29</v>
      </c>
      <c r="BU19" s="15" t="s">
        <v>1576</v>
      </c>
      <c r="BV19" s="15" t="s">
        <v>1577</v>
      </c>
      <c r="BX19" s="15">
        <f>$M19</f>
        <v>72487214</v>
      </c>
      <c r="BY19" s="11" t="s">
        <v>29</v>
      </c>
      <c r="BZ19" s="15" t="s">
        <v>1578</v>
      </c>
      <c r="CA19" s="15" t="s">
        <v>1579</v>
      </c>
      <c r="CC19" s="15">
        <f>$M19</f>
        <v>72487214</v>
      </c>
      <c r="CD19" s="11"/>
      <c r="CE19" s="15"/>
      <c r="CF19" s="15"/>
    </row>
    <row r="20" spans="2:84" s="15" customFormat="1" ht="28.9" x14ac:dyDescent="0.3">
      <c r="L20" s="10"/>
      <c r="N20" s="10"/>
      <c r="O20" s="10"/>
      <c r="P20" s="10"/>
      <c r="Q20" s="10"/>
      <c r="R20" s="10"/>
      <c r="S20" s="10"/>
      <c r="T20" s="10"/>
      <c r="U20" s="10"/>
      <c r="V20" s="10"/>
      <c r="W20" s="10"/>
      <c r="X20" s="10"/>
      <c r="Y20" s="10"/>
      <c r="Z20" s="10"/>
      <c r="AE20" s="7" t="s">
        <v>12</v>
      </c>
      <c r="AF20" s="7" t="s">
        <v>23</v>
      </c>
      <c r="AG20" s="7" t="s">
        <v>24</v>
      </c>
      <c r="AH20" s="7" t="s">
        <v>24</v>
      </c>
      <c r="AJ20" s="7" t="s">
        <v>12</v>
      </c>
      <c r="AK20" s="7" t="s">
        <v>23</v>
      </c>
      <c r="AL20" s="7" t="s">
        <v>24</v>
      </c>
      <c r="AM20" s="7" t="s">
        <v>24</v>
      </c>
      <c r="AO20" s="7" t="s">
        <v>12</v>
      </c>
      <c r="AP20" s="7" t="s">
        <v>23</v>
      </c>
      <c r="AQ20" s="7" t="s">
        <v>24</v>
      </c>
      <c r="AR20" s="7" t="s">
        <v>24</v>
      </c>
      <c r="AT20" s="7" t="s">
        <v>12</v>
      </c>
      <c r="AU20" s="7" t="s">
        <v>23</v>
      </c>
      <c r="AV20" s="7" t="s">
        <v>24</v>
      </c>
      <c r="AW20" s="7" t="s">
        <v>24</v>
      </c>
      <c r="AY20" s="7" t="s">
        <v>12</v>
      </c>
      <c r="AZ20" s="7" t="s">
        <v>23</v>
      </c>
      <c r="BA20" s="7" t="s">
        <v>24</v>
      </c>
      <c r="BB20" s="7" t="s">
        <v>24</v>
      </c>
      <c r="BD20" s="7" t="s">
        <v>12</v>
      </c>
      <c r="BE20" s="7" t="s">
        <v>23</v>
      </c>
      <c r="BF20" s="7" t="s">
        <v>24</v>
      </c>
      <c r="BG20" s="7" t="s">
        <v>24</v>
      </c>
      <c r="BI20" s="7" t="s">
        <v>12</v>
      </c>
      <c r="BJ20" s="7" t="s">
        <v>23</v>
      </c>
      <c r="BK20" s="7" t="s">
        <v>24</v>
      </c>
      <c r="BL20" s="7" t="s">
        <v>24</v>
      </c>
      <c r="BN20" s="7" t="s">
        <v>12</v>
      </c>
      <c r="BO20" s="7" t="s">
        <v>23</v>
      </c>
      <c r="BP20" s="7" t="s">
        <v>24</v>
      </c>
      <c r="BQ20" s="7" t="s">
        <v>24</v>
      </c>
      <c r="BS20" s="7" t="s">
        <v>12</v>
      </c>
      <c r="BT20" s="7" t="s">
        <v>23</v>
      </c>
      <c r="BU20" s="7" t="s">
        <v>24</v>
      </c>
      <c r="BV20" s="7" t="s">
        <v>24</v>
      </c>
      <c r="BX20" s="7" t="s">
        <v>12</v>
      </c>
      <c r="BY20" s="7" t="s">
        <v>23</v>
      </c>
      <c r="BZ20" s="7" t="s">
        <v>24</v>
      </c>
      <c r="CA20" s="7" t="s">
        <v>24</v>
      </c>
      <c r="CC20" s="7" t="s">
        <v>12</v>
      </c>
      <c r="CD20" s="7" t="s">
        <v>23</v>
      </c>
      <c r="CE20" s="7" t="s">
        <v>24</v>
      </c>
      <c r="CF20" s="7" t="s">
        <v>24</v>
      </c>
    </row>
    <row r="21" spans="2:84" ht="14.45" x14ac:dyDescent="0.3">
      <c r="E21" s="15">
        <f>D18/E18*100</f>
        <v>3.8030035648728906</v>
      </c>
      <c r="L21" s="10">
        <f t="shared" ref="L21:L51" si="6">O21/N21*100</f>
        <v>0.43601633331026368</v>
      </c>
      <c r="M21" s="15">
        <v>98333053</v>
      </c>
      <c r="N21" s="10">
        <v>288.98</v>
      </c>
      <c r="O21" s="10">
        <f>DSUM(Mark,$U$10,AE20:AH21)</f>
        <v>1.26</v>
      </c>
      <c r="P21" s="10">
        <f>DSUM(Mark,$U$10,AJ20:AM21)</f>
        <v>0</v>
      </c>
      <c r="Q21" s="10">
        <f>DSUM(Mark,$U$10,AO20:AR21)</f>
        <v>15.84</v>
      </c>
      <c r="R21" s="10">
        <f>DSUM(Mark,$U$10,AT20:AW21)</f>
        <v>0</v>
      </c>
      <c r="S21" s="10">
        <f>DSUM(Mark,$U$10,AY20:BB21)</f>
        <v>0</v>
      </c>
      <c r="T21" s="10">
        <f>DSUM(Mark,$U$10,BD20:BG21)</f>
        <v>0</v>
      </c>
      <c r="U21" s="10">
        <f>DSUM(Mark,$U$10,BI20:BL21)</f>
        <v>0</v>
      </c>
      <c r="V21" s="10">
        <f>DSUM(Mark,$U$10,BN20:BQ21)</f>
        <v>0</v>
      </c>
      <c r="W21" s="10">
        <f>DSUM(Mark,$U$10,BS20:BV21)</f>
        <v>0</v>
      </c>
      <c r="X21" s="10">
        <f>DSUM(Mark,$U$10,BX20:CA21)</f>
        <v>271.87999999999994</v>
      </c>
      <c r="Y21" s="10">
        <f>SUM(O21:X21)</f>
        <v>288.97999999999996</v>
      </c>
      <c r="Z21" s="10">
        <f>DSUM(Mark,$U$10,CC20:CF21)</f>
        <v>358.4899999999999</v>
      </c>
      <c r="AE21" s="15">
        <f>$M21</f>
        <v>98333053</v>
      </c>
      <c r="AF21" s="11" t="s">
        <v>29</v>
      </c>
      <c r="AG21" s="15" t="s">
        <v>1555</v>
      </c>
      <c r="AH21" s="15" t="s">
        <v>1562</v>
      </c>
      <c r="AI21" s="15"/>
      <c r="AJ21" s="15">
        <f>$M21</f>
        <v>98333053</v>
      </c>
      <c r="AK21" s="11" t="s">
        <v>29</v>
      </c>
      <c r="AL21" s="15" t="s">
        <v>1563</v>
      </c>
      <c r="AM21" s="15" t="s">
        <v>1564</v>
      </c>
      <c r="AN21" s="15"/>
      <c r="AO21" s="15">
        <f>$M21</f>
        <v>98333053</v>
      </c>
      <c r="AP21" s="11" t="s">
        <v>29</v>
      </c>
      <c r="AQ21" s="15" t="s">
        <v>1565</v>
      </c>
      <c r="AR21" s="15" t="s">
        <v>1566</v>
      </c>
      <c r="AS21" s="15"/>
      <c r="AT21" s="15">
        <f>$M21</f>
        <v>98333053</v>
      </c>
      <c r="AU21" s="11" t="s">
        <v>29</v>
      </c>
      <c r="AV21" s="15" t="s">
        <v>1567</v>
      </c>
      <c r="AW21" s="15" t="s">
        <v>1568</v>
      </c>
      <c r="AX21" s="15"/>
      <c r="AY21" s="15">
        <f>$M21</f>
        <v>98333053</v>
      </c>
      <c r="AZ21" s="11" t="s">
        <v>29</v>
      </c>
      <c r="BA21" s="15" t="s">
        <v>1569</v>
      </c>
      <c r="BB21" s="15" t="s">
        <v>1570</v>
      </c>
      <c r="BC21" s="15"/>
      <c r="BD21" s="15">
        <f>$M21</f>
        <v>98333053</v>
      </c>
      <c r="BE21" s="11" t="s">
        <v>29</v>
      </c>
      <c r="BF21" s="15" t="s">
        <v>1561</v>
      </c>
      <c r="BG21" s="15" t="s">
        <v>1571</v>
      </c>
      <c r="BH21" s="15"/>
      <c r="BI21" s="15">
        <f>$M21</f>
        <v>98333053</v>
      </c>
      <c r="BJ21" s="11" t="s">
        <v>29</v>
      </c>
      <c r="BK21" s="15" t="s">
        <v>1572</v>
      </c>
      <c r="BL21" s="15" t="s">
        <v>1573</v>
      </c>
      <c r="BM21" s="15"/>
      <c r="BN21" s="15">
        <f>$M21</f>
        <v>98333053</v>
      </c>
      <c r="BO21" s="11" t="s">
        <v>29</v>
      </c>
      <c r="BP21" s="15" t="s">
        <v>1574</v>
      </c>
      <c r="BQ21" s="15" t="s">
        <v>1575</v>
      </c>
      <c r="BR21" s="15"/>
      <c r="BS21" s="15">
        <f>$M21</f>
        <v>98333053</v>
      </c>
      <c r="BT21" s="11" t="s">
        <v>29</v>
      </c>
      <c r="BU21" s="15" t="s">
        <v>1576</v>
      </c>
      <c r="BV21" s="15" t="s">
        <v>1577</v>
      </c>
      <c r="BW21" s="15"/>
      <c r="BX21" s="15">
        <f>$M21</f>
        <v>98333053</v>
      </c>
      <c r="BY21" s="11" t="s">
        <v>29</v>
      </c>
      <c r="BZ21" s="15" t="s">
        <v>1578</v>
      </c>
      <c r="CA21" s="15" t="s">
        <v>1579</v>
      </c>
      <c r="CB21" s="15"/>
      <c r="CC21" s="15">
        <f>$M21</f>
        <v>98333053</v>
      </c>
      <c r="CD21" s="11"/>
      <c r="CE21" s="15"/>
      <c r="CF21" s="15"/>
    </row>
    <row r="22" spans="2:84" s="15" customFormat="1" ht="28.9" x14ac:dyDescent="0.3">
      <c r="L22" s="10"/>
      <c r="N22" s="10"/>
      <c r="O22" s="10"/>
      <c r="P22" s="10"/>
      <c r="Q22" s="10"/>
      <c r="R22" s="10"/>
      <c r="S22" s="10"/>
      <c r="T22" s="10"/>
      <c r="U22" s="10"/>
      <c r="V22" s="10"/>
      <c r="W22" s="10"/>
      <c r="X22" s="10"/>
      <c r="Y22" s="10"/>
      <c r="Z22" s="10"/>
      <c r="AE22" s="7" t="s">
        <v>12</v>
      </c>
      <c r="AF22" s="7" t="s">
        <v>23</v>
      </c>
      <c r="AG22" s="7" t="s">
        <v>24</v>
      </c>
      <c r="AH22" s="7" t="s">
        <v>24</v>
      </c>
      <c r="AJ22" s="7" t="s">
        <v>12</v>
      </c>
      <c r="AK22" s="7" t="s">
        <v>23</v>
      </c>
      <c r="AL22" s="7" t="s">
        <v>24</v>
      </c>
      <c r="AM22" s="7" t="s">
        <v>24</v>
      </c>
      <c r="AO22" s="7" t="s">
        <v>12</v>
      </c>
      <c r="AP22" s="7" t="s">
        <v>23</v>
      </c>
      <c r="AQ22" s="7" t="s">
        <v>24</v>
      </c>
      <c r="AR22" s="7" t="s">
        <v>24</v>
      </c>
      <c r="AT22" s="7" t="s">
        <v>12</v>
      </c>
      <c r="AU22" s="7" t="s">
        <v>23</v>
      </c>
      <c r="AV22" s="7" t="s">
        <v>24</v>
      </c>
      <c r="AW22" s="7" t="s">
        <v>24</v>
      </c>
      <c r="AY22" s="7" t="s">
        <v>12</v>
      </c>
      <c r="AZ22" s="7" t="s">
        <v>23</v>
      </c>
      <c r="BA22" s="7" t="s">
        <v>24</v>
      </c>
      <c r="BB22" s="7" t="s">
        <v>24</v>
      </c>
      <c r="BD22" s="7" t="s">
        <v>12</v>
      </c>
      <c r="BE22" s="7" t="s">
        <v>23</v>
      </c>
      <c r="BF22" s="7" t="s">
        <v>24</v>
      </c>
      <c r="BG22" s="7" t="s">
        <v>24</v>
      </c>
      <c r="BI22" s="7" t="s">
        <v>12</v>
      </c>
      <c r="BJ22" s="7" t="s">
        <v>23</v>
      </c>
      <c r="BK22" s="7" t="s">
        <v>24</v>
      </c>
      <c r="BL22" s="7" t="s">
        <v>24</v>
      </c>
      <c r="BN22" s="7" t="s">
        <v>12</v>
      </c>
      <c r="BO22" s="7" t="s">
        <v>23</v>
      </c>
      <c r="BP22" s="7" t="s">
        <v>24</v>
      </c>
      <c r="BQ22" s="7" t="s">
        <v>24</v>
      </c>
      <c r="BS22" s="7" t="s">
        <v>12</v>
      </c>
      <c r="BT22" s="7" t="s">
        <v>23</v>
      </c>
      <c r="BU22" s="7" t="s">
        <v>24</v>
      </c>
      <c r="BV22" s="7" t="s">
        <v>24</v>
      </c>
      <c r="BX22" s="7" t="s">
        <v>12</v>
      </c>
      <c r="BY22" s="7" t="s">
        <v>23</v>
      </c>
      <c r="BZ22" s="7" t="s">
        <v>24</v>
      </c>
      <c r="CA22" s="7" t="s">
        <v>24</v>
      </c>
      <c r="CC22" s="7" t="s">
        <v>12</v>
      </c>
      <c r="CD22" s="7" t="s">
        <v>23</v>
      </c>
      <c r="CE22" s="7" t="s">
        <v>24</v>
      </c>
      <c r="CF22" s="7" t="s">
        <v>24</v>
      </c>
    </row>
    <row r="23" spans="2:84" ht="14.45" x14ac:dyDescent="0.3">
      <c r="E23" s="15">
        <f>D11/E11*100</f>
        <v>6.5814266487214006</v>
      </c>
      <c r="L23" s="10">
        <f t="shared" si="6"/>
        <v>56.704088116924368</v>
      </c>
      <c r="M23" s="15">
        <v>27428010</v>
      </c>
      <c r="N23" s="10">
        <v>188.84</v>
      </c>
      <c r="O23" s="10">
        <f>DSUM(Mark,$U$10,AE22:AH23)</f>
        <v>107.07999999999998</v>
      </c>
      <c r="P23" s="10">
        <f>DSUM(Mark,$U$10,AJ22:AM23)</f>
        <v>0</v>
      </c>
      <c r="Q23" s="10">
        <f>DSUM(Mark,$U$10,AO22:AR23)</f>
        <v>5.89</v>
      </c>
      <c r="R23" s="10">
        <f>DSUM(Mark,$U$10,AT22:AW23)</f>
        <v>0</v>
      </c>
      <c r="S23" s="10">
        <f>DSUM(Mark,$U$10,AY22:BB23)</f>
        <v>0</v>
      </c>
      <c r="T23" s="10">
        <f>DSUM(Mark,$U$10,BD22:BG23)</f>
        <v>0</v>
      </c>
      <c r="U23" s="10">
        <f>DSUM(Mark,$U$10,BI22:BL23)</f>
        <v>0</v>
      </c>
      <c r="V23" s="10">
        <f>DSUM(Mark,$U$10,BN22:BQ23)</f>
        <v>0</v>
      </c>
      <c r="W23" s="10">
        <f>DSUM(Mark,$U$10,BS22:BV23)</f>
        <v>0</v>
      </c>
      <c r="X23" s="10">
        <f>DSUM(Mark,$U$10,BX22:CA23)</f>
        <v>75.87</v>
      </c>
      <c r="Y23" s="10">
        <f>SUM(O23:X23)</f>
        <v>188.83999999999997</v>
      </c>
      <c r="Z23" s="10">
        <f>DSUM(Mark,$U$10,CC22:CF23)</f>
        <v>245.15999999999994</v>
      </c>
      <c r="AE23" s="15">
        <f>$M23</f>
        <v>27428010</v>
      </c>
      <c r="AF23" s="11" t="s">
        <v>29</v>
      </c>
      <c r="AG23" s="15" t="s">
        <v>1555</v>
      </c>
      <c r="AH23" s="15" t="s">
        <v>1562</v>
      </c>
      <c r="AI23" s="15"/>
      <c r="AJ23" s="15">
        <f>$M23</f>
        <v>27428010</v>
      </c>
      <c r="AK23" s="11" t="s">
        <v>29</v>
      </c>
      <c r="AL23" s="15" t="s">
        <v>1563</v>
      </c>
      <c r="AM23" s="15" t="s">
        <v>1564</v>
      </c>
      <c r="AN23" s="15"/>
      <c r="AO23" s="15">
        <f>$M23</f>
        <v>27428010</v>
      </c>
      <c r="AP23" s="11" t="s">
        <v>29</v>
      </c>
      <c r="AQ23" s="15" t="s">
        <v>1565</v>
      </c>
      <c r="AR23" s="15" t="s">
        <v>1566</v>
      </c>
      <c r="AS23" s="15"/>
      <c r="AT23" s="15">
        <f>$M23</f>
        <v>27428010</v>
      </c>
      <c r="AU23" s="11" t="s">
        <v>29</v>
      </c>
      <c r="AV23" s="15" t="s">
        <v>1567</v>
      </c>
      <c r="AW23" s="15" t="s">
        <v>1568</v>
      </c>
      <c r="AX23" s="15"/>
      <c r="AY23" s="15">
        <f>$M23</f>
        <v>27428010</v>
      </c>
      <c r="AZ23" s="11" t="s">
        <v>29</v>
      </c>
      <c r="BA23" s="15" t="s">
        <v>1569</v>
      </c>
      <c r="BB23" s="15" t="s">
        <v>1570</v>
      </c>
      <c r="BC23" s="15"/>
      <c r="BD23" s="15">
        <f>$M23</f>
        <v>27428010</v>
      </c>
      <c r="BE23" s="11" t="s">
        <v>29</v>
      </c>
      <c r="BF23" s="15" t="s">
        <v>1561</v>
      </c>
      <c r="BG23" s="15" t="s">
        <v>1571</v>
      </c>
      <c r="BH23" s="15"/>
      <c r="BI23" s="15">
        <f>$M23</f>
        <v>27428010</v>
      </c>
      <c r="BJ23" s="11" t="s">
        <v>29</v>
      </c>
      <c r="BK23" s="15" t="s">
        <v>1572</v>
      </c>
      <c r="BL23" s="15" t="s">
        <v>1573</v>
      </c>
      <c r="BM23" s="15"/>
      <c r="BN23" s="15">
        <f>$M23</f>
        <v>27428010</v>
      </c>
      <c r="BO23" s="11" t="s">
        <v>29</v>
      </c>
      <c r="BP23" s="15" t="s">
        <v>1574</v>
      </c>
      <c r="BQ23" s="15" t="s">
        <v>1575</v>
      </c>
      <c r="BR23" s="15"/>
      <c r="BS23" s="15">
        <f>$M23</f>
        <v>27428010</v>
      </c>
      <c r="BT23" s="11" t="s">
        <v>29</v>
      </c>
      <c r="BU23" s="15" t="s">
        <v>1576</v>
      </c>
      <c r="BV23" s="15" t="s">
        <v>1577</v>
      </c>
      <c r="BW23" s="15"/>
      <c r="BX23" s="15">
        <f>$M23</f>
        <v>27428010</v>
      </c>
      <c r="BY23" s="11" t="s">
        <v>29</v>
      </c>
      <c r="BZ23" s="15" t="s">
        <v>1578</v>
      </c>
      <c r="CA23" s="15" t="s">
        <v>1579</v>
      </c>
      <c r="CB23" s="15"/>
      <c r="CC23" s="15">
        <f>$M23</f>
        <v>27428010</v>
      </c>
      <c r="CD23" s="11"/>
      <c r="CE23" s="15"/>
      <c r="CF23" s="15"/>
    </row>
    <row r="24" spans="2:84" s="15" customFormat="1" ht="28.9" x14ac:dyDescent="0.3">
      <c r="L24" s="10"/>
      <c r="N24" s="10"/>
      <c r="O24" s="10"/>
      <c r="P24" s="10"/>
      <c r="Q24" s="10"/>
      <c r="R24" s="10"/>
      <c r="S24" s="10"/>
      <c r="T24" s="10"/>
      <c r="U24" s="10"/>
      <c r="V24" s="10"/>
      <c r="W24" s="10"/>
      <c r="X24" s="10"/>
      <c r="Y24" s="10"/>
      <c r="Z24" s="10"/>
      <c r="AE24" s="7" t="s">
        <v>12</v>
      </c>
      <c r="AF24" s="7" t="s">
        <v>23</v>
      </c>
      <c r="AG24" s="7" t="s">
        <v>24</v>
      </c>
      <c r="AH24" s="7" t="s">
        <v>24</v>
      </c>
      <c r="AJ24" s="7" t="s">
        <v>12</v>
      </c>
      <c r="AK24" s="7" t="s">
        <v>23</v>
      </c>
      <c r="AL24" s="7" t="s">
        <v>24</v>
      </c>
      <c r="AM24" s="7" t="s">
        <v>24</v>
      </c>
      <c r="AO24" s="7" t="s">
        <v>12</v>
      </c>
      <c r="AP24" s="7" t="s">
        <v>23</v>
      </c>
      <c r="AQ24" s="7" t="s">
        <v>24</v>
      </c>
      <c r="AR24" s="7" t="s">
        <v>24</v>
      </c>
      <c r="AT24" s="7" t="s">
        <v>12</v>
      </c>
      <c r="AU24" s="7" t="s">
        <v>23</v>
      </c>
      <c r="AV24" s="7" t="s">
        <v>24</v>
      </c>
      <c r="AW24" s="7" t="s">
        <v>24</v>
      </c>
      <c r="AY24" s="7" t="s">
        <v>12</v>
      </c>
      <c r="AZ24" s="7" t="s">
        <v>23</v>
      </c>
      <c r="BA24" s="7" t="s">
        <v>24</v>
      </c>
      <c r="BB24" s="7" t="s">
        <v>24</v>
      </c>
      <c r="BD24" s="7" t="s">
        <v>12</v>
      </c>
      <c r="BE24" s="7" t="s">
        <v>23</v>
      </c>
      <c r="BF24" s="7" t="s">
        <v>24</v>
      </c>
      <c r="BG24" s="7" t="s">
        <v>24</v>
      </c>
      <c r="BI24" s="7" t="s">
        <v>12</v>
      </c>
      <c r="BJ24" s="7" t="s">
        <v>23</v>
      </c>
      <c r="BK24" s="7" t="s">
        <v>24</v>
      </c>
      <c r="BL24" s="7" t="s">
        <v>24</v>
      </c>
      <c r="BN24" s="7" t="s">
        <v>12</v>
      </c>
      <c r="BO24" s="7" t="s">
        <v>23</v>
      </c>
      <c r="BP24" s="7" t="s">
        <v>24</v>
      </c>
      <c r="BQ24" s="7" t="s">
        <v>24</v>
      </c>
      <c r="BS24" s="7" t="s">
        <v>12</v>
      </c>
      <c r="BT24" s="7" t="s">
        <v>23</v>
      </c>
      <c r="BU24" s="7" t="s">
        <v>24</v>
      </c>
      <c r="BV24" s="7" t="s">
        <v>24</v>
      </c>
      <c r="BX24" s="7" t="s">
        <v>12</v>
      </c>
      <c r="BY24" s="7" t="s">
        <v>23</v>
      </c>
      <c r="BZ24" s="7" t="s">
        <v>24</v>
      </c>
      <c r="CA24" s="7" t="s">
        <v>24</v>
      </c>
      <c r="CC24" s="7" t="s">
        <v>12</v>
      </c>
      <c r="CD24" s="7" t="s">
        <v>23</v>
      </c>
      <c r="CE24" s="7" t="s">
        <v>24</v>
      </c>
      <c r="CF24" s="7" t="s">
        <v>24</v>
      </c>
    </row>
    <row r="25" spans="2:84" ht="14.45" x14ac:dyDescent="0.3">
      <c r="B25" s="10">
        <v>0</v>
      </c>
      <c r="L25" s="10">
        <f t="shared" si="6"/>
        <v>0</v>
      </c>
      <c r="M25" s="15">
        <v>25302133</v>
      </c>
      <c r="N25" s="10">
        <v>139.84</v>
      </c>
      <c r="O25" s="10">
        <f>DSUM(Mark,$U$10,AE24:AH25)</f>
        <v>0</v>
      </c>
      <c r="P25" s="10">
        <f>DSUM(Mark,$U$10,AJ24:AM25)</f>
        <v>0</v>
      </c>
      <c r="Q25" s="10">
        <f>DSUM(Mark,$U$10,AO24:AR25)</f>
        <v>0</v>
      </c>
      <c r="R25" s="10">
        <f>DSUM(Mark,$U$10,AT24:AW25)</f>
        <v>0</v>
      </c>
      <c r="S25" s="10">
        <f>DSUM(Mark,$U$10,AY24:BB25)</f>
        <v>0</v>
      </c>
      <c r="T25" s="10">
        <f>DSUM(Mark,$U$10,BD24:BG25)</f>
        <v>0</v>
      </c>
      <c r="U25" s="10">
        <f>DSUM(Mark,$U$10,BI24:BL25)</f>
        <v>0</v>
      </c>
      <c r="V25" s="10">
        <f>DSUM(Mark,$U$10,BN24:BQ25)</f>
        <v>0</v>
      </c>
      <c r="W25" s="10">
        <f>DSUM(Mark,$U$10,BS24:BV25)</f>
        <v>0</v>
      </c>
      <c r="X25" s="10">
        <f>DSUM(Mark,$U$10,BX24:CA25)</f>
        <v>121.34</v>
      </c>
      <c r="Y25" s="10">
        <f>SUM(O25:X25)</f>
        <v>121.34</v>
      </c>
      <c r="Z25" s="10">
        <f>DSUM(Mark,$U$10,CC24:CF25)</f>
        <v>290.24</v>
      </c>
      <c r="AE25" s="15">
        <f>$M25</f>
        <v>25302133</v>
      </c>
      <c r="AF25" s="11" t="s">
        <v>29</v>
      </c>
      <c r="AG25" s="15" t="s">
        <v>1555</v>
      </c>
      <c r="AH25" s="15" t="s">
        <v>1562</v>
      </c>
      <c r="AI25" s="15"/>
      <c r="AJ25" s="15">
        <f>$M25</f>
        <v>25302133</v>
      </c>
      <c r="AK25" s="11" t="s">
        <v>29</v>
      </c>
      <c r="AL25" s="15" t="s">
        <v>1563</v>
      </c>
      <c r="AM25" s="15" t="s">
        <v>1564</v>
      </c>
      <c r="AN25" s="15"/>
      <c r="AO25" s="15">
        <f>$M25</f>
        <v>25302133</v>
      </c>
      <c r="AP25" s="11" t="s">
        <v>29</v>
      </c>
      <c r="AQ25" s="15" t="s">
        <v>1565</v>
      </c>
      <c r="AR25" s="15" t="s">
        <v>1566</v>
      </c>
      <c r="AS25" s="15"/>
      <c r="AT25" s="15">
        <f>$M25</f>
        <v>25302133</v>
      </c>
      <c r="AU25" s="11" t="s">
        <v>29</v>
      </c>
      <c r="AV25" s="15" t="s">
        <v>1567</v>
      </c>
      <c r="AW25" s="15" t="s">
        <v>1568</v>
      </c>
      <c r="AX25" s="15"/>
      <c r="AY25" s="15">
        <f>$M25</f>
        <v>25302133</v>
      </c>
      <c r="AZ25" s="11" t="s">
        <v>29</v>
      </c>
      <c r="BA25" s="15" t="s">
        <v>1569</v>
      </c>
      <c r="BB25" s="15" t="s">
        <v>1570</v>
      </c>
      <c r="BC25" s="15"/>
      <c r="BD25" s="15">
        <f>$M25</f>
        <v>25302133</v>
      </c>
      <c r="BE25" s="11" t="s">
        <v>29</v>
      </c>
      <c r="BF25" s="15" t="s">
        <v>1561</v>
      </c>
      <c r="BG25" s="15" t="s">
        <v>1571</v>
      </c>
      <c r="BH25" s="15"/>
      <c r="BI25" s="15">
        <f>$M25</f>
        <v>25302133</v>
      </c>
      <c r="BJ25" s="11" t="s">
        <v>29</v>
      </c>
      <c r="BK25" s="15" t="s">
        <v>1572</v>
      </c>
      <c r="BL25" s="15" t="s">
        <v>1573</v>
      </c>
      <c r="BM25" s="15"/>
      <c r="BN25" s="15">
        <f>$M25</f>
        <v>25302133</v>
      </c>
      <c r="BO25" s="11" t="s">
        <v>29</v>
      </c>
      <c r="BP25" s="15" t="s">
        <v>1574</v>
      </c>
      <c r="BQ25" s="15" t="s">
        <v>1575</v>
      </c>
      <c r="BR25" s="15"/>
      <c r="BS25" s="15">
        <f>$M25</f>
        <v>25302133</v>
      </c>
      <c r="BT25" s="11" t="s">
        <v>29</v>
      </c>
      <c r="BU25" s="15" t="s">
        <v>1576</v>
      </c>
      <c r="BV25" s="15" t="s">
        <v>1577</v>
      </c>
      <c r="BW25" s="15"/>
      <c r="BX25" s="15">
        <f>$M25</f>
        <v>25302133</v>
      </c>
      <c r="BY25" s="11" t="s">
        <v>29</v>
      </c>
      <c r="BZ25" s="15" t="s">
        <v>1578</v>
      </c>
      <c r="CA25" s="15" t="s">
        <v>1579</v>
      </c>
      <c r="CB25" s="15"/>
      <c r="CC25" s="15">
        <f>$M25</f>
        <v>25302133</v>
      </c>
      <c r="CD25" s="11"/>
      <c r="CE25" s="15"/>
      <c r="CF25" s="15"/>
    </row>
    <row r="26" spans="2:84" s="15" customFormat="1" ht="28.9" x14ac:dyDescent="0.3">
      <c r="B26" s="10">
        <v>0</v>
      </c>
      <c r="L26" s="10"/>
      <c r="N26" s="10"/>
      <c r="O26" s="10"/>
      <c r="P26" s="10"/>
      <c r="Q26" s="10"/>
      <c r="R26" s="10"/>
      <c r="S26" s="10"/>
      <c r="T26" s="10"/>
      <c r="U26" s="10"/>
      <c r="V26" s="10"/>
      <c r="W26" s="10"/>
      <c r="X26" s="10"/>
      <c r="Y26" s="10"/>
      <c r="Z26" s="10"/>
      <c r="AE26" s="7" t="s">
        <v>12</v>
      </c>
      <c r="AF26" s="7" t="s">
        <v>23</v>
      </c>
      <c r="AG26" s="7" t="s">
        <v>24</v>
      </c>
      <c r="AH26" s="7" t="s">
        <v>24</v>
      </c>
      <c r="AJ26" s="7" t="s">
        <v>12</v>
      </c>
      <c r="AK26" s="7" t="s">
        <v>23</v>
      </c>
      <c r="AL26" s="7" t="s">
        <v>24</v>
      </c>
      <c r="AM26" s="7" t="s">
        <v>24</v>
      </c>
      <c r="AO26" s="7" t="s">
        <v>12</v>
      </c>
      <c r="AP26" s="7" t="s">
        <v>23</v>
      </c>
      <c r="AQ26" s="7" t="s">
        <v>24</v>
      </c>
      <c r="AR26" s="7" t="s">
        <v>24</v>
      </c>
      <c r="AT26" s="7" t="s">
        <v>12</v>
      </c>
      <c r="AU26" s="7" t="s">
        <v>23</v>
      </c>
      <c r="AV26" s="7" t="s">
        <v>24</v>
      </c>
      <c r="AW26" s="7" t="s">
        <v>24</v>
      </c>
      <c r="AY26" s="7" t="s">
        <v>12</v>
      </c>
      <c r="AZ26" s="7" t="s">
        <v>23</v>
      </c>
      <c r="BA26" s="7" t="s">
        <v>24</v>
      </c>
      <c r="BB26" s="7" t="s">
        <v>24</v>
      </c>
      <c r="BD26" s="7" t="s">
        <v>12</v>
      </c>
      <c r="BE26" s="7" t="s">
        <v>23</v>
      </c>
      <c r="BF26" s="7" t="s">
        <v>24</v>
      </c>
      <c r="BG26" s="7" t="s">
        <v>24</v>
      </c>
      <c r="BI26" s="7" t="s">
        <v>12</v>
      </c>
      <c r="BJ26" s="7" t="s">
        <v>23</v>
      </c>
      <c r="BK26" s="7" t="s">
        <v>24</v>
      </c>
      <c r="BL26" s="7" t="s">
        <v>24</v>
      </c>
      <c r="BN26" s="7" t="s">
        <v>12</v>
      </c>
      <c r="BO26" s="7" t="s">
        <v>23</v>
      </c>
      <c r="BP26" s="7" t="s">
        <v>24</v>
      </c>
      <c r="BQ26" s="7" t="s">
        <v>24</v>
      </c>
      <c r="BS26" s="7" t="s">
        <v>12</v>
      </c>
      <c r="BT26" s="7" t="s">
        <v>23</v>
      </c>
      <c r="BU26" s="7" t="s">
        <v>24</v>
      </c>
      <c r="BV26" s="7" t="s">
        <v>24</v>
      </c>
      <c r="BX26" s="7" t="s">
        <v>12</v>
      </c>
      <c r="BY26" s="7" t="s">
        <v>23</v>
      </c>
      <c r="BZ26" s="7" t="s">
        <v>24</v>
      </c>
      <c r="CA26" s="7" t="s">
        <v>24</v>
      </c>
      <c r="CC26" s="7" t="s">
        <v>12</v>
      </c>
      <c r="CD26" s="7" t="s">
        <v>23</v>
      </c>
      <c r="CE26" s="7" t="s">
        <v>24</v>
      </c>
      <c r="CF26" s="7" t="s">
        <v>24</v>
      </c>
    </row>
    <row r="27" spans="2:84" ht="14.45" x14ac:dyDescent="0.3">
      <c r="B27" s="10">
        <v>0</v>
      </c>
      <c r="L27" s="10">
        <f t="shared" si="6"/>
        <v>0</v>
      </c>
      <c r="M27" s="15">
        <v>21750670</v>
      </c>
      <c r="N27" s="10">
        <v>124.88</v>
      </c>
      <c r="O27" s="10">
        <f>DSUM(Mark,$U$10,AE26:AH27)</f>
        <v>0</v>
      </c>
      <c r="P27" s="10">
        <f>DSUM(Mark,$U$10,AJ26:AM27)</f>
        <v>0</v>
      </c>
      <c r="Q27" s="10">
        <f>DSUM(Mark,$U$10,AO26:AR27)</f>
        <v>0</v>
      </c>
      <c r="R27" s="10">
        <f>DSUM(Mark,$U$10,AT26:AW27)</f>
        <v>0</v>
      </c>
      <c r="S27" s="10">
        <f>DSUM(Mark,$U$10,AY26:BB27)</f>
        <v>0</v>
      </c>
      <c r="T27" s="10">
        <f>DSUM(Mark,$U$10,BD26:BG27)</f>
        <v>0</v>
      </c>
      <c r="U27" s="10">
        <f>DSUM(Mark,$U$10,BI26:BL27)</f>
        <v>0</v>
      </c>
      <c r="V27" s="10">
        <f>DSUM(Mark,$U$10,BN26:BQ27)</f>
        <v>0</v>
      </c>
      <c r="W27" s="10">
        <f>DSUM(Mark,$U$10,BS26:BV27)</f>
        <v>0</v>
      </c>
      <c r="X27" s="10">
        <f>DSUM(Mark,$U$10,BX26:CA27)</f>
        <v>86.47</v>
      </c>
      <c r="Y27" s="10">
        <f>SUM(O27:X27)</f>
        <v>86.47</v>
      </c>
      <c r="Z27" s="10">
        <f>DSUM(Mark,$U$10,CC26:CF27)</f>
        <v>234.4200000000001</v>
      </c>
      <c r="AE27" s="15">
        <f>$M27</f>
        <v>21750670</v>
      </c>
      <c r="AF27" s="11" t="s">
        <v>29</v>
      </c>
      <c r="AG27" s="15" t="s">
        <v>1555</v>
      </c>
      <c r="AH27" s="15" t="s">
        <v>1562</v>
      </c>
      <c r="AI27" s="15"/>
      <c r="AJ27" s="15">
        <f>$M27</f>
        <v>21750670</v>
      </c>
      <c r="AK27" s="11" t="s">
        <v>29</v>
      </c>
      <c r="AL27" s="15" t="s">
        <v>1563</v>
      </c>
      <c r="AM27" s="15" t="s">
        <v>1564</v>
      </c>
      <c r="AN27" s="15"/>
      <c r="AO27" s="15">
        <f>$M27</f>
        <v>21750670</v>
      </c>
      <c r="AP27" s="11" t="s">
        <v>29</v>
      </c>
      <c r="AQ27" s="15" t="s">
        <v>1565</v>
      </c>
      <c r="AR27" s="15" t="s">
        <v>1566</v>
      </c>
      <c r="AS27" s="15"/>
      <c r="AT27" s="15">
        <f>$M27</f>
        <v>21750670</v>
      </c>
      <c r="AU27" s="11" t="s">
        <v>29</v>
      </c>
      <c r="AV27" s="15" t="s">
        <v>1567</v>
      </c>
      <c r="AW27" s="15" t="s">
        <v>1568</v>
      </c>
      <c r="AX27" s="15"/>
      <c r="AY27" s="15">
        <f>$M27</f>
        <v>21750670</v>
      </c>
      <c r="AZ27" s="11" t="s">
        <v>29</v>
      </c>
      <c r="BA27" s="15" t="s">
        <v>1569</v>
      </c>
      <c r="BB27" s="15" t="s">
        <v>1570</v>
      </c>
      <c r="BC27" s="15"/>
      <c r="BD27" s="15">
        <f>$M27</f>
        <v>21750670</v>
      </c>
      <c r="BE27" s="11" t="s">
        <v>29</v>
      </c>
      <c r="BF27" s="15" t="s">
        <v>1561</v>
      </c>
      <c r="BG27" s="15" t="s">
        <v>1571</v>
      </c>
      <c r="BH27" s="15"/>
      <c r="BI27" s="15">
        <f>$M27</f>
        <v>21750670</v>
      </c>
      <c r="BJ27" s="11" t="s">
        <v>29</v>
      </c>
      <c r="BK27" s="15" t="s">
        <v>1572</v>
      </c>
      <c r="BL27" s="15" t="s">
        <v>1573</v>
      </c>
      <c r="BM27" s="15"/>
      <c r="BN27" s="15">
        <f>$M27</f>
        <v>21750670</v>
      </c>
      <c r="BO27" s="11" t="s">
        <v>29</v>
      </c>
      <c r="BP27" s="15" t="s">
        <v>1574</v>
      </c>
      <c r="BQ27" s="15" t="s">
        <v>1575</v>
      </c>
      <c r="BR27" s="15"/>
      <c r="BS27" s="15">
        <f>$M27</f>
        <v>21750670</v>
      </c>
      <c r="BT27" s="11" t="s">
        <v>29</v>
      </c>
      <c r="BU27" s="15" t="s">
        <v>1576</v>
      </c>
      <c r="BV27" s="15" t="s">
        <v>1577</v>
      </c>
      <c r="BW27" s="15"/>
      <c r="BX27" s="15">
        <f>$M27</f>
        <v>21750670</v>
      </c>
      <c r="BY27" s="11" t="s">
        <v>29</v>
      </c>
      <c r="BZ27" s="15" t="s">
        <v>1578</v>
      </c>
      <c r="CA27" s="15" t="s">
        <v>1579</v>
      </c>
      <c r="CB27" s="15"/>
      <c r="CC27" s="15">
        <f>$M27</f>
        <v>21750670</v>
      </c>
      <c r="CD27" s="11"/>
      <c r="CE27" s="15"/>
      <c r="CF27" s="15"/>
    </row>
    <row r="28" spans="2:84" s="15" customFormat="1" ht="28.9" x14ac:dyDescent="0.3">
      <c r="B28" s="10">
        <v>0</v>
      </c>
      <c r="L28" s="10"/>
      <c r="N28" s="10"/>
      <c r="O28" s="10"/>
      <c r="P28" s="10"/>
      <c r="Q28" s="10"/>
      <c r="R28" s="10"/>
      <c r="S28" s="10"/>
      <c r="T28" s="10"/>
      <c r="U28" s="10"/>
      <c r="V28" s="10"/>
      <c r="W28" s="10"/>
      <c r="X28" s="10"/>
      <c r="Y28" s="10"/>
      <c r="Z28" s="10"/>
      <c r="AE28" s="7" t="s">
        <v>12</v>
      </c>
      <c r="AF28" s="7" t="s">
        <v>23</v>
      </c>
      <c r="AG28" s="7" t="s">
        <v>24</v>
      </c>
      <c r="AH28" s="7" t="s">
        <v>24</v>
      </c>
      <c r="AJ28" s="7" t="s">
        <v>12</v>
      </c>
      <c r="AK28" s="7" t="s">
        <v>23</v>
      </c>
      <c r="AL28" s="7" t="s">
        <v>24</v>
      </c>
      <c r="AM28" s="7" t="s">
        <v>24</v>
      </c>
      <c r="AO28" s="7" t="s">
        <v>12</v>
      </c>
      <c r="AP28" s="7" t="s">
        <v>23</v>
      </c>
      <c r="AQ28" s="7" t="s">
        <v>24</v>
      </c>
      <c r="AR28" s="7" t="s">
        <v>24</v>
      </c>
      <c r="AT28" s="7" t="s">
        <v>12</v>
      </c>
      <c r="AU28" s="7" t="s">
        <v>23</v>
      </c>
      <c r="AV28" s="7" t="s">
        <v>24</v>
      </c>
      <c r="AW28" s="7" t="s">
        <v>24</v>
      </c>
      <c r="AY28" s="7" t="s">
        <v>12</v>
      </c>
      <c r="AZ28" s="7" t="s">
        <v>23</v>
      </c>
      <c r="BA28" s="7" t="s">
        <v>24</v>
      </c>
      <c r="BB28" s="7" t="s">
        <v>24</v>
      </c>
      <c r="BD28" s="7" t="s">
        <v>12</v>
      </c>
      <c r="BE28" s="7" t="s">
        <v>23</v>
      </c>
      <c r="BF28" s="7" t="s">
        <v>24</v>
      </c>
      <c r="BG28" s="7" t="s">
        <v>24</v>
      </c>
      <c r="BI28" s="7" t="s">
        <v>12</v>
      </c>
      <c r="BJ28" s="7" t="s">
        <v>23</v>
      </c>
      <c r="BK28" s="7" t="s">
        <v>24</v>
      </c>
      <c r="BL28" s="7" t="s">
        <v>24</v>
      </c>
      <c r="BN28" s="7" t="s">
        <v>12</v>
      </c>
      <c r="BO28" s="7" t="s">
        <v>23</v>
      </c>
      <c r="BP28" s="7" t="s">
        <v>24</v>
      </c>
      <c r="BQ28" s="7" t="s">
        <v>24</v>
      </c>
      <c r="BS28" s="7" t="s">
        <v>12</v>
      </c>
      <c r="BT28" s="7" t="s">
        <v>23</v>
      </c>
      <c r="BU28" s="7" t="s">
        <v>24</v>
      </c>
      <c r="BV28" s="7" t="s">
        <v>24</v>
      </c>
      <c r="BX28" s="7" t="s">
        <v>12</v>
      </c>
      <c r="BY28" s="7" t="s">
        <v>23</v>
      </c>
      <c r="BZ28" s="7" t="s">
        <v>24</v>
      </c>
      <c r="CA28" s="7" t="s">
        <v>24</v>
      </c>
      <c r="CC28" s="7" t="s">
        <v>12</v>
      </c>
      <c r="CD28" s="7" t="s">
        <v>23</v>
      </c>
      <c r="CE28" s="7" t="s">
        <v>24</v>
      </c>
      <c r="CF28" s="7" t="s">
        <v>24</v>
      </c>
    </row>
    <row r="29" spans="2:84" ht="14.45" x14ac:dyDescent="0.3">
      <c r="B29" s="10">
        <v>0</v>
      </c>
      <c r="L29" s="10">
        <f t="shared" si="6"/>
        <v>24.481507086069829</v>
      </c>
      <c r="M29" s="15">
        <v>14571094</v>
      </c>
      <c r="N29" s="10">
        <v>115.72</v>
      </c>
      <c r="O29" s="10">
        <f>DSUM(Mark,$U$10,AE28:AH29)</f>
        <v>28.330000000000005</v>
      </c>
      <c r="P29" s="10">
        <f>DSUM(Mark,$U$10,AJ28:AM29)</f>
        <v>0</v>
      </c>
      <c r="Q29" s="10">
        <f>DSUM(Mark,$U$10,AO28:AR29)</f>
        <v>0</v>
      </c>
      <c r="R29" s="10">
        <f>DSUM(Mark,$U$10,AT28:AW29)</f>
        <v>4.38</v>
      </c>
      <c r="S29" s="10">
        <f>DSUM(Mark,$U$10,AY28:BB29)</f>
        <v>0</v>
      </c>
      <c r="T29" s="10">
        <f>DSUM(Mark,$U$10,BD28:BG29)</f>
        <v>0</v>
      </c>
      <c r="U29" s="10">
        <f>DSUM(Mark,$U$10,BI28:BL29)</f>
        <v>0</v>
      </c>
      <c r="V29" s="10">
        <f>DSUM(Mark,$U$10,BN28:BQ29)</f>
        <v>0</v>
      </c>
      <c r="W29" s="10">
        <f>DSUM(Mark,$U$10,BS28:BV29)</f>
        <v>1.35</v>
      </c>
      <c r="X29" s="10">
        <f>DSUM(Mark,$U$10,BX28:CA29)</f>
        <v>81.66</v>
      </c>
      <c r="Y29" s="10">
        <f>SUM(O29:X29)</f>
        <v>115.72</v>
      </c>
      <c r="Z29" s="10">
        <f>DSUM(Mark,$U$10,CC28:CF29)</f>
        <v>264.31999999999988</v>
      </c>
      <c r="AE29" s="15">
        <f>$M29</f>
        <v>14571094</v>
      </c>
      <c r="AF29" s="11" t="s">
        <v>29</v>
      </c>
      <c r="AG29" s="15" t="s">
        <v>1555</v>
      </c>
      <c r="AH29" s="15" t="s">
        <v>1562</v>
      </c>
      <c r="AI29" s="15"/>
      <c r="AJ29" s="15">
        <f>$M29</f>
        <v>14571094</v>
      </c>
      <c r="AK29" s="11" t="s">
        <v>29</v>
      </c>
      <c r="AL29" s="15" t="s">
        <v>1563</v>
      </c>
      <c r="AM29" s="15" t="s">
        <v>1564</v>
      </c>
      <c r="AN29" s="15"/>
      <c r="AO29" s="15">
        <f>$M29</f>
        <v>14571094</v>
      </c>
      <c r="AP29" s="11" t="s">
        <v>29</v>
      </c>
      <c r="AQ29" s="15" t="s">
        <v>1565</v>
      </c>
      <c r="AR29" s="15" t="s">
        <v>1566</v>
      </c>
      <c r="AS29" s="15"/>
      <c r="AT29" s="15">
        <f>$M29</f>
        <v>14571094</v>
      </c>
      <c r="AU29" s="11" t="s">
        <v>29</v>
      </c>
      <c r="AV29" s="15" t="s">
        <v>1567</v>
      </c>
      <c r="AW29" s="15" t="s">
        <v>1568</v>
      </c>
      <c r="AX29" s="15"/>
      <c r="AY29" s="15">
        <f>$M29</f>
        <v>14571094</v>
      </c>
      <c r="AZ29" s="11" t="s">
        <v>29</v>
      </c>
      <c r="BA29" s="15" t="s">
        <v>1569</v>
      </c>
      <c r="BB29" s="15" t="s">
        <v>1570</v>
      </c>
      <c r="BC29" s="15"/>
      <c r="BD29" s="15">
        <f>$M29</f>
        <v>14571094</v>
      </c>
      <c r="BE29" s="11" t="s">
        <v>29</v>
      </c>
      <c r="BF29" s="15" t="s">
        <v>1561</v>
      </c>
      <c r="BG29" s="15" t="s">
        <v>1571</v>
      </c>
      <c r="BH29" s="15"/>
      <c r="BI29" s="15">
        <f>$M29</f>
        <v>14571094</v>
      </c>
      <c r="BJ29" s="11" t="s">
        <v>29</v>
      </c>
      <c r="BK29" s="15" t="s">
        <v>1572</v>
      </c>
      <c r="BL29" s="15" t="s">
        <v>1573</v>
      </c>
      <c r="BM29" s="15"/>
      <c r="BN29" s="15">
        <f>$M29</f>
        <v>14571094</v>
      </c>
      <c r="BO29" s="11" t="s">
        <v>29</v>
      </c>
      <c r="BP29" s="15" t="s">
        <v>1574</v>
      </c>
      <c r="BQ29" s="15" t="s">
        <v>1575</v>
      </c>
      <c r="BR29" s="15"/>
      <c r="BS29" s="15">
        <f>$M29</f>
        <v>14571094</v>
      </c>
      <c r="BT29" s="11" t="s">
        <v>29</v>
      </c>
      <c r="BU29" s="15" t="s">
        <v>1576</v>
      </c>
      <c r="BV29" s="15" t="s">
        <v>1577</v>
      </c>
      <c r="BW29" s="15"/>
      <c r="BX29" s="15">
        <f>$M29</f>
        <v>14571094</v>
      </c>
      <c r="BY29" s="11" t="s">
        <v>29</v>
      </c>
      <c r="BZ29" s="15" t="s">
        <v>1578</v>
      </c>
      <c r="CA29" s="15" t="s">
        <v>1579</v>
      </c>
      <c r="CB29" s="15"/>
      <c r="CC29" s="15">
        <f>$M29</f>
        <v>14571094</v>
      </c>
      <c r="CD29" s="11"/>
      <c r="CE29" s="15"/>
      <c r="CF29" s="15"/>
    </row>
    <row r="30" spans="2:84" s="15" customFormat="1" ht="28.9" x14ac:dyDescent="0.3">
      <c r="B30" s="10">
        <v>0</v>
      </c>
      <c r="L30" s="10"/>
      <c r="N30" s="10"/>
      <c r="O30" s="10"/>
      <c r="P30" s="10"/>
      <c r="Q30" s="10"/>
      <c r="R30" s="10"/>
      <c r="S30" s="10"/>
      <c r="T30" s="10"/>
      <c r="U30" s="10"/>
      <c r="V30" s="10"/>
      <c r="W30" s="10"/>
      <c r="X30" s="10"/>
      <c r="Y30" s="10"/>
      <c r="Z30" s="10"/>
      <c r="AE30" s="7" t="s">
        <v>12</v>
      </c>
      <c r="AF30" s="7" t="s">
        <v>23</v>
      </c>
      <c r="AG30" s="7" t="s">
        <v>24</v>
      </c>
      <c r="AH30" s="7" t="s">
        <v>24</v>
      </c>
      <c r="AJ30" s="7" t="s">
        <v>12</v>
      </c>
      <c r="AK30" s="7" t="s">
        <v>23</v>
      </c>
      <c r="AL30" s="7" t="s">
        <v>24</v>
      </c>
      <c r="AM30" s="7" t="s">
        <v>24</v>
      </c>
      <c r="AO30" s="7" t="s">
        <v>12</v>
      </c>
      <c r="AP30" s="7" t="s">
        <v>23</v>
      </c>
      <c r="AQ30" s="7" t="s">
        <v>24</v>
      </c>
      <c r="AR30" s="7" t="s">
        <v>24</v>
      </c>
      <c r="AT30" s="7" t="s">
        <v>12</v>
      </c>
      <c r="AU30" s="7" t="s">
        <v>23</v>
      </c>
      <c r="AV30" s="7" t="s">
        <v>24</v>
      </c>
      <c r="AW30" s="7" t="s">
        <v>24</v>
      </c>
      <c r="AY30" s="7" t="s">
        <v>12</v>
      </c>
      <c r="AZ30" s="7" t="s">
        <v>23</v>
      </c>
      <c r="BA30" s="7" t="s">
        <v>24</v>
      </c>
      <c r="BB30" s="7" t="s">
        <v>24</v>
      </c>
      <c r="BD30" s="7" t="s">
        <v>12</v>
      </c>
      <c r="BE30" s="7" t="s">
        <v>23</v>
      </c>
      <c r="BF30" s="7" t="s">
        <v>24</v>
      </c>
      <c r="BG30" s="7" t="s">
        <v>24</v>
      </c>
      <c r="BI30" s="7" t="s">
        <v>12</v>
      </c>
      <c r="BJ30" s="7" t="s">
        <v>23</v>
      </c>
      <c r="BK30" s="7" t="s">
        <v>24</v>
      </c>
      <c r="BL30" s="7" t="s">
        <v>24</v>
      </c>
      <c r="BN30" s="7" t="s">
        <v>12</v>
      </c>
      <c r="BO30" s="7" t="s">
        <v>23</v>
      </c>
      <c r="BP30" s="7" t="s">
        <v>24</v>
      </c>
      <c r="BQ30" s="7" t="s">
        <v>24</v>
      </c>
      <c r="BS30" s="7" t="s">
        <v>12</v>
      </c>
      <c r="BT30" s="7" t="s">
        <v>23</v>
      </c>
      <c r="BU30" s="7" t="s">
        <v>24</v>
      </c>
      <c r="BV30" s="7" t="s">
        <v>24</v>
      </c>
      <c r="BX30" s="7" t="s">
        <v>12</v>
      </c>
      <c r="BY30" s="7" t="s">
        <v>23</v>
      </c>
      <c r="BZ30" s="7" t="s">
        <v>24</v>
      </c>
      <c r="CA30" s="7" t="s">
        <v>24</v>
      </c>
      <c r="CC30" s="7" t="s">
        <v>12</v>
      </c>
      <c r="CD30" s="7" t="s">
        <v>23</v>
      </c>
      <c r="CE30" s="7" t="s">
        <v>24</v>
      </c>
      <c r="CF30" s="7" t="s">
        <v>24</v>
      </c>
    </row>
    <row r="31" spans="2:84" x14ac:dyDescent="0.25">
      <c r="B31" s="10">
        <v>0</v>
      </c>
      <c r="L31" s="10">
        <f t="shared" si="6"/>
        <v>10.656295576081675</v>
      </c>
      <c r="M31" s="15">
        <v>17987682</v>
      </c>
      <c r="N31" s="10">
        <v>102.85</v>
      </c>
      <c r="O31" s="10">
        <f>DSUM(Mark,$U$10,AE30:AH31)</f>
        <v>10.96</v>
      </c>
      <c r="P31" s="10">
        <f>DSUM(Mark,$U$10,AJ30:AM31)</f>
        <v>0</v>
      </c>
      <c r="Q31" s="10">
        <f>DSUM(Mark,$U$10,AO30:AR31)</f>
        <v>16.96</v>
      </c>
      <c r="R31" s="10">
        <f>DSUM(Mark,$U$10,AT30:AW31)</f>
        <v>5.5900000000000007</v>
      </c>
      <c r="S31" s="10">
        <f>DSUM(Mark,$U$10,AY30:BB31)</f>
        <v>0</v>
      </c>
      <c r="T31" s="10">
        <f>DSUM(Mark,$U$10,BD30:BG31)</f>
        <v>0</v>
      </c>
      <c r="U31" s="10">
        <f>DSUM(Mark,$U$10,BI30:BL31)</f>
        <v>0</v>
      </c>
      <c r="V31" s="10">
        <f>DSUM(Mark,$U$10,BN30:BQ31)</f>
        <v>0</v>
      </c>
      <c r="W31" s="10">
        <f>DSUM(Mark,$U$10,BS30:BV31)</f>
        <v>40.93</v>
      </c>
      <c r="X31" s="10">
        <f>DSUM(Mark,$U$10,BX30:CA31)</f>
        <v>28.410000000000004</v>
      </c>
      <c r="Y31" s="10">
        <f>SUM(O31:X31)</f>
        <v>102.85</v>
      </c>
      <c r="Z31" s="10">
        <f>DSUM(Mark,$U$10,CC30:CF31)</f>
        <v>162.26</v>
      </c>
      <c r="AE31" s="15">
        <f>$M31</f>
        <v>17987682</v>
      </c>
      <c r="AF31" s="11" t="s">
        <v>29</v>
      </c>
      <c r="AG31" s="15" t="s">
        <v>1555</v>
      </c>
      <c r="AH31" s="15" t="s">
        <v>1562</v>
      </c>
      <c r="AI31" s="15"/>
      <c r="AJ31" s="15">
        <f>$M31</f>
        <v>17987682</v>
      </c>
      <c r="AK31" s="11" t="s">
        <v>29</v>
      </c>
      <c r="AL31" s="15" t="s">
        <v>1563</v>
      </c>
      <c r="AM31" s="15" t="s">
        <v>1564</v>
      </c>
      <c r="AN31" s="15"/>
      <c r="AO31" s="15">
        <f>$M31</f>
        <v>17987682</v>
      </c>
      <c r="AP31" s="11" t="s">
        <v>29</v>
      </c>
      <c r="AQ31" s="15" t="s">
        <v>1565</v>
      </c>
      <c r="AR31" s="15" t="s">
        <v>1566</v>
      </c>
      <c r="AS31" s="15"/>
      <c r="AT31" s="15">
        <f>$M31</f>
        <v>17987682</v>
      </c>
      <c r="AU31" s="11" t="s">
        <v>29</v>
      </c>
      <c r="AV31" s="15" t="s">
        <v>1567</v>
      </c>
      <c r="AW31" s="15" t="s">
        <v>1568</v>
      </c>
      <c r="AX31" s="15"/>
      <c r="AY31" s="15">
        <f>$M31</f>
        <v>17987682</v>
      </c>
      <c r="AZ31" s="11" t="s">
        <v>29</v>
      </c>
      <c r="BA31" s="15" t="s">
        <v>1569</v>
      </c>
      <c r="BB31" s="15" t="s">
        <v>1570</v>
      </c>
      <c r="BC31" s="15"/>
      <c r="BD31" s="15">
        <f>$M31</f>
        <v>17987682</v>
      </c>
      <c r="BE31" s="11" t="s">
        <v>29</v>
      </c>
      <c r="BF31" s="15" t="s">
        <v>1561</v>
      </c>
      <c r="BG31" s="15" t="s">
        <v>1571</v>
      </c>
      <c r="BH31" s="15"/>
      <c r="BI31" s="15">
        <f>$M31</f>
        <v>17987682</v>
      </c>
      <c r="BJ31" s="11" t="s">
        <v>29</v>
      </c>
      <c r="BK31" s="15" t="s">
        <v>1572</v>
      </c>
      <c r="BL31" s="15" t="s">
        <v>1573</v>
      </c>
      <c r="BM31" s="15"/>
      <c r="BN31" s="15">
        <f>$M31</f>
        <v>17987682</v>
      </c>
      <c r="BO31" s="11" t="s">
        <v>29</v>
      </c>
      <c r="BP31" s="15" t="s">
        <v>1574</v>
      </c>
      <c r="BQ31" s="15" t="s">
        <v>1575</v>
      </c>
      <c r="BR31" s="15"/>
      <c r="BS31" s="15">
        <f>$M31</f>
        <v>17987682</v>
      </c>
      <c r="BT31" s="11" t="s">
        <v>29</v>
      </c>
      <c r="BU31" s="15" t="s">
        <v>1576</v>
      </c>
      <c r="BV31" s="15" t="s">
        <v>1577</v>
      </c>
      <c r="BW31" s="15"/>
      <c r="BX31" s="15">
        <f>$M31</f>
        <v>17987682</v>
      </c>
      <c r="BY31" s="11" t="s">
        <v>29</v>
      </c>
      <c r="BZ31" s="15" t="s">
        <v>1578</v>
      </c>
      <c r="CA31" s="15" t="s">
        <v>1579</v>
      </c>
      <c r="CB31" s="15"/>
      <c r="CC31" s="15">
        <f>$M31</f>
        <v>17987682</v>
      </c>
      <c r="CD31" s="11"/>
      <c r="CE31" s="15"/>
      <c r="CF31" s="15"/>
    </row>
    <row r="32" spans="2:84" s="15" customFormat="1" ht="30" x14ac:dyDescent="0.25">
      <c r="B32" s="10">
        <v>0</v>
      </c>
      <c r="L32" s="10"/>
      <c r="N32" s="10"/>
      <c r="O32" s="10"/>
      <c r="P32" s="10"/>
      <c r="Q32" s="10"/>
      <c r="R32" s="10"/>
      <c r="S32" s="10"/>
      <c r="T32" s="10"/>
      <c r="U32" s="10"/>
      <c r="V32" s="10"/>
      <c r="W32" s="10"/>
      <c r="X32" s="10"/>
      <c r="Y32" s="10"/>
      <c r="Z32" s="10"/>
      <c r="AE32" s="7" t="s">
        <v>12</v>
      </c>
      <c r="AF32" s="7" t="s">
        <v>23</v>
      </c>
      <c r="AG32" s="7" t="s">
        <v>24</v>
      </c>
      <c r="AH32" s="7" t="s">
        <v>24</v>
      </c>
      <c r="AJ32" s="7" t="s">
        <v>12</v>
      </c>
      <c r="AK32" s="7" t="s">
        <v>23</v>
      </c>
      <c r="AL32" s="7" t="s">
        <v>24</v>
      </c>
      <c r="AM32" s="7" t="s">
        <v>24</v>
      </c>
      <c r="AO32" s="7" t="s">
        <v>12</v>
      </c>
      <c r="AP32" s="7" t="s">
        <v>23</v>
      </c>
      <c r="AQ32" s="7" t="s">
        <v>24</v>
      </c>
      <c r="AR32" s="7" t="s">
        <v>24</v>
      </c>
      <c r="AT32" s="7" t="s">
        <v>12</v>
      </c>
      <c r="AU32" s="7" t="s">
        <v>23</v>
      </c>
      <c r="AV32" s="7" t="s">
        <v>24</v>
      </c>
      <c r="AW32" s="7" t="s">
        <v>24</v>
      </c>
      <c r="AY32" s="7" t="s">
        <v>12</v>
      </c>
      <c r="AZ32" s="7" t="s">
        <v>23</v>
      </c>
      <c r="BA32" s="7" t="s">
        <v>24</v>
      </c>
      <c r="BB32" s="7" t="s">
        <v>24</v>
      </c>
      <c r="BD32" s="7" t="s">
        <v>12</v>
      </c>
      <c r="BE32" s="7" t="s">
        <v>23</v>
      </c>
      <c r="BF32" s="7" t="s">
        <v>24</v>
      </c>
      <c r="BG32" s="7" t="s">
        <v>24</v>
      </c>
      <c r="BI32" s="7" t="s">
        <v>12</v>
      </c>
      <c r="BJ32" s="7" t="s">
        <v>23</v>
      </c>
      <c r="BK32" s="7" t="s">
        <v>24</v>
      </c>
      <c r="BL32" s="7" t="s">
        <v>24</v>
      </c>
      <c r="BN32" s="7" t="s">
        <v>12</v>
      </c>
      <c r="BO32" s="7" t="s">
        <v>23</v>
      </c>
      <c r="BP32" s="7" t="s">
        <v>24</v>
      </c>
      <c r="BQ32" s="7" t="s">
        <v>24</v>
      </c>
      <c r="BS32" s="7" t="s">
        <v>12</v>
      </c>
      <c r="BT32" s="7" t="s">
        <v>23</v>
      </c>
      <c r="BU32" s="7" t="s">
        <v>24</v>
      </c>
      <c r="BV32" s="7" t="s">
        <v>24</v>
      </c>
      <c r="BX32" s="7" t="s">
        <v>12</v>
      </c>
      <c r="BY32" s="7" t="s">
        <v>23</v>
      </c>
      <c r="BZ32" s="7" t="s">
        <v>24</v>
      </c>
      <c r="CA32" s="7" t="s">
        <v>24</v>
      </c>
      <c r="CC32" s="7" t="s">
        <v>12</v>
      </c>
      <c r="CD32" s="7" t="s">
        <v>23</v>
      </c>
      <c r="CE32" s="7" t="s">
        <v>24</v>
      </c>
      <c r="CF32" s="7" t="s">
        <v>24</v>
      </c>
    </row>
    <row r="33" spans="2:84" x14ac:dyDescent="0.25">
      <c r="B33" s="10">
        <v>0.43601633331026368</v>
      </c>
      <c r="L33" s="10">
        <f t="shared" si="6"/>
        <v>0</v>
      </c>
      <c r="M33" s="15">
        <v>28540744</v>
      </c>
      <c r="N33" s="10">
        <v>90.4</v>
      </c>
      <c r="O33" s="10">
        <f>DSUM(Mark,$U$10,AE32:AH33)</f>
        <v>0</v>
      </c>
      <c r="P33" s="10">
        <f>DSUM(Mark,$U$10,AJ32:AM33)</f>
        <v>0</v>
      </c>
      <c r="Q33" s="10">
        <f>DSUM(Mark,$U$10,AO32:AR33)</f>
        <v>0</v>
      </c>
      <c r="R33" s="10">
        <f>DSUM(Mark,$U$10,AT32:AW33)</f>
        <v>0</v>
      </c>
      <c r="S33" s="10">
        <f>DSUM(Mark,$U$10,AY32:BB33)</f>
        <v>0</v>
      </c>
      <c r="T33" s="10">
        <f>DSUM(Mark,$U$10,BD32:BG33)</f>
        <v>0</v>
      </c>
      <c r="U33" s="10">
        <f>DSUM(Mark,$U$10,BI32:BL33)</f>
        <v>0</v>
      </c>
      <c r="V33" s="10">
        <f>DSUM(Mark,$U$10,BN32:BQ33)</f>
        <v>0</v>
      </c>
      <c r="W33" s="10">
        <f>DSUM(Mark,$U$10,BS32:BV33)</f>
        <v>55.480000000000004</v>
      </c>
      <c r="X33" s="10">
        <f>DSUM(Mark,$U$10,BX32:CA33)</f>
        <v>34.92</v>
      </c>
      <c r="Y33" s="10">
        <f>SUM(O33:X33)</f>
        <v>90.4</v>
      </c>
      <c r="Z33" s="10">
        <f>DSUM(Mark,$U$10,CC32:CF33)</f>
        <v>564.09</v>
      </c>
      <c r="AE33" s="15">
        <f>$M33</f>
        <v>28540744</v>
      </c>
      <c r="AF33" s="11" t="s">
        <v>29</v>
      </c>
      <c r="AG33" s="15" t="s">
        <v>1555</v>
      </c>
      <c r="AH33" s="15" t="s">
        <v>1562</v>
      </c>
      <c r="AI33" s="15"/>
      <c r="AJ33" s="15">
        <f>$M33</f>
        <v>28540744</v>
      </c>
      <c r="AK33" s="11" t="s">
        <v>29</v>
      </c>
      <c r="AL33" s="15" t="s">
        <v>1563</v>
      </c>
      <c r="AM33" s="15" t="s">
        <v>1564</v>
      </c>
      <c r="AN33" s="15"/>
      <c r="AO33" s="15">
        <f>$M33</f>
        <v>28540744</v>
      </c>
      <c r="AP33" s="11" t="s">
        <v>29</v>
      </c>
      <c r="AQ33" s="15" t="s">
        <v>1565</v>
      </c>
      <c r="AR33" s="15" t="s">
        <v>1566</v>
      </c>
      <c r="AS33" s="15"/>
      <c r="AT33" s="15">
        <f>$M33</f>
        <v>28540744</v>
      </c>
      <c r="AU33" s="11" t="s">
        <v>29</v>
      </c>
      <c r="AV33" s="15" t="s">
        <v>1567</v>
      </c>
      <c r="AW33" s="15" t="s">
        <v>1568</v>
      </c>
      <c r="AX33" s="15"/>
      <c r="AY33" s="15">
        <f>$M33</f>
        <v>28540744</v>
      </c>
      <c r="AZ33" s="11" t="s">
        <v>29</v>
      </c>
      <c r="BA33" s="15" t="s">
        <v>1569</v>
      </c>
      <c r="BB33" s="15" t="s">
        <v>1570</v>
      </c>
      <c r="BC33" s="15"/>
      <c r="BD33" s="15">
        <f>$M33</f>
        <v>28540744</v>
      </c>
      <c r="BE33" s="11" t="s">
        <v>29</v>
      </c>
      <c r="BF33" s="15" t="s">
        <v>1561</v>
      </c>
      <c r="BG33" s="15" t="s">
        <v>1571</v>
      </c>
      <c r="BH33" s="15"/>
      <c r="BI33" s="15">
        <f>$M33</f>
        <v>28540744</v>
      </c>
      <c r="BJ33" s="11" t="s">
        <v>29</v>
      </c>
      <c r="BK33" s="15" t="s">
        <v>1572</v>
      </c>
      <c r="BL33" s="15" t="s">
        <v>1573</v>
      </c>
      <c r="BM33" s="15"/>
      <c r="BN33" s="15">
        <f>$M33</f>
        <v>28540744</v>
      </c>
      <c r="BO33" s="11" t="s">
        <v>29</v>
      </c>
      <c r="BP33" s="15" t="s">
        <v>1574</v>
      </c>
      <c r="BQ33" s="15" t="s">
        <v>1575</v>
      </c>
      <c r="BR33" s="15"/>
      <c r="BS33" s="15">
        <f>$M33</f>
        <v>28540744</v>
      </c>
      <c r="BT33" s="11" t="s">
        <v>29</v>
      </c>
      <c r="BU33" s="15" t="s">
        <v>1576</v>
      </c>
      <c r="BV33" s="15" t="s">
        <v>1577</v>
      </c>
      <c r="BW33" s="15"/>
      <c r="BX33" s="15">
        <f>$M33</f>
        <v>28540744</v>
      </c>
      <c r="BY33" s="11" t="s">
        <v>29</v>
      </c>
      <c r="BZ33" s="15" t="s">
        <v>1578</v>
      </c>
      <c r="CA33" s="15" t="s">
        <v>1579</v>
      </c>
      <c r="CB33" s="15"/>
      <c r="CC33" s="15">
        <f>$M33</f>
        <v>28540744</v>
      </c>
      <c r="CD33" s="11"/>
      <c r="CE33" s="15"/>
      <c r="CF33" s="15"/>
    </row>
    <row r="34" spans="2:84" s="15" customFormat="1" ht="30" x14ac:dyDescent="0.25">
      <c r="B34" s="10">
        <v>6.0487970179600126</v>
      </c>
      <c r="L34" s="10"/>
      <c r="N34" s="10"/>
      <c r="O34" s="10"/>
      <c r="P34" s="10"/>
      <c r="Q34" s="10"/>
      <c r="R34" s="10"/>
      <c r="S34" s="10"/>
      <c r="T34" s="10"/>
      <c r="U34" s="10"/>
      <c r="V34" s="10"/>
      <c r="W34" s="10"/>
      <c r="X34" s="10"/>
      <c r="Y34" s="10"/>
      <c r="Z34" s="10"/>
      <c r="AE34" s="7" t="s">
        <v>12</v>
      </c>
      <c r="AF34" s="7" t="s">
        <v>23</v>
      </c>
      <c r="AG34" s="7" t="s">
        <v>24</v>
      </c>
      <c r="AH34" s="7" t="s">
        <v>24</v>
      </c>
      <c r="AJ34" s="7" t="s">
        <v>12</v>
      </c>
      <c r="AK34" s="7" t="s">
        <v>23</v>
      </c>
      <c r="AL34" s="7" t="s">
        <v>24</v>
      </c>
      <c r="AM34" s="7" t="s">
        <v>24</v>
      </c>
      <c r="AO34" s="7" t="s">
        <v>12</v>
      </c>
      <c r="AP34" s="7" t="s">
        <v>23</v>
      </c>
      <c r="AQ34" s="7" t="s">
        <v>24</v>
      </c>
      <c r="AR34" s="7" t="s">
        <v>24</v>
      </c>
      <c r="AT34" s="7" t="s">
        <v>12</v>
      </c>
      <c r="AU34" s="7" t="s">
        <v>23</v>
      </c>
      <c r="AV34" s="7" t="s">
        <v>24</v>
      </c>
      <c r="AW34" s="7" t="s">
        <v>24</v>
      </c>
      <c r="AY34" s="7" t="s">
        <v>12</v>
      </c>
      <c r="AZ34" s="7" t="s">
        <v>23</v>
      </c>
      <c r="BA34" s="7" t="s">
        <v>24</v>
      </c>
      <c r="BB34" s="7" t="s">
        <v>24</v>
      </c>
      <c r="BD34" s="7" t="s">
        <v>12</v>
      </c>
      <c r="BE34" s="7" t="s">
        <v>23</v>
      </c>
      <c r="BF34" s="7" t="s">
        <v>24</v>
      </c>
      <c r="BG34" s="7" t="s">
        <v>24</v>
      </c>
      <c r="BI34" s="7" t="s">
        <v>12</v>
      </c>
      <c r="BJ34" s="7" t="s">
        <v>23</v>
      </c>
      <c r="BK34" s="7" t="s">
        <v>24</v>
      </c>
      <c r="BL34" s="7" t="s">
        <v>24</v>
      </c>
      <c r="BN34" s="7" t="s">
        <v>12</v>
      </c>
      <c r="BO34" s="7" t="s">
        <v>23</v>
      </c>
      <c r="BP34" s="7" t="s">
        <v>24</v>
      </c>
      <c r="BQ34" s="7" t="s">
        <v>24</v>
      </c>
      <c r="BS34" s="7" t="s">
        <v>12</v>
      </c>
      <c r="BT34" s="7" t="s">
        <v>23</v>
      </c>
      <c r="BU34" s="7" t="s">
        <v>24</v>
      </c>
      <c r="BV34" s="7" t="s">
        <v>24</v>
      </c>
      <c r="BX34" s="7" t="s">
        <v>12</v>
      </c>
      <c r="BY34" s="7" t="s">
        <v>23</v>
      </c>
      <c r="BZ34" s="7" t="s">
        <v>24</v>
      </c>
      <c r="CA34" s="7" t="s">
        <v>24</v>
      </c>
      <c r="CC34" s="7" t="s">
        <v>12</v>
      </c>
      <c r="CD34" s="7" t="s">
        <v>23</v>
      </c>
      <c r="CE34" s="7" t="s">
        <v>24</v>
      </c>
      <c r="CF34" s="7" t="s">
        <v>24</v>
      </c>
    </row>
    <row r="35" spans="2:84" x14ac:dyDescent="0.25">
      <c r="B35" s="10">
        <v>10.656295576081675</v>
      </c>
      <c r="L35" s="10">
        <f t="shared" si="6"/>
        <v>0</v>
      </c>
      <c r="M35" s="15">
        <v>78857919</v>
      </c>
      <c r="N35" s="10">
        <v>82.92</v>
      </c>
      <c r="O35" s="10">
        <f>DSUM(Mark,$U$10,AE34:AH35)</f>
        <v>0</v>
      </c>
      <c r="P35" s="10">
        <f>DSUM(Mark,$U$10,AJ34:AM35)</f>
        <v>0</v>
      </c>
      <c r="Q35" s="10">
        <f>DSUM(Mark,$U$10,AO34:AR35)</f>
        <v>0</v>
      </c>
      <c r="R35" s="10">
        <f>DSUM(Mark,$U$10,AT34:AW35)</f>
        <v>0</v>
      </c>
      <c r="S35" s="10">
        <f>DSUM(Mark,$U$10,AY34:BB35)</f>
        <v>0</v>
      </c>
      <c r="T35" s="10">
        <f>DSUM(Mark,$U$10,BD34:BG35)</f>
        <v>0</v>
      </c>
      <c r="U35" s="10">
        <f>DSUM(Mark,$U$10,BI34:BL35)</f>
        <v>0</v>
      </c>
      <c r="V35" s="10">
        <f>DSUM(Mark,$U$10,BN34:BQ35)</f>
        <v>0.69</v>
      </c>
      <c r="W35" s="10">
        <f>DSUM(Mark,$U$10,BS34:BV35)</f>
        <v>0</v>
      </c>
      <c r="X35" s="10">
        <f>DSUM(Mark,$U$10,BX34:CA35)</f>
        <v>82.22999999999999</v>
      </c>
      <c r="Y35" s="10">
        <f>SUM(O35:X35)</f>
        <v>82.919999999999987</v>
      </c>
      <c r="Z35" s="10">
        <f>DSUM(Mark,$U$10,CC34:CF35)</f>
        <v>89.11</v>
      </c>
      <c r="AE35" s="15">
        <f>$M35</f>
        <v>78857919</v>
      </c>
      <c r="AF35" s="11" t="s">
        <v>29</v>
      </c>
      <c r="AG35" s="15" t="s">
        <v>1555</v>
      </c>
      <c r="AH35" s="15" t="s">
        <v>1562</v>
      </c>
      <c r="AI35" s="15"/>
      <c r="AJ35" s="15">
        <f>$M35</f>
        <v>78857919</v>
      </c>
      <c r="AK35" s="11" t="s">
        <v>29</v>
      </c>
      <c r="AL35" s="15" t="s">
        <v>1563</v>
      </c>
      <c r="AM35" s="15" t="s">
        <v>1564</v>
      </c>
      <c r="AN35" s="15"/>
      <c r="AO35" s="15">
        <f>$M35</f>
        <v>78857919</v>
      </c>
      <c r="AP35" s="11" t="s">
        <v>29</v>
      </c>
      <c r="AQ35" s="15" t="s">
        <v>1565</v>
      </c>
      <c r="AR35" s="15" t="s">
        <v>1566</v>
      </c>
      <c r="AS35" s="15"/>
      <c r="AT35" s="15">
        <f>$M35</f>
        <v>78857919</v>
      </c>
      <c r="AU35" s="11" t="s">
        <v>29</v>
      </c>
      <c r="AV35" s="15" t="s">
        <v>1567</v>
      </c>
      <c r="AW35" s="15" t="s">
        <v>1568</v>
      </c>
      <c r="AX35" s="15"/>
      <c r="AY35" s="15">
        <f>$M35</f>
        <v>78857919</v>
      </c>
      <c r="AZ35" s="11" t="s">
        <v>29</v>
      </c>
      <c r="BA35" s="15" t="s">
        <v>1569</v>
      </c>
      <c r="BB35" s="15" t="s">
        <v>1570</v>
      </c>
      <c r="BC35" s="15"/>
      <c r="BD35" s="15">
        <f>$M35</f>
        <v>78857919</v>
      </c>
      <c r="BE35" s="11" t="s">
        <v>29</v>
      </c>
      <c r="BF35" s="15" t="s">
        <v>1561</v>
      </c>
      <c r="BG35" s="15" t="s">
        <v>1571</v>
      </c>
      <c r="BH35" s="15"/>
      <c r="BI35" s="15">
        <f>$M35</f>
        <v>78857919</v>
      </c>
      <c r="BJ35" s="11" t="s">
        <v>29</v>
      </c>
      <c r="BK35" s="15" t="s">
        <v>1572</v>
      </c>
      <c r="BL35" s="15" t="s">
        <v>1573</v>
      </c>
      <c r="BM35" s="15"/>
      <c r="BN35" s="15">
        <f>$M35</f>
        <v>78857919</v>
      </c>
      <c r="BO35" s="11" t="s">
        <v>29</v>
      </c>
      <c r="BP35" s="15" t="s">
        <v>1574</v>
      </c>
      <c r="BQ35" s="15" t="s">
        <v>1575</v>
      </c>
      <c r="BR35" s="15"/>
      <c r="BS35" s="15">
        <f>$M35</f>
        <v>78857919</v>
      </c>
      <c r="BT35" s="11" t="s">
        <v>29</v>
      </c>
      <c r="BU35" s="15" t="s">
        <v>1576</v>
      </c>
      <c r="BV35" s="15" t="s">
        <v>1577</v>
      </c>
      <c r="BW35" s="15"/>
      <c r="BX35" s="15">
        <f>$M35</f>
        <v>78857919</v>
      </c>
      <c r="BY35" s="11" t="s">
        <v>29</v>
      </c>
      <c r="BZ35" s="15" t="s">
        <v>1578</v>
      </c>
      <c r="CA35" s="15" t="s">
        <v>1579</v>
      </c>
      <c r="CB35" s="15"/>
      <c r="CC35" s="15">
        <f>$M35</f>
        <v>78857919</v>
      </c>
      <c r="CD35" s="11"/>
      <c r="CE35" s="15"/>
      <c r="CF35" s="15"/>
    </row>
    <row r="36" spans="2:84" s="15" customFormat="1" ht="30" x14ac:dyDescent="0.25">
      <c r="B36" s="10">
        <v>12.655045256453235</v>
      </c>
      <c r="L36" s="10"/>
      <c r="N36" s="10"/>
      <c r="O36" s="10"/>
      <c r="P36" s="10"/>
      <c r="Q36" s="10"/>
      <c r="R36" s="10"/>
      <c r="S36" s="10"/>
      <c r="T36" s="10"/>
      <c r="U36" s="10"/>
      <c r="V36" s="10"/>
      <c r="W36" s="10"/>
      <c r="X36" s="10"/>
      <c r="Y36" s="10"/>
      <c r="Z36" s="10"/>
      <c r="AE36" s="7" t="s">
        <v>12</v>
      </c>
      <c r="AF36" s="7" t="s">
        <v>23</v>
      </c>
      <c r="AG36" s="7" t="s">
        <v>24</v>
      </c>
      <c r="AH36" s="7" t="s">
        <v>24</v>
      </c>
      <c r="AJ36" s="7" t="s">
        <v>12</v>
      </c>
      <c r="AK36" s="7" t="s">
        <v>23</v>
      </c>
      <c r="AL36" s="7" t="s">
        <v>24</v>
      </c>
      <c r="AM36" s="7" t="s">
        <v>24</v>
      </c>
      <c r="AO36" s="7" t="s">
        <v>12</v>
      </c>
      <c r="AP36" s="7" t="s">
        <v>23</v>
      </c>
      <c r="AQ36" s="7" t="s">
        <v>24</v>
      </c>
      <c r="AR36" s="7" t="s">
        <v>24</v>
      </c>
      <c r="AT36" s="7" t="s">
        <v>12</v>
      </c>
      <c r="AU36" s="7" t="s">
        <v>23</v>
      </c>
      <c r="AV36" s="7" t="s">
        <v>24</v>
      </c>
      <c r="AW36" s="7" t="s">
        <v>24</v>
      </c>
      <c r="AY36" s="7" t="s">
        <v>12</v>
      </c>
      <c r="AZ36" s="7" t="s">
        <v>23</v>
      </c>
      <c r="BA36" s="7" t="s">
        <v>24</v>
      </c>
      <c r="BB36" s="7" t="s">
        <v>24</v>
      </c>
      <c r="BD36" s="7" t="s">
        <v>12</v>
      </c>
      <c r="BE36" s="7" t="s">
        <v>23</v>
      </c>
      <c r="BF36" s="7" t="s">
        <v>24</v>
      </c>
      <c r="BG36" s="7" t="s">
        <v>24</v>
      </c>
      <c r="BI36" s="7" t="s">
        <v>12</v>
      </c>
      <c r="BJ36" s="7" t="s">
        <v>23</v>
      </c>
      <c r="BK36" s="7" t="s">
        <v>24</v>
      </c>
      <c r="BL36" s="7" t="s">
        <v>24</v>
      </c>
      <c r="BN36" s="7" t="s">
        <v>12</v>
      </c>
      <c r="BO36" s="7" t="s">
        <v>23</v>
      </c>
      <c r="BP36" s="7" t="s">
        <v>24</v>
      </c>
      <c r="BQ36" s="7" t="s">
        <v>24</v>
      </c>
      <c r="BS36" s="7" t="s">
        <v>12</v>
      </c>
      <c r="BT36" s="7" t="s">
        <v>23</v>
      </c>
      <c r="BU36" s="7" t="s">
        <v>24</v>
      </c>
      <c r="BV36" s="7" t="s">
        <v>24</v>
      </c>
      <c r="BX36" s="7" t="s">
        <v>12</v>
      </c>
      <c r="BY36" s="7" t="s">
        <v>23</v>
      </c>
      <c r="BZ36" s="7" t="s">
        <v>24</v>
      </c>
      <c r="CA36" s="7" t="s">
        <v>24</v>
      </c>
      <c r="CC36" s="7" t="s">
        <v>12</v>
      </c>
      <c r="CD36" s="7" t="s">
        <v>23</v>
      </c>
      <c r="CE36" s="7" t="s">
        <v>24</v>
      </c>
      <c r="CF36" s="7" t="s">
        <v>24</v>
      </c>
    </row>
    <row r="37" spans="2:84" x14ac:dyDescent="0.25">
      <c r="B37" s="10">
        <v>13.019230769230768</v>
      </c>
      <c r="L37" s="10">
        <f t="shared" si="6"/>
        <v>0</v>
      </c>
      <c r="M37" s="15">
        <v>60867216</v>
      </c>
      <c r="N37" s="10">
        <v>76.42</v>
      </c>
      <c r="O37" s="10">
        <f>DSUM(Mark,$U$10,AE36:AH37)</f>
        <v>0</v>
      </c>
      <c r="P37" s="10">
        <f>DSUM(Mark,$U$10,AJ36:AM37)</f>
        <v>0</v>
      </c>
      <c r="Q37" s="10">
        <f>DSUM(Mark,$U$10,AO36:AR37)</f>
        <v>0</v>
      </c>
      <c r="R37" s="10">
        <f>DSUM(Mark,$U$10,AT36:AW37)</f>
        <v>0</v>
      </c>
      <c r="S37" s="10">
        <f>DSUM(Mark,$U$10,AY36:BB37)</f>
        <v>0</v>
      </c>
      <c r="T37" s="10">
        <f>DSUM(Mark,$U$10,BD36:BG37)</f>
        <v>0</v>
      </c>
      <c r="U37" s="10">
        <f>DSUM(Mark,$U$10,BI36:BL37)</f>
        <v>0</v>
      </c>
      <c r="V37" s="10">
        <f>DSUM(Mark,$U$10,BN36:BQ37)</f>
        <v>0</v>
      </c>
      <c r="W37" s="10">
        <f>DSUM(Mark,$U$10,BS36:BV37)</f>
        <v>0</v>
      </c>
      <c r="X37" s="10">
        <f>DSUM(Mark,$U$10,BX36:CA37)</f>
        <v>57.629999999999995</v>
      </c>
      <c r="Y37" s="10">
        <f>SUM(O37:X37)</f>
        <v>57.629999999999995</v>
      </c>
      <c r="Z37" s="10">
        <f>DSUM(Mark,$U$10,CC36:CF37)</f>
        <v>84.300000000000011</v>
      </c>
      <c r="AE37" s="15">
        <f>$M37</f>
        <v>60867216</v>
      </c>
      <c r="AF37" s="11" t="s">
        <v>29</v>
      </c>
      <c r="AG37" s="15" t="s">
        <v>1555</v>
      </c>
      <c r="AH37" s="15" t="s">
        <v>1562</v>
      </c>
      <c r="AI37" s="15"/>
      <c r="AJ37" s="15">
        <f>$M37</f>
        <v>60867216</v>
      </c>
      <c r="AK37" s="11" t="s">
        <v>29</v>
      </c>
      <c r="AL37" s="15" t="s">
        <v>1563</v>
      </c>
      <c r="AM37" s="15" t="s">
        <v>1564</v>
      </c>
      <c r="AN37" s="15"/>
      <c r="AO37" s="15">
        <f>$M37</f>
        <v>60867216</v>
      </c>
      <c r="AP37" s="11" t="s">
        <v>29</v>
      </c>
      <c r="AQ37" s="15" t="s">
        <v>1565</v>
      </c>
      <c r="AR37" s="15" t="s">
        <v>1566</v>
      </c>
      <c r="AS37" s="15"/>
      <c r="AT37" s="15">
        <f>$M37</f>
        <v>60867216</v>
      </c>
      <c r="AU37" s="11" t="s">
        <v>29</v>
      </c>
      <c r="AV37" s="15" t="s">
        <v>1567</v>
      </c>
      <c r="AW37" s="15" t="s">
        <v>1568</v>
      </c>
      <c r="AX37" s="15"/>
      <c r="AY37" s="15">
        <f>$M37</f>
        <v>60867216</v>
      </c>
      <c r="AZ37" s="11" t="s">
        <v>29</v>
      </c>
      <c r="BA37" s="15" t="s">
        <v>1569</v>
      </c>
      <c r="BB37" s="15" t="s">
        <v>1570</v>
      </c>
      <c r="BC37" s="15"/>
      <c r="BD37" s="15">
        <f>$M37</f>
        <v>60867216</v>
      </c>
      <c r="BE37" s="11" t="s">
        <v>29</v>
      </c>
      <c r="BF37" s="15" t="s">
        <v>1561</v>
      </c>
      <c r="BG37" s="15" t="s">
        <v>1571</v>
      </c>
      <c r="BH37" s="15"/>
      <c r="BI37" s="15">
        <f>$M37</f>
        <v>60867216</v>
      </c>
      <c r="BJ37" s="11" t="s">
        <v>29</v>
      </c>
      <c r="BK37" s="15" t="s">
        <v>1572</v>
      </c>
      <c r="BL37" s="15" t="s">
        <v>1573</v>
      </c>
      <c r="BM37" s="15"/>
      <c r="BN37" s="15">
        <f>$M37</f>
        <v>60867216</v>
      </c>
      <c r="BO37" s="11" t="s">
        <v>29</v>
      </c>
      <c r="BP37" s="15" t="s">
        <v>1574</v>
      </c>
      <c r="BQ37" s="15" t="s">
        <v>1575</v>
      </c>
      <c r="BR37" s="15"/>
      <c r="BS37" s="15">
        <f>$M37</f>
        <v>60867216</v>
      </c>
      <c r="BT37" s="11" t="s">
        <v>29</v>
      </c>
      <c r="BU37" s="15" t="s">
        <v>1576</v>
      </c>
      <c r="BV37" s="15" t="s">
        <v>1577</v>
      </c>
      <c r="BW37" s="15"/>
      <c r="BX37" s="15">
        <f>$M37</f>
        <v>60867216</v>
      </c>
      <c r="BY37" s="11" t="s">
        <v>29</v>
      </c>
      <c r="BZ37" s="15" t="s">
        <v>1578</v>
      </c>
      <c r="CA37" s="15" t="s">
        <v>1579</v>
      </c>
      <c r="CB37" s="15"/>
      <c r="CC37" s="15">
        <f>$M37</f>
        <v>60867216</v>
      </c>
      <c r="CD37" s="11"/>
      <c r="CE37" s="15"/>
      <c r="CF37" s="15"/>
    </row>
    <row r="38" spans="2:84" s="15" customFormat="1" ht="30" x14ac:dyDescent="0.25">
      <c r="B38" s="10">
        <v>20.280214281509391</v>
      </c>
      <c r="L38" s="10"/>
      <c r="N38" s="10"/>
      <c r="O38" s="10"/>
      <c r="P38" s="10"/>
      <c r="Q38" s="10"/>
      <c r="R38" s="10"/>
      <c r="S38" s="10"/>
      <c r="T38" s="10"/>
      <c r="U38" s="10"/>
      <c r="V38" s="10"/>
      <c r="W38" s="10"/>
      <c r="X38" s="10"/>
      <c r="Y38" s="10"/>
      <c r="Z38" s="10"/>
      <c r="AE38" s="7" t="s">
        <v>12</v>
      </c>
      <c r="AF38" s="7" t="s">
        <v>23</v>
      </c>
      <c r="AG38" s="7" t="s">
        <v>24</v>
      </c>
      <c r="AH38" s="7" t="s">
        <v>24</v>
      </c>
      <c r="AJ38" s="7" t="s">
        <v>12</v>
      </c>
      <c r="AK38" s="7" t="s">
        <v>23</v>
      </c>
      <c r="AL38" s="7" t="s">
        <v>24</v>
      </c>
      <c r="AM38" s="7" t="s">
        <v>24</v>
      </c>
      <c r="AO38" s="7" t="s">
        <v>12</v>
      </c>
      <c r="AP38" s="7" t="s">
        <v>23</v>
      </c>
      <c r="AQ38" s="7" t="s">
        <v>24</v>
      </c>
      <c r="AR38" s="7" t="s">
        <v>24</v>
      </c>
      <c r="AT38" s="7" t="s">
        <v>12</v>
      </c>
      <c r="AU38" s="7" t="s">
        <v>23</v>
      </c>
      <c r="AV38" s="7" t="s">
        <v>24</v>
      </c>
      <c r="AW38" s="7" t="s">
        <v>24</v>
      </c>
      <c r="AY38" s="7" t="s">
        <v>12</v>
      </c>
      <c r="AZ38" s="7" t="s">
        <v>23</v>
      </c>
      <c r="BA38" s="7" t="s">
        <v>24</v>
      </c>
      <c r="BB38" s="7" t="s">
        <v>24</v>
      </c>
      <c r="BD38" s="7" t="s">
        <v>12</v>
      </c>
      <c r="BE38" s="7" t="s">
        <v>23</v>
      </c>
      <c r="BF38" s="7" t="s">
        <v>24</v>
      </c>
      <c r="BG38" s="7" t="s">
        <v>24</v>
      </c>
      <c r="BI38" s="7" t="s">
        <v>12</v>
      </c>
      <c r="BJ38" s="7" t="s">
        <v>23</v>
      </c>
      <c r="BK38" s="7" t="s">
        <v>24</v>
      </c>
      <c r="BL38" s="7" t="s">
        <v>24</v>
      </c>
      <c r="BN38" s="7" t="s">
        <v>12</v>
      </c>
      <c r="BO38" s="7" t="s">
        <v>23</v>
      </c>
      <c r="BP38" s="7" t="s">
        <v>24</v>
      </c>
      <c r="BQ38" s="7" t="s">
        <v>24</v>
      </c>
      <c r="BS38" s="7" t="s">
        <v>12</v>
      </c>
      <c r="BT38" s="7" t="s">
        <v>23</v>
      </c>
      <c r="BU38" s="7" t="s">
        <v>24</v>
      </c>
      <c r="BV38" s="7" t="s">
        <v>24</v>
      </c>
      <c r="BX38" s="7" t="s">
        <v>12</v>
      </c>
      <c r="BY38" s="7" t="s">
        <v>23</v>
      </c>
      <c r="BZ38" s="7" t="s">
        <v>24</v>
      </c>
      <c r="CA38" s="7" t="s">
        <v>24</v>
      </c>
      <c r="CC38" s="7" t="s">
        <v>12</v>
      </c>
      <c r="CD38" s="7" t="s">
        <v>23</v>
      </c>
      <c r="CE38" s="7" t="s">
        <v>24</v>
      </c>
      <c r="CF38" s="7" t="s">
        <v>24</v>
      </c>
    </row>
    <row r="39" spans="2:84" x14ac:dyDescent="0.25">
      <c r="B39" s="10">
        <v>24.481507086069829</v>
      </c>
      <c r="L39" s="10">
        <f t="shared" si="6"/>
        <v>0</v>
      </c>
      <c r="M39" s="15">
        <v>16032646</v>
      </c>
      <c r="N39" s="10">
        <v>70.69</v>
      </c>
      <c r="O39" s="10">
        <f>DSUM(Mark,$U$10,AE38:AH39)</f>
        <v>0</v>
      </c>
      <c r="P39" s="10">
        <f>DSUM(Mark,$U$10,AJ38:AM39)</f>
        <v>0</v>
      </c>
      <c r="Q39" s="10">
        <f>DSUM(Mark,$U$10,AO38:AR39)</f>
        <v>0</v>
      </c>
      <c r="R39" s="10">
        <f>DSUM(Mark,$U$10,AT38:AW39)</f>
        <v>0</v>
      </c>
      <c r="S39" s="10">
        <f>DSUM(Mark,$U$10,AY38:BB39)</f>
        <v>0</v>
      </c>
      <c r="T39" s="10">
        <f>DSUM(Mark,$U$10,BD38:BG39)</f>
        <v>0</v>
      </c>
      <c r="U39" s="10">
        <f>DSUM(Mark,$U$10,BI38:BL39)</f>
        <v>0</v>
      </c>
      <c r="V39" s="10">
        <f>DSUM(Mark,$U$10,BN38:BQ39)</f>
        <v>0</v>
      </c>
      <c r="W39" s="10">
        <f>DSUM(Mark,$U$10,BS38:BV39)</f>
        <v>0</v>
      </c>
      <c r="X39" s="10">
        <f>DSUM(Mark,$U$10,BX38:CA39)</f>
        <v>67.650000000000006</v>
      </c>
      <c r="Y39" s="10">
        <f>SUM(O39:X39)</f>
        <v>67.650000000000006</v>
      </c>
      <c r="Z39" s="10">
        <f>DSUM(Mark,$U$10,CC38:CF39)</f>
        <v>83.88</v>
      </c>
      <c r="AE39" s="15">
        <f>$M39</f>
        <v>16032646</v>
      </c>
      <c r="AF39" s="11" t="s">
        <v>29</v>
      </c>
      <c r="AG39" s="15" t="s">
        <v>1555</v>
      </c>
      <c r="AH39" s="15" t="s">
        <v>1562</v>
      </c>
      <c r="AI39" s="15"/>
      <c r="AJ39" s="15">
        <f>$M39</f>
        <v>16032646</v>
      </c>
      <c r="AK39" s="11" t="s">
        <v>29</v>
      </c>
      <c r="AL39" s="15" t="s">
        <v>1563</v>
      </c>
      <c r="AM39" s="15" t="s">
        <v>1564</v>
      </c>
      <c r="AN39" s="15"/>
      <c r="AO39" s="15">
        <f>$M39</f>
        <v>16032646</v>
      </c>
      <c r="AP39" s="11" t="s">
        <v>29</v>
      </c>
      <c r="AQ39" s="15" t="s">
        <v>1565</v>
      </c>
      <c r="AR39" s="15" t="s">
        <v>1566</v>
      </c>
      <c r="AS39" s="15"/>
      <c r="AT39" s="15">
        <f>$M39</f>
        <v>16032646</v>
      </c>
      <c r="AU39" s="11" t="s">
        <v>29</v>
      </c>
      <c r="AV39" s="15" t="s">
        <v>1567</v>
      </c>
      <c r="AW39" s="15" t="s">
        <v>1568</v>
      </c>
      <c r="AX39" s="15"/>
      <c r="AY39" s="15">
        <f>$M39</f>
        <v>16032646</v>
      </c>
      <c r="AZ39" s="11" t="s">
        <v>29</v>
      </c>
      <c r="BA39" s="15" t="s">
        <v>1569</v>
      </c>
      <c r="BB39" s="15" t="s">
        <v>1570</v>
      </c>
      <c r="BC39" s="15"/>
      <c r="BD39" s="15">
        <f>$M39</f>
        <v>16032646</v>
      </c>
      <c r="BE39" s="11" t="s">
        <v>29</v>
      </c>
      <c r="BF39" s="15" t="s">
        <v>1561</v>
      </c>
      <c r="BG39" s="15" t="s">
        <v>1571</v>
      </c>
      <c r="BH39" s="15"/>
      <c r="BI39" s="15">
        <f>$M39</f>
        <v>16032646</v>
      </c>
      <c r="BJ39" s="11" t="s">
        <v>29</v>
      </c>
      <c r="BK39" s="15" t="s">
        <v>1572</v>
      </c>
      <c r="BL39" s="15" t="s">
        <v>1573</v>
      </c>
      <c r="BM39" s="15"/>
      <c r="BN39" s="15">
        <f>$M39</f>
        <v>16032646</v>
      </c>
      <c r="BO39" s="11" t="s">
        <v>29</v>
      </c>
      <c r="BP39" s="15" t="s">
        <v>1574</v>
      </c>
      <c r="BQ39" s="15" t="s">
        <v>1575</v>
      </c>
      <c r="BR39" s="15"/>
      <c r="BS39" s="15">
        <f>$M39</f>
        <v>16032646</v>
      </c>
      <c r="BT39" s="11" t="s">
        <v>29</v>
      </c>
      <c r="BU39" s="15" t="s">
        <v>1576</v>
      </c>
      <c r="BV39" s="15" t="s">
        <v>1577</v>
      </c>
      <c r="BW39" s="15"/>
      <c r="BX39" s="15">
        <f>$M39</f>
        <v>16032646</v>
      </c>
      <c r="BY39" s="11" t="s">
        <v>29</v>
      </c>
      <c r="BZ39" s="15" t="s">
        <v>1578</v>
      </c>
      <c r="CA39" s="15" t="s">
        <v>1579</v>
      </c>
      <c r="CB39" s="15"/>
      <c r="CC39" s="15">
        <f>$M39</f>
        <v>16032646</v>
      </c>
      <c r="CD39" s="11"/>
      <c r="CE39" s="15"/>
      <c r="CF39" s="15"/>
    </row>
    <row r="40" spans="2:84" s="15" customFormat="1" ht="30" x14ac:dyDescent="0.25">
      <c r="B40" s="10">
        <v>40.952690619411477</v>
      </c>
      <c r="L40" s="10"/>
      <c r="N40" s="10"/>
      <c r="O40" s="10"/>
      <c r="P40" s="10"/>
      <c r="Q40" s="10"/>
      <c r="R40" s="10"/>
      <c r="S40" s="10"/>
      <c r="T40" s="10"/>
      <c r="U40" s="10"/>
      <c r="V40" s="10"/>
      <c r="W40" s="10"/>
      <c r="X40" s="10"/>
      <c r="Y40" s="10"/>
      <c r="Z40" s="10"/>
      <c r="AE40" s="7" t="s">
        <v>12</v>
      </c>
      <c r="AF40" s="7" t="s">
        <v>23</v>
      </c>
      <c r="AG40" s="7" t="s">
        <v>24</v>
      </c>
      <c r="AH40" s="7" t="s">
        <v>24</v>
      </c>
      <c r="AJ40" s="7" t="s">
        <v>12</v>
      </c>
      <c r="AK40" s="7" t="s">
        <v>23</v>
      </c>
      <c r="AL40" s="7" t="s">
        <v>24</v>
      </c>
      <c r="AM40" s="7" t="s">
        <v>24</v>
      </c>
      <c r="AO40" s="7" t="s">
        <v>12</v>
      </c>
      <c r="AP40" s="7" t="s">
        <v>23</v>
      </c>
      <c r="AQ40" s="7" t="s">
        <v>24</v>
      </c>
      <c r="AR40" s="7" t="s">
        <v>24</v>
      </c>
      <c r="AT40" s="7" t="s">
        <v>12</v>
      </c>
      <c r="AU40" s="7" t="s">
        <v>23</v>
      </c>
      <c r="AV40" s="7" t="s">
        <v>24</v>
      </c>
      <c r="AW40" s="7" t="s">
        <v>24</v>
      </c>
      <c r="AY40" s="7" t="s">
        <v>12</v>
      </c>
      <c r="AZ40" s="7" t="s">
        <v>23</v>
      </c>
      <c r="BA40" s="7" t="s">
        <v>24</v>
      </c>
      <c r="BB40" s="7" t="s">
        <v>24</v>
      </c>
      <c r="BD40" s="7" t="s">
        <v>12</v>
      </c>
      <c r="BE40" s="7" t="s">
        <v>23</v>
      </c>
      <c r="BF40" s="7" t="s">
        <v>24</v>
      </c>
      <c r="BG40" s="7" t="s">
        <v>24</v>
      </c>
      <c r="BI40" s="7" t="s">
        <v>12</v>
      </c>
      <c r="BJ40" s="7" t="s">
        <v>23</v>
      </c>
      <c r="BK40" s="7" t="s">
        <v>24</v>
      </c>
      <c r="BL40" s="7" t="s">
        <v>24</v>
      </c>
      <c r="BN40" s="7" t="s">
        <v>12</v>
      </c>
      <c r="BO40" s="7" t="s">
        <v>23</v>
      </c>
      <c r="BP40" s="7" t="s">
        <v>24</v>
      </c>
      <c r="BQ40" s="7" t="s">
        <v>24</v>
      </c>
      <c r="BS40" s="7" t="s">
        <v>12</v>
      </c>
      <c r="BT40" s="7" t="s">
        <v>23</v>
      </c>
      <c r="BU40" s="7" t="s">
        <v>24</v>
      </c>
      <c r="BV40" s="7" t="s">
        <v>24</v>
      </c>
      <c r="BX40" s="7" t="s">
        <v>12</v>
      </c>
      <c r="BY40" s="7" t="s">
        <v>23</v>
      </c>
      <c r="BZ40" s="7" t="s">
        <v>24</v>
      </c>
      <c r="CA40" s="7" t="s">
        <v>24</v>
      </c>
      <c r="CC40" s="7" t="s">
        <v>12</v>
      </c>
      <c r="CD40" s="7" t="s">
        <v>23</v>
      </c>
      <c r="CE40" s="7" t="s">
        <v>24</v>
      </c>
      <c r="CF40" s="7" t="s">
        <v>24</v>
      </c>
    </row>
    <row r="41" spans="2:84" x14ac:dyDescent="0.25">
      <c r="B41" s="10">
        <v>56.704088116924368</v>
      </c>
      <c r="L41" s="10">
        <f t="shared" si="6"/>
        <v>0</v>
      </c>
      <c r="M41" s="15">
        <v>19117537</v>
      </c>
      <c r="N41" s="10">
        <v>61.66</v>
      </c>
      <c r="O41" s="10">
        <f>DSUM(Mark,$U$10,AE40:AH41)</f>
        <v>0</v>
      </c>
      <c r="P41" s="10">
        <f>DSUM(Mark,$U$10,AJ40:AM41)</f>
        <v>0</v>
      </c>
      <c r="Q41" s="10">
        <f>DSUM(Mark,$U$10,AO40:AR41)</f>
        <v>0</v>
      </c>
      <c r="R41" s="10">
        <f>DSUM(Mark,$U$10,AT40:AW41)</f>
        <v>0</v>
      </c>
      <c r="S41" s="10">
        <f>DSUM(Mark,$U$10,AY40:BB41)</f>
        <v>0</v>
      </c>
      <c r="T41" s="10">
        <f>DSUM(Mark,$U$10,BD40:BG41)</f>
        <v>0</v>
      </c>
      <c r="U41" s="10">
        <f>DSUM(Mark,$U$10,BI40:BL41)</f>
        <v>0</v>
      </c>
      <c r="V41" s="10">
        <f>DSUM(Mark,$U$10,BN40:BQ41)</f>
        <v>0</v>
      </c>
      <c r="W41" s="10">
        <f>DSUM(Mark,$U$10,BS40:BV41)</f>
        <v>0</v>
      </c>
      <c r="X41" s="10">
        <f>DSUM(Mark,$U$10,BX40:CA41)</f>
        <v>61.66</v>
      </c>
      <c r="Y41" s="10">
        <f>SUM(O41:X41)</f>
        <v>61.66</v>
      </c>
      <c r="Z41" s="10">
        <f>DSUM(Mark,$U$10,CC40:CF41)</f>
        <v>61.66</v>
      </c>
      <c r="AE41" s="15">
        <f>$M41</f>
        <v>19117537</v>
      </c>
      <c r="AF41" s="11" t="s">
        <v>29</v>
      </c>
      <c r="AG41" s="15" t="s">
        <v>1555</v>
      </c>
      <c r="AH41" s="15" t="s">
        <v>1562</v>
      </c>
      <c r="AI41" s="15"/>
      <c r="AJ41" s="15">
        <f>$M41</f>
        <v>19117537</v>
      </c>
      <c r="AK41" s="11" t="s">
        <v>29</v>
      </c>
      <c r="AL41" s="15" t="s">
        <v>1563</v>
      </c>
      <c r="AM41" s="15" t="s">
        <v>1564</v>
      </c>
      <c r="AN41" s="15"/>
      <c r="AO41" s="15">
        <f>$M41</f>
        <v>19117537</v>
      </c>
      <c r="AP41" s="11" t="s">
        <v>29</v>
      </c>
      <c r="AQ41" s="15" t="s">
        <v>1565</v>
      </c>
      <c r="AR41" s="15" t="s">
        <v>1566</v>
      </c>
      <c r="AS41" s="15"/>
      <c r="AT41" s="15">
        <f>$M41</f>
        <v>19117537</v>
      </c>
      <c r="AU41" s="11" t="s">
        <v>29</v>
      </c>
      <c r="AV41" s="15" t="s">
        <v>1567</v>
      </c>
      <c r="AW41" s="15" t="s">
        <v>1568</v>
      </c>
      <c r="AX41" s="15"/>
      <c r="AY41" s="15">
        <f>$M41</f>
        <v>19117537</v>
      </c>
      <c r="AZ41" s="11" t="s">
        <v>29</v>
      </c>
      <c r="BA41" s="15" t="s">
        <v>1569</v>
      </c>
      <c r="BB41" s="15" t="s">
        <v>1570</v>
      </c>
      <c r="BC41" s="15"/>
      <c r="BD41" s="15">
        <f>$M41</f>
        <v>19117537</v>
      </c>
      <c r="BE41" s="11" t="s">
        <v>29</v>
      </c>
      <c r="BF41" s="15" t="s">
        <v>1561</v>
      </c>
      <c r="BG41" s="15" t="s">
        <v>1571</v>
      </c>
      <c r="BH41" s="15"/>
      <c r="BI41" s="15">
        <f>$M41</f>
        <v>19117537</v>
      </c>
      <c r="BJ41" s="11" t="s">
        <v>29</v>
      </c>
      <c r="BK41" s="15" t="s">
        <v>1572</v>
      </c>
      <c r="BL41" s="15" t="s">
        <v>1573</v>
      </c>
      <c r="BM41" s="15"/>
      <c r="BN41" s="15">
        <f>$M41</f>
        <v>19117537</v>
      </c>
      <c r="BO41" s="11" t="s">
        <v>29</v>
      </c>
      <c r="BP41" s="15" t="s">
        <v>1574</v>
      </c>
      <c r="BQ41" s="15" t="s">
        <v>1575</v>
      </c>
      <c r="BR41" s="15"/>
      <c r="BS41" s="15">
        <f>$M41</f>
        <v>19117537</v>
      </c>
      <c r="BT41" s="11" t="s">
        <v>29</v>
      </c>
      <c r="BU41" s="15" t="s">
        <v>1576</v>
      </c>
      <c r="BV41" s="15" t="s">
        <v>1577</v>
      </c>
      <c r="BW41" s="15"/>
      <c r="BX41" s="15">
        <f>$M41</f>
        <v>19117537</v>
      </c>
      <c r="BY41" s="11" t="s">
        <v>29</v>
      </c>
      <c r="BZ41" s="15" t="s">
        <v>1578</v>
      </c>
      <c r="CA41" s="15" t="s">
        <v>1579</v>
      </c>
      <c r="CB41" s="15"/>
      <c r="CC41" s="15">
        <f>$M41</f>
        <v>19117537</v>
      </c>
      <c r="CD41" s="11"/>
      <c r="CE41" s="15"/>
      <c r="CF41" s="15"/>
    </row>
    <row r="42" spans="2:84" s="15" customFormat="1" ht="30" x14ac:dyDescent="0.25">
      <c r="B42" s="10"/>
      <c r="L42" s="10"/>
      <c r="N42" s="10"/>
      <c r="O42" s="10"/>
      <c r="P42" s="10"/>
      <c r="Q42" s="10"/>
      <c r="R42" s="10"/>
      <c r="S42" s="10"/>
      <c r="T42" s="10"/>
      <c r="U42" s="10"/>
      <c r="V42" s="10"/>
      <c r="W42" s="10"/>
      <c r="X42" s="10"/>
      <c r="Y42" s="10"/>
      <c r="Z42" s="10"/>
      <c r="AE42" s="7" t="s">
        <v>12</v>
      </c>
      <c r="AF42" s="7" t="s">
        <v>23</v>
      </c>
      <c r="AG42" s="7" t="s">
        <v>24</v>
      </c>
      <c r="AH42" s="7" t="s">
        <v>24</v>
      </c>
      <c r="AJ42" s="7" t="s">
        <v>12</v>
      </c>
      <c r="AK42" s="7" t="s">
        <v>23</v>
      </c>
      <c r="AL42" s="7" t="s">
        <v>24</v>
      </c>
      <c r="AM42" s="7" t="s">
        <v>24</v>
      </c>
      <c r="AO42" s="7" t="s">
        <v>12</v>
      </c>
      <c r="AP42" s="7" t="s">
        <v>23</v>
      </c>
      <c r="AQ42" s="7" t="s">
        <v>24</v>
      </c>
      <c r="AR42" s="7" t="s">
        <v>24</v>
      </c>
      <c r="AT42" s="7" t="s">
        <v>12</v>
      </c>
      <c r="AU42" s="7" t="s">
        <v>23</v>
      </c>
      <c r="AV42" s="7" t="s">
        <v>24</v>
      </c>
      <c r="AW42" s="7" t="s">
        <v>24</v>
      </c>
      <c r="AY42" s="7" t="s">
        <v>12</v>
      </c>
      <c r="AZ42" s="7" t="s">
        <v>23</v>
      </c>
      <c r="BA42" s="7" t="s">
        <v>24</v>
      </c>
      <c r="BB42" s="7" t="s">
        <v>24</v>
      </c>
      <c r="BD42" s="7" t="s">
        <v>12</v>
      </c>
      <c r="BE42" s="7" t="s">
        <v>23</v>
      </c>
      <c r="BF42" s="7" t="s">
        <v>24</v>
      </c>
      <c r="BG42" s="7" t="s">
        <v>24</v>
      </c>
      <c r="BI42" s="7" t="s">
        <v>12</v>
      </c>
      <c r="BJ42" s="7" t="s">
        <v>23</v>
      </c>
      <c r="BK42" s="7" t="s">
        <v>24</v>
      </c>
      <c r="BL42" s="7" t="s">
        <v>24</v>
      </c>
      <c r="BN42" s="7" t="s">
        <v>12</v>
      </c>
      <c r="BO42" s="7" t="s">
        <v>23</v>
      </c>
      <c r="BP42" s="7" t="s">
        <v>24</v>
      </c>
      <c r="BQ42" s="7" t="s">
        <v>24</v>
      </c>
      <c r="BS42" s="7" t="s">
        <v>12</v>
      </c>
      <c r="BT42" s="7" t="s">
        <v>23</v>
      </c>
      <c r="BU42" s="7" t="s">
        <v>24</v>
      </c>
      <c r="BV42" s="7" t="s">
        <v>24</v>
      </c>
      <c r="BX42" s="7" t="s">
        <v>12</v>
      </c>
      <c r="BY42" s="7" t="s">
        <v>23</v>
      </c>
      <c r="BZ42" s="7" t="s">
        <v>24</v>
      </c>
      <c r="CA42" s="7" t="s">
        <v>24</v>
      </c>
      <c r="CC42" s="7" t="s">
        <v>12</v>
      </c>
      <c r="CD42" s="7" t="s">
        <v>23</v>
      </c>
      <c r="CE42" s="7" t="s">
        <v>24</v>
      </c>
      <c r="CF42" s="7" t="s">
        <v>24</v>
      </c>
    </row>
    <row r="43" spans="2:84" x14ac:dyDescent="0.25">
      <c r="B43" s="10"/>
      <c r="L43" s="10">
        <f t="shared" si="6"/>
        <v>40.952690619411477</v>
      </c>
      <c r="M43" s="15">
        <v>98481257</v>
      </c>
      <c r="N43" s="10">
        <v>61.51</v>
      </c>
      <c r="O43" s="10">
        <f>DSUM(Mark,$U$10,AE42:AH43)</f>
        <v>25.19</v>
      </c>
      <c r="P43" s="10">
        <f>DSUM(Mark,$U$10,AJ42:AM43)</f>
        <v>0</v>
      </c>
      <c r="Q43" s="10">
        <f>DSUM(Mark,$U$10,AO42:AR43)</f>
        <v>0</v>
      </c>
      <c r="R43" s="10">
        <f>DSUM(Mark,$U$10,AT42:AW43)</f>
        <v>0</v>
      </c>
      <c r="S43" s="10">
        <f>DSUM(Mark,$U$10,AY42:BB43)</f>
        <v>0</v>
      </c>
      <c r="T43" s="10">
        <f>DSUM(Mark,$U$10,BD42:BG43)</f>
        <v>0</v>
      </c>
      <c r="U43" s="10">
        <f>DSUM(Mark,$U$10,BI42:BL43)</f>
        <v>0</v>
      </c>
      <c r="V43" s="10">
        <f>DSUM(Mark,$U$10,BN42:BQ43)</f>
        <v>0</v>
      </c>
      <c r="W43" s="10">
        <f>DSUM(Mark,$U$10,BS42:BV43)</f>
        <v>0</v>
      </c>
      <c r="X43" s="10">
        <f>DSUM(Mark,$U$10,BX42:CA43)</f>
        <v>36.32</v>
      </c>
      <c r="Y43" s="10">
        <f>SUM(O43:X43)</f>
        <v>61.510000000000005</v>
      </c>
      <c r="Z43" s="10">
        <f>DSUM(Mark,$U$10,CC42:CF43)</f>
        <v>90.329999999999984</v>
      </c>
      <c r="AE43" s="15">
        <f>$M43</f>
        <v>98481257</v>
      </c>
      <c r="AF43" s="11" t="s">
        <v>29</v>
      </c>
      <c r="AG43" s="15" t="s">
        <v>1555</v>
      </c>
      <c r="AH43" s="15" t="s">
        <v>1562</v>
      </c>
      <c r="AI43" s="15"/>
      <c r="AJ43" s="15">
        <f>$M43</f>
        <v>98481257</v>
      </c>
      <c r="AK43" s="11" t="s">
        <v>29</v>
      </c>
      <c r="AL43" s="15" t="s">
        <v>1563</v>
      </c>
      <c r="AM43" s="15" t="s">
        <v>1564</v>
      </c>
      <c r="AN43" s="15"/>
      <c r="AO43" s="15">
        <f>$M43</f>
        <v>98481257</v>
      </c>
      <c r="AP43" s="11" t="s">
        <v>29</v>
      </c>
      <c r="AQ43" s="15" t="s">
        <v>1565</v>
      </c>
      <c r="AR43" s="15" t="s">
        <v>1566</v>
      </c>
      <c r="AS43" s="15"/>
      <c r="AT43" s="15">
        <f>$M43</f>
        <v>98481257</v>
      </c>
      <c r="AU43" s="11" t="s">
        <v>29</v>
      </c>
      <c r="AV43" s="15" t="s">
        <v>1567</v>
      </c>
      <c r="AW43" s="15" t="s">
        <v>1568</v>
      </c>
      <c r="AX43" s="15"/>
      <c r="AY43" s="15">
        <f>$M43</f>
        <v>98481257</v>
      </c>
      <c r="AZ43" s="11" t="s">
        <v>29</v>
      </c>
      <c r="BA43" s="15" t="s">
        <v>1569</v>
      </c>
      <c r="BB43" s="15" t="s">
        <v>1570</v>
      </c>
      <c r="BC43" s="15"/>
      <c r="BD43" s="15">
        <f>$M43</f>
        <v>98481257</v>
      </c>
      <c r="BE43" s="11" t="s">
        <v>29</v>
      </c>
      <c r="BF43" s="15" t="s">
        <v>1561</v>
      </c>
      <c r="BG43" s="15" t="s">
        <v>1571</v>
      </c>
      <c r="BH43" s="15"/>
      <c r="BI43" s="15">
        <f>$M43</f>
        <v>98481257</v>
      </c>
      <c r="BJ43" s="11" t="s">
        <v>29</v>
      </c>
      <c r="BK43" s="15" t="s">
        <v>1572</v>
      </c>
      <c r="BL43" s="15" t="s">
        <v>1573</v>
      </c>
      <c r="BM43" s="15"/>
      <c r="BN43" s="15">
        <f>$M43</f>
        <v>98481257</v>
      </c>
      <c r="BO43" s="11" t="s">
        <v>29</v>
      </c>
      <c r="BP43" s="15" t="s">
        <v>1574</v>
      </c>
      <c r="BQ43" s="15" t="s">
        <v>1575</v>
      </c>
      <c r="BR43" s="15"/>
      <c r="BS43" s="15">
        <f>$M43</f>
        <v>98481257</v>
      </c>
      <c r="BT43" s="11" t="s">
        <v>29</v>
      </c>
      <c r="BU43" s="15" t="s">
        <v>1576</v>
      </c>
      <c r="BV43" s="15" t="s">
        <v>1577</v>
      </c>
      <c r="BW43" s="15"/>
      <c r="BX43" s="15">
        <f>$M43</f>
        <v>98481257</v>
      </c>
      <c r="BY43" s="11" t="s">
        <v>29</v>
      </c>
      <c r="BZ43" s="15" t="s">
        <v>1578</v>
      </c>
      <c r="CA43" s="15" t="s">
        <v>1579</v>
      </c>
      <c r="CB43" s="15"/>
      <c r="CC43" s="15">
        <f>$M43</f>
        <v>98481257</v>
      </c>
      <c r="CD43" s="11"/>
      <c r="CE43" s="15"/>
      <c r="CF43" s="15"/>
    </row>
    <row r="44" spans="2:84" s="15" customFormat="1" ht="30" x14ac:dyDescent="0.25">
      <c r="B44" s="10"/>
      <c r="L44" s="10"/>
      <c r="N44" s="10"/>
      <c r="O44" s="10"/>
      <c r="P44" s="10"/>
      <c r="Q44" s="10"/>
      <c r="R44" s="10"/>
      <c r="S44" s="10"/>
      <c r="T44" s="10"/>
      <c r="U44" s="10"/>
      <c r="V44" s="10"/>
      <c r="W44" s="10"/>
      <c r="X44" s="10"/>
      <c r="Y44" s="10"/>
      <c r="Z44" s="10"/>
      <c r="AE44" s="7" t="s">
        <v>12</v>
      </c>
      <c r="AF44" s="7" t="s">
        <v>23</v>
      </c>
      <c r="AG44" s="7" t="s">
        <v>24</v>
      </c>
      <c r="AH44" s="7" t="s">
        <v>24</v>
      </c>
      <c r="AJ44" s="7" t="s">
        <v>12</v>
      </c>
      <c r="AK44" s="7" t="s">
        <v>23</v>
      </c>
      <c r="AL44" s="7" t="s">
        <v>24</v>
      </c>
      <c r="AM44" s="7" t="s">
        <v>24</v>
      </c>
      <c r="AO44" s="7" t="s">
        <v>12</v>
      </c>
      <c r="AP44" s="7" t="s">
        <v>23</v>
      </c>
      <c r="AQ44" s="7" t="s">
        <v>24</v>
      </c>
      <c r="AR44" s="7" t="s">
        <v>24</v>
      </c>
      <c r="AT44" s="7" t="s">
        <v>12</v>
      </c>
      <c r="AU44" s="7" t="s">
        <v>23</v>
      </c>
      <c r="AV44" s="7" t="s">
        <v>24</v>
      </c>
      <c r="AW44" s="7" t="s">
        <v>24</v>
      </c>
      <c r="AY44" s="7" t="s">
        <v>12</v>
      </c>
      <c r="AZ44" s="7" t="s">
        <v>23</v>
      </c>
      <c r="BA44" s="7" t="s">
        <v>24</v>
      </c>
      <c r="BB44" s="7" t="s">
        <v>24</v>
      </c>
      <c r="BD44" s="7" t="s">
        <v>12</v>
      </c>
      <c r="BE44" s="7" t="s">
        <v>23</v>
      </c>
      <c r="BF44" s="7" t="s">
        <v>24</v>
      </c>
      <c r="BG44" s="7" t="s">
        <v>24</v>
      </c>
      <c r="BI44" s="7" t="s">
        <v>12</v>
      </c>
      <c r="BJ44" s="7" t="s">
        <v>23</v>
      </c>
      <c r="BK44" s="7" t="s">
        <v>24</v>
      </c>
      <c r="BL44" s="7" t="s">
        <v>24</v>
      </c>
      <c r="BN44" s="7" t="s">
        <v>12</v>
      </c>
      <c r="BO44" s="7" t="s">
        <v>23</v>
      </c>
      <c r="BP44" s="7" t="s">
        <v>24</v>
      </c>
      <c r="BQ44" s="7" t="s">
        <v>24</v>
      </c>
      <c r="BS44" s="7" t="s">
        <v>12</v>
      </c>
      <c r="BT44" s="7" t="s">
        <v>23</v>
      </c>
      <c r="BU44" s="7" t="s">
        <v>24</v>
      </c>
      <c r="BV44" s="7" t="s">
        <v>24</v>
      </c>
      <c r="BX44" s="7" t="s">
        <v>12</v>
      </c>
      <c r="BY44" s="7" t="s">
        <v>23</v>
      </c>
      <c r="BZ44" s="7" t="s">
        <v>24</v>
      </c>
      <c r="CA44" s="7" t="s">
        <v>24</v>
      </c>
      <c r="CC44" s="7" t="s">
        <v>12</v>
      </c>
      <c r="CD44" s="7" t="s">
        <v>23</v>
      </c>
      <c r="CE44" s="7" t="s">
        <v>24</v>
      </c>
      <c r="CF44" s="7" t="s">
        <v>24</v>
      </c>
    </row>
    <row r="45" spans="2:84" x14ac:dyDescent="0.25">
      <c r="B45" s="10"/>
      <c r="L45" s="10">
        <f t="shared" si="6"/>
        <v>12.655045256453235</v>
      </c>
      <c r="M45" s="15">
        <v>11852491</v>
      </c>
      <c r="N45" s="10">
        <v>59.66</v>
      </c>
      <c r="O45" s="10">
        <f>DSUM(Mark,$U$10,AE44:AH45)</f>
        <v>7.55</v>
      </c>
      <c r="P45" s="10">
        <f>DSUM(Mark,$U$10,AJ44:AM45)</f>
        <v>0</v>
      </c>
      <c r="Q45" s="10">
        <f>DSUM(Mark,$U$10,AO44:AR45)</f>
        <v>0</v>
      </c>
      <c r="R45" s="10">
        <f>DSUM(Mark,$U$10,AT44:AW45)</f>
        <v>11.04</v>
      </c>
      <c r="S45" s="10">
        <f>DSUM(Mark,$U$10,AY44:BB45)</f>
        <v>0</v>
      </c>
      <c r="T45" s="10">
        <f>DSUM(Mark,$U$10,BD44:BG45)</f>
        <v>0</v>
      </c>
      <c r="U45" s="10">
        <f>DSUM(Mark,$U$10,BI44:BL45)</f>
        <v>0</v>
      </c>
      <c r="V45" s="10">
        <f>DSUM(Mark,$U$10,BN44:BQ45)</f>
        <v>0</v>
      </c>
      <c r="W45" s="10">
        <f>DSUM(Mark,$U$10,BS44:BV45)</f>
        <v>0</v>
      </c>
      <c r="X45" s="10">
        <f>DSUM(Mark,$U$10,BX44:CA45)</f>
        <v>41.07</v>
      </c>
      <c r="Y45" s="10">
        <f>SUM(O45:X45)</f>
        <v>59.66</v>
      </c>
      <c r="Z45" s="10">
        <f>DSUM(Mark,$U$10,CC44:CF45)</f>
        <v>59.66</v>
      </c>
      <c r="AE45" s="15">
        <f>$M45</f>
        <v>11852491</v>
      </c>
      <c r="AF45" s="11" t="s">
        <v>29</v>
      </c>
      <c r="AG45" s="15" t="s">
        <v>1555</v>
      </c>
      <c r="AH45" s="15" t="s">
        <v>1562</v>
      </c>
      <c r="AI45" s="15"/>
      <c r="AJ45" s="15">
        <f>$M45</f>
        <v>11852491</v>
      </c>
      <c r="AK45" s="11" t="s">
        <v>29</v>
      </c>
      <c r="AL45" s="15" t="s">
        <v>1563</v>
      </c>
      <c r="AM45" s="15" t="s">
        <v>1564</v>
      </c>
      <c r="AN45" s="15"/>
      <c r="AO45" s="15">
        <f>$M45</f>
        <v>11852491</v>
      </c>
      <c r="AP45" s="11" t="s">
        <v>29</v>
      </c>
      <c r="AQ45" s="15" t="s">
        <v>1565</v>
      </c>
      <c r="AR45" s="15" t="s">
        <v>1566</v>
      </c>
      <c r="AS45" s="15"/>
      <c r="AT45" s="15">
        <f>$M45</f>
        <v>11852491</v>
      </c>
      <c r="AU45" s="11" t="s">
        <v>29</v>
      </c>
      <c r="AV45" s="15" t="s">
        <v>1567</v>
      </c>
      <c r="AW45" s="15" t="s">
        <v>1568</v>
      </c>
      <c r="AX45" s="15"/>
      <c r="AY45" s="15">
        <f>$M45</f>
        <v>11852491</v>
      </c>
      <c r="AZ45" s="11" t="s">
        <v>29</v>
      </c>
      <c r="BA45" s="15" t="s">
        <v>1569</v>
      </c>
      <c r="BB45" s="15" t="s">
        <v>1570</v>
      </c>
      <c r="BC45" s="15"/>
      <c r="BD45" s="15">
        <f>$M45</f>
        <v>11852491</v>
      </c>
      <c r="BE45" s="11" t="s">
        <v>29</v>
      </c>
      <c r="BF45" s="15" t="s">
        <v>1561</v>
      </c>
      <c r="BG45" s="15" t="s">
        <v>1571</v>
      </c>
      <c r="BH45" s="15"/>
      <c r="BI45" s="15">
        <f>$M45</f>
        <v>11852491</v>
      </c>
      <c r="BJ45" s="11" t="s">
        <v>29</v>
      </c>
      <c r="BK45" s="15" t="s">
        <v>1572</v>
      </c>
      <c r="BL45" s="15" t="s">
        <v>1573</v>
      </c>
      <c r="BM45" s="15"/>
      <c r="BN45" s="15">
        <f>$M45</f>
        <v>11852491</v>
      </c>
      <c r="BO45" s="11" t="s">
        <v>29</v>
      </c>
      <c r="BP45" s="15" t="s">
        <v>1574</v>
      </c>
      <c r="BQ45" s="15" t="s">
        <v>1575</v>
      </c>
      <c r="BR45" s="15"/>
      <c r="BS45" s="15">
        <f>$M45</f>
        <v>11852491</v>
      </c>
      <c r="BT45" s="11" t="s">
        <v>29</v>
      </c>
      <c r="BU45" s="15" t="s">
        <v>1576</v>
      </c>
      <c r="BV45" s="15" t="s">
        <v>1577</v>
      </c>
      <c r="BW45" s="15"/>
      <c r="BX45" s="15">
        <f>$M45</f>
        <v>11852491</v>
      </c>
      <c r="BY45" s="11" t="s">
        <v>29</v>
      </c>
      <c r="BZ45" s="15" t="s">
        <v>1578</v>
      </c>
      <c r="CA45" s="15" t="s">
        <v>1579</v>
      </c>
      <c r="CB45" s="15"/>
      <c r="CC45" s="15">
        <f>$M45</f>
        <v>11852491</v>
      </c>
      <c r="CD45" s="11"/>
      <c r="CE45" s="15"/>
      <c r="CF45" s="15"/>
    </row>
    <row r="46" spans="2:84" s="15" customFormat="1" ht="30" x14ac:dyDescent="0.25">
      <c r="B46" s="10"/>
      <c r="L46" s="10"/>
      <c r="N46" s="10"/>
      <c r="O46" s="10"/>
      <c r="P46" s="10"/>
      <c r="Q46" s="10"/>
      <c r="R46" s="10"/>
      <c r="S46" s="10"/>
      <c r="T46" s="10"/>
      <c r="U46" s="10"/>
      <c r="V46" s="10"/>
      <c r="W46" s="10"/>
      <c r="X46" s="10"/>
      <c r="Y46" s="10"/>
      <c r="Z46" s="10"/>
      <c r="AE46" s="7" t="s">
        <v>12</v>
      </c>
      <c r="AF46" s="7" t="s">
        <v>23</v>
      </c>
      <c r="AG46" s="7" t="s">
        <v>24</v>
      </c>
      <c r="AH46" s="7" t="s">
        <v>24</v>
      </c>
      <c r="AJ46" s="7" t="s">
        <v>12</v>
      </c>
      <c r="AK46" s="7" t="s">
        <v>23</v>
      </c>
      <c r="AL46" s="7" t="s">
        <v>24</v>
      </c>
      <c r="AM46" s="7" t="s">
        <v>24</v>
      </c>
      <c r="AO46" s="7" t="s">
        <v>12</v>
      </c>
      <c r="AP46" s="7" t="s">
        <v>23</v>
      </c>
      <c r="AQ46" s="7" t="s">
        <v>24</v>
      </c>
      <c r="AR46" s="7" t="s">
        <v>24</v>
      </c>
      <c r="AT46" s="7" t="s">
        <v>12</v>
      </c>
      <c r="AU46" s="7" t="s">
        <v>23</v>
      </c>
      <c r="AV46" s="7" t="s">
        <v>24</v>
      </c>
      <c r="AW46" s="7" t="s">
        <v>24</v>
      </c>
      <c r="AY46" s="7" t="s">
        <v>12</v>
      </c>
      <c r="AZ46" s="7" t="s">
        <v>23</v>
      </c>
      <c r="BA46" s="7" t="s">
        <v>24</v>
      </c>
      <c r="BB46" s="7" t="s">
        <v>24</v>
      </c>
      <c r="BD46" s="7" t="s">
        <v>12</v>
      </c>
      <c r="BE46" s="7" t="s">
        <v>23</v>
      </c>
      <c r="BF46" s="7" t="s">
        <v>24</v>
      </c>
      <c r="BG46" s="7" t="s">
        <v>24</v>
      </c>
      <c r="BI46" s="7" t="s">
        <v>12</v>
      </c>
      <c r="BJ46" s="7" t="s">
        <v>23</v>
      </c>
      <c r="BK46" s="7" t="s">
        <v>24</v>
      </c>
      <c r="BL46" s="7" t="s">
        <v>24</v>
      </c>
      <c r="BN46" s="7" t="s">
        <v>12</v>
      </c>
      <c r="BO46" s="7" t="s">
        <v>23</v>
      </c>
      <c r="BP46" s="7" t="s">
        <v>24</v>
      </c>
      <c r="BQ46" s="7" t="s">
        <v>24</v>
      </c>
      <c r="BS46" s="7" t="s">
        <v>12</v>
      </c>
      <c r="BT46" s="7" t="s">
        <v>23</v>
      </c>
      <c r="BU46" s="7" t="s">
        <v>24</v>
      </c>
      <c r="BV46" s="7" t="s">
        <v>24</v>
      </c>
      <c r="BX46" s="7" t="s">
        <v>12</v>
      </c>
      <c r="BY46" s="7" t="s">
        <v>23</v>
      </c>
      <c r="BZ46" s="7" t="s">
        <v>24</v>
      </c>
      <c r="CA46" s="7" t="s">
        <v>24</v>
      </c>
      <c r="CC46" s="7" t="s">
        <v>12</v>
      </c>
      <c r="CD46" s="7" t="s">
        <v>23</v>
      </c>
      <c r="CE46" s="7" t="s">
        <v>24</v>
      </c>
      <c r="CF46" s="7" t="s">
        <v>24</v>
      </c>
    </row>
    <row r="47" spans="2:84" x14ac:dyDescent="0.25">
      <c r="B47" s="10"/>
      <c r="L47" s="10">
        <f t="shared" si="6"/>
        <v>6.0487970179600126</v>
      </c>
      <c r="M47" s="15">
        <v>42792314</v>
      </c>
      <c r="N47" s="10">
        <v>59.02</v>
      </c>
      <c r="O47" s="10">
        <f>DSUM(Mark,$U$10,AE46:AH47)</f>
        <v>3.57</v>
      </c>
      <c r="P47" s="10">
        <f>DSUM(Mark,$U$10,AJ46:AM47)</f>
        <v>0</v>
      </c>
      <c r="Q47" s="10">
        <f>DSUM(Mark,$U$10,AO46:AR47)</f>
        <v>0</v>
      </c>
      <c r="R47" s="10">
        <f>DSUM(Mark,$U$10,AT46:AW47)</f>
        <v>0</v>
      </c>
      <c r="S47" s="10">
        <f>DSUM(Mark,$U$10,AY46:BB47)</f>
        <v>0</v>
      </c>
      <c r="T47" s="10">
        <f>DSUM(Mark,$U$10,BD46:BG47)</f>
        <v>0</v>
      </c>
      <c r="U47" s="10">
        <f>DSUM(Mark,$U$10,BI46:BL47)</f>
        <v>0</v>
      </c>
      <c r="V47" s="10">
        <f>DSUM(Mark,$U$10,BN46:BQ47)</f>
        <v>0</v>
      </c>
      <c r="W47" s="10">
        <f>DSUM(Mark,$U$10,BS46:BV47)</f>
        <v>0</v>
      </c>
      <c r="X47" s="10">
        <f>DSUM(Mark,$U$10,BX46:CA47)</f>
        <v>55.45</v>
      </c>
      <c r="Y47" s="10">
        <f>SUM(O47:X47)</f>
        <v>59.02</v>
      </c>
      <c r="Z47" s="10">
        <f>DSUM(Mark,$U$10,CC46:CF47)</f>
        <v>61.13</v>
      </c>
      <c r="AE47" s="15">
        <f>$M47</f>
        <v>42792314</v>
      </c>
      <c r="AF47" s="11" t="s">
        <v>29</v>
      </c>
      <c r="AG47" s="15" t="s">
        <v>1555</v>
      </c>
      <c r="AH47" s="15" t="s">
        <v>1562</v>
      </c>
      <c r="AI47" s="15"/>
      <c r="AJ47" s="15">
        <f>$M47</f>
        <v>42792314</v>
      </c>
      <c r="AK47" s="11" t="s">
        <v>29</v>
      </c>
      <c r="AL47" s="15" t="s">
        <v>1563</v>
      </c>
      <c r="AM47" s="15" t="s">
        <v>1564</v>
      </c>
      <c r="AN47" s="15"/>
      <c r="AO47" s="15">
        <f>$M47</f>
        <v>42792314</v>
      </c>
      <c r="AP47" s="11" t="s">
        <v>29</v>
      </c>
      <c r="AQ47" s="15" t="s">
        <v>1565</v>
      </c>
      <c r="AR47" s="15" t="s">
        <v>1566</v>
      </c>
      <c r="AS47" s="15"/>
      <c r="AT47" s="15">
        <f>$M47</f>
        <v>42792314</v>
      </c>
      <c r="AU47" s="11" t="s">
        <v>29</v>
      </c>
      <c r="AV47" s="15" t="s">
        <v>1567</v>
      </c>
      <c r="AW47" s="15" t="s">
        <v>1568</v>
      </c>
      <c r="AX47" s="15"/>
      <c r="AY47" s="15">
        <f>$M47</f>
        <v>42792314</v>
      </c>
      <c r="AZ47" s="11" t="s">
        <v>29</v>
      </c>
      <c r="BA47" s="15" t="s">
        <v>1569</v>
      </c>
      <c r="BB47" s="15" t="s">
        <v>1570</v>
      </c>
      <c r="BC47" s="15"/>
      <c r="BD47" s="15">
        <f>$M47</f>
        <v>42792314</v>
      </c>
      <c r="BE47" s="11" t="s">
        <v>29</v>
      </c>
      <c r="BF47" s="15" t="s">
        <v>1561</v>
      </c>
      <c r="BG47" s="15" t="s">
        <v>1571</v>
      </c>
      <c r="BH47" s="15"/>
      <c r="BI47" s="15">
        <f>$M47</f>
        <v>42792314</v>
      </c>
      <c r="BJ47" s="11" t="s">
        <v>29</v>
      </c>
      <c r="BK47" s="15" t="s">
        <v>1572</v>
      </c>
      <c r="BL47" s="15" t="s">
        <v>1573</v>
      </c>
      <c r="BM47" s="15"/>
      <c r="BN47" s="15">
        <f>$M47</f>
        <v>42792314</v>
      </c>
      <c r="BO47" s="11" t="s">
        <v>29</v>
      </c>
      <c r="BP47" s="15" t="s">
        <v>1574</v>
      </c>
      <c r="BQ47" s="15" t="s">
        <v>1575</v>
      </c>
      <c r="BR47" s="15"/>
      <c r="BS47" s="15">
        <f>$M47</f>
        <v>42792314</v>
      </c>
      <c r="BT47" s="11" t="s">
        <v>29</v>
      </c>
      <c r="BU47" s="15" t="s">
        <v>1576</v>
      </c>
      <c r="BV47" s="15" t="s">
        <v>1577</v>
      </c>
      <c r="BW47" s="15"/>
      <c r="BX47" s="15">
        <f>$M47</f>
        <v>42792314</v>
      </c>
      <c r="BY47" s="11" t="s">
        <v>29</v>
      </c>
      <c r="BZ47" s="15" t="s">
        <v>1578</v>
      </c>
      <c r="CA47" s="15" t="s">
        <v>1579</v>
      </c>
      <c r="CB47" s="15"/>
      <c r="CC47" s="15">
        <f>$M47</f>
        <v>42792314</v>
      </c>
      <c r="CD47" s="11"/>
      <c r="CE47" s="15"/>
      <c r="CF47" s="15"/>
    </row>
    <row r="48" spans="2:84" s="15" customFormat="1" ht="30" x14ac:dyDescent="0.25">
      <c r="B48" s="10"/>
      <c r="L48" s="10"/>
      <c r="N48" s="10"/>
      <c r="O48" s="10"/>
      <c r="P48" s="10"/>
      <c r="Q48" s="10"/>
      <c r="R48" s="10"/>
      <c r="S48" s="10"/>
      <c r="T48" s="10"/>
      <c r="U48" s="10"/>
      <c r="V48" s="10"/>
      <c r="W48" s="10"/>
      <c r="X48" s="10"/>
      <c r="Y48" s="10"/>
      <c r="Z48" s="10"/>
      <c r="AE48" s="7" t="s">
        <v>12</v>
      </c>
      <c r="AF48" s="7" t="s">
        <v>23</v>
      </c>
      <c r="AG48" s="7" t="s">
        <v>24</v>
      </c>
      <c r="AH48" s="7" t="s">
        <v>24</v>
      </c>
      <c r="AJ48" s="7" t="s">
        <v>12</v>
      </c>
      <c r="AK48" s="7" t="s">
        <v>23</v>
      </c>
      <c r="AL48" s="7" t="s">
        <v>24</v>
      </c>
      <c r="AM48" s="7" t="s">
        <v>24</v>
      </c>
      <c r="AO48" s="7" t="s">
        <v>12</v>
      </c>
      <c r="AP48" s="7" t="s">
        <v>23</v>
      </c>
      <c r="AQ48" s="7" t="s">
        <v>24</v>
      </c>
      <c r="AR48" s="7" t="s">
        <v>24</v>
      </c>
      <c r="AT48" s="7" t="s">
        <v>12</v>
      </c>
      <c r="AU48" s="7" t="s">
        <v>23</v>
      </c>
      <c r="AV48" s="7" t="s">
        <v>24</v>
      </c>
      <c r="AW48" s="7" t="s">
        <v>24</v>
      </c>
      <c r="AY48" s="7" t="s">
        <v>12</v>
      </c>
      <c r="AZ48" s="7" t="s">
        <v>23</v>
      </c>
      <c r="BA48" s="7" t="s">
        <v>24</v>
      </c>
      <c r="BB48" s="7" t="s">
        <v>24</v>
      </c>
      <c r="BD48" s="7" t="s">
        <v>12</v>
      </c>
      <c r="BE48" s="7" t="s">
        <v>23</v>
      </c>
      <c r="BF48" s="7" t="s">
        <v>24</v>
      </c>
      <c r="BG48" s="7" t="s">
        <v>24</v>
      </c>
      <c r="BI48" s="7" t="s">
        <v>12</v>
      </c>
      <c r="BJ48" s="7" t="s">
        <v>23</v>
      </c>
      <c r="BK48" s="7" t="s">
        <v>24</v>
      </c>
      <c r="BL48" s="7" t="s">
        <v>24</v>
      </c>
      <c r="BN48" s="7" t="s">
        <v>12</v>
      </c>
      <c r="BO48" s="7" t="s">
        <v>23</v>
      </c>
      <c r="BP48" s="7" t="s">
        <v>24</v>
      </c>
      <c r="BQ48" s="7" t="s">
        <v>24</v>
      </c>
      <c r="BS48" s="7" t="s">
        <v>12</v>
      </c>
      <c r="BT48" s="7" t="s">
        <v>23</v>
      </c>
      <c r="BU48" s="7" t="s">
        <v>24</v>
      </c>
      <c r="BV48" s="7" t="s">
        <v>24</v>
      </c>
      <c r="BX48" s="7" t="s">
        <v>12</v>
      </c>
      <c r="BY48" s="7" t="s">
        <v>23</v>
      </c>
      <c r="BZ48" s="7" t="s">
        <v>24</v>
      </c>
      <c r="CA48" s="7" t="s">
        <v>24</v>
      </c>
      <c r="CC48" s="7" t="s">
        <v>12</v>
      </c>
      <c r="CD48" s="7" t="s">
        <v>23</v>
      </c>
      <c r="CE48" s="7" t="s">
        <v>24</v>
      </c>
      <c r="CF48" s="7" t="s">
        <v>24</v>
      </c>
    </row>
    <row r="49" spans="2:84" x14ac:dyDescent="0.25">
      <c r="B49" s="10"/>
      <c r="L49" s="10">
        <f t="shared" si="6"/>
        <v>0</v>
      </c>
      <c r="M49" s="15">
        <v>18299674</v>
      </c>
      <c r="N49" s="10">
        <v>57.74</v>
      </c>
      <c r="O49" s="10">
        <f>DSUM(Mark,$U$10,AE48:AH49)</f>
        <v>0</v>
      </c>
      <c r="P49" s="10">
        <f>DSUM(Mark,$U$10,AJ48:AM49)</f>
        <v>0</v>
      </c>
      <c r="Q49" s="10">
        <f>DSUM(Mark,$U$10,AO48:AR49)</f>
        <v>0</v>
      </c>
      <c r="R49" s="10">
        <f>DSUM(Mark,$U$10,AT48:AW49)</f>
        <v>0</v>
      </c>
      <c r="S49" s="10">
        <f>DSUM(Mark,$U$10,AY48:BB49)</f>
        <v>0</v>
      </c>
      <c r="T49" s="10">
        <f>DSUM(Mark,$U$10,BD48:BG49)</f>
        <v>0</v>
      </c>
      <c r="U49" s="10">
        <f>DSUM(Mark,$U$10,BI48:BL49)</f>
        <v>0</v>
      </c>
      <c r="V49" s="10">
        <f>DSUM(Mark,$U$10,BN48:BQ49)</f>
        <v>0</v>
      </c>
      <c r="W49" s="10">
        <f>DSUM(Mark,$U$10,BS48:BV49)</f>
        <v>0</v>
      </c>
      <c r="X49" s="10">
        <f>DSUM(Mark,$U$10,BX48:CA49)</f>
        <v>25.49</v>
      </c>
      <c r="Y49" s="10">
        <f>SUM(O49:X49)</f>
        <v>25.49</v>
      </c>
      <c r="Z49" s="10">
        <f>DSUM(Mark,$U$10,CC48:CF49)</f>
        <v>177.29</v>
      </c>
      <c r="AE49" s="15">
        <f>$M49</f>
        <v>18299674</v>
      </c>
      <c r="AF49" s="11" t="s">
        <v>29</v>
      </c>
      <c r="AG49" s="15" t="s">
        <v>1555</v>
      </c>
      <c r="AH49" s="15" t="s">
        <v>1562</v>
      </c>
      <c r="AI49" s="15"/>
      <c r="AJ49" s="15">
        <f>$M49</f>
        <v>18299674</v>
      </c>
      <c r="AK49" s="11" t="s">
        <v>29</v>
      </c>
      <c r="AL49" s="15" t="s">
        <v>1563</v>
      </c>
      <c r="AM49" s="15" t="s">
        <v>1564</v>
      </c>
      <c r="AN49" s="15"/>
      <c r="AO49" s="15">
        <f>$M49</f>
        <v>18299674</v>
      </c>
      <c r="AP49" s="11" t="s">
        <v>29</v>
      </c>
      <c r="AQ49" s="15" t="s">
        <v>1565</v>
      </c>
      <c r="AR49" s="15" t="s">
        <v>1566</v>
      </c>
      <c r="AS49" s="15"/>
      <c r="AT49" s="15">
        <f>$M49</f>
        <v>18299674</v>
      </c>
      <c r="AU49" s="11" t="s">
        <v>29</v>
      </c>
      <c r="AV49" s="15" t="s">
        <v>1567</v>
      </c>
      <c r="AW49" s="15" t="s">
        <v>1568</v>
      </c>
      <c r="AX49" s="15"/>
      <c r="AY49" s="15">
        <f>$M49</f>
        <v>18299674</v>
      </c>
      <c r="AZ49" s="11" t="s">
        <v>29</v>
      </c>
      <c r="BA49" s="15" t="s">
        <v>1569</v>
      </c>
      <c r="BB49" s="15" t="s">
        <v>1570</v>
      </c>
      <c r="BC49" s="15"/>
      <c r="BD49" s="15">
        <f>$M49</f>
        <v>18299674</v>
      </c>
      <c r="BE49" s="11" t="s">
        <v>29</v>
      </c>
      <c r="BF49" s="15" t="s">
        <v>1561</v>
      </c>
      <c r="BG49" s="15" t="s">
        <v>1571</v>
      </c>
      <c r="BH49" s="15"/>
      <c r="BI49" s="15">
        <f>$M49</f>
        <v>18299674</v>
      </c>
      <c r="BJ49" s="11" t="s">
        <v>29</v>
      </c>
      <c r="BK49" s="15" t="s">
        <v>1572</v>
      </c>
      <c r="BL49" s="15" t="s">
        <v>1573</v>
      </c>
      <c r="BM49" s="15"/>
      <c r="BN49" s="15">
        <f>$M49</f>
        <v>18299674</v>
      </c>
      <c r="BO49" s="11" t="s">
        <v>29</v>
      </c>
      <c r="BP49" s="15" t="s">
        <v>1574</v>
      </c>
      <c r="BQ49" s="15" t="s">
        <v>1575</v>
      </c>
      <c r="BR49" s="15"/>
      <c r="BS49" s="15">
        <f>$M49</f>
        <v>18299674</v>
      </c>
      <c r="BT49" s="11" t="s">
        <v>29</v>
      </c>
      <c r="BU49" s="15" t="s">
        <v>1576</v>
      </c>
      <c r="BV49" s="15" t="s">
        <v>1577</v>
      </c>
      <c r="BW49" s="15"/>
      <c r="BX49" s="15">
        <f>$M49</f>
        <v>18299674</v>
      </c>
      <c r="BY49" s="11" t="s">
        <v>29</v>
      </c>
      <c r="BZ49" s="15" t="s">
        <v>1578</v>
      </c>
      <c r="CA49" s="15" t="s">
        <v>1579</v>
      </c>
      <c r="CB49" s="15"/>
      <c r="CC49" s="15">
        <f>$M49</f>
        <v>18299674</v>
      </c>
      <c r="CD49" s="11"/>
      <c r="CE49" s="15"/>
      <c r="CF49" s="15"/>
    </row>
    <row r="50" spans="2:84" s="15" customFormat="1" ht="30" x14ac:dyDescent="0.25">
      <c r="B50" s="10"/>
      <c r="L50" s="10"/>
      <c r="N50" s="10"/>
      <c r="O50" s="10"/>
      <c r="P50" s="10"/>
      <c r="Q50" s="10"/>
      <c r="R50" s="10"/>
      <c r="S50" s="10"/>
      <c r="T50" s="10"/>
      <c r="U50" s="10"/>
      <c r="V50" s="10"/>
      <c r="W50" s="10"/>
      <c r="X50" s="10"/>
      <c r="Y50" s="10"/>
      <c r="Z50" s="10"/>
      <c r="AE50" s="7" t="s">
        <v>12</v>
      </c>
      <c r="AF50" s="7" t="s">
        <v>23</v>
      </c>
      <c r="AG50" s="7" t="s">
        <v>24</v>
      </c>
      <c r="AH50" s="7" t="s">
        <v>24</v>
      </c>
      <c r="AJ50" s="7" t="s">
        <v>12</v>
      </c>
      <c r="AK50" s="7" t="s">
        <v>23</v>
      </c>
      <c r="AL50" s="7" t="s">
        <v>24</v>
      </c>
      <c r="AM50" s="7" t="s">
        <v>24</v>
      </c>
      <c r="AO50" s="7" t="s">
        <v>12</v>
      </c>
      <c r="AP50" s="7" t="s">
        <v>23</v>
      </c>
      <c r="AQ50" s="7" t="s">
        <v>24</v>
      </c>
      <c r="AR50" s="7" t="s">
        <v>24</v>
      </c>
      <c r="AT50" s="7" t="s">
        <v>12</v>
      </c>
      <c r="AU50" s="7" t="s">
        <v>23</v>
      </c>
      <c r="AV50" s="7" t="s">
        <v>24</v>
      </c>
      <c r="AW50" s="7" t="s">
        <v>24</v>
      </c>
      <c r="AY50" s="7" t="s">
        <v>12</v>
      </c>
      <c r="AZ50" s="7" t="s">
        <v>23</v>
      </c>
      <c r="BA50" s="7" t="s">
        <v>24</v>
      </c>
      <c r="BB50" s="7" t="s">
        <v>24</v>
      </c>
      <c r="BD50" s="7" t="s">
        <v>12</v>
      </c>
      <c r="BE50" s="7" t="s">
        <v>23</v>
      </c>
      <c r="BF50" s="7" t="s">
        <v>24</v>
      </c>
      <c r="BG50" s="7" t="s">
        <v>24</v>
      </c>
      <c r="BI50" s="7" t="s">
        <v>12</v>
      </c>
      <c r="BJ50" s="7" t="s">
        <v>23</v>
      </c>
      <c r="BK50" s="7" t="s">
        <v>24</v>
      </c>
      <c r="BL50" s="7" t="s">
        <v>24</v>
      </c>
      <c r="BN50" s="7" t="s">
        <v>12</v>
      </c>
      <c r="BO50" s="7" t="s">
        <v>23</v>
      </c>
      <c r="BP50" s="7" t="s">
        <v>24</v>
      </c>
      <c r="BQ50" s="7" t="s">
        <v>24</v>
      </c>
      <c r="BS50" s="7" t="s">
        <v>12</v>
      </c>
      <c r="BT50" s="7" t="s">
        <v>23</v>
      </c>
      <c r="BU50" s="7" t="s">
        <v>24</v>
      </c>
      <c r="BV50" s="7" t="s">
        <v>24</v>
      </c>
      <c r="BX50" s="7" t="s">
        <v>12</v>
      </c>
      <c r="BY50" s="7" t="s">
        <v>23</v>
      </c>
      <c r="BZ50" s="7" t="s">
        <v>24</v>
      </c>
      <c r="CA50" s="7" t="s">
        <v>24</v>
      </c>
      <c r="CC50" s="7" t="s">
        <v>12</v>
      </c>
      <c r="CD50" s="7" t="s">
        <v>23</v>
      </c>
      <c r="CE50" s="7" t="s">
        <v>24</v>
      </c>
      <c r="CF50" s="7" t="s">
        <v>24</v>
      </c>
    </row>
    <row r="51" spans="2:84" x14ac:dyDescent="0.25">
      <c r="B51" s="10"/>
      <c r="L51" s="10">
        <f t="shared" si="6"/>
        <v>13.019230769230768</v>
      </c>
      <c r="M51" s="15">
        <v>26019788</v>
      </c>
      <c r="N51" s="10">
        <v>52</v>
      </c>
      <c r="O51" s="10">
        <f>DSUM(Mark,$U$10,AE50:AH51)</f>
        <v>6.77</v>
      </c>
      <c r="P51" s="10">
        <f>DSUM(Mark,$U$10,AJ50:AM51)</f>
        <v>0</v>
      </c>
      <c r="Q51" s="10">
        <f>DSUM(Mark,$U$10,AO50:AR51)</f>
        <v>0</v>
      </c>
      <c r="R51" s="10">
        <f>DSUM(Mark,$U$10,AT50:AW51)</f>
        <v>0</v>
      </c>
      <c r="S51" s="10">
        <f>DSUM(Mark,$U$10,AY50:BB51)</f>
        <v>0</v>
      </c>
      <c r="T51" s="10">
        <f>DSUM(Mark,$U$10,BD50:BG51)</f>
        <v>0</v>
      </c>
      <c r="U51" s="10">
        <f>DSUM(Mark,$U$10,BI50:BL51)</f>
        <v>0</v>
      </c>
      <c r="V51" s="10">
        <f>DSUM(Mark,$U$10,BN50:BQ51)</f>
        <v>0</v>
      </c>
      <c r="W51" s="10">
        <f>DSUM(Mark,$U$10,BS50:BV51)</f>
        <v>0</v>
      </c>
      <c r="X51" s="10">
        <f>DSUM(Mark,$U$10,BX50:CA51)</f>
        <v>45.230000000000004</v>
      </c>
      <c r="Y51" s="10">
        <f>SUM(O51:X51)</f>
        <v>52</v>
      </c>
      <c r="Z51" s="10">
        <f>DSUM(Mark,$U$10,CC50:CF51)</f>
        <v>63.050000000000004</v>
      </c>
      <c r="AE51" s="15">
        <f>$M51</f>
        <v>26019788</v>
      </c>
      <c r="AF51" s="11" t="s">
        <v>29</v>
      </c>
      <c r="AG51" s="15" t="s">
        <v>1555</v>
      </c>
      <c r="AH51" s="15" t="s">
        <v>1562</v>
      </c>
      <c r="AI51" s="15"/>
      <c r="AJ51" s="15">
        <f>$M51</f>
        <v>26019788</v>
      </c>
      <c r="AK51" s="11" t="s">
        <v>29</v>
      </c>
      <c r="AL51" s="15" t="s">
        <v>1563</v>
      </c>
      <c r="AM51" s="15" t="s">
        <v>1564</v>
      </c>
      <c r="AN51" s="15"/>
      <c r="AO51" s="15">
        <f>$M51</f>
        <v>26019788</v>
      </c>
      <c r="AP51" s="11" t="s">
        <v>29</v>
      </c>
      <c r="AQ51" s="15" t="s">
        <v>1565</v>
      </c>
      <c r="AR51" s="15" t="s">
        <v>1566</v>
      </c>
      <c r="AS51" s="15"/>
      <c r="AT51" s="15">
        <f>$M51</f>
        <v>26019788</v>
      </c>
      <c r="AU51" s="11" t="s">
        <v>29</v>
      </c>
      <c r="AV51" s="15" t="s">
        <v>1567</v>
      </c>
      <c r="AW51" s="15" t="s">
        <v>1568</v>
      </c>
      <c r="AX51" s="15"/>
      <c r="AY51" s="15">
        <f>$M51</f>
        <v>26019788</v>
      </c>
      <c r="AZ51" s="11" t="s">
        <v>29</v>
      </c>
      <c r="BA51" s="15" t="s">
        <v>1569</v>
      </c>
      <c r="BB51" s="15" t="s">
        <v>1570</v>
      </c>
      <c r="BC51" s="15"/>
      <c r="BD51" s="15">
        <f>$M51</f>
        <v>26019788</v>
      </c>
      <c r="BE51" s="11" t="s">
        <v>29</v>
      </c>
      <c r="BF51" s="15" t="s">
        <v>1561</v>
      </c>
      <c r="BG51" s="15" t="s">
        <v>1571</v>
      </c>
      <c r="BH51" s="15"/>
      <c r="BI51" s="15">
        <f>$M51</f>
        <v>26019788</v>
      </c>
      <c r="BJ51" s="11" t="s">
        <v>29</v>
      </c>
      <c r="BK51" s="15" t="s">
        <v>1572</v>
      </c>
      <c r="BL51" s="15" t="s">
        <v>1573</v>
      </c>
      <c r="BM51" s="15"/>
      <c r="BN51" s="15">
        <f>$M51</f>
        <v>26019788</v>
      </c>
      <c r="BO51" s="11" t="s">
        <v>29</v>
      </c>
      <c r="BP51" s="15" t="s">
        <v>1574</v>
      </c>
      <c r="BQ51" s="15" t="s">
        <v>1575</v>
      </c>
      <c r="BR51" s="15"/>
      <c r="BS51" s="15">
        <f>$M51</f>
        <v>26019788</v>
      </c>
      <c r="BT51" s="11" t="s">
        <v>29</v>
      </c>
      <c r="BU51" s="15" t="s">
        <v>1576</v>
      </c>
      <c r="BV51" s="15" t="s">
        <v>1577</v>
      </c>
      <c r="BW51" s="15"/>
      <c r="BX51" s="15">
        <f>$M51</f>
        <v>26019788</v>
      </c>
      <c r="BY51" s="11" t="s">
        <v>29</v>
      </c>
      <c r="BZ51" s="15" t="s">
        <v>1578</v>
      </c>
      <c r="CA51" s="15" t="s">
        <v>1579</v>
      </c>
      <c r="CB51" s="15"/>
      <c r="CC51" s="15">
        <f>$M51</f>
        <v>26019788</v>
      </c>
      <c r="CD51" s="11"/>
      <c r="CE51" s="15"/>
      <c r="CF51" s="15"/>
    </row>
    <row r="52" spans="2:84" ht="30" x14ac:dyDescent="0.25">
      <c r="B52" s="10"/>
      <c r="F52" s="54" t="s">
        <v>1631</v>
      </c>
      <c r="G52" s="54"/>
      <c r="AE52" s="7" t="s">
        <v>12</v>
      </c>
      <c r="AF52" s="7" t="s">
        <v>23</v>
      </c>
      <c r="AG52" s="7" t="s">
        <v>24</v>
      </c>
      <c r="AH52" s="7" t="s">
        <v>24</v>
      </c>
      <c r="AI52" s="15"/>
      <c r="AJ52" s="7" t="s">
        <v>12</v>
      </c>
      <c r="AK52" s="7" t="s">
        <v>23</v>
      </c>
      <c r="AL52" s="7" t="s">
        <v>24</v>
      </c>
      <c r="AM52" s="7" t="s">
        <v>24</v>
      </c>
      <c r="AN52" s="15"/>
      <c r="AO52" s="7" t="s">
        <v>12</v>
      </c>
      <c r="AP52" s="7" t="s">
        <v>23</v>
      </c>
      <c r="AQ52" s="7" t="s">
        <v>24</v>
      </c>
      <c r="AR52" s="7" t="s">
        <v>24</v>
      </c>
      <c r="AS52" s="15"/>
      <c r="AT52" s="7" t="s">
        <v>12</v>
      </c>
      <c r="AU52" s="7" t="s">
        <v>23</v>
      </c>
      <c r="AV52" s="7" t="s">
        <v>24</v>
      </c>
      <c r="AW52" s="7" t="s">
        <v>24</v>
      </c>
      <c r="AX52" s="15"/>
      <c r="AY52" s="7" t="s">
        <v>12</v>
      </c>
      <c r="AZ52" s="7" t="s">
        <v>23</v>
      </c>
      <c r="BA52" s="7" t="s">
        <v>24</v>
      </c>
      <c r="BB52" s="7" t="s">
        <v>24</v>
      </c>
      <c r="BC52" s="15"/>
      <c r="BD52" s="7" t="s">
        <v>12</v>
      </c>
      <c r="BE52" s="7" t="s">
        <v>23</v>
      </c>
      <c r="BF52" s="7" t="s">
        <v>24</v>
      </c>
      <c r="BG52" s="7" t="s">
        <v>24</v>
      </c>
      <c r="BH52" s="15"/>
      <c r="BI52" s="7" t="s">
        <v>12</v>
      </c>
      <c r="BJ52" s="7" t="s">
        <v>23</v>
      </c>
      <c r="BK52" s="7" t="s">
        <v>24</v>
      </c>
      <c r="BL52" s="7" t="s">
        <v>24</v>
      </c>
      <c r="BM52" s="15"/>
      <c r="BN52" s="7" t="s">
        <v>12</v>
      </c>
      <c r="BO52" s="7" t="s">
        <v>23</v>
      </c>
      <c r="BP52" s="7" t="s">
        <v>24</v>
      </c>
      <c r="BQ52" s="7" t="s">
        <v>24</v>
      </c>
      <c r="BR52" s="15"/>
      <c r="BS52" s="7" t="s">
        <v>12</v>
      </c>
      <c r="BT52" s="7" t="s">
        <v>23</v>
      </c>
      <c r="BU52" s="7" t="s">
        <v>24</v>
      </c>
      <c r="BV52" s="7" t="s">
        <v>24</v>
      </c>
      <c r="BW52" s="15"/>
      <c r="BX52" s="7" t="s">
        <v>12</v>
      </c>
      <c r="BY52" s="7" t="s">
        <v>23</v>
      </c>
      <c r="BZ52" s="7" t="s">
        <v>24</v>
      </c>
      <c r="CA52" s="7" t="s">
        <v>24</v>
      </c>
      <c r="CB52" s="15"/>
      <c r="CC52" s="7" t="s">
        <v>12</v>
      </c>
      <c r="CD52" s="7" t="s">
        <v>23</v>
      </c>
      <c r="CE52" s="7" t="s">
        <v>24</v>
      </c>
      <c r="CF52" s="7" t="s">
        <v>24</v>
      </c>
    </row>
    <row r="53" spans="2:84" x14ac:dyDescent="0.25">
      <c r="B53" s="10"/>
      <c r="C53" t="s">
        <v>2</v>
      </c>
      <c r="D53" t="s">
        <v>1606</v>
      </c>
      <c r="E53" s="15" t="s">
        <v>1611</v>
      </c>
      <c r="F53" s="15" t="s">
        <v>1606</v>
      </c>
      <c r="G53" s="15" t="s">
        <v>1611</v>
      </c>
      <c r="AE53" s="15">
        <f>$M53</f>
        <v>0</v>
      </c>
      <c r="AF53" s="11" t="s">
        <v>29</v>
      </c>
      <c r="AG53" s="15" t="s">
        <v>1555</v>
      </c>
      <c r="AH53" s="15" t="s">
        <v>1562</v>
      </c>
      <c r="AI53" s="15"/>
      <c r="AJ53" s="15">
        <f>$M53</f>
        <v>0</v>
      </c>
      <c r="AK53" s="11" t="s">
        <v>29</v>
      </c>
      <c r="AL53" s="15" t="s">
        <v>1563</v>
      </c>
      <c r="AM53" s="15" t="s">
        <v>1564</v>
      </c>
      <c r="AN53" s="15"/>
      <c r="AO53" s="15">
        <f>$M53</f>
        <v>0</v>
      </c>
      <c r="AP53" s="11" t="s">
        <v>29</v>
      </c>
      <c r="AQ53" s="15" t="s">
        <v>1565</v>
      </c>
      <c r="AR53" s="15" t="s">
        <v>1566</v>
      </c>
      <c r="AS53" s="15"/>
      <c r="AT53" s="15">
        <f>$M53</f>
        <v>0</v>
      </c>
      <c r="AU53" s="11" t="s">
        <v>29</v>
      </c>
      <c r="AV53" s="15" t="s">
        <v>1567</v>
      </c>
      <c r="AW53" s="15" t="s">
        <v>1568</v>
      </c>
      <c r="AX53" s="15"/>
      <c r="AY53" s="15">
        <f>$M53</f>
        <v>0</v>
      </c>
      <c r="AZ53" s="11" t="s">
        <v>29</v>
      </c>
      <c r="BA53" s="15" t="s">
        <v>1569</v>
      </c>
      <c r="BB53" s="15" t="s">
        <v>1570</v>
      </c>
      <c r="BC53" s="15"/>
      <c r="BD53" s="15">
        <f>$M53</f>
        <v>0</v>
      </c>
      <c r="BE53" s="11" t="s">
        <v>29</v>
      </c>
      <c r="BF53" s="15" t="s">
        <v>1561</v>
      </c>
      <c r="BG53" s="15" t="s">
        <v>1571</v>
      </c>
      <c r="BH53" s="15"/>
      <c r="BI53" s="15">
        <f>$M53</f>
        <v>0</v>
      </c>
      <c r="BJ53" s="11" t="s">
        <v>29</v>
      </c>
      <c r="BK53" s="15" t="s">
        <v>1572</v>
      </c>
      <c r="BL53" s="15" t="s">
        <v>1573</v>
      </c>
      <c r="BM53" s="15"/>
      <c r="BN53" s="15">
        <f>$M53</f>
        <v>0</v>
      </c>
      <c r="BO53" s="11" t="s">
        <v>29</v>
      </c>
      <c r="BP53" s="15" t="s">
        <v>1574</v>
      </c>
      <c r="BQ53" s="15" t="s">
        <v>1575</v>
      </c>
      <c r="BR53" s="15"/>
      <c r="BS53" s="15">
        <f>$M53</f>
        <v>0</v>
      </c>
      <c r="BT53" s="11" t="s">
        <v>29</v>
      </c>
      <c r="BU53" s="15" t="s">
        <v>1576</v>
      </c>
      <c r="BV53" s="15" t="s">
        <v>1577</v>
      </c>
      <c r="BW53" s="15"/>
      <c r="BX53" s="15">
        <f>$M53</f>
        <v>0</v>
      </c>
      <c r="BY53" s="11" t="s">
        <v>29</v>
      </c>
      <c r="BZ53" s="15" t="s">
        <v>1578</v>
      </c>
      <c r="CA53" s="15" t="s">
        <v>1579</v>
      </c>
      <c r="CB53" s="15"/>
      <c r="CC53" s="15">
        <f>$M53</f>
        <v>0</v>
      </c>
      <c r="CD53" s="11"/>
      <c r="CE53" s="15"/>
      <c r="CF53" s="15"/>
    </row>
    <row r="54" spans="2:84" ht="60" x14ac:dyDescent="0.25">
      <c r="B54" s="10" t="s">
        <v>1610</v>
      </c>
      <c r="C54" s="10">
        <f>DSUM(Mark,$U$10,K54:K55)</f>
        <v>3146.7900000000022</v>
      </c>
      <c r="D54" s="10">
        <f>E54/C54</f>
        <v>60.685183184843574</v>
      </c>
      <c r="E54" s="10">
        <f>DSUM(Mark,M54,K54:K55)</f>
        <v>190963.52759423404</v>
      </c>
      <c r="F54" s="10">
        <f>G54/C54</f>
        <v>58.821988271446948</v>
      </c>
      <c r="G54" s="10">
        <f>DSUM(Mark,Markniveau!$AE$1,Tabeller!K54:O55)</f>
        <v>185100.44447270667</v>
      </c>
      <c r="H54" s="10">
        <f>E54-G54</f>
        <v>5863.0831215273647</v>
      </c>
      <c r="K54" s="7" t="s">
        <v>23</v>
      </c>
      <c r="L54" s="48" t="s">
        <v>1609</v>
      </c>
      <c r="M54" s="48" t="s">
        <v>1608</v>
      </c>
      <c r="N54" s="48" t="s">
        <v>1601</v>
      </c>
      <c r="O54" s="48" t="s">
        <v>1602</v>
      </c>
    </row>
    <row r="55" spans="2:84" x14ac:dyDescent="0.25">
      <c r="B55" s="10" t="s">
        <v>1612</v>
      </c>
      <c r="C55" s="10">
        <f>DSUM(Mark,$U$10,K54:K55)</f>
        <v>3146.7900000000022</v>
      </c>
      <c r="D55" s="10">
        <f>E55/C55</f>
        <v>12.376497755048847</v>
      </c>
      <c r="E55" s="10">
        <f>DSUM(Mark,O54,K54:K55)</f>
        <v>38946.239370610187</v>
      </c>
      <c r="F55" s="10">
        <f>G55/C55</f>
        <v>10.70856784700934</v>
      </c>
      <c r="G55" s="10">
        <f>DSUM(Mark,Markniveau!$AG$1,Tabeller!K54:O55)</f>
        <v>33697.614215290545</v>
      </c>
      <c r="H55" s="10">
        <f>E55-G55</f>
        <v>5248.6251553196416</v>
      </c>
      <c r="K55" s="11" t="s">
        <v>29</v>
      </c>
    </row>
    <row r="56" spans="2:84" x14ac:dyDescent="0.25">
      <c r="B56" s="10"/>
    </row>
    <row r="57" spans="2:84" x14ac:dyDescent="0.25">
      <c r="B57" s="10" t="s">
        <v>24</v>
      </c>
      <c r="D57" s="10">
        <f>100-D55/D54*100</f>
        <v>79.605404308740816</v>
      </c>
    </row>
    <row r="58" spans="2:84" ht="60" x14ac:dyDescent="0.25">
      <c r="B58" s="10" t="s">
        <v>1613</v>
      </c>
      <c r="D58" t="s">
        <v>2</v>
      </c>
      <c r="E58" s="15" t="s">
        <v>1612</v>
      </c>
      <c r="F58" s="15" t="s">
        <v>1610</v>
      </c>
      <c r="H58" t="s">
        <v>1622</v>
      </c>
      <c r="I58" t="s">
        <v>1623</v>
      </c>
      <c r="K58" s="7" t="s">
        <v>23</v>
      </c>
      <c r="L58" s="48" t="s">
        <v>1609</v>
      </c>
      <c r="M58" s="48" t="s">
        <v>1608</v>
      </c>
      <c r="N58" s="48" t="s">
        <v>1601</v>
      </c>
      <c r="O58" s="48" t="s">
        <v>1601</v>
      </c>
      <c r="P58" s="48" t="s">
        <v>1602</v>
      </c>
    </row>
    <row r="59" spans="2:84" x14ac:dyDescent="0.25">
      <c r="B59" s="10" t="s">
        <v>1615</v>
      </c>
      <c r="D59" s="10">
        <f>DSUM(Mark,$U$10,K58:P59)</f>
        <v>23.43</v>
      </c>
      <c r="E59" s="10">
        <f>DSUM(Mark,P58,K58:P59)</f>
        <v>2902.0887652100851</v>
      </c>
      <c r="F59" s="10">
        <f>DSUM(Mark,M58,K58:P59)</f>
        <v>2948.7553674399928</v>
      </c>
      <c r="H59" s="10">
        <f>D59/D72*100</f>
        <v>0.79816316867030701</v>
      </c>
      <c r="I59" s="10">
        <f>F59/$F$72*100</f>
        <v>1.6543948773853974</v>
      </c>
      <c r="K59" s="11" t="s">
        <v>29</v>
      </c>
      <c r="L59" s="15"/>
      <c r="M59" s="15"/>
      <c r="N59" s="15" t="s">
        <v>1614</v>
      </c>
      <c r="P59" s="15"/>
    </row>
    <row r="60" spans="2:84" ht="60" x14ac:dyDescent="0.25">
      <c r="D60" s="10"/>
      <c r="E60" s="10"/>
      <c r="F60" s="10"/>
      <c r="H60" s="10"/>
      <c r="I60" s="10"/>
      <c r="K60" s="7" t="s">
        <v>23</v>
      </c>
      <c r="L60" s="48" t="s">
        <v>1609</v>
      </c>
      <c r="M60" s="48" t="s">
        <v>1608</v>
      </c>
      <c r="N60" s="48" t="s">
        <v>1601</v>
      </c>
      <c r="O60" s="48" t="s">
        <v>1601</v>
      </c>
      <c r="P60" s="48" t="s">
        <v>1602</v>
      </c>
    </row>
    <row r="61" spans="2:84" x14ac:dyDescent="0.25">
      <c r="B61" s="10" t="s">
        <v>1616</v>
      </c>
      <c r="C61" s="15"/>
      <c r="D61" s="10">
        <f>DSUM(Mark,$U$10,K60:P61)</f>
        <v>21.58</v>
      </c>
      <c r="E61" s="10">
        <f>DSUM(Mark,P60,K60:P61)</f>
        <v>2150.1038236173563</v>
      </c>
      <c r="F61" s="10">
        <f>DSUM(Mark,M60,K60:P61)</f>
        <v>2193.9834934870983</v>
      </c>
      <c r="H61" s="10">
        <f>(D59+D61)/D$72*100</f>
        <v>1.5333044909027111</v>
      </c>
      <c r="I61" s="10">
        <f>(E59+E61)/E$72*100</f>
        <v>12.972221889643997</v>
      </c>
      <c r="K61" s="11" t="s">
        <v>29</v>
      </c>
      <c r="L61" s="15"/>
      <c r="M61" s="15"/>
      <c r="N61" s="15" t="s">
        <v>1576</v>
      </c>
      <c r="O61" s="50" t="s">
        <v>1579</v>
      </c>
      <c r="P61" s="15"/>
    </row>
    <row r="62" spans="2:84" ht="60" x14ac:dyDescent="0.25">
      <c r="D62" s="10"/>
      <c r="E62" s="10"/>
      <c r="F62" s="10"/>
      <c r="H62" s="10"/>
      <c r="I62" s="10"/>
      <c r="K62" s="7" t="s">
        <v>23</v>
      </c>
      <c r="L62" s="48" t="s">
        <v>1609</v>
      </c>
      <c r="M62" s="48" t="s">
        <v>1608</v>
      </c>
      <c r="N62" s="48" t="s">
        <v>1601</v>
      </c>
      <c r="O62" s="48" t="s">
        <v>1601</v>
      </c>
      <c r="P62" s="48" t="s">
        <v>1602</v>
      </c>
    </row>
    <row r="63" spans="2:84" x14ac:dyDescent="0.25">
      <c r="B63" s="10" t="s">
        <v>1617</v>
      </c>
      <c r="C63" s="15"/>
      <c r="D63" s="10">
        <f>DSUM(Mark,$U$10,K62:P63)</f>
        <v>191.92000000000004</v>
      </c>
      <c r="E63" s="10">
        <f>DSUM(Mark,P62,K62:P63)</f>
        <v>13863.227520353692</v>
      </c>
      <c r="F63" s="10">
        <f>DSUM(Mark,M62,K62:P63)</f>
        <v>17300.816266044665</v>
      </c>
      <c r="H63" s="10">
        <f>(D$59+D$61+D$63)/D$72*100</f>
        <v>8.0712249062337129</v>
      </c>
      <c r="I63" s="10">
        <f>(E$59+E$61+E$63)/E$72*100</f>
        <v>48.568027144246415</v>
      </c>
      <c r="K63" s="11" t="s">
        <v>29</v>
      </c>
      <c r="L63" s="15"/>
      <c r="M63" s="15"/>
      <c r="N63" s="15" t="s">
        <v>1572</v>
      </c>
      <c r="O63" s="50" t="s">
        <v>1575</v>
      </c>
      <c r="P63" s="15"/>
    </row>
    <row r="64" spans="2:84" ht="60" x14ac:dyDescent="0.25">
      <c r="D64" s="10"/>
      <c r="E64" s="10"/>
      <c r="F64" s="10"/>
      <c r="H64" s="10"/>
      <c r="I64" s="10"/>
      <c r="K64" s="7" t="s">
        <v>23</v>
      </c>
      <c r="L64" s="48" t="s">
        <v>1609</v>
      </c>
      <c r="M64" s="48" t="s">
        <v>1608</v>
      </c>
      <c r="N64" s="48" t="s">
        <v>1601</v>
      </c>
      <c r="O64" s="48" t="s">
        <v>1601</v>
      </c>
      <c r="P64" s="48" t="s">
        <v>1602</v>
      </c>
    </row>
    <row r="65" spans="2:16" x14ac:dyDescent="0.25">
      <c r="B65" s="10" t="s">
        <v>1618</v>
      </c>
      <c r="C65" s="15"/>
      <c r="D65" s="10">
        <f>DSUM(Mark,$U$10,K64:P65)</f>
        <v>75.359999999999985</v>
      </c>
      <c r="E65" s="10">
        <f>DSUM(Mark,P64,K64:P65)</f>
        <v>3812.624721175072</v>
      </c>
      <c r="F65" s="10">
        <f>DSUM(Mark,M64,K64:P65)</f>
        <v>4980.944815480203</v>
      </c>
      <c r="H65" s="10">
        <f>(D$59+D$61+D$63+D$65)/D$72*100</f>
        <v>10.638428337347428</v>
      </c>
      <c r="I65" s="10">
        <f>(E$59+E$61+E$63+E$65)/E$72*100</f>
        <v>58.357482513465385</v>
      </c>
      <c r="K65" s="11" t="s">
        <v>29</v>
      </c>
      <c r="L65" s="15"/>
      <c r="M65" s="15"/>
      <c r="N65" s="15" t="s">
        <v>1569</v>
      </c>
      <c r="O65" s="50" t="s">
        <v>1571</v>
      </c>
      <c r="P65" s="15"/>
    </row>
    <row r="66" spans="2:16" ht="60" x14ac:dyDescent="0.25">
      <c r="D66" s="10"/>
      <c r="E66" s="10"/>
      <c r="F66" s="10"/>
      <c r="H66" s="10"/>
      <c r="I66" s="10"/>
      <c r="K66" s="7" t="s">
        <v>23</v>
      </c>
      <c r="L66" s="48" t="s">
        <v>1609</v>
      </c>
      <c r="M66" s="48" t="s">
        <v>1608</v>
      </c>
      <c r="N66" s="48" t="s">
        <v>1601</v>
      </c>
      <c r="O66" s="48" t="s">
        <v>1601</v>
      </c>
      <c r="P66" s="48" t="s">
        <v>1602</v>
      </c>
    </row>
    <row r="67" spans="2:16" x14ac:dyDescent="0.25">
      <c r="B67" s="10" t="s">
        <v>1619</v>
      </c>
      <c r="C67" s="15"/>
      <c r="D67" s="10">
        <f>DSUM(Mark,$U$10,K66:P67)</f>
        <v>264.02</v>
      </c>
      <c r="E67" s="10">
        <f>DSUM(Mark,P66,K66:P67)</f>
        <v>8158.2758619320985</v>
      </c>
      <c r="F67" s="10">
        <f>DSUM(Mark,M66,K66:P67)</f>
        <v>8947.1402982641412</v>
      </c>
      <c r="H67" s="10">
        <f>(D$59+D$61+D$63+D$65+D$67)/D$72*100</f>
        <v>19.632497470609671</v>
      </c>
      <c r="I67" s="10">
        <f>(E$59+E$61+E$63+E$65+E$67)/E$72*100</f>
        <v>79.305014274615459</v>
      </c>
      <c r="K67" s="11" t="s">
        <v>29</v>
      </c>
      <c r="L67" s="15"/>
      <c r="M67" s="15"/>
      <c r="N67" s="15" t="s">
        <v>1565</v>
      </c>
      <c r="O67" s="50" t="s">
        <v>1568</v>
      </c>
      <c r="P67" s="15"/>
    </row>
    <row r="68" spans="2:16" ht="60" x14ac:dyDescent="0.25">
      <c r="D68" s="10"/>
      <c r="E68" s="10"/>
      <c r="F68" s="10"/>
      <c r="H68" s="10"/>
      <c r="I68" s="10"/>
      <c r="K68" s="7" t="s">
        <v>23</v>
      </c>
      <c r="L68" s="48" t="s">
        <v>1609</v>
      </c>
      <c r="M68" s="48" t="s">
        <v>1608</v>
      </c>
      <c r="N68" s="48" t="s">
        <v>1601</v>
      </c>
      <c r="O68" s="48" t="s">
        <v>1601</v>
      </c>
      <c r="P68" s="48" t="s">
        <v>1602</v>
      </c>
    </row>
    <row r="69" spans="2:16" x14ac:dyDescent="0.25">
      <c r="B69" s="10" t="s">
        <v>1620</v>
      </c>
      <c r="C69" s="15"/>
      <c r="D69" s="10">
        <f>DSUM(Mark,$U$10,K68:P69)</f>
        <v>42.77</v>
      </c>
      <c r="E69" s="10">
        <f>DSUM(Mark,P68,K68:P69)</f>
        <v>532.62271016029626</v>
      </c>
      <c r="F69" s="10">
        <f>DSUM(Mark,M68,K68:P69)</f>
        <v>3485.1555016029624</v>
      </c>
      <c r="H69" s="10">
        <f>(D$59+D$61+D$63+D$65+D$67+D$69)/D$72*100</f>
        <v>21.089494428528113</v>
      </c>
      <c r="I69" s="10">
        <f>(E$59+E$61+E$63+E$65+E$67+E$69)/E$72*100</f>
        <v>80.672598716060222</v>
      </c>
      <c r="K69" s="11" t="s">
        <v>29</v>
      </c>
      <c r="L69" s="15"/>
      <c r="M69" s="15"/>
      <c r="N69" s="15" t="s">
        <v>1563</v>
      </c>
      <c r="O69" s="50" t="s">
        <v>1564</v>
      </c>
      <c r="P69" s="15"/>
    </row>
    <row r="70" spans="2:16" ht="60" x14ac:dyDescent="0.25">
      <c r="D70" s="10"/>
      <c r="E70" s="10"/>
      <c r="F70" s="10"/>
      <c r="H70" s="10"/>
      <c r="I70" s="10"/>
      <c r="K70" s="7" t="s">
        <v>23</v>
      </c>
      <c r="L70" s="48" t="s">
        <v>1609</v>
      </c>
      <c r="M70" s="48" t="s">
        <v>1608</v>
      </c>
      <c r="N70" s="48" t="s">
        <v>1601</v>
      </c>
      <c r="O70" s="48" t="s">
        <v>1601</v>
      </c>
      <c r="P70" s="48" t="s">
        <v>1602</v>
      </c>
    </row>
    <row r="71" spans="2:16" x14ac:dyDescent="0.25">
      <c r="B71" s="10" t="s">
        <v>1621</v>
      </c>
      <c r="C71" s="15"/>
      <c r="D71" s="10">
        <f>DSUM(Mark,$U$10,K70:P71)</f>
        <v>2316.4100000000003</v>
      </c>
      <c r="E71" s="10">
        <f>DSUM(Mark,P70,K70:P71)</f>
        <v>7527.2959681615694</v>
      </c>
      <c r="F71" s="10">
        <f>DSUM(Mark,M70,K70:P71)</f>
        <v>138380.90359704304</v>
      </c>
      <c r="H71" s="10">
        <f>(D$59+D$61+D$63+D$65+D$67+D$69+D$71)/D$72*100</f>
        <v>100</v>
      </c>
      <c r="I71" s="10">
        <f>(E$59+E$61+E$63+E$65+E$67+E$69+E$71)/E$72*100</f>
        <v>100</v>
      </c>
      <c r="K71" s="11" t="s">
        <v>29</v>
      </c>
      <c r="L71" s="15"/>
      <c r="M71" s="15"/>
      <c r="N71" s="15" t="s">
        <v>1555</v>
      </c>
      <c r="O71" s="50" t="s">
        <v>1562</v>
      </c>
      <c r="P71" s="15"/>
    </row>
    <row r="72" spans="2:16" x14ac:dyDescent="0.25">
      <c r="D72" s="10">
        <f>SUM(D59:D71)</f>
        <v>2935.4900000000002</v>
      </c>
      <c r="E72" s="10">
        <f>SUM(E59:E71)</f>
        <v>38946.239370610172</v>
      </c>
      <c r="F72" s="10">
        <f>SUM(F59:F71)</f>
        <v>178237.69933936209</v>
      </c>
    </row>
    <row r="76" spans="2:16" x14ac:dyDescent="0.25">
      <c r="C76" s="15" t="s">
        <v>1622</v>
      </c>
      <c r="D76" s="15" t="s">
        <v>1623</v>
      </c>
    </row>
    <row r="77" spans="2:16" x14ac:dyDescent="0.25">
      <c r="C77" s="10">
        <v>0.79816316867030701</v>
      </c>
      <c r="D77" s="10">
        <v>1.6220691811820867</v>
      </c>
    </row>
    <row r="78" spans="2:16" x14ac:dyDescent="0.25">
      <c r="C78" s="10">
        <v>1.5333044909027109</v>
      </c>
      <c r="D78" s="10">
        <v>12.668061902216133</v>
      </c>
    </row>
    <row r="79" spans="2:16" x14ac:dyDescent="0.25">
      <c r="C79" s="10">
        <v>7.4611053009889323</v>
      </c>
      <c r="D79" s="10">
        <v>44.786497908859289</v>
      </c>
    </row>
    <row r="80" spans="2:16" x14ac:dyDescent="0.25">
      <c r="C80" s="10">
        <v>10.211242416087259</v>
      </c>
      <c r="D80" s="10">
        <v>55.947939262045786</v>
      </c>
    </row>
    <row r="81" spans="2:42" x14ac:dyDescent="0.25">
      <c r="C81" s="10">
        <v>18.332544140841904</v>
      </c>
      <c r="D81" s="10">
        <v>77.14567348366549</v>
      </c>
    </row>
    <row r="82" spans="2:42" x14ac:dyDescent="0.25">
      <c r="C82" s="10">
        <v>20.870110271198332</v>
      </c>
      <c r="D82" s="10">
        <v>80.466666329729605</v>
      </c>
    </row>
    <row r="83" spans="2:42" x14ac:dyDescent="0.25">
      <c r="C83" s="10">
        <v>100</v>
      </c>
      <c r="D83" s="10">
        <v>100</v>
      </c>
    </row>
    <row r="91" spans="2:42" x14ac:dyDescent="0.25">
      <c r="B91" t="s">
        <v>1639</v>
      </c>
    </row>
    <row r="93" spans="2:42" ht="90" x14ac:dyDescent="0.25">
      <c r="B93" t="s">
        <v>1642</v>
      </c>
      <c r="C93" s="15"/>
      <c r="E93"/>
      <c r="H93" s="15"/>
      <c r="J93" s="7" t="s">
        <v>12</v>
      </c>
      <c r="K93" s="7" t="s">
        <v>1371</v>
      </c>
      <c r="L93" s="7" t="s">
        <v>14</v>
      </c>
      <c r="M93" s="7" t="s">
        <v>15</v>
      </c>
      <c r="N93" s="7" t="s">
        <v>16</v>
      </c>
      <c r="O93" s="7" t="s">
        <v>17</v>
      </c>
      <c r="P93" s="7" t="s">
        <v>18</v>
      </c>
      <c r="Q93" s="7" t="s">
        <v>19</v>
      </c>
      <c r="R93" s="7" t="s">
        <v>1372</v>
      </c>
      <c r="S93" s="9" t="s">
        <v>20</v>
      </c>
      <c r="T93" s="7" t="s">
        <v>21</v>
      </c>
      <c r="U93" s="7" t="s">
        <v>1373</v>
      </c>
      <c r="V93" s="7" t="s">
        <v>1</v>
      </c>
      <c r="W93" s="7" t="s">
        <v>22</v>
      </c>
      <c r="X93" s="7" t="s">
        <v>1374</v>
      </c>
      <c r="Y93" s="7" t="s">
        <v>23</v>
      </c>
      <c r="Z93" s="7" t="s">
        <v>24</v>
      </c>
      <c r="AA93" s="7" t="s">
        <v>24</v>
      </c>
      <c r="AB93" s="12" t="s">
        <v>1375</v>
      </c>
      <c r="AC93" s="7" t="s">
        <v>1376</v>
      </c>
      <c r="AD93" s="7" t="s">
        <v>1624</v>
      </c>
      <c r="AE93" s="7" t="s">
        <v>1625</v>
      </c>
      <c r="AF93" s="7" t="s">
        <v>1626</v>
      </c>
      <c r="AG93" s="48" t="s">
        <v>1599</v>
      </c>
      <c r="AH93" s="48" t="s">
        <v>1600</v>
      </c>
      <c r="AI93" s="48" t="s">
        <v>1609</v>
      </c>
      <c r="AJ93" s="48" t="s">
        <v>1608</v>
      </c>
      <c r="AK93" s="48" t="s">
        <v>1601</v>
      </c>
      <c r="AL93" s="48" t="s">
        <v>1602</v>
      </c>
      <c r="AM93" s="48" t="s">
        <v>1627</v>
      </c>
      <c r="AN93" s="48" t="s">
        <v>1628</v>
      </c>
      <c r="AO93" s="48" t="s">
        <v>1629</v>
      </c>
      <c r="AP93" s="48" t="s">
        <v>1630</v>
      </c>
    </row>
    <row r="94" spans="2:42" ht="45" x14ac:dyDescent="0.25">
      <c r="B94" s="52"/>
      <c r="C94" s="18" t="s">
        <v>1648</v>
      </c>
      <c r="D94" s="18" t="s">
        <v>1649</v>
      </c>
      <c r="E94" s="52" t="s">
        <v>1644</v>
      </c>
      <c r="F94" s="18" t="s">
        <v>1645</v>
      </c>
      <c r="H94" s="15"/>
      <c r="T94" t="s">
        <v>1643</v>
      </c>
      <c r="Y94" s="11" t="s">
        <v>29</v>
      </c>
      <c r="Z94" t="s">
        <v>1555</v>
      </c>
      <c r="AA94" t="s">
        <v>1647</v>
      </c>
    </row>
    <row r="95" spans="2:42" ht="90" x14ac:dyDescent="0.25">
      <c r="B95" s="51" t="s">
        <v>1640</v>
      </c>
      <c r="C95" s="28">
        <f>DSUM(Mark,$R$98,J98:AP99)</f>
        <v>741.05000000000007</v>
      </c>
      <c r="D95" s="28">
        <f>DSUM(Mark,$R$93,J93:AP94)</f>
        <v>84.81</v>
      </c>
      <c r="E95" s="28">
        <f>DSUM(Mark,Markniveau!$AC$1,Tabeller!$J$93:$AP$94)</f>
        <v>4944.0074816222204</v>
      </c>
      <c r="F95" s="28">
        <f>DSUM(Mark,Markniveau!$AG$1,Tabeller!$J$93:$AP$94)</f>
        <v>2472.0037408111102</v>
      </c>
      <c r="H95" s="10">
        <f>(E95-F95)/D95</f>
        <v>29.14755029844488</v>
      </c>
      <c r="J95" s="7" t="s">
        <v>12</v>
      </c>
      <c r="K95" s="7" t="s">
        <v>1371</v>
      </c>
      <c r="L95" s="7" t="s">
        <v>14</v>
      </c>
      <c r="M95" s="7" t="s">
        <v>15</v>
      </c>
      <c r="N95" s="7" t="s">
        <v>16</v>
      </c>
      <c r="O95" s="7" t="s">
        <v>17</v>
      </c>
      <c r="P95" s="7" t="s">
        <v>18</v>
      </c>
      <c r="Q95" s="7" t="s">
        <v>19</v>
      </c>
      <c r="R95" s="7" t="s">
        <v>1372</v>
      </c>
      <c r="S95" s="9" t="s">
        <v>20</v>
      </c>
      <c r="T95" s="7" t="s">
        <v>21</v>
      </c>
      <c r="U95" s="7" t="s">
        <v>1373</v>
      </c>
      <c r="V95" s="7" t="s">
        <v>1</v>
      </c>
      <c r="W95" s="7" t="s">
        <v>22</v>
      </c>
      <c r="X95" s="7" t="s">
        <v>1374</v>
      </c>
      <c r="Y95" s="7" t="s">
        <v>23</v>
      </c>
      <c r="Z95" s="7" t="s">
        <v>24</v>
      </c>
      <c r="AA95" s="7" t="s">
        <v>24</v>
      </c>
      <c r="AB95" s="12" t="s">
        <v>1375</v>
      </c>
      <c r="AC95" s="7" t="s">
        <v>1376</v>
      </c>
      <c r="AD95" s="7" t="s">
        <v>1624</v>
      </c>
      <c r="AE95" s="7" t="s">
        <v>1625</v>
      </c>
      <c r="AF95" s="7" t="s">
        <v>1626</v>
      </c>
      <c r="AG95" s="48" t="s">
        <v>1599</v>
      </c>
      <c r="AH95" s="48" t="s">
        <v>1600</v>
      </c>
      <c r="AI95" s="48" t="s">
        <v>1609</v>
      </c>
      <c r="AJ95" s="48" t="s">
        <v>1608</v>
      </c>
      <c r="AK95" s="48" t="s">
        <v>1601</v>
      </c>
      <c r="AL95" s="48" t="s">
        <v>1602</v>
      </c>
      <c r="AM95" s="48" t="s">
        <v>1627</v>
      </c>
      <c r="AN95" s="48" t="s">
        <v>1628</v>
      </c>
      <c r="AO95" s="48" t="s">
        <v>1629</v>
      </c>
      <c r="AP95" s="48" t="s">
        <v>1630</v>
      </c>
    </row>
    <row r="96" spans="2:42" x14ac:dyDescent="0.25">
      <c r="B96" s="51" t="s">
        <v>1641</v>
      </c>
      <c r="C96" s="28">
        <f>DSUM(Mark,$R$98,J100:AP101)</f>
        <v>549.17999999999995</v>
      </c>
      <c r="D96" s="28">
        <f>DSUM(Mark,$R$93,J95:AP96)</f>
        <v>69.489999999999995</v>
      </c>
      <c r="E96" s="28">
        <f>DSUM(Mark,Markniveau!$AC$1,$J$95:$AP$96)</f>
        <v>6918.8069048804118</v>
      </c>
      <c r="F96" s="28">
        <f>DSUM(Mark,Markniveau!AG1,$J$95:$AP$96)</f>
        <v>4843.1648334162883</v>
      </c>
      <c r="H96" s="10">
        <f>(E96-F96)/D96</f>
        <v>29.869651337805781</v>
      </c>
      <c r="J96" s="15"/>
      <c r="K96" s="15"/>
      <c r="L96" s="15"/>
      <c r="M96" s="15"/>
      <c r="N96" s="15"/>
      <c r="O96" s="15"/>
      <c r="P96" s="15"/>
      <c r="Q96" s="15"/>
      <c r="R96" s="15"/>
      <c r="S96" s="15"/>
      <c r="T96" s="15">
        <v>216</v>
      </c>
      <c r="U96" s="15"/>
      <c r="V96" s="15"/>
      <c r="W96" s="15"/>
      <c r="X96" s="15"/>
      <c r="Y96" s="11" t="s">
        <v>29</v>
      </c>
      <c r="Z96" s="15" t="s">
        <v>1555</v>
      </c>
      <c r="AA96" s="15" t="s">
        <v>1647</v>
      </c>
      <c r="AB96" s="15"/>
      <c r="AC96" s="15"/>
      <c r="AD96" s="15"/>
      <c r="AE96" s="15"/>
      <c r="AF96" s="15"/>
      <c r="AG96" s="15"/>
      <c r="AH96" s="15"/>
      <c r="AI96" s="15"/>
      <c r="AJ96" s="15"/>
      <c r="AK96" s="15"/>
      <c r="AL96" s="15"/>
      <c r="AM96" s="15"/>
      <c r="AN96" s="15"/>
      <c r="AO96" s="15"/>
      <c r="AP96" s="15"/>
    </row>
    <row r="97" spans="2:42" x14ac:dyDescent="0.25">
      <c r="B97" s="51"/>
      <c r="C97" s="51"/>
      <c r="D97" s="51"/>
      <c r="E97" s="28">
        <f>E95+E96</f>
        <v>11862.814386502632</v>
      </c>
      <c r="F97" s="28">
        <f>F95+F96</f>
        <v>7315.1685742273985</v>
      </c>
      <c r="H97" s="15"/>
    </row>
    <row r="98" spans="2:42" ht="90" x14ac:dyDescent="0.25">
      <c r="J98" s="7" t="s">
        <v>12</v>
      </c>
      <c r="K98" s="7" t="s">
        <v>1371</v>
      </c>
      <c r="L98" s="7" t="s">
        <v>14</v>
      </c>
      <c r="M98" s="7" t="s">
        <v>15</v>
      </c>
      <c r="N98" s="7" t="s">
        <v>16</v>
      </c>
      <c r="O98" s="7" t="s">
        <v>17</v>
      </c>
      <c r="P98" s="7" t="s">
        <v>18</v>
      </c>
      <c r="Q98" s="7" t="s">
        <v>19</v>
      </c>
      <c r="R98" s="7" t="s">
        <v>1372</v>
      </c>
      <c r="S98" s="9" t="s">
        <v>20</v>
      </c>
      <c r="T98" s="7" t="s">
        <v>21</v>
      </c>
      <c r="U98" s="7" t="s">
        <v>1373</v>
      </c>
      <c r="V98" s="7" t="s">
        <v>1</v>
      </c>
      <c r="W98" s="7" t="s">
        <v>22</v>
      </c>
      <c r="X98" s="7" t="s">
        <v>1374</v>
      </c>
      <c r="Y98" s="7" t="s">
        <v>23</v>
      </c>
      <c r="Z98" s="7" t="s">
        <v>24</v>
      </c>
      <c r="AA98" s="7" t="s">
        <v>24</v>
      </c>
      <c r="AB98" s="12" t="s">
        <v>1375</v>
      </c>
      <c r="AC98" s="7" t="s">
        <v>1376</v>
      </c>
      <c r="AD98" s="7" t="s">
        <v>1624</v>
      </c>
      <c r="AE98" s="7" t="s">
        <v>1625</v>
      </c>
      <c r="AF98" s="7" t="s">
        <v>1626</v>
      </c>
      <c r="AG98" s="48" t="s">
        <v>1599</v>
      </c>
      <c r="AH98" s="48" t="s">
        <v>1600</v>
      </c>
      <c r="AI98" s="48" t="s">
        <v>1609</v>
      </c>
      <c r="AJ98" s="48" t="s">
        <v>1608</v>
      </c>
      <c r="AK98" s="48" t="s">
        <v>1601</v>
      </c>
      <c r="AL98" s="48" t="s">
        <v>1602</v>
      </c>
      <c r="AM98" s="48" t="s">
        <v>1627</v>
      </c>
      <c r="AN98" s="48" t="s">
        <v>1628</v>
      </c>
      <c r="AO98" s="48" t="s">
        <v>1629</v>
      </c>
      <c r="AP98" s="48" t="s">
        <v>1630</v>
      </c>
    </row>
    <row r="99" spans="2:42" x14ac:dyDescent="0.25">
      <c r="J99" s="15"/>
      <c r="K99" s="15"/>
      <c r="L99" s="15"/>
      <c r="M99" s="15"/>
      <c r="N99" s="15"/>
      <c r="O99" s="15"/>
      <c r="P99" s="15"/>
      <c r="Q99" s="15"/>
      <c r="R99" s="15"/>
      <c r="S99" s="15"/>
      <c r="T99" s="15" t="s">
        <v>1643</v>
      </c>
      <c r="U99" s="15"/>
      <c r="V99" s="15"/>
      <c r="W99" s="15"/>
      <c r="X99" s="15"/>
      <c r="Y99" s="11" t="s">
        <v>29</v>
      </c>
      <c r="Z99" s="15"/>
      <c r="AA99" s="15"/>
      <c r="AB99" s="15"/>
      <c r="AC99" s="15"/>
      <c r="AD99" s="15"/>
      <c r="AE99" s="15"/>
      <c r="AF99" s="15"/>
      <c r="AG99" s="15"/>
      <c r="AH99" s="15"/>
      <c r="AI99" s="15"/>
      <c r="AJ99" s="15"/>
      <c r="AK99" s="15"/>
      <c r="AL99" s="15"/>
      <c r="AM99" s="15"/>
      <c r="AN99" s="15"/>
      <c r="AO99" s="15"/>
      <c r="AP99" s="15"/>
    </row>
    <row r="100" spans="2:42" ht="90" x14ac:dyDescent="0.25">
      <c r="J100" s="7" t="s">
        <v>12</v>
      </c>
      <c r="K100" s="7" t="s">
        <v>1371</v>
      </c>
      <c r="L100" s="7" t="s">
        <v>14</v>
      </c>
      <c r="M100" s="7" t="s">
        <v>15</v>
      </c>
      <c r="N100" s="7" t="s">
        <v>16</v>
      </c>
      <c r="O100" s="7" t="s">
        <v>17</v>
      </c>
      <c r="P100" s="7" t="s">
        <v>18</v>
      </c>
      <c r="Q100" s="7" t="s">
        <v>19</v>
      </c>
      <c r="R100" s="7" t="s">
        <v>1372</v>
      </c>
      <c r="S100" s="9" t="s">
        <v>20</v>
      </c>
      <c r="T100" s="7" t="s">
        <v>21</v>
      </c>
      <c r="U100" s="7" t="s">
        <v>1373</v>
      </c>
      <c r="V100" s="7" t="s">
        <v>1</v>
      </c>
      <c r="W100" s="7" t="s">
        <v>22</v>
      </c>
      <c r="X100" s="7" t="s">
        <v>1374</v>
      </c>
      <c r="Y100" s="7" t="s">
        <v>23</v>
      </c>
      <c r="Z100" s="7" t="s">
        <v>24</v>
      </c>
      <c r="AA100" s="7" t="s">
        <v>24</v>
      </c>
      <c r="AB100" s="12" t="s">
        <v>1375</v>
      </c>
      <c r="AC100" s="7" t="s">
        <v>1376</v>
      </c>
      <c r="AD100" s="7" t="s">
        <v>1624</v>
      </c>
      <c r="AE100" s="7" t="s">
        <v>1625</v>
      </c>
      <c r="AF100" s="7" t="s">
        <v>1626</v>
      </c>
      <c r="AG100" s="48" t="s">
        <v>1599</v>
      </c>
      <c r="AH100" s="48" t="s">
        <v>1600</v>
      </c>
      <c r="AI100" s="48" t="s">
        <v>1609</v>
      </c>
      <c r="AJ100" s="48" t="s">
        <v>1608</v>
      </c>
      <c r="AK100" s="48" t="s">
        <v>1601</v>
      </c>
      <c r="AL100" s="48" t="s">
        <v>1602</v>
      </c>
      <c r="AM100" s="48" t="s">
        <v>1627</v>
      </c>
      <c r="AN100" s="48" t="s">
        <v>1628</v>
      </c>
      <c r="AO100" s="48" t="s">
        <v>1629</v>
      </c>
      <c r="AP100" s="48" t="s">
        <v>1630</v>
      </c>
    </row>
    <row r="101" spans="2:42" x14ac:dyDescent="0.25">
      <c r="J101" s="15"/>
      <c r="K101" s="15"/>
      <c r="L101" s="15"/>
      <c r="M101" s="15"/>
      <c r="N101" s="15"/>
      <c r="O101" s="15"/>
      <c r="P101" s="15"/>
      <c r="Q101" s="15"/>
      <c r="R101" s="15"/>
      <c r="S101" s="15"/>
      <c r="T101" s="15">
        <v>216</v>
      </c>
      <c r="U101" s="15"/>
      <c r="V101" s="15"/>
      <c r="W101" s="15"/>
      <c r="X101" s="15"/>
      <c r="Y101" s="11" t="s">
        <v>29</v>
      </c>
      <c r="Z101" s="15"/>
      <c r="AA101" s="15"/>
      <c r="AB101" s="15"/>
      <c r="AC101" s="15"/>
      <c r="AD101" s="15"/>
      <c r="AE101" s="15"/>
      <c r="AF101" s="15"/>
      <c r="AG101" s="15"/>
      <c r="AH101" s="15"/>
      <c r="AI101" s="15"/>
      <c r="AJ101" s="15"/>
      <c r="AK101" s="15"/>
      <c r="AL101" s="15"/>
      <c r="AM101" s="15"/>
      <c r="AN101" s="15"/>
      <c r="AO101" s="15"/>
      <c r="AP101" s="15"/>
    </row>
    <row r="102" spans="2:42" x14ac:dyDescent="0.25">
      <c r="J102" t="s">
        <v>1658</v>
      </c>
    </row>
    <row r="103" spans="2:42" ht="60" x14ac:dyDescent="0.25">
      <c r="J103" s="7" t="s">
        <v>23</v>
      </c>
      <c r="K103" s="7" t="s">
        <v>24</v>
      </c>
      <c r="L103" s="7" t="s">
        <v>24</v>
      </c>
      <c r="M103" s="48" t="s">
        <v>1608</v>
      </c>
      <c r="N103" s="48" t="s">
        <v>1601</v>
      </c>
      <c r="O103" s="48" t="s">
        <v>1602</v>
      </c>
      <c r="P103" s="48" t="s">
        <v>1654</v>
      </c>
      <c r="Q103" s="48" t="s">
        <v>1656</v>
      </c>
      <c r="R103" s="48" t="s">
        <v>1650</v>
      </c>
      <c r="S103" s="48" t="s">
        <v>1651</v>
      </c>
      <c r="T103" s="48" t="s">
        <v>1652</v>
      </c>
      <c r="U103" s="48" t="s">
        <v>1653</v>
      </c>
    </row>
    <row r="104" spans="2:42" x14ac:dyDescent="0.25">
      <c r="C104" t="s">
        <v>2</v>
      </c>
      <c r="D104" t="s">
        <v>1610</v>
      </c>
      <c r="E104" s="15" t="s">
        <v>1612</v>
      </c>
      <c r="F104" s="15" t="s">
        <v>1610</v>
      </c>
      <c r="G104" s="15" t="s">
        <v>1612</v>
      </c>
      <c r="J104" s="11" t="s">
        <v>29</v>
      </c>
      <c r="K104" t="s">
        <v>1555</v>
      </c>
      <c r="L104" t="s">
        <v>1647</v>
      </c>
      <c r="P104">
        <v>1002</v>
      </c>
    </row>
    <row r="105" spans="2:42" x14ac:dyDescent="0.25">
      <c r="B105" t="s">
        <v>1659</v>
      </c>
      <c r="C105">
        <f>DSUM(Mark,$R$100,$J$103:$U$104)</f>
        <v>84.81</v>
      </c>
      <c r="D105" s="10">
        <f>DSUM(Mark,M109,$J$103:$U$104)</f>
        <v>5731.1115887178439</v>
      </c>
      <c r="E105" s="10">
        <f>DSUM(Mark,O109,$J$103:$U$104)</f>
        <v>4944.0074816222204</v>
      </c>
      <c r="F105" s="10">
        <f>DSUM(Mark,S103,$J$103:$U$104)</f>
        <v>2946.3323887178431</v>
      </c>
      <c r="G105" s="10">
        <f>DSUM(Mark,U103,$J$103:$U$104)</f>
        <v>2545.7930336222212</v>
      </c>
    </row>
    <row r="106" spans="2:42" ht="60" x14ac:dyDescent="0.25">
      <c r="B106" t="s">
        <v>1661</v>
      </c>
      <c r="C106" s="15">
        <f>DSUM(Mark,$R$100,$J$106:$U$107)</f>
        <v>85.109999999999985</v>
      </c>
      <c r="D106" s="10">
        <f>DSUM(Mark,M109,$J$106:$U$107)</f>
        <v>5789.0901511493121</v>
      </c>
      <c r="E106" s="10">
        <f>DSUM(Mark,O109,$J$106:$U$107)</f>
        <v>5390.8939365753986</v>
      </c>
      <c r="F106" s="10">
        <f>DSUM(Mark,S109,$J$106:$U$107)</f>
        <v>2938.516551149311</v>
      </c>
      <c r="G106" s="10">
        <f>DSUM(Mark,U103,$J$106:$U$107)</f>
        <v>2739.7277685754002</v>
      </c>
      <c r="J106" s="7" t="s">
        <v>23</v>
      </c>
      <c r="K106" s="7" t="s">
        <v>24</v>
      </c>
      <c r="L106" s="7" t="s">
        <v>24</v>
      </c>
      <c r="M106" s="48" t="s">
        <v>1608</v>
      </c>
      <c r="N106" s="48" t="s">
        <v>1601</v>
      </c>
      <c r="O106" s="48" t="s">
        <v>1602</v>
      </c>
      <c r="P106" s="48" t="s">
        <v>1654</v>
      </c>
      <c r="Q106" s="48" t="s">
        <v>1656</v>
      </c>
      <c r="R106" s="48" t="s">
        <v>1650</v>
      </c>
      <c r="S106" s="48" t="s">
        <v>1651</v>
      </c>
      <c r="T106" s="48" t="s">
        <v>1652</v>
      </c>
      <c r="U106" s="48" t="s">
        <v>1653</v>
      </c>
    </row>
    <row r="107" spans="2:42" x14ac:dyDescent="0.25">
      <c r="B107" t="s">
        <v>1660</v>
      </c>
      <c r="C107" s="15">
        <f>DSUM(Mark,$R$100,$J$109:$U$110)</f>
        <v>69.489999999999995</v>
      </c>
      <c r="D107" s="10">
        <f>DSUM(Mark,M109,$J$109:$U$110)</f>
        <v>7631.5579489977199</v>
      </c>
      <c r="E107" s="10">
        <f>DSUM(Mark,O109,$J$109:$U$110)</f>
        <v>6918.8069048804118</v>
      </c>
      <c r="F107" s="10">
        <f>DSUM(Mark,S109,$J$109:$U$110)</f>
        <v>2049.0112163157301</v>
      </c>
      <c r="G107" s="10">
        <f>DSUM(Mark,U103,$J$109:$U$110)</f>
        <v>1857.4436244840349</v>
      </c>
      <c r="J107" s="11" t="s">
        <v>29</v>
      </c>
      <c r="K107" s="15" t="s">
        <v>1555</v>
      </c>
      <c r="L107" s="15" t="s">
        <v>1647</v>
      </c>
      <c r="M107" s="15"/>
      <c r="N107" s="15"/>
      <c r="O107" s="15"/>
      <c r="P107" s="15">
        <v>1001</v>
      </c>
      <c r="Q107" s="15"/>
      <c r="R107" s="15"/>
      <c r="S107" s="15"/>
      <c r="T107" s="15"/>
      <c r="U107" s="15"/>
    </row>
    <row r="108" spans="2:42" x14ac:dyDescent="0.25">
      <c r="D108" s="10">
        <f>SUM(D105:D107)</f>
        <v>19151.759688864877</v>
      </c>
      <c r="E108" s="10">
        <f t="shared" ref="E108:G108" si="7">SUM(E105:E107)</f>
        <v>17253.708323078034</v>
      </c>
      <c r="F108" s="10">
        <f t="shared" si="7"/>
        <v>7933.8601561828837</v>
      </c>
      <c r="G108" s="10">
        <f t="shared" si="7"/>
        <v>7142.9644266816558</v>
      </c>
    </row>
    <row r="109" spans="2:42" ht="60" x14ac:dyDescent="0.25">
      <c r="J109" s="7" t="s">
        <v>23</v>
      </c>
      <c r="K109" s="7" t="s">
        <v>24</v>
      </c>
      <c r="L109" s="7" t="s">
        <v>24</v>
      </c>
      <c r="M109" s="48" t="s">
        <v>1608</v>
      </c>
      <c r="N109" s="48" t="s">
        <v>1601</v>
      </c>
      <c r="O109" s="48" t="s">
        <v>1602</v>
      </c>
      <c r="P109" s="48" t="s">
        <v>1654</v>
      </c>
      <c r="Q109" s="48" t="s">
        <v>1656</v>
      </c>
      <c r="R109" s="48" t="s">
        <v>1650</v>
      </c>
      <c r="S109" s="48" t="s">
        <v>1651</v>
      </c>
      <c r="T109" s="48" t="s">
        <v>1652</v>
      </c>
      <c r="U109" s="48" t="s">
        <v>1653</v>
      </c>
    </row>
    <row r="110" spans="2:42" x14ac:dyDescent="0.25">
      <c r="B110" s="15"/>
      <c r="C110" s="15" t="s">
        <v>2</v>
      </c>
      <c r="D110" s="15" t="s">
        <v>1610</v>
      </c>
      <c r="E110" s="15" t="s">
        <v>1612</v>
      </c>
      <c r="J110" s="11" t="s">
        <v>29</v>
      </c>
      <c r="K110" s="15" t="s">
        <v>1555</v>
      </c>
      <c r="L110" s="15" t="s">
        <v>1647</v>
      </c>
      <c r="M110" s="15"/>
      <c r="N110" s="15"/>
      <c r="O110" s="15"/>
      <c r="P110" s="15">
        <v>260</v>
      </c>
      <c r="Q110" s="15"/>
      <c r="R110" s="15"/>
      <c r="S110" s="15"/>
      <c r="T110" s="15"/>
      <c r="U110" s="15"/>
    </row>
    <row r="111" spans="2:42" x14ac:dyDescent="0.25">
      <c r="B111" s="15" t="s">
        <v>1662</v>
      </c>
      <c r="C111" s="10">
        <f>DSUM(Mark,$R$100,$J$112:$U$113)</f>
        <v>3146.7900000000022</v>
      </c>
      <c r="D111" s="10">
        <f>DSUM(Mark,S112,$J$112:$U$113)</f>
        <v>179745.62806155201</v>
      </c>
      <c r="E111" s="10">
        <f>DSUM(Mark,U112,$J$112:$U$113)</f>
        <v>28835.495474213807</v>
      </c>
    </row>
    <row r="112" spans="2:42" ht="60" x14ac:dyDescent="0.25">
      <c r="B112" s="15"/>
      <c r="C112" s="15"/>
      <c r="D112" s="10">
        <f>D111/C111</f>
        <v>57.120312464941058</v>
      </c>
      <c r="E112" s="10">
        <f>E111/C111</f>
        <v>9.1634635530854567</v>
      </c>
      <c r="F112" s="10"/>
      <c r="G112" s="10"/>
      <c r="J112" s="7" t="s">
        <v>23</v>
      </c>
      <c r="K112" s="7" t="s">
        <v>24</v>
      </c>
      <c r="L112" s="7" t="s">
        <v>24</v>
      </c>
      <c r="M112" s="48" t="s">
        <v>1608</v>
      </c>
      <c r="N112" s="48" t="s">
        <v>1601</v>
      </c>
      <c r="O112" s="48" t="s">
        <v>1602</v>
      </c>
      <c r="P112" s="48" t="s">
        <v>1654</v>
      </c>
      <c r="Q112" s="48" t="s">
        <v>1656</v>
      </c>
      <c r="R112" s="48" t="s">
        <v>1650</v>
      </c>
      <c r="S112" s="48" t="s">
        <v>1651</v>
      </c>
      <c r="T112" s="48" t="s">
        <v>1652</v>
      </c>
      <c r="U112" s="48" t="s">
        <v>1653</v>
      </c>
    </row>
    <row r="113" spans="2:21" x14ac:dyDescent="0.25">
      <c r="B113" s="15"/>
      <c r="C113" s="15"/>
      <c r="D113" s="10"/>
      <c r="E113" s="10"/>
      <c r="F113" s="10"/>
      <c r="G113" s="10"/>
      <c r="J113" s="11" t="s">
        <v>29</v>
      </c>
      <c r="K113" s="15"/>
      <c r="L113" s="15"/>
      <c r="M113" s="15"/>
      <c r="N113" s="15"/>
      <c r="O113" s="15"/>
      <c r="P113" s="15"/>
      <c r="Q113" s="15"/>
      <c r="R113" s="15"/>
      <c r="S113" s="15"/>
      <c r="T113" s="15"/>
      <c r="U113" s="15"/>
    </row>
    <row r="114" spans="2:21" x14ac:dyDescent="0.25">
      <c r="B114" s="15"/>
      <c r="C114" s="15"/>
      <c r="D114" s="10"/>
      <c r="E114" s="10"/>
      <c r="F114" s="10"/>
      <c r="G114" s="10"/>
    </row>
  </sheetData>
  <sortState ref="B25:B57">
    <sortCondition ref="B25"/>
  </sortState>
  <mergeCells count="1">
    <mergeCell ref="F52:G5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72"/>
  <sheetViews>
    <sheetView topLeftCell="C1" workbookViewId="0">
      <selection activeCell="C1" sqref="C1"/>
    </sheetView>
  </sheetViews>
  <sheetFormatPr defaultRowHeight="15" x14ac:dyDescent="0.25"/>
  <cols>
    <col min="4" max="4" width="28.7109375" customWidth="1"/>
  </cols>
  <sheetData>
    <row r="2" spans="3:20" x14ac:dyDescent="0.25">
      <c r="D2" t="s">
        <v>1582</v>
      </c>
      <c r="E2" t="s">
        <v>1583</v>
      </c>
      <c r="G2" t="s">
        <v>1584</v>
      </c>
      <c r="J2" t="s">
        <v>1587</v>
      </c>
      <c r="K2" t="s">
        <v>32</v>
      </c>
      <c r="L2" t="s">
        <v>1588</v>
      </c>
      <c r="M2" t="s">
        <v>1589</v>
      </c>
      <c r="N2" t="s">
        <v>1590</v>
      </c>
    </row>
    <row r="3" spans="3:20" ht="14.45" x14ac:dyDescent="0.3">
      <c r="D3">
        <v>0</v>
      </c>
      <c r="E3">
        <v>140</v>
      </c>
      <c r="G3">
        <v>0</v>
      </c>
      <c r="H3">
        <v>170</v>
      </c>
    </row>
    <row r="4" spans="3:20" ht="14.45" x14ac:dyDescent="0.3">
      <c r="C4" t="s">
        <v>1581</v>
      </c>
      <c r="D4">
        <v>61</v>
      </c>
      <c r="E4">
        <v>67</v>
      </c>
    </row>
    <row r="5" spans="3:20" x14ac:dyDescent="0.25">
      <c r="C5" t="s">
        <v>1585</v>
      </c>
      <c r="D5">
        <v>48</v>
      </c>
      <c r="E5">
        <v>53</v>
      </c>
      <c r="G5" s="11" t="s">
        <v>28</v>
      </c>
      <c r="I5" t="s">
        <v>1637</v>
      </c>
      <c r="J5" t="s">
        <v>1638</v>
      </c>
      <c r="K5" t="s">
        <v>1636</v>
      </c>
      <c r="L5" s="54" t="s">
        <v>1635</v>
      </c>
      <c r="M5" s="54"/>
    </row>
    <row r="6" spans="3:20" ht="14.45" x14ac:dyDescent="0.3">
      <c r="C6" t="s">
        <v>1586</v>
      </c>
      <c r="D6">
        <v>43</v>
      </c>
      <c r="E6">
        <v>47</v>
      </c>
      <c r="G6" t="s">
        <v>46</v>
      </c>
      <c r="I6">
        <v>120</v>
      </c>
      <c r="J6">
        <f>I6*I8/100</f>
        <v>144</v>
      </c>
      <c r="K6">
        <f>(J6-I6)*0.3</f>
        <v>7.1999999999999993</v>
      </c>
      <c r="L6">
        <f>K6/I6*100</f>
        <v>5.9999999999999991</v>
      </c>
      <c r="M6" t="s">
        <v>1634</v>
      </c>
    </row>
    <row r="8" spans="3:20" x14ac:dyDescent="0.25">
      <c r="E8" t="s">
        <v>1605</v>
      </c>
      <c r="G8" t="s">
        <v>1632</v>
      </c>
      <c r="I8">
        <v>120</v>
      </c>
      <c r="J8" t="s">
        <v>1633</v>
      </c>
    </row>
    <row r="9" spans="3:20" ht="14.45" x14ac:dyDescent="0.3">
      <c r="E9" t="s">
        <v>1604</v>
      </c>
      <c r="G9" t="s">
        <v>1606</v>
      </c>
      <c r="I9" s="15"/>
      <c r="J9" s="15"/>
      <c r="K9" s="15"/>
      <c r="L9" s="15"/>
      <c r="M9" s="15"/>
      <c r="N9" t="s">
        <v>1581</v>
      </c>
      <c r="O9" t="s">
        <v>1585</v>
      </c>
      <c r="P9" t="s">
        <v>1586</v>
      </c>
    </row>
    <row r="10" spans="3:20" x14ac:dyDescent="0.25">
      <c r="E10" t="s">
        <v>1607</v>
      </c>
      <c r="F10" s="49">
        <v>0</v>
      </c>
      <c r="I10" s="15"/>
      <c r="J10" s="54" t="s">
        <v>1603</v>
      </c>
      <c r="K10" s="54"/>
      <c r="L10" s="54"/>
      <c r="M10" s="15"/>
      <c r="N10" s="10">
        <v>36.43432590590848</v>
      </c>
      <c r="O10" s="10">
        <v>29.397479423556909</v>
      </c>
      <c r="P10" s="10">
        <v>26.281251945124563</v>
      </c>
      <c r="Q10" t="s">
        <v>1591</v>
      </c>
      <c r="T10" t="s">
        <v>1592</v>
      </c>
    </row>
    <row r="11" spans="3:20" ht="14.45" x14ac:dyDescent="0.3">
      <c r="C11" t="s">
        <v>21</v>
      </c>
      <c r="D11" t="s">
        <v>1373</v>
      </c>
      <c r="E11" t="s">
        <v>1581</v>
      </c>
      <c r="F11" t="s">
        <v>1585</v>
      </c>
      <c r="G11" t="s">
        <v>1597</v>
      </c>
      <c r="H11" t="s">
        <v>1598</v>
      </c>
      <c r="I11" s="15" t="s">
        <v>1646</v>
      </c>
      <c r="J11" s="15" t="s">
        <v>1581</v>
      </c>
      <c r="K11" s="15" t="s">
        <v>1585</v>
      </c>
      <c r="L11" s="15" t="s">
        <v>1597</v>
      </c>
      <c r="M11" s="15"/>
      <c r="N11" s="10"/>
      <c r="O11" s="10"/>
      <c r="P11" s="10"/>
    </row>
    <row r="12" spans="3:20" x14ac:dyDescent="0.25">
      <c r="C12">
        <v>1</v>
      </c>
      <c r="D12" t="s">
        <v>32</v>
      </c>
      <c r="E12" s="10">
        <f>J12*(100+$L$6)/100-J12*$I12/100*$F$10/100</f>
        <v>64.66</v>
      </c>
      <c r="F12" s="10">
        <f t="shared" ref="F12:G12" si="0">K12*(100+$L$6)/100-K12*$I12/100*$F$10/100</f>
        <v>50.88</v>
      </c>
      <c r="G12" s="10">
        <f t="shared" si="0"/>
        <v>45.58</v>
      </c>
      <c r="H12">
        <v>5</v>
      </c>
      <c r="I12" s="15">
        <v>50</v>
      </c>
      <c r="J12" s="10">
        <v>61</v>
      </c>
      <c r="K12" s="10">
        <v>48</v>
      </c>
      <c r="L12" s="10">
        <v>43</v>
      </c>
      <c r="M12" s="15"/>
      <c r="N12" s="10">
        <v>28.334377053292748</v>
      </c>
      <c r="O12" s="10">
        <v>22.907955253213331</v>
      </c>
      <c r="P12" s="10">
        <v>20.616023847161291</v>
      </c>
      <c r="Q12" t="s">
        <v>1593</v>
      </c>
      <c r="T12" t="s">
        <v>1594</v>
      </c>
    </row>
    <row r="13" spans="3:20" x14ac:dyDescent="0.25">
      <c r="C13">
        <v>2</v>
      </c>
      <c r="D13" t="s">
        <v>49</v>
      </c>
      <c r="E13" s="10">
        <f t="shared" ref="E13:E48" si="1">J13*(100+$L$6)/100-J13*$I13/100*$F$10/100</f>
        <v>64.66</v>
      </c>
      <c r="F13" s="10">
        <f t="shared" ref="F13:F48" si="2">K13*(100+$L$6)/100-K13*$I13/100*$F$10/100</f>
        <v>50.88</v>
      </c>
      <c r="G13" s="10">
        <f t="shared" ref="G13:G48" si="3">L13*(100+$L$6)/100-L13*$I13/100*$F$10/100</f>
        <v>45.58</v>
      </c>
      <c r="H13" s="15">
        <v>5</v>
      </c>
      <c r="I13" s="15">
        <v>50</v>
      </c>
      <c r="J13" s="10">
        <v>61</v>
      </c>
      <c r="K13" s="10">
        <v>48</v>
      </c>
      <c r="L13" s="10">
        <v>43</v>
      </c>
      <c r="M13" s="15"/>
      <c r="N13" s="10"/>
      <c r="O13" s="10"/>
      <c r="P13" s="10"/>
    </row>
    <row r="14" spans="3:20" x14ac:dyDescent="0.25">
      <c r="C14">
        <v>3</v>
      </c>
      <c r="D14" t="s">
        <v>114</v>
      </c>
      <c r="E14" s="10">
        <f t="shared" si="1"/>
        <v>64.66</v>
      </c>
      <c r="F14" s="10">
        <f t="shared" si="2"/>
        <v>50.88</v>
      </c>
      <c r="G14" s="10">
        <f t="shared" si="3"/>
        <v>45.58</v>
      </c>
      <c r="H14" s="15">
        <v>5</v>
      </c>
      <c r="I14" s="15">
        <v>50</v>
      </c>
      <c r="J14" s="10">
        <v>61</v>
      </c>
      <c r="K14" s="10">
        <v>48</v>
      </c>
      <c r="L14" s="10">
        <v>43</v>
      </c>
      <c r="M14" s="15"/>
      <c r="N14" s="10">
        <v>31.814429992593805</v>
      </c>
      <c r="O14" s="10">
        <v>25.784137095701034</v>
      </c>
      <c r="P14" s="10">
        <v>23.217791812722922</v>
      </c>
      <c r="Q14" t="s">
        <v>1593</v>
      </c>
      <c r="T14" t="s">
        <v>1594</v>
      </c>
    </row>
    <row r="15" spans="3:20" x14ac:dyDescent="0.25">
      <c r="C15">
        <v>4</v>
      </c>
      <c r="D15" t="s">
        <v>420</v>
      </c>
      <c r="E15" s="10">
        <f t="shared" si="1"/>
        <v>64.66</v>
      </c>
      <c r="F15" s="10">
        <f t="shared" si="2"/>
        <v>50.88</v>
      </c>
      <c r="G15" s="10">
        <f t="shared" si="3"/>
        <v>45.58</v>
      </c>
      <c r="H15" s="15">
        <v>5</v>
      </c>
      <c r="I15" s="15">
        <v>50</v>
      </c>
      <c r="J15" s="10">
        <v>61</v>
      </c>
      <c r="K15" s="10">
        <v>48</v>
      </c>
      <c r="L15" s="10">
        <v>43</v>
      </c>
      <c r="M15" s="15"/>
      <c r="N15" s="10"/>
      <c r="O15" s="10"/>
      <c r="P15" s="10"/>
    </row>
    <row r="16" spans="3:20" x14ac:dyDescent="0.25">
      <c r="C16">
        <v>7</v>
      </c>
      <c r="D16" t="s">
        <v>308</v>
      </c>
      <c r="E16" s="10">
        <f t="shared" si="1"/>
        <v>64.66</v>
      </c>
      <c r="F16" s="10">
        <f t="shared" si="2"/>
        <v>50.88</v>
      </c>
      <c r="G16" s="10">
        <f t="shared" si="3"/>
        <v>45.58</v>
      </c>
      <c r="H16" s="15">
        <v>5</v>
      </c>
      <c r="I16" s="15">
        <v>50</v>
      </c>
      <c r="J16" s="10">
        <v>61</v>
      </c>
      <c r="K16" s="10">
        <v>48</v>
      </c>
      <c r="L16" s="10">
        <v>43</v>
      </c>
      <c r="M16" s="15"/>
      <c r="N16" s="10">
        <v>107.01277726724017</v>
      </c>
      <c r="O16" s="10">
        <v>84.906959636369706</v>
      </c>
      <c r="P16" s="10">
        <v>75.789859227564349</v>
      </c>
      <c r="Q16" t="s">
        <v>1591</v>
      </c>
      <c r="T16" t="s">
        <v>1594</v>
      </c>
    </row>
    <row r="17" spans="3:20" ht="14.45" x14ac:dyDescent="0.3">
      <c r="C17">
        <v>10</v>
      </c>
      <c r="D17" t="s">
        <v>107</v>
      </c>
      <c r="E17" s="10">
        <f t="shared" si="1"/>
        <v>64.66</v>
      </c>
      <c r="F17" s="10">
        <f t="shared" si="2"/>
        <v>50.88</v>
      </c>
      <c r="G17" s="10">
        <f t="shared" si="3"/>
        <v>45.58</v>
      </c>
      <c r="H17" s="15">
        <v>5</v>
      </c>
      <c r="I17" s="15">
        <v>50</v>
      </c>
      <c r="J17" s="10">
        <v>61</v>
      </c>
      <c r="K17" s="10">
        <v>48</v>
      </c>
      <c r="L17" s="10">
        <v>43</v>
      </c>
      <c r="M17" s="15"/>
      <c r="N17" s="10"/>
      <c r="O17" s="10"/>
      <c r="P17" s="10"/>
    </row>
    <row r="18" spans="3:20" x14ac:dyDescent="0.25">
      <c r="C18">
        <v>11</v>
      </c>
      <c r="D18" t="s">
        <v>102</v>
      </c>
      <c r="E18" s="10">
        <f t="shared" si="1"/>
        <v>64.66</v>
      </c>
      <c r="F18" s="10">
        <f t="shared" si="2"/>
        <v>50.88</v>
      </c>
      <c r="G18" s="10">
        <f t="shared" si="3"/>
        <v>45.58</v>
      </c>
      <c r="H18" s="15">
        <v>5</v>
      </c>
      <c r="I18" s="15">
        <v>50</v>
      </c>
      <c r="J18" s="10">
        <v>61</v>
      </c>
      <c r="K18" s="10">
        <v>48</v>
      </c>
      <c r="L18" s="10">
        <v>43</v>
      </c>
      <c r="M18" s="15"/>
      <c r="N18" s="10">
        <v>118.73003355800871</v>
      </c>
      <c r="O18" s="10">
        <v>95.912685290673508</v>
      </c>
      <c r="P18" s="10">
        <v>87.770139936142684</v>
      </c>
      <c r="Q18" t="s">
        <v>1595</v>
      </c>
      <c r="T18" t="s">
        <v>1594</v>
      </c>
    </row>
    <row r="19" spans="3:20" ht="14.45" x14ac:dyDescent="0.3">
      <c r="C19">
        <v>14</v>
      </c>
      <c r="D19" t="s">
        <v>83</v>
      </c>
      <c r="E19" s="10">
        <f t="shared" si="1"/>
        <v>64.66</v>
      </c>
      <c r="F19" s="10">
        <f t="shared" si="2"/>
        <v>50.88</v>
      </c>
      <c r="G19" s="10">
        <f t="shared" si="3"/>
        <v>45.58</v>
      </c>
      <c r="H19" s="15">
        <v>5</v>
      </c>
      <c r="I19" s="15">
        <v>50</v>
      </c>
      <c r="J19" s="10">
        <v>61</v>
      </c>
      <c r="K19" s="10">
        <v>48</v>
      </c>
      <c r="L19" s="10">
        <v>43</v>
      </c>
      <c r="M19" s="15"/>
      <c r="N19" s="10"/>
      <c r="O19" s="10"/>
      <c r="P19" s="10"/>
    </row>
    <row r="20" spans="3:20" x14ac:dyDescent="0.25">
      <c r="C20">
        <v>15</v>
      </c>
      <c r="D20" t="s">
        <v>362</v>
      </c>
      <c r="E20" s="10">
        <f t="shared" si="1"/>
        <v>64.66</v>
      </c>
      <c r="F20" s="10">
        <f t="shared" si="2"/>
        <v>50.88</v>
      </c>
      <c r="G20" s="10">
        <f t="shared" si="3"/>
        <v>45.58</v>
      </c>
      <c r="H20" s="15">
        <v>5</v>
      </c>
      <c r="I20" s="15">
        <v>50</v>
      </c>
      <c r="J20" s="10">
        <v>61</v>
      </c>
      <c r="K20" s="10">
        <v>48</v>
      </c>
      <c r="L20" s="10">
        <v>43</v>
      </c>
      <c r="M20" s="15"/>
      <c r="N20" s="10">
        <v>132.75569953344552</v>
      </c>
      <c r="O20" s="10">
        <v>106.84027168635089</v>
      </c>
      <c r="P20" s="10">
        <v>97.267278442411666</v>
      </c>
      <c r="Q20" t="s">
        <v>1595</v>
      </c>
      <c r="T20" t="s">
        <v>1594</v>
      </c>
    </row>
    <row r="21" spans="3:20" ht="14.45" x14ac:dyDescent="0.3">
      <c r="C21">
        <v>16</v>
      </c>
      <c r="D21" t="s">
        <v>523</v>
      </c>
      <c r="E21" s="10">
        <f t="shared" si="1"/>
        <v>64.66</v>
      </c>
      <c r="F21" s="10">
        <f t="shared" si="2"/>
        <v>50.88</v>
      </c>
      <c r="G21" s="10">
        <f t="shared" si="3"/>
        <v>45.58</v>
      </c>
      <c r="H21" s="15">
        <v>5</v>
      </c>
      <c r="I21" s="15">
        <v>50</v>
      </c>
      <c r="J21" s="10">
        <v>61</v>
      </c>
      <c r="K21" s="10">
        <v>48</v>
      </c>
      <c r="L21" s="10">
        <v>43</v>
      </c>
      <c r="M21" s="15"/>
      <c r="N21" s="10"/>
      <c r="O21" s="10"/>
      <c r="P21" s="10"/>
    </row>
    <row r="22" spans="3:20" x14ac:dyDescent="0.25">
      <c r="C22">
        <v>22</v>
      </c>
      <c r="D22" t="s">
        <v>213</v>
      </c>
      <c r="E22" s="10">
        <f t="shared" si="1"/>
        <v>64.66</v>
      </c>
      <c r="F22" s="10">
        <f t="shared" si="2"/>
        <v>50.88</v>
      </c>
      <c r="G22" s="10">
        <f t="shared" si="3"/>
        <v>45.58</v>
      </c>
      <c r="H22" s="15">
        <v>5</v>
      </c>
      <c r="I22" s="15">
        <v>50</v>
      </c>
      <c r="J22" s="10">
        <v>61</v>
      </c>
      <c r="K22" s="10">
        <v>48</v>
      </c>
      <c r="L22" s="10">
        <v>43</v>
      </c>
      <c r="M22" s="15"/>
      <c r="N22" s="10">
        <v>35.935973676779163</v>
      </c>
      <c r="O22" s="10">
        <v>28.740520858329567</v>
      </c>
      <c r="P22" s="10">
        <v>25.605738596369001</v>
      </c>
      <c r="Q22" t="s">
        <v>1591</v>
      </c>
      <c r="T22" t="s">
        <v>1596</v>
      </c>
    </row>
    <row r="23" spans="3:20" x14ac:dyDescent="0.25">
      <c r="C23">
        <v>30</v>
      </c>
      <c r="D23" t="s">
        <v>101</v>
      </c>
      <c r="E23" s="10">
        <f t="shared" si="1"/>
        <v>64.66</v>
      </c>
      <c r="F23" s="10">
        <f t="shared" si="2"/>
        <v>50.88</v>
      </c>
      <c r="G23" s="10">
        <f t="shared" si="3"/>
        <v>45.58</v>
      </c>
      <c r="H23" s="15">
        <v>5</v>
      </c>
      <c r="I23" s="15">
        <v>50</v>
      </c>
      <c r="J23" s="10">
        <v>61</v>
      </c>
      <c r="K23" s="10">
        <v>48</v>
      </c>
      <c r="L23" s="10">
        <v>43</v>
      </c>
      <c r="M23" s="15"/>
      <c r="N23" s="10"/>
      <c r="O23" s="10"/>
      <c r="P23" s="10"/>
      <c r="T23" t="s">
        <v>1594</v>
      </c>
    </row>
    <row r="24" spans="3:20" x14ac:dyDescent="0.25">
      <c r="C24">
        <v>101</v>
      </c>
      <c r="D24" t="s">
        <v>313</v>
      </c>
      <c r="E24" s="10">
        <f t="shared" si="1"/>
        <v>26.5</v>
      </c>
      <c r="F24" s="10">
        <f t="shared" si="2"/>
        <v>23.32</v>
      </c>
      <c r="G24" s="10">
        <f t="shared" si="3"/>
        <v>21.2</v>
      </c>
      <c r="H24" s="15">
        <v>5</v>
      </c>
      <c r="I24" s="15"/>
      <c r="J24" s="10">
        <v>25</v>
      </c>
      <c r="K24" s="10">
        <v>22</v>
      </c>
      <c r="L24" s="10">
        <v>20</v>
      </c>
      <c r="M24" s="15"/>
      <c r="N24" s="10">
        <v>102.36116726099257</v>
      </c>
      <c r="O24" s="10">
        <v>81.225331669813471</v>
      </c>
      <c r="P24" s="10">
        <v>72.991114266833605</v>
      </c>
      <c r="Q24" t="s">
        <v>1591</v>
      </c>
    </row>
    <row r="25" spans="3:20" x14ac:dyDescent="0.25">
      <c r="C25">
        <v>102</v>
      </c>
      <c r="D25" t="s">
        <v>357</v>
      </c>
      <c r="E25" s="10">
        <f t="shared" si="1"/>
        <v>26.5</v>
      </c>
      <c r="F25" s="10">
        <f t="shared" si="2"/>
        <v>23.32</v>
      </c>
      <c r="G25" s="10">
        <f t="shared" si="3"/>
        <v>21.2</v>
      </c>
      <c r="H25" s="15">
        <v>5</v>
      </c>
      <c r="I25" s="15"/>
      <c r="J25" s="10">
        <v>25</v>
      </c>
      <c r="K25" s="10">
        <v>22</v>
      </c>
      <c r="L25" s="10">
        <v>20</v>
      </c>
      <c r="M25" s="15"/>
    </row>
    <row r="26" spans="3:20" x14ac:dyDescent="0.25">
      <c r="C26">
        <v>104</v>
      </c>
      <c r="D26" t="s">
        <v>1299</v>
      </c>
      <c r="E26" s="10">
        <f t="shared" si="1"/>
        <v>26.5</v>
      </c>
      <c r="F26" s="10">
        <f t="shared" si="2"/>
        <v>23.32</v>
      </c>
      <c r="G26" s="10">
        <f t="shared" si="3"/>
        <v>21.2</v>
      </c>
      <c r="H26" s="15">
        <v>5</v>
      </c>
      <c r="I26" s="15"/>
      <c r="J26" s="10">
        <v>25</v>
      </c>
      <c r="K26" s="10">
        <v>22</v>
      </c>
      <c r="L26" s="10">
        <v>20</v>
      </c>
      <c r="M26" s="15"/>
      <c r="N26" s="10">
        <f>AVERAGE(N10:N24)</f>
        <v>74.172348031032641</v>
      </c>
      <c r="O26" s="10">
        <f t="shared" ref="O26:P26" si="4">AVERAGE(O10:O24)</f>
        <v>59.464417614251047</v>
      </c>
      <c r="P26" s="10">
        <f t="shared" si="4"/>
        <v>53.692399759291263</v>
      </c>
    </row>
    <row r="27" spans="3:20" x14ac:dyDescent="0.25">
      <c r="C27">
        <v>150</v>
      </c>
      <c r="D27" t="s">
        <v>896</v>
      </c>
      <c r="E27" s="10">
        <f t="shared" si="1"/>
        <v>64.66</v>
      </c>
      <c r="F27" s="10">
        <f t="shared" si="2"/>
        <v>50.88</v>
      </c>
      <c r="G27" s="10">
        <f t="shared" si="3"/>
        <v>45.58</v>
      </c>
      <c r="H27" s="15">
        <v>5</v>
      </c>
      <c r="J27" s="10">
        <v>61</v>
      </c>
      <c r="K27" s="10">
        <v>48</v>
      </c>
      <c r="L27" s="10">
        <v>43</v>
      </c>
    </row>
    <row r="28" spans="3:20" ht="14.45" x14ac:dyDescent="0.3">
      <c r="C28">
        <v>151</v>
      </c>
      <c r="D28" t="s">
        <v>1129</v>
      </c>
      <c r="E28" s="10">
        <f t="shared" si="1"/>
        <v>64.66</v>
      </c>
      <c r="F28" s="10">
        <f t="shared" si="2"/>
        <v>50.88</v>
      </c>
      <c r="G28" s="10">
        <f t="shared" si="3"/>
        <v>45.58</v>
      </c>
      <c r="H28" s="15">
        <v>5</v>
      </c>
      <c r="J28" s="10">
        <v>61</v>
      </c>
      <c r="K28" s="10">
        <v>48</v>
      </c>
      <c r="L28" s="10">
        <v>43</v>
      </c>
    </row>
    <row r="29" spans="3:20" ht="14.45" x14ac:dyDescent="0.3">
      <c r="C29">
        <v>152</v>
      </c>
      <c r="D29" t="s">
        <v>333</v>
      </c>
      <c r="E29" s="10">
        <f t="shared" si="1"/>
        <v>64.66</v>
      </c>
      <c r="F29" s="10">
        <f t="shared" si="2"/>
        <v>50.88</v>
      </c>
      <c r="G29" s="10">
        <f t="shared" si="3"/>
        <v>45.58</v>
      </c>
      <c r="H29" s="15">
        <v>5</v>
      </c>
      <c r="J29" s="10">
        <v>61</v>
      </c>
      <c r="K29" s="10">
        <v>48</v>
      </c>
      <c r="L29" s="10">
        <v>43</v>
      </c>
    </row>
    <row r="30" spans="3:20" x14ac:dyDescent="0.25">
      <c r="C30">
        <v>172</v>
      </c>
      <c r="D30" t="s">
        <v>401</v>
      </c>
      <c r="E30" s="10">
        <f t="shared" si="1"/>
        <v>33.723295792149436</v>
      </c>
      <c r="F30" s="10">
        <f t="shared" si="2"/>
        <v>27.331185321443094</v>
      </c>
      <c r="G30" s="10">
        <f t="shared" si="3"/>
        <v>24.610859321486295</v>
      </c>
      <c r="H30" s="10">
        <v>0</v>
      </c>
      <c r="J30" s="10">
        <v>31.814429992593805</v>
      </c>
      <c r="K30" s="10">
        <v>25.784137095701034</v>
      </c>
      <c r="L30" s="10">
        <v>23.217791812722922</v>
      </c>
    </row>
    <row r="31" spans="3:20" x14ac:dyDescent="0.25">
      <c r="C31">
        <v>210</v>
      </c>
      <c r="D31" t="s">
        <v>262</v>
      </c>
      <c r="E31" s="10">
        <f t="shared" si="1"/>
        <v>38.620385460262987</v>
      </c>
      <c r="F31" s="10">
        <f t="shared" si="2"/>
        <v>31.161328188970323</v>
      </c>
      <c r="G31" s="10">
        <f t="shared" si="3"/>
        <v>27.858127061832036</v>
      </c>
      <c r="H31" s="10">
        <v>0</v>
      </c>
      <c r="J31" s="10">
        <v>36.43432590590848</v>
      </c>
      <c r="K31" s="10">
        <v>29.397479423556909</v>
      </c>
      <c r="L31" s="10">
        <v>26.281251945124563</v>
      </c>
    </row>
    <row r="32" spans="3:20" x14ac:dyDescent="0.25">
      <c r="C32">
        <v>214</v>
      </c>
      <c r="D32" t="s">
        <v>56</v>
      </c>
      <c r="E32" s="10">
        <f t="shared" si="1"/>
        <v>38.620385460262987</v>
      </c>
      <c r="F32" s="10">
        <f t="shared" si="2"/>
        <v>31.161328188970323</v>
      </c>
      <c r="G32" s="10">
        <f t="shared" si="3"/>
        <v>27.858127061832036</v>
      </c>
      <c r="H32" s="10">
        <v>0</v>
      </c>
      <c r="J32" s="10">
        <v>36.43432590590848</v>
      </c>
      <c r="K32" s="10">
        <v>29.397479423556909</v>
      </c>
      <c r="L32" s="10">
        <v>26.281251945124563</v>
      </c>
    </row>
    <row r="33" spans="3:12" x14ac:dyDescent="0.25">
      <c r="C33">
        <v>215</v>
      </c>
      <c r="D33" t="s">
        <v>128</v>
      </c>
      <c r="E33" s="10">
        <f t="shared" si="1"/>
        <v>38.620385460262987</v>
      </c>
      <c r="F33" s="10">
        <f t="shared" si="2"/>
        <v>31.161328188970323</v>
      </c>
      <c r="G33" s="10">
        <f t="shared" si="3"/>
        <v>27.858127061832036</v>
      </c>
      <c r="H33" s="10">
        <v>0</v>
      </c>
      <c r="J33" s="10">
        <v>36.43432590590848</v>
      </c>
      <c r="K33" s="10">
        <v>29.397479423556909</v>
      </c>
      <c r="L33" s="10">
        <v>26.281251945124563</v>
      </c>
    </row>
    <row r="34" spans="3:12" ht="14.45" x14ac:dyDescent="0.3">
      <c r="C34">
        <v>216</v>
      </c>
      <c r="D34" t="s">
        <v>116</v>
      </c>
      <c r="E34" s="10">
        <f t="shared" si="1"/>
        <v>125.85383557148924</v>
      </c>
      <c r="F34" s="10">
        <f t="shared" si="2"/>
        <v>101.66744640811392</v>
      </c>
      <c r="G34" s="10">
        <f t="shared" si="3"/>
        <v>93.036348332311249</v>
      </c>
      <c r="H34" s="10">
        <v>0</v>
      </c>
      <c r="I34" s="10">
        <v>70</v>
      </c>
      <c r="J34" s="10">
        <v>118.73003355800871</v>
      </c>
      <c r="K34" s="10">
        <v>95.912685290673508</v>
      </c>
      <c r="L34" s="10">
        <v>87.770139936142684</v>
      </c>
    </row>
    <row r="35" spans="3:12" x14ac:dyDescent="0.25">
      <c r="C35">
        <v>230</v>
      </c>
      <c r="D35" t="s">
        <v>120</v>
      </c>
      <c r="E35" s="10">
        <f t="shared" si="1"/>
        <v>38.620385460262987</v>
      </c>
      <c r="F35" s="10">
        <f t="shared" si="2"/>
        <v>31.161328188970323</v>
      </c>
      <c r="G35" s="10">
        <f t="shared" si="3"/>
        <v>27.858127061832036</v>
      </c>
      <c r="H35" s="10">
        <v>0</v>
      </c>
      <c r="J35" s="10">
        <v>36.43432590590848</v>
      </c>
      <c r="K35" s="10">
        <v>29.397479423556909</v>
      </c>
      <c r="L35" s="10">
        <v>26.281251945124563</v>
      </c>
    </row>
    <row r="36" spans="3:12" x14ac:dyDescent="0.25">
      <c r="C36">
        <v>235</v>
      </c>
      <c r="D36" t="s">
        <v>1146</v>
      </c>
      <c r="E36" s="10">
        <f t="shared" si="1"/>
        <v>38.620385460262987</v>
      </c>
      <c r="F36" s="10">
        <f t="shared" si="2"/>
        <v>31.161328188970323</v>
      </c>
      <c r="G36" s="10">
        <f t="shared" si="3"/>
        <v>27.858127061832036</v>
      </c>
      <c r="H36" s="10">
        <v>0</v>
      </c>
      <c r="J36" s="10">
        <v>36.43432590590848</v>
      </c>
      <c r="K36" s="10">
        <v>29.397479423556909</v>
      </c>
      <c r="L36" s="10">
        <v>26.281251945124563</v>
      </c>
    </row>
    <row r="37" spans="3:12" x14ac:dyDescent="0.25">
      <c r="C37">
        <v>250</v>
      </c>
      <c r="D37" t="s">
        <v>626</v>
      </c>
      <c r="E37" s="10">
        <f t="shared" si="1"/>
        <v>21.2</v>
      </c>
      <c r="F37" s="10">
        <f t="shared" si="2"/>
        <v>21.2</v>
      </c>
      <c r="G37" s="10">
        <f t="shared" si="3"/>
        <v>21.2</v>
      </c>
      <c r="H37" s="10">
        <v>0</v>
      </c>
      <c r="J37" s="10">
        <v>20</v>
      </c>
      <c r="K37" s="10">
        <v>20</v>
      </c>
      <c r="L37" s="10">
        <v>20</v>
      </c>
    </row>
    <row r="38" spans="3:12" x14ac:dyDescent="0.25">
      <c r="C38">
        <v>251</v>
      </c>
      <c r="D38" t="s">
        <v>355</v>
      </c>
      <c r="E38" s="10">
        <f t="shared" si="1"/>
        <v>21.2</v>
      </c>
      <c r="F38" s="10">
        <f t="shared" si="2"/>
        <v>21.2</v>
      </c>
      <c r="G38" s="10">
        <f t="shared" si="3"/>
        <v>21.2</v>
      </c>
      <c r="H38" s="10">
        <v>0</v>
      </c>
      <c r="J38" s="10">
        <v>20</v>
      </c>
      <c r="K38" s="10">
        <v>20</v>
      </c>
      <c r="L38" s="10">
        <v>20</v>
      </c>
    </row>
    <row r="39" spans="3:12" x14ac:dyDescent="0.25">
      <c r="C39">
        <v>252</v>
      </c>
      <c r="D39" t="s">
        <v>41</v>
      </c>
      <c r="E39" s="10">
        <f t="shared" si="1"/>
        <v>21.2</v>
      </c>
      <c r="F39" s="10">
        <f t="shared" si="2"/>
        <v>21.2</v>
      </c>
      <c r="G39" s="10">
        <f t="shared" si="3"/>
        <v>21.2</v>
      </c>
      <c r="H39" s="10">
        <v>0</v>
      </c>
      <c r="J39" s="10">
        <v>20</v>
      </c>
      <c r="K39" s="10">
        <v>20</v>
      </c>
      <c r="L39" s="10">
        <v>20</v>
      </c>
    </row>
    <row r="40" spans="3:12" x14ac:dyDescent="0.25">
      <c r="C40">
        <v>254</v>
      </c>
      <c r="D40" t="s">
        <v>27</v>
      </c>
      <c r="E40" s="10">
        <f t="shared" si="1"/>
        <v>21.2</v>
      </c>
      <c r="F40" s="10">
        <f t="shared" si="2"/>
        <v>21.2</v>
      </c>
      <c r="G40" s="10">
        <f t="shared" si="3"/>
        <v>21.2</v>
      </c>
      <c r="H40" s="10">
        <v>0</v>
      </c>
      <c r="J40" s="10">
        <v>20</v>
      </c>
      <c r="K40" s="10">
        <v>20</v>
      </c>
      <c r="L40" s="10">
        <v>20</v>
      </c>
    </row>
    <row r="41" spans="3:12" x14ac:dyDescent="0.25">
      <c r="C41">
        <v>257</v>
      </c>
      <c r="D41" t="s">
        <v>148</v>
      </c>
      <c r="E41" s="10">
        <f t="shared" si="1"/>
        <v>21.2</v>
      </c>
      <c r="F41" s="10">
        <f t="shared" si="2"/>
        <v>21.2</v>
      </c>
      <c r="G41" s="10">
        <f t="shared" si="3"/>
        <v>21.2</v>
      </c>
      <c r="H41" s="10">
        <v>0</v>
      </c>
      <c r="J41" s="10">
        <v>20</v>
      </c>
      <c r="K41" s="10">
        <v>20</v>
      </c>
      <c r="L41" s="10">
        <v>20</v>
      </c>
    </row>
    <row r="42" spans="3:12" x14ac:dyDescent="0.25">
      <c r="C42">
        <v>260</v>
      </c>
      <c r="D42" t="s">
        <v>45</v>
      </c>
      <c r="E42" s="10">
        <f t="shared" si="1"/>
        <v>33.723295792149436</v>
      </c>
      <c r="F42" s="10">
        <f t="shared" si="2"/>
        <v>27.331185321443094</v>
      </c>
      <c r="G42" s="10">
        <f t="shared" si="3"/>
        <v>24.610859321486295</v>
      </c>
      <c r="H42" s="10">
        <v>0</v>
      </c>
      <c r="J42" s="10">
        <v>31.814429992593805</v>
      </c>
      <c r="K42" s="10">
        <v>25.784137095701034</v>
      </c>
      <c r="L42" s="10">
        <v>23.217791812722922</v>
      </c>
    </row>
    <row r="43" spans="3:12" x14ac:dyDescent="0.25">
      <c r="C43">
        <v>261</v>
      </c>
      <c r="D43" t="s">
        <v>403</v>
      </c>
      <c r="E43" s="10">
        <f t="shared" si="1"/>
        <v>33.723295792149436</v>
      </c>
      <c r="F43" s="10">
        <f t="shared" si="2"/>
        <v>27.331185321443094</v>
      </c>
      <c r="G43" s="10">
        <f t="shared" si="3"/>
        <v>24.610859321486295</v>
      </c>
      <c r="H43" s="10">
        <v>0</v>
      </c>
      <c r="J43" s="10">
        <v>31.814429992593805</v>
      </c>
      <c r="K43" s="10">
        <v>25.784137095701034</v>
      </c>
      <c r="L43" s="10">
        <v>23.217791812722922</v>
      </c>
    </row>
    <row r="44" spans="3:12" x14ac:dyDescent="0.25">
      <c r="C44">
        <v>263</v>
      </c>
      <c r="D44" t="s">
        <v>39</v>
      </c>
      <c r="E44" s="10">
        <f t="shared" si="1"/>
        <v>33.723295792149436</v>
      </c>
      <c r="F44" s="10">
        <f t="shared" si="2"/>
        <v>27.331185321443094</v>
      </c>
      <c r="G44" s="10">
        <f t="shared" si="3"/>
        <v>24.610859321486295</v>
      </c>
      <c r="H44" s="10">
        <v>0</v>
      </c>
      <c r="J44" s="10">
        <v>31.814429992593805</v>
      </c>
      <c r="K44" s="10">
        <v>25.784137095701034</v>
      </c>
      <c r="L44" s="10">
        <v>23.217791812722922</v>
      </c>
    </row>
    <row r="45" spans="3:12" x14ac:dyDescent="0.25">
      <c r="C45">
        <v>264</v>
      </c>
      <c r="D45" t="s">
        <v>207</v>
      </c>
      <c r="E45" s="10">
        <f t="shared" si="1"/>
        <v>10.6</v>
      </c>
      <c r="F45" s="10">
        <f t="shared" si="2"/>
        <v>10.6</v>
      </c>
      <c r="G45" s="10">
        <f t="shared" si="3"/>
        <v>10.6</v>
      </c>
      <c r="H45" s="10">
        <v>0</v>
      </c>
      <c r="J45" s="10">
        <v>10</v>
      </c>
      <c r="K45" s="10">
        <v>10</v>
      </c>
      <c r="L45" s="10">
        <v>10</v>
      </c>
    </row>
    <row r="46" spans="3:12" x14ac:dyDescent="0.25">
      <c r="C46">
        <v>268</v>
      </c>
      <c r="D46" t="s">
        <v>627</v>
      </c>
      <c r="E46" s="10">
        <f t="shared" si="1"/>
        <v>21.2</v>
      </c>
      <c r="F46" s="10">
        <f t="shared" si="2"/>
        <v>21.2</v>
      </c>
      <c r="G46" s="10">
        <f t="shared" si="3"/>
        <v>21.2</v>
      </c>
      <c r="H46" s="10">
        <v>0</v>
      </c>
      <c r="J46" s="10">
        <v>20</v>
      </c>
      <c r="K46" s="10">
        <v>20</v>
      </c>
      <c r="L46" s="10">
        <v>20</v>
      </c>
    </row>
    <row r="47" spans="3:12" x14ac:dyDescent="0.25">
      <c r="C47">
        <v>276</v>
      </c>
      <c r="D47" t="s">
        <v>146</v>
      </c>
      <c r="E47" s="10">
        <f t="shared" si="1"/>
        <v>10.6</v>
      </c>
      <c r="F47" s="10">
        <f t="shared" si="2"/>
        <v>10.6</v>
      </c>
      <c r="G47" s="10">
        <f t="shared" si="3"/>
        <v>10.6</v>
      </c>
      <c r="H47" s="10">
        <v>0</v>
      </c>
      <c r="J47" s="10">
        <v>10</v>
      </c>
      <c r="K47" s="10">
        <v>10</v>
      </c>
      <c r="L47" s="10">
        <v>10</v>
      </c>
    </row>
    <row r="48" spans="3:12" x14ac:dyDescent="0.25">
      <c r="C48">
        <v>280</v>
      </c>
      <c r="D48" t="s">
        <v>624</v>
      </c>
      <c r="E48" s="10">
        <f t="shared" si="1"/>
        <v>37.1</v>
      </c>
      <c r="F48" s="10">
        <f t="shared" si="2"/>
        <v>26.5</v>
      </c>
      <c r="G48" s="10">
        <f t="shared" si="3"/>
        <v>21.2</v>
      </c>
      <c r="H48" s="10">
        <v>0</v>
      </c>
      <c r="J48" s="10">
        <v>35</v>
      </c>
      <c r="K48" s="10">
        <v>25</v>
      </c>
      <c r="L48" s="10">
        <v>20</v>
      </c>
    </row>
    <row r="49" spans="3:12" x14ac:dyDescent="0.25">
      <c r="C49">
        <v>310</v>
      </c>
      <c r="D49" t="s">
        <v>484</v>
      </c>
      <c r="E49" s="10">
        <f t="shared" ref="E49:E60" si="5">J49-J49*$I49/100*$F$10/100</f>
        <v>10</v>
      </c>
      <c r="F49" s="10">
        <f t="shared" ref="F49:F60" si="6">K49-K49*$I49/100*$F$10/100</f>
        <v>10</v>
      </c>
      <c r="G49" s="10">
        <f t="shared" ref="G49:G60" si="7">L49-L49*$I49/100*$F$10/100</f>
        <v>10</v>
      </c>
      <c r="H49" s="10">
        <v>0</v>
      </c>
      <c r="J49" s="10">
        <v>10</v>
      </c>
      <c r="K49" s="10">
        <v>10</v>
      </c>
      <c r="L49" s="10">
        <v>10</v>
      </c>
    </row>
    <row r="50" spans="3:12" x14ac:dyDescent="0.25">
      <c r="C50">
        <v>311</v>
      </c>
      <c r="D50" t="s">
        <v>389</v>
      </c>
      <c r="E50" s="10">
        <f t="shared" si="5"/>
        <v>10</v>
      </c>
      <c r="F50" s="10">
        <f t="shared" si="6"/>
        <v>10</v>
      </c>
      <c r="G50" s="10">
        <f t="shared" si="7"/>
        <v>10</v>
      </c>
      <c r="H50" s="10">
        <v>0</v>
      </c>
      <c r="J50" s="10">
        <v>10</v>
      </c>
      <c r="K50" s="10">
        <v>10</v>
      </c>
      <c r="L50" s="10">
        <v>10</v>
      </c>
    </row>
    <row r="51" spans="3:12" x14ac:dyDescent="0.25">
      <c r="C51">
        <v>318</v>
      </c>
      <c r="D51" t="s">
        <v>171</v>
      </c>
      <c r="E51" s="10">
        <f t="shared" si="5"/>
        <v>10</v>
      </c>
      <c r="F51" s="10">
        <f t="shared" si="6"/>
        <v>10</v>
      </c>
      <c r="G51" s="10">
        <f t="shared" si="7"/>
        <v>10</v>
      </c>
      <c r="H51" s="10">
        <v>0</v>
      </c>
      <c r="J51" s="10">
        <v>10</v>
      </c>
      <c r="K51" s="10">
        <v>10</v>
      </c>
      <c r="L51" s="10">
        <v>10</v>
      </c>
    </row>
    <row r="52" spans="3:12" x14ac:dyDescent="0.25">
      <c r="C52">
        <v>528</v>
      </c>
      <c r="D52" t="s">
        <v>700</v>
      </c>
      <c r="E52" s="10">
        <f t="shared" si="5"/>
        <v>10</v>
      </c>
      <c r="F52" s="10">
        <f t="shared" si="6"/>
        <v>10</v>
      </c>
      <c r="G52" s="10">
        <f t="shared" si="7"/>
        <v>10</v>
      </c>
      <c r="H52" s="10">
        <v>0</v>
      </c>
      <c r="J52" s="10">
        <v>10</v>
      </c>
      <c r="K52" s="10">
        <v>10</v>
      </c>
      <c r="L52" s="10">
        <v>10</v>
      </c>
    </row>
    <row r="53" spans="3:12" x14ac:dyDescent="0.25">
      <c r="C53">
        <v>580</v>
      </c>
      <c r="D53" t="s">
        <v>187</v>
      </c>
      <c r="E53" s="10">
        <f t="shared" si="5"/>
        <v>10</v>
      </c>
      <c r="F53" s="10">
        <f t="shared" si="6"/>
        <v>10</v>
      </c>
      <c r="G53" s="10">
        <f t="shared" si="7"/>
        <v>10</v>
      </c>
      <c r="H53" s="10">
        <v>0</v>
      </c>
      <c r="J53" s="10">
        <v>10</v>
      </c>
      <c r="K53" s="10">
        <v>10</v>
      </c>
      <c r="L53" s="10">
        <v>10</v>
      </c>
    </row>
    <row r="54" spans="3:12" x14ac:dyDescent="0.25">
      <c r="C54">
        <v>581</v>
      </c>
      <c r="D54" t="s">
        <v>696</v>
      </c>
      <c r="E54" s="10">
        <f t="shared" si="5"/>
        <v>10</v>
      </c>
      <c r="F54" s="10">
        <f t="shared" si="6"/>
        <v>10</v>
      </c>
      <c r="G54" s="10">
        <f t="shared" si="7"/>
        <v>10</v>
      </c>
      <c r="H54" s="10">
        <v>0</v>
      </c>
      <c r="J54" s="10">
        <v>10</v>
      </c>
      <c r="K54" s="10">
        <v>10</v>
      </c>
      <c r="L54" s="10">
        <v>10</v>
      </c>
    </row>
    <row r="55" spans="3:12" x14ac:dyDescent="0.25">
      <c r="C55">
        <v>583</v>
      </c>
      <c r="D55" t="s">
        <v>154</v>
      </c>
      <c r="E55" s="10">
        <f t="shared" si="5"/>
        <v>10</v>
      </c>
      <c r="F55" s="10">
        <f t="shared" si="6"/>
        <v>10</v>
      </c>
      <c r="G55" s="10">
        <f t="shared" si="7"/>
        <v>10</v>
      </c>
      <c r="H55" s="10">
        <v>0</v>
      </c>
      <c r="J55" s="10">
        <v>10</v>
      </c>
      <c r="K55" s="10">
        <v>10</v>
      </c>
      <c r="L55" s="10">
        <v>10</v>
      </c>
    </row>
    <row r="56" spans="3:12" x14ac:dyDescent="0.25">
      <c r="C56">
        <v>591</v>
      </c>
      <c r="D56" t="s">
        <v>423</v>
      </c>
      <c r="E56" s="10">
        <f t="shared" si="5"/>
        <v>10</v>
      </c>
      <c r="F56" s="10">
        <f t="shared" si="6"/>
        <v>10</v>
      </c>
      <c r="G56" s="10">
        <f t="shared" si="7"/>
        <v>10</v>
      </c>
      <c r="H56" s="10">
        <v>0</v>
      </c>
      <c r="J56" s="10">
        <v>10</v>
      </c>
      <c r="K56" s="10">
        <v>10</v>
      </c>
      <c r="L56" s="10">
        <v>10</v>
      </c>
    </row>
    <row r="57" spans="3:12" x14ac:dyDescent="0.25">
      <c r="C57">
        <v>592</v>
      </c>
      <c r="D57" t="s">
        <v>647</v>
      </c>
      <c r="E57" s="10">
        <f t="shared" si="5"/>
        <v>10</v>
      </c>
      <c r="F57" s="10">
        <f t="shared" si="6"/>
        <v>10</v>
      </c>
      <c r="G57" s="10">
        <f t="shared" si="7"/>
        <v>10</v>
      </c>
      <c r="H57" s="10">
        <v>0</v>
      </c>
      <c r="J57" s="10">
        <v>10</v>
      </c>
      <c r="K57" s="10">
        <v>10</v>
      </c>
      <c r="L57" s="10">
        <v>10</v>
      </c>
    </row>
    <row r="58" spans="3:12" x14ac:dyDescent="0.25">
      <c r="C58">
        <v>593</v>
      </c>
      <c r="D58" t="s">
        <v>703</v>
      </c>
      <c r="E58" s="10">
        <f t="shared" si="5"/>
        <v>10</v>
      </c>
      <c r="F58" s="10">
        <f t="shared" si="6"/>
        <v>10</v>
      </c>
      <c r="G58" s="10">
        <f t="shared" si="7"/>
        <v>10</v>
      </c>
      <c r="H58" s="10">
        <v>0</v>
      </c>
      <c r="J58" s="10">
        <v>10</v>
      </c>
      <c r="K58" s="10">
        <v>10</v>
      </c>
      <c r="L58" s="10">
        <v>10</v>
      </c>
    </row>
    <row r="59" spans="3:12" x14ac:dyDescent="0.25">
      <c r="C59">
        <v>901</v>
      </c>
      <c r="D59" t="s">
        <v>80</v>
      </c>
      <c r="E59" s="10">
        <f t="shared" si="5"/>
        <v>10</v>
      </c>
      <c r="F59" s="10">
        <f t="shared" si="6"/>
        <v>10</v>
      </c>
      <c r="G59" s="10">
        <f t="shared" si="7"/>
        <v>10</v>
      </c>
      <c r="H59" s="10">
        <v>0</v>
      </c>
      <c r="J59" s="10">
        <v>10</v>
      </c>
      <c r="K59" s="10">
        <v>10</v>
      </c>
      <c r="L59" s="10">
        <v>10</v>
      </c>
    </row>
    <row r="60" spans="3:12" x14ac:dyDescent="0.25">
      <c r="C60">
        <v>902</v>
      </c>
      <c r="D60" t="s">
        <v>160</v>
      </c>
      <c r="E60" s="10">
        <f t="shared" si="5"/>
        <v>10</v>
      </c>
      <c r="F60" s="10">
        <f t="shared" si="6"/>
        <v>10</v>
      </c>
      <c r="G60" s="10">
        <f t="shared" si="7"/>
        <v>10</v>
      </c>
      <c r="H60" s="10">
        <v>0</v>
      </c>
      <c r="J60" s="10">
        <v>10</v>
      </c>
      <c r="K60" s="10">
        <v>10</v>
      </c>
      <c r="L60" s="10">
        <v>10</v>
      </c>
    </row>
    <row r="61" spans="3:12" x14ac:dyDescent="0.25">
      <c r="C61">
        <v>1001</v>
      </c>
      <c r="D61" t="s">
        <v>1655</v>
      </c>
      <c r="E61" s="10">
        <f>J12*$I$12/100</f>
        <v>30.5</v>
      </c>
      <c r="F61" s="10">
        <f t="shared" ref="F61:G61" si="8">K12*$I$12/100</f>
        <v>24</v>
      </c>
      <c r="G61" s="10">
        <f t="shared" si="8"/>
        <v>21.5</v>
      </c>
      <c r="H61" s="10">
        <v>3</v>
      </c>
    </row>
    <row r="62" spans="3:12" x14ac:dyDescent="0.25">
      <c r="C62">
        <v>1002</v>
      </c>
      <c r="D62" t="s">
        <v>1657</v>
      </c>
      <c r="E62" s="10">
        <f>E61</f>
        <v>30.5</v>
      </c>
      <c r="F62" s="10">
        <f t="shared" ref="F62:G62" si="9">F61</f>
        <v>24</v>
      </c>
      <c r="G62" s="10">
        <f t="shared" si="9"/>
        <v>21.5</v>
      </c>
      <c r="H62" s="10">
        <v>3</v>
      </c>
    </row>
    <row r="64" spans="3:12" x14ac:dyDescent="0.25">
      <c r="D64" s="7" t="s">
        <v>1374</v>
      </c>
    </row>
    <row r="65" spans="4:6" x14ac:dyDescent="0.25">
      <c r="D65" s="11" t="s">
        <v>28</v>
      </c>
    </row>
    <row r="66" spans="4:6" x14ac:dyDescent="0.25">
      <c r="D66" s="11" t="s">
        <v>46</v>
      </c>
    </row>
    <row r="67" spans="4:6" x14ac:dyDescent="0.25">
      <c r="D67" s="11" t="s">
        <v>1011</v>
      </c>
    </row>
    <row r="68" spans="4:6" x14ac:dyDescent="0.25">
      <c r="D68" s="11" t="s">
        <v>42</v>
      </c>
    </row>
    <row r="72" spans="4:6" x14ac:dyDescent="0.25">
      <c r="F72">
        <v>0</v>
      </c>
    </row>
  </sheetData>
  <sortState ref="C12:D60">
    <sortCondition ref="C12"/>
  </sortState>
  <mergeCells count="2">
    <mergeCell ref="J10:L10"/>
    <mergeCell ref="L5:M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A17B773BFD7FDB4F8F3412C8AB5A85C3"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a19c337ec340af1bb838ad6261d2f855">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2014-12-09T23:00:00+00:00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Data til analyse af kvælstofretention på markniveau i Lundgaard Bæk oplandet og sammenstilling af resultater i tabeller.</Comment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7D1929-1DE5-4B0D-BA8E-D64DDB321174}"/>
</file>

<file path=customXml/itemProps2.xml><?xml version="1.0" encoding="utf-8"?>
<ds:datastoreItem xmlns:ds="http://schemas.openxmlformats.org/officeDocument/2006/customXml" ds:itemID="{7C77507F-7BD8-491A-951B-39E1FBA1D3CD}"/>
</file>

<file path=customXml/itemProps3.xml><?xml version="1.0" encoding="utf-8"?>
<ds:datastoreItem xmlns:ds="http://schemas.openxmlformats.org/officeDocument/2006/customXml" ds:itemID="{AE2A3EF8-92D6-490C-8472-9A3C221805C9}"/>
</file>

<file path=customXml/itemProps4.xml><?xml version="1.0" encoding="utf-8"?>
<ds:datastoreItem xmlns:ds="http://schemas.openxmlformats.org/officeDocument/2006/customXml" ds:itemID="{4E03A6DF-5F93-4022-AF5D-99E0D2363A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Navngivne områder</vt:lpstr>
      </vt:variant>
      <vt:variant>
        <vt:i4>5</vt:i4>
      </vt:variant>
    </vt:vector>
  </HeadingPairs>
  <TitlesOfParts>
    <vt:vector size="11" baseType="lpstr">
      <vt:lpstr>Oversigt_Retention</vt:lpstr>
      <vt:lpstr>Data</vt:lpstr>
      <vt:lpstr>Markniveau</vt:lpstr>
      <vt:lpstr>GHI2011</vt:lpstr>
      <vt:lpstr>Tabeller</vt:lpstr>
      <vt:lpstr>Udvaskning nøgletal</vt:lpstr>
      <vt:lpstr>GHI</vt:lpstr>
      <vt:lpstr>Tabeller!Kriterium</vt:lpstr>
      <vt:lpstr>Mark</vt:lpstr>
      <vt:lpstr>Retention</vt:lpstr>
      <vt:lpstr>Tabeller!Uddrag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Analyse af kvælstofretention på markniveau i Lundgaard Bæk oplandet</dc:title>
  <dc:creator>Rita Hørfarter</dc:creator>
  <cp:lastModifiedBy>Lotte Buchtrup Hornbek</cp:lastModifiedBy>
  <dcterms:created xsi:type="dcterms:W3CDTF">2013-06-28T12:44:59Z</dcterms:created>
  <dcterms:modified xsi:type="dcterms:W3CDTF">2014-12-10T13:58:28Z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0x010100C568DB52D9D0A14D9B2FDCC96666E9F2007948130EC3DB064584E219954237AF3900242457EFB8B24247815D688C526CD44D00A17B773BFD7FDB4F8F3412C8AB5A85C3</vt:lpwstr>
  </property>
  <property fmtid="{D5CDD505-2E9C-101B-9397-08002B2CF9AE}" pid="3" name="_dlc_DocIdItemGuid">
    <vt:lpwstr>8c1aa434-4233-4092-bd35-b6fb3723128d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2014-12-10T13:04:00Z</vt:filetime>
  </property>
  <property fmtid="{D5CDD505-2E9C-101B-9397-08002B2CF9AE}" pid="7" name="WebInfo_FinansieringsLink">
    <vt:lpwstr>8c1aa434-4233-4092-bd35-b6fb3723128d</vt:lpwstr>
  </property>
  <property fmtid="{D5CDD505-2E9C-101B-9397-08002B2CF9AE}" pid="8" name="EnclosureFor">
    <vt:lpwstr/>
  </property>
  <property fmtid="{D5CDD505-2E9C-101B-9397-08002B2CF9AE}" pid="9" name="KnowledgeArticle">
    <vt:bool>false</vt:bool>
  </property>
</Properties>
</file>